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C" sheetId="1" r:id="rId3"/>
    <sheet state="hidden" name="FORMATOS" sheetId="2" r:id="rId4"/>
    <sheet state="visible" name="INFORMACION" sheetId="3" r:id="rId5"/>
    <sheet state="visible" name="CONSOLIDADO" sheetId="4" r:id="rId6"/>
    <sheet state="visible" name="CONS. EXPORT" sheetId="5" r:id="rId7"/>
    <sheet state="visible" name="2009" sheetId="6" r:id="rId8"/>
    <sheet state="visible" name="PROC_2010" sheetId="7" r:id="rId9"/>
    <sheet state="hidden" name="Gráfico1" sheetId="8" r:id="rId10"/>
    <sheet state="visible" name="PROC_2011" sheetId="9" r:id="rId11"/>
    <sheet state="visible" name="PROC_2012" sheetId="10" r:id="rId12"/>
    <sheet state="visible" name="PROC_2013" sheetId="11" r:id="rId13"/>
    <sheet state="visible" name="PROC_2014" sheetId="12" r:id="rId14"/>
    <sheet state="visible" name="PROC_2015" sheetId="13" r:id="rId15"/>
    <sheet state="visible" name="PROC_2016" sheetId="14" r:id="rId16"/>
    <sheet state="hidden" name="Hoja 6" sheetId="15" r:id="rId17"/>
    <sheet state="visible" name="PROC_2017" sheetId="16" r:id="rId18"/>
    <sheet state="visible" name="PROC_2018" sheetId="17" r:id="rId19"/>
    <sheet state="visible" name="PROC_2019" sheetId="18" r:id="rId20"/>
    <sheet state="visible" name="PROC_2020" sheetId="19" r:id="rId21"/>
    <sheet state="visible" name="PROC_2021" sheetId="20" r:id="rId22"/>
  </sheets>
  <definedNames>
    <definedName localSheetId="9" name="Z_9AF7A52E_59A7_4EDD_B6DB_654CB4182915_.wvu.FilterData">PROC_2012!$B$1:$T$44</definedName>
    <definedName localSheetId="11" name="asdasd">#REF!</definedName>
    <definedName localSheetId="6" name="Z_35F94F65_E509_4271_BE6F_2889893DDC33_.wvu.FilterData">PROC_2010!$A$1:$T$1</definedName>
    <definedName localSheetId="5" name="Z_9AF7A52E_59A7_4EDD_B6DB_654CB4182915_.wvu.FilterData">'2009'!$A$1:$U$1</definedName>
    <definedName localSheetId="12" name="Z_35F94F65_E509_4271_BE6F_2889893DDC33_.wvu.FilterData">PROC_2015!$B$1:$AL$108</definedName>
    <definedName localSheetId="11" name="Z_35F94F65_E509_4271_BE6F_2889893DDC33_.wvu.Cols">#REF!</definedName>
    <definedName localSheetId="9" name="Z_35F94F65_E509_4271_BE6F_2889893DDC33_.wvu.FilterData">PROC_2012!$B$1:$T$44</definedName>
    <definedName localSheetId="10" name="Z_35F94F65_E509_4271_BE6F_2889893DDC33_.wvu.FilterData">PROC_2013!$A$1:$W$73</definedName>
    <definedName localSheetId="11" name="Z_9AF7A52E_59A7_4EDD_B6DB_654CB4182915_.wvu.Cols">#REF!</definedName>
    <definedName localSheetId="12" name="Z_9AF7A52E_59A7_4EDD_B6DB_654CB4182915_.wvu.FilterData">PROC_2015!$B$1:$AL$108</definedName>
    <definedName localSheetId="11" name="grado">PROC_2014!$U$112</definedName>
    <definedName localSheetId="8" name="Z_35F94F65_E509_4271_BE6F_2889893DDC33_.wvu.FilterData">PROC_2011!$A$1:$AE$12</definedName>
    <definedName localSheetId="6" name="Z_9AF7A52E_59A7_4EDD_B6DB_654CB4182915_.wvu.FilterData">PROC_2010!$A$1:$T$1</definedName>
    <definedName localSheetId="10" name="Z_9AF7A52E_59A7_4EDD_B6DB_654CB4182915_.wvu.FilterData">PROC_2013!$A$1:$W$72</definedName>
    <definedName localSheetId="5" name="Z_35F94F65_E509_4271_BE6F_2889893DDC33_.wvu.FilterData">'2009'!$A$1:$U$1</definedName>
    <definedName localSheetId="8" name="Z_9AF7A52E_59A7_4EDD_B6DB_654CB4182915_.wvu.FilterData">PROC_2011!$A$1:$AE$12</definedName>
    <definedName localSheetId="11" name="Z_35F94F65_E509_4271_BE6F_2889893DDC33_.wvu.FilterData">PROC_2014!$A$1:$AL$162</definedName>
    <definedName hidden="1" localSheetId="2" name="_xlnm._FilterDatabase">INFORMACION!$A$1:$H$1388</definedName>
    <definedName hidden="1" localSheetId="3" name="_xlnm._FilterDatabase">CONSOLIDADO!$A$1:$AM$609</definedName>
    <definedName hidden="1" localSheetId="5" name="_xlnm._FilterDatabase">'2009'!$A$1:$U$31</definedName>
    <definedName hidden="1" localSheetId="6" name="_xlnm._FilterDatabase">PROC_2010!$A$1:$T$46</definedName>
    <definedName hidden="1" localSheetId="8" name="_xlnm._FilterDatabase">PROC_2011!$A$1:$U$12</definedName>
    <definedName hidden="1" localSheetId="9" name="_xlnm._FilterDatabase">PROC_2012!$A$1:$U$39</definedName>
    <definedName hidden="1" localSheetId="11" name="_xlnm._FilterDatabase">PROC_2014!$A$1:$AL$162</definedName>
    <definedName hidden="1" localSheetId="13" name="_xlnm._FilterDatabase">PROC_2016!$A$1:$AM$114</definedName>
    <definedName hidden="1" localSheetId="15" name="_xlnm._FilterDatabase">PROC_2017!$A$1:$AM$118</definedName>
    <definedName hidden="1" localSheetId="17" name="_xlnm._FilterDatabase">PROC_2019!$A$1:$AM$114</definedName>
    <definedName hidden="1" localSheetId="18" name="_xlnm._FilterDatabase">PROC_2020!$A$1:$AM$31</definedName>
    <definedName hidden="1" localSheetId="13" name="Z_2AD98D61_951A_4279_BBF8_55B9EBDA1F7E_.wvu.FilterData">PROC_2016!$A$1:$AM$114</definedName>
    <definedName hidden="1" localSheetId="13" name="Z_F1228D83_8F7D_4B4C_88E2_DB0FAB8004C9_.wvu.FilterData">PROC_2016!$A$1:$AL$114</definedName>
    <definedName hidden="1" localSheetId="17" name="Z_1D721144_89CC_471C_8088_A52A2CE24CB2_.wvu.FilterData">PROC_2019!$A$1:$AM$114</definedName>
    <definedName hidden="1" localSheetId="15" name="Z_4B4747F1_D512_4E10_8175_6EFE5527EAAE_.wvu.FilterData">PROC_2017!$A$1:$AL$114</definedName>
  </definedNames>
  <calcPr/>
  <customWorkbookViews>
    <customWorkbookView activeSheetId="0" maximized="1" windowHeight="0" windowWidth="0" guid="{1D721144-89CC-471C-8088-A52A2CE24CB2}" name="puestos"/>
    <customWorkbookView activeSheetId="0" maximized="1" windowHeight="0" windowWidth="0" guid="{4B4747F1-D512-4E10-8175-6EFE5527EAAE}" name="18-5-18"/>
    <customWorkbookView activeSheetId="0" maximized="1" windowHeight="0" windowWidth="0" guid="{F1228D83-8F7D-4B4C-88E2-DB0FAB8004C9}" name="Filtro 1"/>
    <customWorkbookView activeSheetId="0" maximized="1" windowHeight="0" windowWidth="0" guid="{2AD98D61-951A-4279-BBF8-55B9EBDA1F7E}" name="Filtro 2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provienen de la hoja REEMPLAZOS Y CONTRATACIONES
	-Selección Usach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">
      <text>
        <t xml:space="preserve">Usuario:
</t>
      </text>
    </comment>
    <comment authorId="0" ref="P1">
      <text>
        <t xml:space="preserve">Usuario:
DE TODOS LOS PROCESOS
</t>
      </text>
    </comment>
    <comment authorId="0" ref="T1">
      <text>
        <t xml:space="preserve">Favor ingresar al funcionario de acuerdo a la lista desplegable (Dotación Diciembre [AÑO ANTERIOR])
</t>
      </text>
    </comment>
    <comment authorId="0" ref="AA1">
      <text>
        <t xml:space="preserve">Usuario:
fecha del último proceso</t>
      </text>
    </comment>
    <comment authorId="0" ref="A336">
      <text>
        <t xml:space="preserve">+graciela.gamboa@usach.cl +romina.llabres@usach.cl 
Tengo a este funcionario que aparece más de 2 veces en la misma nómina, por el mismo proceso de selección.
_Asignado a Graciela Gamboa Monsalve_
	-Selección Usach</t>
      </text>
    </comment>
    <comment authorId="0" ref="A1">
      <text>
        <t xml:space="preserve">cada año, debiese modificarse esta columna para incluir las hojas de los años siguientes, en orden decreciente
	-Selección Usach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">
      <text>
        <t xml:space="preserve">Usuario:
</t>
      </text>
    </comment>
    <comment authorId="0" ref="P1">
      <text>
        <t xml:space="preserve">Usuario:
DE TODOS LOS PROCESOS
</t>
      </text>
    </comment>
    <comment authorId="0" ref="T1">
      <text>
        <t xml:space="preserve">Favor ingresar al funcionario de acuerdo a la lista desplegable (Dotación Diciembre [AÑO ANTERIOR])
</t>
      </text>
    </comment>
    <comment authorId="0" ref="AA1">
      <text>
        <t xml:space="preserve">Usuario:
fecha del último proceso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0">
      <text>
        <t xml:space="preserve">+andres.gonzalez.s@usach.cl                la información de estas celdas no esta, revisamos el historial con daniel y no nos permite regresar, no figura en el historial algun cambio refente, existe la posibilidad de recuperar esa información?
_Asignado a Andres Gonzalez Santa-Cruz_
	-Selección Usach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Usuario:
borré un duplicado. 117 jorge vega quintanilla
borré un duplicado.
Evelyn larenas (100).</t>
      </text>
    </comment>
    <comment authorId="0" ref="O1">
      <text>
        <t xml:space="preserve">Usuario:
DE TODOS LOS PROCESOS EXTERNOS
 CUIDADO CON LAS PERSONAS QUE SE REPITEN, PORQUE NO CUENTAN</t>
      </text>
    </comment>
    <comment authorId="0" ref="S14">
      <text>
        <t xml:space="preserve">Usuario:
ELLA FUE EVALUADA EN ENERO DE 2014, PERO LA RESOLUCIÓN 1280 SE TOMÓ RAZÓN EL 17 DE JULIO DE 2015, EN DONDE SE SELECCIONA A CONTAR DEL 1-10-14.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">
      <text>
        <t xml:space="preserve">Usuario:
</t>
      </text>
    </comment>
    <comment authorId="0" ref="P1">
      <text>
        <t xml:space="preserve">Usuario:
DE TODOS LOS PROCESOS
</t>
      </text>
    </comment>
    <comment authorId="0" ref="AA1">
      <text>
        <t xml:space="preserve">Usuario:
fecha del último proceso</t>
      </text>
    </comment>
    <comment authorId="0" ref="U3">
      <text>
        <t xml:space="preserve">Usuario:
no existe informe</t>
      </text>
    </comment>
    <comment authorId="0" ref="AI16">
      <text>
        <t xml:space="preserve">Andres Gonzalez:
NO HAY DOCUMENTACIÓN, PERO ESTÁ LA TEORÍA
</t>
      </text>
    </comment>
    <comment authorId="0" ref="E75">
      <text>
        <t xml:space="preserve">Andres Gonzalez:
CIESCOOP
</t>
      </text>
    </comment>
    <comment authorId="0" ref="E76">
      <text>
        <t xml:space="preserve">Andres Gonzalez:
ESE ES SU CC., NO ARQUITECTURA, DONDE TRABAJA
</t>
      </text>
    </comment>
    <comment authorId="0" ref="B99">
      <text>
        <t xml:space="preserve">ivonne vera ni  siquiera alcnazó a entrear: la 98</t>
      </text>
    </comment>
    <comment authorId="0" ref="B109">
      <text>
        <t xml:space="preserve">AGREGAR A BEATRIZ RAHMER, JESSENIA FUENTES Y TODAS LAS REGULARIZACIONES
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">
      <text>
        <t xml:space="preserve">Usuario:
</t>
      </text>
    </comment>
    <comment authorId="0" ref="P1">
      <text>
        <t xml:space="preserve">Usuario:
DE TODOS LOS PROCESOS
</t>
      </text>
    </comment>
    <comment authorId="0" ref="AA1">
      <text>
        <t xml:space="preserve">Usuario:
fecha del último proceso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">
      <text>
        <t xml:space="preserve">Usuario:
De todos los postulantes
</t>
      </text>
    </comment>
    <comment authorId="0" ref="P1">
      <text>
        <t xml:space="preserve">Usuario:
DE TODOS LOS PROCESOS
</t>
      </text>
    </comment>
    <comment authorId="0" ref="T1">
      <text>
        <t xml:space="preserve">Favor ingresar al funcionario de acuerdo a la lista desplegable (Dotación Diciembre [AÑO ANTERIOR])
</t>
      </text>
    </comment>
    <comment authorId="0" ref="AA1">
      <text>
        <t xml:space="preserve">Usuario:
fecha del último proceso
----
2017 - Debes ingresar sólo los procesos en que el último proceso esté publicado entre Marzo de 2017 y Enero de 2018
	-Andres Gonzalez Santa-Cruz</t>
      </text>
    </comment>
    <comment authorId="0" ref="U35">
      <text>
        <t xml:space="preserve">QUIEN GANÓ AQUÍ
</t>
      </text>
    </comment>
    <comment authorId="0" ref="A1">
      <text>
        <t xml:space="preserve">+graciela.gamboa@usach.cl +romina.llabres@usach.cl 
incorporar a Rony Navarro
_Asignado a Graciela Gamboa Monsalve_
	-Andres Gonzalez Santa-Cruz</t>
      </text>
    </comment>
    <comment authorId="0" ref="J101">
      <text>
        <t xml:space="preserve">+graciela.gamboa@usach.cl 
¿Sabes por cuántas horas entró la funcionaria?, da lo mismo si la ley no corresponde.
_Asignado a Graciela Gamboa Monsalve_
	-Andres Gonzalez Santa-Cruz
11 hrs
	-Graciela Gamboa Monsalve
no me deja registrarlo por eso no figura con horas
	-Graciela Gamboa Monsalve
Tienes q abror la vista desplegable y poner 11 hrs ley 15076
	-Andres Gonzalez Santa-Cruz</t>
      </text>
    </comment>
    <comment authorId="0" ref="V48">
      <text>
        <t xml:space="preserve">+graciela.gamboa@usach.cl 
¿cuáles son las brechas de este funcionario?
_Asignado a Graciela Gamboa Monsalve_
	-Andres Gonzalez Santa-Cruz
_Marcada como completada_
	-Graciela Gamboa Monsalve
_Reabierto_
en el acta dice que posee brechas más el informe psicolaboral no lo encontre lo más probable es que al ser del departamento este no se realizo
	-Graciela Gamboa Monsalve</t>
      </text>
    </comment>
    <comment authorId="0" ref="AH88">
      <text>
        <t xml:space="preserve">+romina.llabres@usach.cl 
Favor completar con la ficha de autorización resupuestaria de cada proceso.
_Asignado a Romina llabres solis_
	-Andres Gonzalez Santa-Cruz</t>
      </text>
    </comment>
    <comment authorId="0" ref="W90">
      <text>
        <t xml:space="preserve">+romina.llabres@usach.cl 
Favor incorporar estos campos a partir de los informes psicolaborales.
_Asignado a Romina llabres solis_
	-Andres Gonzalez Santa-Cruz</t>
      </text>
    </comment>
    <comment authorId="0" ref="L90">
      <text>
        <t xml:space="preserve">+romina.llabres@usach.cl 
Favor buscar actas de término y completar la información en rojo de estos procesos.
_Asignado a Romina llabres solis_
	-Andres Gonzalez Santa-Cruz</t>
      </text>
    </comment>
    <comment authorId="0" ref="AH96">
      <text>
        <t xml:space="preserve">+romina.llabres@usach.cl 
¿A qué corresponden estos procesos?
¿A quiénes reemplazarían estas vacantes?
_Asignado a Romina llabres solis_
	-Andres Gonzalez Santa-Cruz</t>
      </text>
    </comment>
    <comment authorId="0" ref="Q1">
      <text>
        <t xml:space="preserve">Total desiertos, en el entendido que los procesos de selección internos son uno y se publica primero el Interno y luego el Externo
	-Andres Gonzalez Santa-Cruz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">
      <text>
        <t xml:space="preserve">Usuario:
</t>
      </text>
    </comment>
    <comment authorId="0" ref="P1">
      <text>
        <t xml:space="preserve">Usuario:
DE TODOS LOS PROCESOS
</t>
      </text>
    </comment>
    <comment authorId="0" ref="T1">
      <text>
        <t xml:space="preserve">Favor ingresar al funcionario de acuerdo a la lista desplegable (Dotación Diciembre [AÑO ANTERIOR])
</t>
      </text>
    </comment>
    <comment authorId="0" ref="AA1">
      <text>
        <t xml:space="preserve">Usuario:
fecha del último proceso</t>
      </text>
    </comment>
    <comment authorId="0" ref="A111">
      <text>
        <t xml:space="preserve">+romina.llabres@usach.cl +graciela.gamboa@usach.cl 
Fechas no calzan con historial proceso:
ANALISTA CONTABLE II
Cargo: Profesional, Grado 13.
Lugar: Departamento de Finanzas y Tesorería.
Proceso de selección: Externo.
Fecha de postulación: Del 02 de Enero de 2018 al 09 de Enero del 2018.
Estado: Finalizado.
Seleccionado: Cristian Saavedra Donoso
Ver más.
_Asignado a Romina llabres solis_
	-Selección Usach</t>
      </text>
    </comment>
    <comment authorId="0" ref="AC43">
      <text>
        <t xml:space="preserve">es necesario indicar a qué planta correspondían. Lo anterior, debido a que aparecen personas que no están en la dotación como internos (puede que sean profes hra)
	-Selección Usach</t>
      </text>
    </comment>
    <comment authorId="0" ref="F63">
      <text>
        <t xml:space="preserve">+graciela.gamboa@usach.cl +romina.llabres@usach.cl
_Asignado a Graciela Gamboa Monsalve_
	-Selección Usach
lo cambiaré de encargado de laboratorio a encargado técnico, ok?
	-Selección Usach</t>
      </text>
    </comment>
    <comment authorId="0" ref="I71">
      <text>
        <t xml:space="preserve">se autoriza a cubrir 2 vacantes de 11hrs
	-Selección Usach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">
      <text>
        <t xml:space="preserve">Usuario:
</t>
      </text>
    </comment>
    <comment authorId="0" ref="P1">
      <text>
        <t xml:space="preserve">Usuario:
DE TODOS LOS PROCESOS
</t>
      </text>
    </comment>
    <comment authorId="0" ref="T1">
      <text>
        <t xml:space="preserve">Favor ingresar al funcionario de acuerdo a la lista desplegable (Dotación Diciembre [AÑO ANTERIOR])
</t>
      </text>
    </comment>
    <comment authorId="0" ref="AA1">
      <text>
        <t xml:space="preserve">Usuario:
fecha del último proceso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">
      <text>
        <t xml:space="preserve">Usuario:
</t>
      </text>
    </comment>
    <comment authorId="0" ref="P1">
      <text>
        <t xml:space="preserve">Usuario:
DE TODOS LOS PROCESOS
</t>
      </text>
    </comment>
    <comment authorId="0" ref="T1">
      <text>
        <t xml:space="preserve">Favor ingresar al funcionario de acuerdo a la lista desplegable (Dotación Diciembre [AÑO ANTERIOR])
</t>
      </text>
    </comment>
    <comment authorId="0" ref="AA1">
      <text>
        <t xml:space="preserve">Usuario:
fecha del último proceso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">
      <text>
        <t xml:space="preserve">Usuario:
</t>
      </text>
    </comment>
    <comment authorId="0" ref="P1">
      <text>
        <t xml:space="preserve">Usuario:
DE TODOS LOS PROCESOS
</t>
      </text>
    </comment>
    <comment authorId="0" ref="T1">
      <text>
        <t xml:space="preserve">Favor ingresar al funcionario de acuerdo a la lista desplegable (Dotación Diciembre [AÑO ANTERIOR])
</t>
      </text>
    </comment>
    <comment authorId="0" ref="AA1">
      <text>
        <t xml:space="preserve">Usuario:
fecha del último proceso</t>
      </text>
    </comment>
  </commentList>
</comments>
</file>

<file path=xl/sharedStrings.xml><?xml version="1.0" encoding="utf-8"?>
<sst xmlns="http://schemas.openxmlformats.org/spreadsheetml/2006/main" count="17212" uniqueCount="4734">
  <si>
    <t>C.Costo</t>
  </si>
  <si>
    <t>Descr</t>
  </si>
  <si>
    <t>Rectoria</t>
  </si>
  <si>
    <t>Contraloría Universitaria</t>
  </si>
  <si>
    <t>Prorrectoría</t>
  </si>
  <si>
    <t>Dirección de Asistencia Juridi</t>
  </si>
  <si>
    <t>Secretaría General</t>
  </si>
  <si>
    <t>Dpto de Comunicaciones</t>
  </si>
  <si>
    <t>Radio Emisora</t>
  </si>
  <si>
    <t>IDEA</t>
  </si>
  <si>
    <t>Adm Gral Fdo Solid y Cred Univ</t>
  </si>
  <si>
    <t>Administración Centralizada</t>
  </si>
  <si>
    <t>Vice-Rec Invest, Desar e Innov</t>
  </si>
  <si>
    <t>Dpto de Estudios</t>
  </si>
  <si>
    <t>Dpto de Calidad y Acreditación</t>
  </si>
  <si>
    <t>CECTA</t>
  </si>
  <si>
    <t>Vicerrectoría Académica</t>
  </si>
  <si>
    <t>Dpto de Gest de Proy de Invest</t>
  </si>
  <si>
    <t>Unidad de Bibliotecas</t>
  </si>
  <si>
    <t>Unidad de Regist Acad y Curric</t>
  </si>
  <si>
    <t>CENI</t>
  </si>
  <si>
    <t>Dpto de Planif Pptaria</t>
  </si>
  <si>
    <t>Vice-Rec de Apoyo al Estudiant</t>
  </si>
  <si>
    <t>Unidad de Vocación Artística</t>
  </si>
  <si>
    <t>Dpto de Benef Estudiantiles</t>
  </si>
  <si>
    <t>Dpto de Extensión</t>
  </si>
  <si>
    <t>Dpto de Gest Deporte y Cultura</t>
  </si>
  <si>
    <t>Unidad de Atención de Salud</t>
  </si>
  <si>
    <t>Federación de Estudiantes</t>
  </si>
  <si>
    <t>Unidad de Innovación Educativa</t>
  </si>
  <si>
    <t>Direc. de Adm. y Finanzas</t>
  </si>
  <si>
    <t>Dpto de Finanzas y Tesorería</t>
  </si>
  <si>
    <t>Dpto de Desarrollo de Personas</t>
  </si>
  <si>
    <t>Dpto de RRHH</t>
  </si>
  <si>
    <t>Unidad de Gestión de Campus</t>
  </si>
  <si>
    <t>Unidad de Adm de Serv Aliment</t>
  </si>
  <si>
    <t>Unidad Bienestar de Personal</t>
  </si>
  <si>
    <t>Unidad de Adquisiciones</t>
  </si>
  <si>
    <t>Unidad de Construcciones</t>
  </si>
  <si>
    <t>CIBISAP</t>
  </si>
  <si>
    <t>Decanato Facultad de Ingenierí</t>
  </si>
  <si>
    <t>Dpto de Ingeniería Eléctrica</t>
  </si>
  <si>
    <t>Dpto de Ingeniería Metalúrgica</t>
  </si>
  <si>
    <t>Dpto de Ingeniería Geográfica</t>
  </si>
  <si>
    <t>Dpto de Ingeniería Mecánica</t>
  </si>
  <si>
    <t>Dpto de Ingeniería Informática</t>
  </si>
  <si>
    <t>Dpto de Ingeniería Industrial</t>
  </si>
  <si>
    <t>Dpto de Ingeniería Química</t>
  </si>
  <si>
    <t>Dpto de Ingeniería en Minas</t>
  </si>
  <si>
    <t>Dpto de Ing. en Obras Civiles</t>
  </si>
  <si>
    <t>Decanato Facultad de Ciencia</t>
  </si>
  <si>
    <t>Dpto Matemát y Cs de la Comp</t>
  </si>
  <si>
    <t>Departamento de Física</t>
  </si>
  <si>
    <t>Programa de Bachillerato</t>
  </si>
  <si>
    <t>Decanato Facultad de Humanidad</t>
  </si>
  <si>
    <t>Dpto.Lingüística y Literatura</t>
  </si>
  <si>
    <t>Departamento de Filosofía</t>
  </si>
  <si>
    <t>Departamento de Historia</t>
  </si>
  <si>
    <t>Departamento de Educación</t>
  </si>
  <si>
    <t>Decan Facultad de Adm y Econom</t>
  </si>
  <si>
    <t>Departamento de Administración</t>
  </si>
  <si>
    <t>Departamento de Economía</t>
  </si>
  <si>
    <t>Dpto de Contab y Auditoría</t>
  </si>
  <si>
    <t>Dpto de Gest y Polític Públic</t>
  </si>
  <si>
    <t>Decanato Facultad Tecnológica</t>
  </si>
  <si>
    <t>Dpto de Cs y Tecno de los Alim</t>
  </si>
  <si>
    <t>Dpto de Tecnologías Grales</t>
  </si>
  <si>
    <t>Dpto de Tecnolog Industriales</t>
  </si>
  <si>
    <t>Dpto de Ing en Agronegocios</t>
  </si>
  <si>
    <t>Direc. de Des. Institucional</t>
  </si>
  <si>
    <t>Escuela de Periodismo</t>
  </si>
  <si>
    <t>Dpto de Gestión Estratégica</t>
  </si>
  <si>
    <t>Unidad de Promoc de la Salud</t>
  </si>
  <si>
    <t>Dpto de Gestión de Infraestruc</t>
  </si>
  <si>
    <t>Dpto de Formación Integral</t>
  </si>
  <si>
    <t>CICES</t>
  </si>
  <si>
    <t>Dirección Relaciones Interuniv</t>
  </si>
  <si>
    <t>COMENIUS</t>
  </si>
  <si>
    <t>Escuela de Arquitectura</t>
  </si>
  <si>
    <t>Escuela de Psicología</t>
  </si>
  <si>
    <t>Decanato Fac Ciencias Médicas</t>
  </si>
  <si>
    <t>Escuela de Medicina</t>
  </si>
  <si>
    <t>Escuela de Enfermería</t>
  </si>
  <si>
    <t>Escuela de Obstetricia y Pueri</t>
  </si>
  <si>
    <t>Dpto de Cs de la Activ Física</t>
  </si>
  <si>
    <t>Clínica Docente Asistencial</t>
  </si>
  <si>
    <t>Sello Editorial</t>
  </si>
  <si>
    <t>CEDETEC</t>
  </si>
  <si>
    <t>Decanato Fac de Químic y Biolo</t>
  </si>
  <si>
    <t>Dpto Química de los Materiales</t>
  </si>
  <si>
    <t>Departamento de Biología</t>
  </si>
  <si>
    <t>Dpto de Cs del Ambiente</t>
  </si>
  <si>
    <t>Soc. Desarrollo Tecnológica</t>
  </si>
  <si>
    <t>INNOVO</t>
  </si>
  <si>
    <t>Unidad de Coord. Institucional</t>
  </si>
  <si>
    <t>Liceos Prioritarios</t>
  </si>
  <si>
    <t>PREUSACH</t>
  </si>
  <si>
    <t>Ceus Llanquihue</t>
  </si>
  <si>
    <t>CIIS</t>
  </si>
  <si>
    <t>Fundación Universit Empresa</t>
  </si>
  <si>
    <t>Educación Continua</t>
  </si>
  <si>
    <t>Capacitación Usach Ltda</t>
  </si>
  <si>
    <t>Dirección de Postgrado</t>
  </si>
  <si>
    <t>Unidad de Admisión</t>
  </si>
  <si>
    <t>Depto de Transf Tecnológica</t>
  </si>
  <si>
    <t>Unidad de Coordinac de Centros</t>
  </si>
  <si>
    <t>Depto de Calidad de Vida Estud</t>
  </si>
  <si>
    <t>Dirección de Pregrado</t>
  </si>
  <si>
    <t>Depto. de Publicidad e Imagen</t>
  </si>
  <si>
    <t>Unid. Des Tecnolog.Informac</t>
  </si>
  <si>
    <t>Vice-Rec Vinculac con el Medio</t>
  </si>
  <si>
    <t>Convenio Desempeño VRAEA Felix</t>
  </si>
  <si>
    <t>A CONTRATA</t>
  </si>
  <si>
    <t>Por 11 hr. Ley 15.076</t>
  </si>
  <si>
    <t>PROFESIONAL</t>
  </si>
  <si>
    <t>SELECCIONADO</t>
  </si>
  <si>
    <t>EXTERNO</t>
  </si>
  <si>
    <t>INTERNO</t>
  </si>
  <si>
    <t>SI</t>
  </si>
  <si>
    <t>Por 22 hr. Ley 15.076</t>
  </si>
  <si>
    <t>ADMINISTRATIVO</t>
  </si>
  <si>
    <t>SELECCIONADA</t>
  </si>
  <si>
    <t>NO</t>
  </si>
  <si>
    <t>No</t>
  </si>
  <si>
    <t>Por 33 hr. Ley 15.076</t>
  </si>
  <si>
    <t>TECNICO</t>
  </si>
  <si>
    <t>Por 44 hr. Ley 15.076</t>
  </si>
  <si>
    <t>AUXILIAR</t>
  </si>
  <si>
    <t>FUNCIONARIOS DIC 2018</t>
  </si>
  <si>
    <t>COMPETENCIAS</t>
  </si>
  <si>
    <t>Template</t>
  </si>
  <si>
    <t>ABARCA CERDA SORAYA DEL CARMEN</t>
  </si>
  <si>
    <t>Aprendizaje Continuo</t>
  </si>
  <si>
    <t>ABARCA MEDINA JENNIFER CAROLINA</t>
  </si>
  <si>
    <t>Autocontrol</t>
  </si>
  <si>
    <t>ABARCA TAPIA PETRONILA DEL CARMEN</t>
  </si>
  <si>
    <t>Busqueda de Informacion</t>
  </si>
  <si>
    <t>ABRICOT MARCHANT NICOLE EDITH</t>
  </si>
  <si>
    <t>Capacidad de Planificacion y Organizacion</t>
  </si>
  <si>
    <t>ACENCIO OLIVA JUDITH DEL CARMEN</t>
  </si>
  <si>
    <t>Comunicacion</t>
  </si>
  <si>
    <t>ACEVEDO AHUMADA FRANCES ELIANA</t>
  </si>
  <si>
    <t>Comunicacion para compartir y gestionar conocimientos</t>
  </si>
  <si>
    <t>ACEVEDO BERRIOS SILVIA ANDREA</t>
  </si>
  <si>
    <t>Conciencia organizacional</t>
  </si>
  <si>
    <t>ACEVEDO CARRASCO XIMENA DE LOURDES</t>
  </si>
  <si>
    <t>Escucha Activa</t>
  </si>
  <si>
    <t>ACEVEDO MONCADA PIA LORETO</t>
  </si>
  <si>
    <t>Flexibilidad</t>
  </si>
  <si>
    <t>ACEVEDO VASQUEZ EDUARDO ENRIQUE</t>
  </si>
  <si>
    <t>Franqueza- Confiabilidad- Integridad</t>
  </si>
  <si>
    <t>ACLEZ TRECANANCO JORGE GERVACIO</t>
  </si>
  <si>
    <t>Impacto e Influencia</t>
  </si>
  <si>
    <t>ACOSTA JURADO CRISTOBAL ALEJANDRO</t>
  </si>
  <si>
    <t>Iniciativa</t>
  </si>
  <si>
    <t>ACOSTA PICON SANDRA DEL CARMEN</t>
  </si>
  <si>
    <t>Innovacion del conocimiento</t>
  </si>
  <si>
    <t>ACOSTA SANDOVAL CAROLA ALEJANDRA</t>
  </si>
  <si>
    <t>Liderar Proyectos</t>
  </si>
  <si>
    <t>ACUNA CASTILLO FRANCISCO JAVIER</t>
  </si>
  <si>
    <t>Liderazgo</t>
  </si>
  <si>
    <t>ACUNA CRUZ MAURICIO EUGENIO</t>
  </si>
  <si>
    <t>Manejo de Informacion Confidencial</t>
  </si>
  <si>
    <t>ADRIAZOLA MORENO MARTA CATALINA</t>
  </si>
  <si>
    <t>Orientacion a los Resultados</t>
  </si>
  <si>
    <t>AGUILA VILLEGAS SHIRLEY JANNETT</t>
  </si>
  <si>
    <t>Pensamiento Analitico</t>
  </si>
  <si>
    <t>AGUILAR CARCAMO PATRICIA FIDELISA</t>
  </si>
  <si>
    <t>Pensamiento Estrategico</t>
  </si>
  <si>
    <t>AGUILAR LOPEZ EVELYN CECILIA</t>
  </si>
  <si>
    <t>Preocupacion por el Orden y la Claridad</t>
  </si>
  <si>
    <t>AGUILAR MELLA GLADYS ANDREA</t>
  </si>
  <si>
    <t>Relaciones Publicas</t>
  </si>
  <si>
    <t>AGUILERA ARRIAGADA MARIO ANTONIO</t>
  </si>
  <si>
    <t>Tolerancia a la presion</t>
  </si>
  <si>
    <t>AGUILERA GONZALEZ EDITH FABIOLA</t>
  </si>
  <si>
    <t>Trabajo en Equipo</t>
  </si>
  <si>
    <t>AGUILERA IBACACHE JOSE HAROLDO</t>
  </si>
  <si>
    <t>AGUILERA PEREZ MARIO OSVALDO</t>
  </si>
  <si>
    <t>AGUILERA SILVA JAZMIN ALEJANDRA</t>
  </si>
  <si>
    <t>AGUILERA SOTO MYRIAM ESTER</t>
  </si>
  <si>
    <t>AGUIRRE QUIJADA JORGE RICARDO</t>
  </si>
  <si>
    <t>AHUMADA CASTILLO DANILO ALEJANDRO</t>
  </si>
  <si>
    <t>ALANO PALAVECINO JUAN CARLOS</t>
  </si>
  <si>
    <t>ALARCON AGUIRRE MARIA CECILIA</t>
  </si>
  <si>
    <t>ALARCON MORA ELIZABETH MARGOT</t>
  </si>
  <si>
    <t>ALARCON SERRANO GISELLE EVELYN</t>
  </si>
  <si>
    <t>ALBORNOZ BOSICH SARA  MELISA</t>
  </si>
  <si>
    <t>ALBORNOZ MARABOLI MARIO ANTONIO</t>
  </si>
  <si>
    <t>ALBORNOZ SAN MARTIN GABRIELA ROXANA</t>
  </si>
  <si>
    <t>ALBURQUENQUE BARRERA JOSE MARCIAL</t>
  </si>
  <si>
    <t>ALCAINO PADILLA RODRIGO ANDRES</t>
  </si>
  <si>
    <t>ALCANTARA TAPIA ADRIANA MARIA LORETO</t>
  </si>
  <si>
    <t>ALEGRIA NUNEZ SERGIO EDUARDO</t>
  </si>
  <si>
    <t>ALFARO LILLO KERIMA GENEVIEVE</t>
  </si>
  <si>
    <t>ALVARADO PARRA MARCO ANTONIO</t>
  </si>
  <si>
    <t>ALVAREZ CASTILLO RICARDO DEL CARMEN</t>
  </si>
  <si>
    <t>ALVAREZ CAVIERES JOSE FABRIZIO</t>
  </si>
  <si>
    <t>ALVAREZ CORONA FRESIA ANDREA</t>
  </si>
  <si>
    <t>ALVAREZ GALLEGUILLOS MARIA TERESA</t>
  </si>
  <si>
    <t>ALVAREZ GARCIA RUBY PRADELIA</t>
  </si>
  <si>
    <t>ALVAREZ MOLINA CARLOS IVAN</t>
  </si>
  <si>
    <t>ALVAREZ PEREZ ELIANA ENRIQUETA</t>
  </si>
  <si>
    <t>ALVAREZ PEREZ MARIA JOSEFINA</t>
  </si>
  <si>
    <t>ALVAREZ QUINTEROS FIDEL FABIAN</t>
  </si>
  <si>
    <t>ALVAREZ RIOS CLAUDIO DANIEL</t>
  </si>
  <si>
    <t>ALVAREZ RIOS ROBERTO MIGUEL</t>
  </si>
  <si>
    <t>ALVAREZ RODRIGUEZ NATALIA PAZ</t>
  </si>
  <si>
    <t>ALVAREZ VALENZUELA CRISTOPHER ADOLFO</t>
  </si>
  <si>
    <t>ALVAREZ VILLAR SISSY ANNE</t>
  </si>
  <si>
    <t>AMARO VALENCIA CHRISTIAN LUIS</t>
  </si>
  <si>
    <t>AMPUERO MEZA ORLANDO JESUS</t>
  </si>
  <si>
    <t>AMPUERO PINO MYRIAM DEL CARMEN</t>
  </si>
  <si>
    <t>ANAIS RODRIGUEZ CLAUDIO CESAR</t>
  </si>
  <si>
    <t>ANDEREYA ESPINOSA STEPHAN ERNESTO</t>
  </si>
  <si>
    <t>ANDIA CLAVERO DANIELA SOLANGE</t>
  </si>
  <si>
    <t>ANDRADE VELASQUEZ JANET ELIDA</t>
  </si>
  <si>
    <t>ANDRADES MUNOZ MIGUEL ARTURO</t>
  </si>
  <si>
    <t>ANGULO RUIZ MARTIN ALEJANDRO</t>
  </si>
  <si>
    <t>ANTILEF JARA RUTH ROSEMARIE</t>
  </si>
  <si>
    <t>ARANCIBIA MIRANDA FELIPE</t>
  </si>
  <si>
    <t>ARANDA RIQUELME CLAUDIA CECILIA</t>
  </si>
  <si>
    <t>ARANEDA VALENZUELA MARIA TERESA</t>
  </si>
  <si>
    <t>ARAOS CACERES JUANA ROSA</t>
  </si>
  <si>
    <t>ARAOS MUNOZ JORGE HERNAN</t>
  </si>
  <si>
    <t>ARAUS SALAZAR ELISA NOEMI</t>
  </si>
  <si>
    <t>ARAVENA CABELLO JULIO DEL CARMEN SEGUNDO</t>
  </si>
  <si>
    <t>ARAVENA CASTILLO ANGELICA MARIA</t>
  </si>
  <si>
    <t>ARAVENA RECART BERTA RAQUEL</t>
  </si>
  <si>
    <t>ARAYA CASTRO MAURICIO IVAN</t>
  </si>
  <si>
    <t>ARAYA LAGUNAS LUIS DEL CARMEN</t>
  </si>
  <si>
    <t>ARAYA MARIN HERNAN EMILIO</t>
  </si>
  <si>
    <t>ARAYA SANCHEZ DINO MAURICIO</t>
  </si>
  <si>
    <t>ARAYA SILVA CAROLINE DENISSE</t>
  </si>
  <si>
    <t>ARAYA SILVA MARITZA DEL CARMEN</t>
  </si>
  <si>
    <t>ARAYA VERGARA FERNANDA DEL CARMEN</t>
  </si>
  <si>
    <t>ARCE LOPEZ JAIME ANTONIO</t>
  </si>
  <si>
    <t>ARCILA RUIZ ROMINA PAZ</t>
  </si>
  <si>
    <t>ARCOS MORALES JOCELYN GRACE</t>
  </si>
  <si>
    <t>ARELLANO ARELLANO VALESKA ALEJANDRA</t>
  </si>
  <si>
    <t>ARENAS LONCOMILLA PATRICIO IVAN</t>
  </si>
  <si>
    <t>ARENAS MACHUCA BLANCA FILOMENA</t>
  </si>
  <si>
    <t>ARENAS MEJIA ALBA CRISTINA</t>
  </si>
  <si>
    <t>ARENAS MOYA CLAUDIA ELIZABETH</t>
  </si>
  <si>
    <t>ARENAS PARRAGUEZ ANDREA ISABEL</t>
  </si>
  <si>
    <t>ARENAS QUILAN CAROLINA PAOLA</t>
  </si>
  <si>
    <t>ARENAS SUAZO MICHEL GIOVANNI</t>
  </si>
  <si>
    <t>ARENAS YANTORO CLAUDIA ANDREA</t>
  </si>
  <si>
    <t>ARETIO AGUIRREBENA MARIA CECILIA</t>
  </si>
  <si>
    <t>ARIAS GARCIA ISMAEL ARMANDO</t>
  </si>
  <si>
    <t>ARIAS SALAZAR PABLO ANDRES</t>
  </si>
  <si>
    <t>ARIAS TAMAYO SUSANA MARIELA</t>
  </si>
  <si>
    <t>ARIAS YURISCH KARINA ALEJANDRA</t>
  </si>
  <si>
    <t>ARMIJO AGUIRRE RAFAEL ANTONIO</t>
  </si>
  <si>
    <t>ARMIJO CONTRERAS PAMELA DEL CARMEN</t>
  </si>
  <si>
    <t>ARNAIZ PEREZ BEATRIZ ANGELICA</t>
  </si>
  <si>
    <t>ARNAIZ PEREZ MARIA DEL CARMEN</t>
  </si>
  <si>
    <t>ARREDONDO RIVERA SANDRA ORIANA</t>
  </si>
  <si>
    <t>ARRIAGADA NECULPAN VIRGINIA JUANA</t>
  </si>
  <si>
    <t>ARRIAGADA ORTEGA MIGUEL ANGEL</t>
  </si>
  <si>
    <t>ARRIAGADA PLAZA GENARO ALBERTO</t>
  </si>
  <si>
    <t>ARRIAGADA REYES MAURICIO ENRIQUE</t>
  </si>
  <si>
    <t>ARRIAGADA RIVAS KAREN STHEPHANIE</t>
  </si>
  <si>
    <t>ARRIAGADA SANTIBANEZ RODRIGO ANTONIO</t>
  </si>
  <si>
    <t>ARRIAZA ESTAY CAROLINA ALICIA</t>
  </si>
  <si>
    <t>ARRIAZA TAFO CLAUDIO MAURICIO</t>
  </si>
  <si>
    <t>ARROYUELO ARGAGNON ROCIO MARCELLE</t>
  </si>
  <si>
    <t>ARRUE ZAPATA MABEL ANGELICA</t>
  </si>
  <si>
    <t>ASENCIO NAHUELHUEN JOSE BERNARDO</t>
  </si>
  <si>
    <t>ASTETE FUENTES MATIAS FRANCO</t>
  </si>
  <si>
    <t>ASTETE IBARRA GERALDINE ANDREA</t>
  </si>
  <si>
    <t>ASTUDILLO GONZALEZ MARIA ESTELA</t>
  </si>
  <si>
    <t>ASTUDILLO MOSCOSO CARLA ANDREA</t>
  </si>
  <si>
    <t>AVENDANO CELIS MIRIAM ANDREA</t>
  </si>
  <si>
    <t>AVILA BUENO DEBORAH ANDREA</t>
  </si>
  <si>
    <t>AVILA GALVEZ RAQUEL DEL CARMEN</t>
  </si>
  <si>
    <t>AVILA HONORES RAMON ANGEL</t>
  </si>
  <si>
    <t>AVILA MORAGA PAULA GUISU</t>
  </si>
  <si>
    <t>AVILA SOTO MARCELO FABIAN</t>
  </si>
  <si>
    <t>AVILES HERRERA HECTOR PATRICIO</t>
  </si>
  <si>
    <t>AVILES MORALES JUAN ANTONIO</t>
  </si>
  <si>
    <t>AVILES VALENCIA MARCO ANTONIO</t>
  </si>
  <si>
    <t>AVILES VIDAL ENRIQUE FRANCISCO</t>
  </si>
  <si>
    <t>AVILES ZAPATA JUAN DANIEL</t>
  </si>
  <si>
    <t>AYALA CABRERA JUAN CARLOS</t>
  </si>
  <si>
    <t>AYALA ERAZO DENISSE ALEJANDRA</t>
  </si>
  <si>
    <t>AYAVIRE MOYO MARISOL DEL ROSARIO</t>
  </si>
  <si>
    <t>BADILLA HERNANDEZ CRISTIAN RODRIGO</t>
  </si>
  <si>
    <t>BAEZ ALVAREZ CLAUDIA BEATRIZ</t>
  </si>
  <si>
    <t>BAEZ SOTO ELIANA DEL CARMEN</t>
  </si>
  <si>
    <t>BAEZA VASQUEZ KARIN NATALI</t>
  </si>
  <si>
    <t>BAHAMONDES BARRIOS CHRISTIAN ANDRES</t>
  </si>
  <si>
    <t>BAHAMONDES FUENTES JOSE MANUEL</t>
  </si>
  <si>
    <t>BAHAMONDES GONZALEZ ANDRES ALFREDO</t>
  </si>
  <si>
    <t>BAHAMONDES SAN MARTIN JOSE LUIS</t>
  </si>
  <si>
    <t>BALTIERRA TAPIA PATRICIO ESTEBAN</t>
  </si>
  <si>
    <t>BARQUI CAVIEDES MATILDE ELIANA</t>
  </si>
  <si>
    <t>BARRA MARCIEL FROILAN MARIO</t>
  </si>
  <si>
    <t>BARRAZA CONTRERAS JENNIFER PAMELA</t>
  </si>
  <si>
    <t>BARRAZA FUENTES MARCO ANTONIO</t>
  </si>
  <si>
    <t>BARRAZA SAN MARTIN JULIA VALESKA</t>
  </si>
  <si>
    <t>BARRENECHEA PEREZ CARLOS ROBERTO</t>
  </si>
  <si>
    <t>BARRIA LEIVA JOSE CLAUDIO</t>
  </si>
  <si>
    <t>BARRIENTOS ARIAS NICOLE ALEJANDRA</t>
  </si>
  <si>
    <t>BARRIENTOS MATURANA JUAN EDUARDO</t>
  </si>
  <si>
    <t>BARRIOS JERIA REINALDO MARCELO</t>
  </si>
  <si>
    <t>BARRIOS POBLETE ALEXIS RODIRGO</t>
  </si>
  <si>
    <t>BARROS VASQUEZ DANIEL EDUARDO</t>
  </si>
  <si>
    <t>BASCUR CERDA JUAN CARLOS</t>
  </si>
  <si>
    <t>BASCUR CERDA MARIA ANGELICA</t>
  </si>
  <si>
    <t>BASCUR PARADA JOSE ENRIQUE</t>
  </si>
  <si>
    <t>BASOALTO CAMANO ROSA ESTER</t>
  </si>
  <si>
    <t>BASTOURI CARRASCO JESSICA JERUSA TRINIDAD</t>
  </si>
  <si>
    <t>BECERRA GUTIERREZ MITZY ALEJANDRA</t>
  </si>
  <si>
    <t>BECERRA PALMA NATALIE ALEJANDRA</t>
  </si>
  <si>
    <t>BEECHER PARRA GUISELLA CAROLINA</t>
  </si>
  <si>
    <t>BEJARES BAHAMONDES CLAUDIA</t>
  </si>
  <si>
    <t>BELLVER GUTIERREZ MERCEDES DEL CARMEN</t>
  </si>
  <si>
    <t>BELTRAN FERNANDEZ MARGOT DEL ROSARIO</t>
  </si>
  <si>
    <t>BENITES GOICOCHEA ANA BEATRIZ</t>
  </si>
  <si>
    <t>BERNAL TERAN MARCELO IGNACIO</t>
  </si>
  <si>
    <t>BERRIOS FARIAS NOEMI DEL CARMEN</t>
  </si>
  <si>
    <t>BERRIOS FERNANDEZ PEDRO ALBERTO</t>
  </si>
  <si>
    <t>BERRIOS SANHUEZA ROCIO ANGELICA</t>
  </si>
  <si>
    <t>BERTHOLET RODRIGUEZ DANIELA CAROLINA</t>
  </si>
  <si>
    <t>BLANCO GALLARDO ALICIA DEL CARMEN</t>
  </si>
  <si>
    <t>BOIN MARABOLI MARIA SUSANA</t>
  </si>
  <si>
    <t>BOLIVAR ONATE VERONICA ISABEL</t>
  </si>
  <si>
    <t>BORQUEZ CONTRERAS RODRIGO ANTONIO</t>
  </si>
  <si>
    <t>BORQUEZ SALAZAR SEBASTIAN ANDRES</t>
  </si>
  <si>
    <t>BORQUEZ SOTO JUAN BAUTISTA</t>
  </si>
  <si>
    <t>BORRONI RICARDI ENZO RENATO</t>
  </si>
  <si>
    <t>BRAVO ARREDONDO PAULA VERONICA</t>
  </si>
  <si>
    <t>BRAVO BARRERA CAROLINE ELIZABETH</t>
  </si>
  <si>
    <t>BRAVO BARRERA LORENA DEL CARMEN</t>
  </si>
  <si>
    <t>BRAVO CHINCHON MARIA SOLEDAD</t>
  </si>
  <si>
    <t>BRAVO HIDALGO CAMILO ESTEBAN</t>
  </si>
  <si>
    <t>BRAVO QUEZADA CARMEN GLORIA</t>
  </si>
  <si>
    <t>BRAVO VERGARA SERGIO ANDRES</t>
  </si>
  <si>
    <t>BREVIS FIGUEROA MANUEL ALFREDO</t>
  </si>
  <si>
    <t>BRICENO GUTIERREZ DANIELA FERNANDA</t>
  </si>
  <si>
    <t>BRIONES GUTIERREZ FREDDY</t>
  </si>
  <si>
    <t>BRIONES QUIROGA IVAN RAUL</t>
  </si>
  <si>
    <t>BRIONES SANCHEZ GABRIELA PATRICIA</t>
  </si>
  <si>
    <t>BRIZUELA ALVAREZ MARIO FRANCISCO</t>
  </si>
  <si>
    <t>BUFADEL CASTILLO ELIANA PATRICIA</t>
  </si>
  <si>
    <t>BUGMAN LUCHINGER GUILLERMO ALFREDO</t>
  </si>
  <si>
    <t>BURGOS HERNANDEZ ANA ANDREA</t>
  </si>
  <si>
    <t>BUSTAMANTE ACEVEDO CARLOS ANTONIO</t>
  </si>
  <si>
    <t>BUSTAMANTE ASALGADO INGRID MARCELA</t>
  </si>
  <si>
    <t>BUSTAMANTE HENRIQUEZ CARLOS SALVATORE</t>
  </si>
  <si>
    <t>BUSTAMANTE HENRIQUEZ KARINA IVONNE</t>
  </si>
  <si>
    <t>BUSTOS AYALA NORMA GRACIELA</t>
  </si>
  <si>
    <t>BUSTOS BAEZ STEPHANIE SOLANGE</t>
  </si>
  <si>
    <t>BUSTOS DURAN DANILO HERNAN</t>
  </si>
  <si>
    <t>BUSTOS GARCIA CAROL NOEMI</t>
  </si>
  <si>
    <t>BUSTOS MALDONADO EDUARDO JAIME</t>
  </si>
  <si>
    <t>BUSTOS NAULIN FRANCISCO JAVIER</t>
  </si>
  <si>
    <t>BUSTOS SAEZ HUGO RUBEN</t>
  </si>
  <si>
    <t>BUSTOS TILLERIA NAYADET YENISSE</t>
  </si>
  <si>
    <t>CABANAS SALAZAR MARIA SOLEDAD</t>
  </si>
  <si>
    <t>CABELLO ARAVENA ALEXIS ENRIQUE</t>
  </si>
  <si>
    <t>CABEZAS CASTRO JESSICA VICTORIA</t>
  </si>
  <si>
    <t>CABRERA MATUS CAROLINA RAQUEL</t>
  </si>
  <si>
    <t>CABRERA SILVA ANGELO LEONIDAS</t>
  </si>
  <si>
    <t>CACERES CASTRO CARLOS DESIDERIO</t>
  </si>
  <si>
    <t>CACERES LARREA MARIA TERESA</t>
  </si>
  <si>
    <t>CAJALES MENESES SONIA PILAR</t>
  </si>
  <si>
    <t>CALDERA PARRA CARLOS HUMBERTO</t>
  </si>
  <si>
    <t>CALDERON ESCALONA RODRIGO FERNANDO</t>
  </si>
  <si>
    <t>CALDERON FUENTES JULIAN GONZALO</t>
  </si>
  <si>
    <t>CALDERON GARIN MARIA JOSE</t>
  </si>
  <si>
    <t>CALDERON LIZAMA SEBASTIAN ANDRES</t>
  </si>
  <si>
    <t>CAMPOS CARRASCO RICARDO FRANCISCO</t>
  </si>
  <si>
    <t>CAMPOS CUTURRUFO GUILLERMO MAURICIO</t>
  </si>
  <si>
    <t>CAMPOS FERNANDEZ EDISON GABRIEL</t>
  </si>
  <si>
    <t>CAMPOS KUSKINEN JUDITH MAUREEN</t>
  </si>
  <si>
    <t>CAMPOS QUIROZ SERGIO ALBERTO</t>
  </si>
  <si>
    <t>CAMPOS RIELOFF DANIEL ANDRES</t>
  </si>
  <si>
    <t>CAMPOS SALAZAR MARISOL DEL CARMEN</t>
  </si>
  <si>
    <t>CAMPUSANO ASTORGA MARCELA MARIA</t>
  </si>
  <si>
    <t>CANALES MUNOZ CLAUDIA PATRICIA</t>
  </si>
  <si>
    <t>CANDIA ARANCIBIA VICTOR HERNAN</t>
  </si>
  <si>
    <t>CANIULEF MENDEZ INGRID SUSABET</t>
  </si>
  <si>
    <t>CANIULLAN MELIN AGUSTINA DEL CARMEN</t>
  </si>
  <si>
    <t>CAPRILE PONS EDISON PATRICIO</t>
  </si>
  <si>
    <t>CARCAMO MOREL MACARENA ANDREA</t>
  </si>
  <si>
    <t>CARDENAS OVANDO PATRICIO ANTONIO</t>
  </si>
  <si>
    <t>CARDENAS RAMIREZ OSCAR VICENTE</t>
  </si>
  <si>
    <t>CARDENAS ROMERO RAUL MARCELO</t>
  </si>
  <si>
    <t>CARMONA OLIVOS VERONICA DEL CARMEN</t>
  </si>
  <si>
    <t>CARO CASTRO VICTOR ANDRES</t>
  </si>
  <si>
    <t>CARO VELOZ HUGO ENRIQUE</t>
  </si>
  <si>
    <t>CAROCA MARTINEZ RODRIGO ALEJANDRO</t>
  </si>
  <si>
    <t>CARRASCO BARQUI VIVIANA CLAUDINA</t>
  </si>
  <si>
    <t>CARRASCO FERNANDEZ ELSA ANDREA</t>
  </si>
  <si>
    <t>CARRASCO GARRIDO MACARENA BEATRIZ</t>
  </si>
  <si>
    <t>CARRASCO ITURRA SOFIA ANGELICA ELIZABETH</t>
  </si>
  <si>
    <t>CARRASCO MOSCOSO FERNANDO DEL TRANSITO</t>
  </si>
  <si>
    <t>CARRASCO OLIVARES CAROLINA DEL PILAR</t>
  </si>
  <si>
    <t>CARRASCO PALMA MARTA DEL PILAR</t>
  </si>
  <si>
    <t>CARRASCO RUIZ WILSON ENRIQUE</t>
  </si>
  <si>
    <t>CARRASCO YANEZ SOLANGE ANDREA</t>
  </si>
  <si>
    <t>CARRENO AGUILERA ALFONSO DEL CARMEN</t>
  </si>
  <si>
    <t>CARRENO ESCOBAR PABLO ANTONIO</t>
  </si>
  <si>
    <t>CARRERA MOLINA JUAN ANDRES</t>
  </si>
  <si>
    <t>CARRERE OETTINGER MARIA CECILIA</t>
  </si>
  <si>
    <t>CARRILLO AVILA SAUL PAULO ESTEBAN</t>
  </si>
  <si>
    <t>CARRILLO SALVA VERONICA TERESA</t>
  </si>
  <si>
    <t>CARRIZO CRAIG JOSE MIGUEL ANTONIO</t>
  </si>
  <si>
    <t>CARSTENS LOPEZ ERIKA</t>
  </si>
  <si>
    <t>CARTES JAURIATT LEYLA DAYANA</t>
  </si>
  <si>
    <t>CARVACHO AGUIRRE ARACELLY DEL CARMEN</t>
  </si>
  <si>
    <t>CARVAJAL NANJARI RAMON NIBALDO</t>
  </si>
  <si>
    <t>CARVAJAL OSORIO MAGALY DEL CARMEN</t>
  </si>
  <si>
    <t>CARVAJAL PASTEN PATRICK NELSON</t>
  </si>
  <si>
    <t>CARVAJAL PEREZ SILVIA DEL CARMEN</t>
  </si>
  <si>
    <t>CASANOVA ALARCON GLORIA DEL CARMEN</t>
  </si>
  <si>
    <t>CASSONETT MEDINA DUSTIN ALBERT</t>
  </si>
  <si>
    <t>CASTANEDA VEGA SALVADOR ELIAS</t>
  </si>
  <si>
    <t>CASTILLO CASTILLO CLAUDIO ALFONSO</t>
  </si>
  <si>
    <t>CASTILLO CASTILLO TOMAS MARCELO</t>
  </si>
  <si>
    <t>CASTILLO CERDA MARIA TERESA</t>
  </si>
  <si>
    <t>CASTILLO CORTES MARIA GUMERCINDA</t>
  </si>
  <si>
    <t>CASTILLO DIAZ MAGDALENA DEL PILAR</t>
  </si>
  <si>
    <t>CASTILLO LARA MAURICIO ANTONIO</t>
  </si>
  <si>
    <t>CASTILLO LOPEZ ITAMAR SABA</t>
  </si>
  <si>
    <t>CASTILLO MACHUCA CAROLINA JOSE</t>
  </si>
  <si>
    <t>CASTILLO PUMARINO MACARENA BEATRIZ</t>
  </si>
  <si>
    <t>CASTILLO SAAVEDRA MANUEL LUCIO</t>
  </si>
  <si>
    <t>CASTRO AGUSTO PEDRO ALFREDO</t>
  </si>
  <si>
    <t>CASTRO DEPASSIER MARIA LORETO</t>
  </si>
  <si>
    <t>CASTRO GUTIERREZ JULIO ALBERTO</t>
  </si>
  <si>
    <t>CASTRO GUTIERREZ LEONOR DEL ROSARIO</t>
  </si>
  <si>
    <t>CASTRO HERRERA HILDA DE LAS MERCEDES</t>
  </si>
  <si>
    <t>CASTRO RIVERA MONICA SOLEDAD</t>
  </si>
  <si>
    <t>CASTRO SOTO ROBERTO MAURICIO</t>
  </si>
  <si>
    <t>CASTRO VIZCARRA ISMAEL ALFREDO</t>
  </si>
  <si>
    <t>CATALAN ACUNA JESSICA PATRICIA</t>
  </si>
  <si>
    <t>CATALAN CORNEJO ERIKA PATRICIA</t>
  </si>
  <si>
    <t>CATALAN RODRIGUEZ GLADYS SOLANGE</t>
  </si>
  <si>
    <t>CATRIL CATRIL PILAR EVELYN</t>
  </si>
  <si>
    <t>CATRILAF CAYUMAN GABRIELA ESTELA</t>
  </si>
  <si>
    <t>CAVIEDES OLIVARES ANA MARGARITA</t>
  </si>
  <si>
    <t>CEA MUENA MARIA PAMELA</t>
  </si>
  <si>
    <t>CEA PINO MARICEL CELESTE</t>
  </si>
  <si>
    <t>CELIS SILVA LUIS ALBERTO</t>
  </si>
  <si>
    <t>CERDA ANCAMIL MARIA ISABEL</t>
  </si>
  <si>
    <t>CERDA ARANCIBIA SUSANA ANDREA</t>
  </si>
  <si>
    <t>CERDA GOMEZ CARLOS ENRIQUE</t>
  </si>
  <si>
    <t>CERDA MOLINA LUISA GREGORIA</t>
  </si>
  <si>
    <t>CESPEDES PINCHEIRA VERONICA ALEJANDRA</t>
  </si>
  <si>
    <t>CHAJTUR ZAMUDIO LEYLA MONICA</t>
  </si>
  <si>
    <t>CHAVEZ HERRERA CAROLINA ALEJANDRA</t>
  </si>
  <si>
    <t>CHAVEZ HORMAZABAL MAIRA DANIELA</t>
  </si>
  <si>
    <t>CHUREO PICHUANTE VERONICA SOLANGE</t>
  </si>
  <si>
    <t>CIFELLI LUNA FELIPE ANDRES</t>
  </si>
  <si>
    <t>CLAVERIA CAMBON LUIS ARMANDO</t>
  </si>
  <si>
    <t>CLEMENTI AROCA VICTOR GABRIEL</t>
  </si>
  <si>
    <t>COFRE CATALAN LEONARDO DANIEL</t>
  </si>
  <si>
    <t>COLIL BARRA IRIS DEL CARMEN</t>
  </si>
  <si>
    <t>COLLANTE MORALES FELIPE DEMETRIO</t>
  </si>
  <si>
    <t>CONCHA SILVA MARAT EDUARDO</t>
  </si>
  <si>
    <t>CONCHA TORRES LUIS ANDRE JAVIER</t>
  </si>
  <si>
    <t>CONTRERAS CORREA CARLOS TOMAS</t>
  </si>
  <si>
    <t>CONTRERAS ESCARATE CARLOS URSICINIO</t>
  </si>
  <si>
    <t>CONTRERAS FAUNDEZ MANUEL MAXIMILIANO</t>
  </si>
  <si>
    <t>CONTRERAS GAJARDO CECILIA ANDREA</t>
  </si>
  <si>
    <t>CONTRERAS GAJARDO RIGOBERTO ELEUTERIO</t>
  </si>
  <si>
    <t>CONTRERAS GONZALEZ LUIS CLAUDIO</t>
  </si>
  <si>
    <t>CONTRERAS LIZANA SERGIO AGUSTIN</t>
  </si>
  <si>
    <t>CONTRERAS MUNOZ JOSE LUIS</t>
  </si>
  <si>
    <t>CONTRERAS OYARZO CECILIA PAMELA</t>
  </si>
  <si>
    <t>CONTRERAS SAEZ RICARDO ANTONIO</t>
  </si>
  <si>
    <t>CONTRERAS SEPULVEDA RICARDO DANIEL</t>
  </si>
  <si>
    <t>CONTRERAS SOTO CARMEN LUISA</t>
  </si>
  <si>
    <t>CONTRERAS URBINA VANESA INES</t>
  </si>
  <si>
    <t>CORDERO RIQUELME LEONOR ANDREA</t>
  </si>
  <si>
    <t>CORNEJO GALAZ FRANCISCO ARTURO</t>
  </si>
  <si>
    <t>CORNEJO GARCES HORACIO ANDRES</t>
  </si>
  <si>
    <t>CORNEJO GONZALEZ HERNAN EUGENIO</t>
  </si>
  <si>
    <t>CORNEJO YANEZ SOFIA ALEJANDRA DEL CARMEN</t>
  </si>
  <si>
    <t>CORNES CARES MARCOS ALEXIS</t>
  </si>
  <si>
    <t>CORREA MAULEN LILIBETTE DE LOURDES</t>
  </si>
  <si>
    <t>CORTES DURAN NOEMI ZUGEY</t>
  </si>
  <si>
    <t>CORTES FLORES MONICA ALEJANDRA</t>
  </si>
  <si>
    <t>CORTES HURTADO RICARDO ANDRES</t>
  </si>
  <si>
    <t>CORTES MOROSO DANIELA ESTEFANY</t>
  </si>
  <si>
    <t>CORTES TAPIA JUAN DE DIOS</t>
  </si>
  <si>
    <t>COURBIS CID CAROLINA ANDREA</t>
  </si>
  <si>
    <t>COVARRUBIAS PIZARRO GLORIA YASMIN</t>
  </si>
  <si>
    <t>CRUZ BARRIOS MARIELLA YESSICA</t>
  </si>
  <si>
    <t>CRUZ DIAZ EUGENIO PATRICIO</t>
  </si>
  <si>
    <t>CUBILLOS CASTRO MARIA PAZ</t>
  </si>
  <si>
    <t>CUBILLOS MONTECINO SOLEDAD MARGARITA</t>
  </si>
  <si>
    <t>CUEVAS GALLARDO MARIA LUISA</t>
  </si>
  <si>
    <t>CUEVAS MIRANDA DANIEL ENRIQUE</t>
  </si>
  <si>
    <t>CURIN TRUREO FRANCISCO JAVIER</t>
  </si>
  <si>
    <t>CURIN TRUREO RODRIGO FREDDY</t>
  </si>
  <si>
    <t>CURTZE REYES JOAQUIN EDUARDO</t>
  </si>
  <si>
    <t>DE LA BARRERA GUZMAN GIANINA ANDREA</t>
  </si>
  <si>
    <t>DE LA CERDA LAVIN MARIA ROSARIO</t>
  </si>
  <si>
    <t>DE LA CRUZ ZEPEDA ERIC OCTAVIO</t>
  </si>
  <si>
    <t>DEGERI ORELLANA SILVANA ALEJANDRA</t>
  </si>
  <si>
    <t>DEL CAMPO ESCARATE MARIA VALENTINA</t>
  </si>
  <si>
    <t>DEL CANTO ORTEGA SEBASTIAN FELIPE</t>
  </si>
  <si>
    <t>DEL VILLAR URRA CAROLINA FERNANDA</t>
  </si>
  <si>
    <t>DELGADO CAVIERES JORGE ROBERTO</t>
  </si>
  <si>
    <t>DIAMANTINO IBAR VALERY DENISSE</t>
  </si>
  <si>
    <t>DIAMANTINO ROJAS HECTOR OCTAVIO</t>
  </si>
  <si>
    <t>DIAZ ARELLANO ELISA IGNACIA</t>
  </si>
  <si>
    <t>DIAZ BERTOLI GABRIELA PAOLA</t>
  </si>
  <si>
    <t>DIAZ BUSTAMANTE LISANDRO ALBERTO</t>
  </si>
  <si>
    <t>DIAZ CEPEDA MARIO ERNESTO</t>
  </si>
  <si>
    <t>DIAZ CONTRERAS CAMILO ENRIQUE</t>
  </si>
  <si>
    <t>DIAZ DIAZ BERNARDA DEL CARMEN</t>
  </si>
  <si>
    <t>DIAZ DIAZ MARIA JOSE</t>
  </si>
  <si>
    <t>DIAZ GALINDO MARITZA DE LOURDES</t>
  </si>
  <si>
    <t>DIAZ GONZALEZ MIGUEL ULISES</t>
  </si>
  <si>
    <t>DIAZ GONZALEZ THIARE PAULA</t>
  </si>
  <si>
    <t>DIAZ HENRIQUEZ JACQUELINE DEL CARMEN</t>
  </si>
  <si>
    <t>DIAZ LARA DANIELA ANTONIETA</t>
  </si>
  <si>
    <t>DIAZ MOLINA CLAUDIA ANDREA</t>
  </si>
  <si>
    <t>DIAZ MORALES CAROLINA ESTER</t>
  </si>
  <si>
    <t>DIAZ MUNOZ RENE ORLANDO</t>
  </si>
  <si>
    <t>DIAZ PADILLA RENE ANTONIO</t>
  </si>
  <si>
    <t>DIAZ RIQUELME RODRIGO FERNANDO</t>
  </si>
  <si>
    <t>DIAZ ROZAS SALVADOR FIDEL</t>
  </si>
  <si>
    <t>DIAZ SAAVEDRA MARIA ELENA</t>
  </si>
  <si>
    <t>DOBBS LIZANA JORGE ALEJANDRO</t>
  </si>
  <si>
    <t>DOCMAC CARVAJAL VICTOR SALOMON</t>
  </si>
  <si>
    <t>DOMINGUEZ DIAZ SONIA DEL TRANSITO</t>
  </si>
  <si>
    <t>DONA RIOSECO LESLEY LAUREN</t>
  </si>
  <si>
    <t>DONAS OPAZO ANA MARIA</t>
  </si>
  <si>
    <t>DONAS OPAZO EDUARDO MARIO</t>
  </si>
  <si>
    <t>DONOSO ARAVENA MIGUEL ANGEL</t>
  </si>
  <si>
    <t>DONOSO DONOSO GUSTAVO ANDRES</t>
  </si>
  <si>
    <t>DONOSO GOMIEN MARIA VERONICA</t>
  </si>
  <si>
    <t>DONOSO OYARZUN JAVIER ALEJANDRO</t>
  </si>
  <si>
    <t>DONOSO PAVEZ MARION DEL PILAR</t>
  </si>
  <si>
    <t>DONOSO SILVA GUSTAVO JAVIER</t>
  </si>
  <si>
    <t>DONOSO TOLEDO CARLOS OSVALDO</t>
  </si>
  <si>
    <t>DOUZET JELDRES PABLO ANDRES</t>
  </si>
  <si>
    <t>DROGUETT JARA DENISSE ANDREA DEL CARMEN</t>
  </si>
  <si>
    <t>DURAN CORREA ALICIA ISABEL</t>
  </si>
  <si>
    <t>DURAN LORCA MARIA GEORGINA</t>
  </si>
  <si>
    <t>DURAN MOYA RENATO SALVADOR</t>
  </si>
  <si>
    <t>DURAN PAREDES MARIA JOSEFINA</t>
  </si>
  <si>
    <t>DURAN ROMERO NICOLE DEL CARMEN</t>
  </si>
  <si>
    <t>ECHEVERRIA MIRANDA TAMARA VANESSA</t>
  </si>
  <si>
    <t>ENCINA ARAVENA LUIS ALBERTO</t>
  </si>
  <si>
    <t>ESCOBAR DONOSO ROXANA DE LAS MERCEDES</t>
  </si>
  <si>
    <t>ESCOBAR ZUNIGA CRISTIAN ALEJANDRO</t>
  </si>
  <si>
    <t>ESPARZA CABRERA ANGELO LUIS</t>
  </si>
  <si>
    <t>ESPARZA TEJO JOSE SALVADOR</t>
  </si>
  <si>
    <t>ESPARZA URIBE SERGIO ZACARIAS</t>
  </si>
  <si>
    <t>ESPINDOLA ASTUDILLO JEANETTE DEL CARMEN</t>
  </si>
  <si>
    <t>ESPINDOLA FLORES OCTAVIO HERNAN</t>
  </si>
  <si>
    <t>ESPINDOLA RAMIREZ CRISTIAN FELIPE</t>
  </si>
  <si>
    <t>ESPINOSA CUEVAS MARIA ELISA JULIA</t>
  </si>
  <si>
    <t>ESPINOZA ABRIGO ELISA DEL CARMEN</t>
  </si>
  <si>
    <t>ESPINOZA ESPINOZA DANIEL ALEJANDRO</t>
  </si>
  <si>
    <t>ESPINOZA GONZALEZ JOSE SANTIAGO</t>
  </si>
  <si>
    <t>ESPINOZA PACHECO MARCO ANTONIO</t>
  </si>
  <si>
    <t>ESPINOZA RAMIREZ JUAN CARLOS</t>
  </si>
  <si>
    <t>ESPINOZA VILLANUEVA VERONICA CECILIA</t>
  </si>
  <si>
    <t>ESPOSITO VERA ANDRES ESTEBAN</t>
  </si>
  <si>
    <t>ESTAY ROSALES ISAAC ESTEBAN</t>
  </si>
  <si>
    <t>ESTAY SAEZ ISABEL MARGARITA</t>
  </si>
  <si>
    <t>ESTAY UBILLA CAROLINA ANDREA</t>
  </si>
  <si>
    <t>ESTAY ZORRICUETA DANIELA TERESA DENISSE</t>
  </si>
  <si>
    <t>ESTAY ZORRICUETA RENE EDUARDO FELIPE</t>
  </si>
  <si>
    <t>ESTOLAZA NUNEZ SILVIA DEL CARMEN</t>
  </si>
  <si>
    <t>ESTROZ ESTROZ JUAN CARLOS</t>
  </si>
  <si>
    <t>FACUSE RIVAS SALOMON SEGUNDO</t>
  </si>
  <si>
    <t>FAJARDO LAZO ANGELICA MARIA</t>
  </si>
  <si>
    <t>FARAY FARAY CAROLINA CONSTANZA</t>
  </si>
  <si>
    <t>FARFAN TAPIA SISSI ANGELIQUE</t>
  </si>
  <si>
    <t>FARIAS AGUILERA CLAUDIO DEL CARMEN</t>
  </si>
  <si>
    <t>FARIAS ALARCON SALVADOR AGUSTIN</t>
  </si>
  <si>
    <t>FARIAS GODOY RODRIGO ANDRES</t>
  </si>
  <si>
    <t>FARIAS MARTINEZ FANNY DEL CARMEN</t>
  </si>
  <si>
    <t>FARIAS ORELLANA AGUSTIN FERNANDO</t>
  </si>
  <si>
    <t>FARIAS RETAMAL PATRICIO RAUL</t>
  </si>
  <si>
    <t>FAUNDEZ CASTRO MARIA ANTONIETA</t>
  </si>
  <si>
    <t>FERNANDEZ ALEGRIA ANGEL DORIAN</t>
  </si>
  <si>
    <t>FERNANDEZ ASTORGA MARCO ANTONIO</t>
  </si>
  <si>
    <t>FERNANDEZ GONZALEZ EVELYN BEATRIZ</t>
  </si>
  <si>
    <t>FERNANDEZ GONZALEZ OLGA DEL CARMEN</t>
  </si>
  <si>
    <t>FERNANDEZ ROJAS HECTOR MANUEL</t>
  </si>
  <si>
    <t>FERRADA AEDO CARLOS ALBERTO</t>
  </si>
  <si>
    <t>FERRADA BERNAL JUAN PABLO</t>
  </si>
  <si>
    <t>FERRADA LIENDOR VANESSA GLADYS</t>
  </si>
  <si>
    <t>FERRADA MENDEZ CRISTIAN MARCELO</t>
  </si>
  <si>
    <t>FERREIRA SOLORZA HECTOR ENRIQUE</t>
  </si>
  <si>
    <t>FICA SEPULVEDA SILVANA VIRGINIA</t>
  </si>
  <si>
    <t>FIERRO FIERRO SOLEDAD CRISTINA</t>
  </si>
  <si>
    <t>FIGUEROA BUSTOS HENRICH EUGENIO</t>
  </si>
  <si>
    <t>FIGUEROA FLORES BLANCA MARGARITA</t>
  </si>
  <si>
    <t>FIGUEROA GALVEZ CARMEN ANDREA</t>
  </si>
  <si>
    <t>FIGUEROA GONZALEZ TERESA DEL CARMEN</t>
  </si>
  <si>
    <t>FIGUEROA LOPEZ ELIANA DE LAS MERCEDES</t>
  </si>
  <si>
    <t>FIGUEROA MUNOZ ROBERTO ENRIQUE</t>
  </si>
  <si>
    <t>FIGUEROA VIDELA DANIELA ALEJANDRA</t>
  </si>
  <si>
    <t>FISCHER ROJAS ALICIA ORIANA</t>
  </si>
  <si>
    <t>FLORES ACEVEDO LUIS ALBERTO</t>
  </si>
  <si>
    <t>FLORES CALDERON CORINA ANDREA</t>
  </si>
  <si>
    <t>FLORES CIFUENTES HUGO FERNANDO</t>
  </si>
  <si>
    <t>FLORES CIFUENTES OSCAR ANTONIO</t>
  </si>
  <si>
    <t>FLORES CONTRERAS GERMAN ANTONIO</t>
  </si>
  <si>
    <t>FLORES CONTRERAS GUILLERMO DOMINGO</t>
  </si>
  <si>
    <t>FLORES DONAS ROBERTO ENRIQUE</t>
  </si>
  <si>
    <t>FLORES FERNANDEZ ANGELICA MARIA</t>
  </si>
  <si>
    <t>FLORES HUICHAHUALA MAGALY NATIVIDAD</t>
  </si>
  <si>
    <t>FLORES RETAMAL VERONICA CONSUELO</t>
  </si>
  <si>
    <t>FLORES REYES NELSON OSVALDO</t>
  </si>
  <si>
    <t>FLORES ROSALES JOSE NOLBERTO</t>
  </si>
  <si>
    <t>FLORES ROSALES JUAN CARLOS</t>
  </si>
  <si>
    <t>FLORES SILVA MARIA TRINIDAD</t>
  </si>
  <si>
    <t>FLORES VARAS SERGIO RODRIGO</t>
  </si>
  <si>
    <t>FLORES ZALDUONDO GABY MARIANA</t>
  </si>
  <si>
    <t>FRANCESCONI ARAVENA RICARDO ANTONIO</t>
  </si>
  <si>
    <t>FRIAS SAAVEDRA LUIS ANDRES</t>
  </si>
  <si>
    <t>FRIEDMAN RAFAEL JORGE RICARDO</t>
  </si>
  <si>
    <t>FRITZCHMANN SANCHEZ FELIPE DANIEL</t>
  </si>
  <si>
    <t>FUENTE ZUNIGA JESSENIA ANDREA</t>
  </si>
  <si>
    <t>FUENTEALBA PAREDES IVONNE ODETTE</t>
  </si>
  <si>
    <t>FUENTES ASPEE JESSENIA DEL CARMEN</t>
  </si>
  <si>
    <t>FUENTES BRAVO FELIPE ANDRES</t>
  </si>
  <si>
    <t>FUENTES COELLO LUIS PATRICIO</t>
  </si>
  <si>
    <t>FUENTES FIGUEROA MARCELO RODRIGO</t>
  </si>
  <si>
    <t>FUENTES FUENTEALBA FERNANDA MACARENA</t>
  </si>
  <si>
    <t>FUENTES LLANCANIR ARACELLY CONSTANZA</t>
  </si>
  <si>
    <t>FUENTES MANSILLA GLORIA SOLEDAD</t>
  </si>
  <si>
    <t>FUENTES MARAMBIO ROSA ESTER</t>
  </si>
  <si>
    <t>FUENTES MENDEZ MARIA ANGELICA</t>
  </si>
  <si>
    <t>FUENTES MERINO LEONARDO ENRIQUE</t>
  </si>
  <si>
    <t>FUENTES OLIVARES ROXANA DEL PILAR</t>
  </si>
  <si>
    <t>FUENTES PEZOA CLAUDIA ALEJANDRA</t>
  </si>
  <si>
    <t>FUENTES ROJAS ELIZABETH SARAY</t>
  </si>
  <si>
    <t>FUENTES SAEZ MARCO ANTONIO</t>
  </si>
  <si>
    <t>FUENTES SALDIAS ANGELICA CRISTINA</t>
  </si>
  <si>
    <t>FUENTES SALDIAS PEDRO LUIS</t>
  </si>
  <si>
    <t>FUENTES VENEGAS JULIO CESAR</t>
  </si>
  <si>
    <t>FUENTES WEBER MELISA MARIA</t>
  </si>
  <si>
    <t>FUENZALIDA CARRENO CARLOS CLAUDIO</t>
  </si>
  <si>
    <t>FUENZALIDA DONOSO LUCINDA DEL CARMEN</t>
  </si>
  <si>
    <t>GAETE HERNANDEZ SERGIO FRANCISCO</t>
  </si>
  <si>
    <t>GAETE NEIRA CAMILA</t>
  </si>
  <si>
    <t>GALARCE DENNINGER ANTONELLA ROBERTA</t>
  </si>
  <si>
    <t>GALARCE FERNANDEZ EDUARDO ARSENIO</t>
  </si>
  <si>
    <t>GALAZ BECERRA JAIME ENRIQUE</t>
  </si>
  <si>
    <t>GALAZ LOYOLA PAMELA VERONICA</t>
  </si>
  <si>
    <t>GALAZ MANCILLA MARIELA ALEJANDRA</t>
  </si>
  <si>
    <t>GALINDO AREVALO ELENA MARGARITA</t>
  </si>
  <si>
    <t>GALLARDO LILLO DELFIN SEGUNDO</t>
  </si>
  <si>
    <t>GALLARDO RAMIREZ MYRIAM JUANA</t>
  </si>
  <si>
    <t>GALLARDO ROULIEZ DANIELA SANDRA</t>
  </si>
  <si>
    <t>GALLERO PARDO PATRICIA REGINA</t>
  </si>
  <si>
    <t>GAMBOA MONSALVE GRACIELA ANDREA</t>
  </si>
  <si>
    <t>GAMBOA MONTINO ANA MARIA</t>
  </si>
  <si>
    <t>GAMBOA SILVA CLAUDIA ANDREA</t>
  </si>
  <si>
    <t>GAONA REYDET NICOLAS JOSE</t>
  </si>
  <si>
    <t>GARATE MILLAN KATHERINE JUDITH</t>
  </si>
  <si>
    <t>GARAY VALENZUELA ANGELA DEL PILAR</t>
  </si>
  <si>
    <t>GARCIA CALDERON ELISA AURORA</t>
  </si>
  <si>
    <t>GARCIA FLORES JESUS NOLBERTO</t>
  </si>
  <si>
    <t>GARCIA LOPEZ CAMILA MARGARITA</t>
  </si>
  <si>
    <t>GARCIA MESINA LISETTE</t>
  </si>
  <si>
    <t>GARCIA MORA JORGE ALFREDO</t>
  </si>
  <si>
    <t>GARCIA VILLALOBOS CAROLINA ANDREA</t>
  </si>
  <si>
    <t>GARRAO VIELMA OLGA ALEJANDRA</t>
  </si>
  <si>
    <t>GARRIDO CIFUENTES FERMIN ARTURO</t>
  </si>
  <si>
    <t>GARRIDO GARRIDO GLORIA DEL CARMEN</t>
  </si>
  <si>
    <t>GARRIDO PONCE ANDREA  VERONICA</t>
  </si>
  <si>
    <t>GATICA MUNOZ FRANCISCA JOSE</t>
  </si>
  <si>
    <t>GATICA UTEAU NANCY MONICA</t>
  </si>
  <si>
    <t>GILLES VIAL INES DEL CARMEN</t>
  </si>
  <si>
    <t>GODOY BRAVO EXEQUIEL EUGENIO</t>
  </si>
  <si>
    <t>GODOY VARAS VERONICA ANDREA</t>
  </si>
  <si>
    <t>GOMEZ ALFARO GISSELLA ANDREA</t>
  </si>
  <si>
    <t>GOMEZ CERDA ESTEBAN SEGUNDO</t>
  </si>
  <si>
    <t>GOMEZ RIVERO PAULINA DEL CARMEN</t>
  </si>
  <si>
    <t>GONZALEZ AGUAYO VICTOR MANUEL</t>
  </si>
  <si>
    <t>GONZALEZ AVILA JORGE LUIS</t>
  </si>
  <si>
    <t>GONZALEZ BRAVO SERGIO SEGUNDO</t>
  </si>
  <si>
    <t>GONZALEZ CAAMANO BASTIAN ARIEL</t>
  </si>
  <si>
    <t>GONZALEZ CANDIA JULIO CESAR</t>
  </si>
  <si>
    <t>GONZALEZ CHIA ADENS ALEXANDRA</t>
  </si>
  <si>
    <t>GONZALEZ FAUNDEZ MARIO JOSE</t>
  </si>
  <si>
    <t>GONZALEZ FERNANDEZ PAOLA ANDREA</t>
  </si>
  <si>
    <t>GONZALEZ FLORES JESSICA ALEJANDRA</t>
  </si>
  <si>
    <t>GONZALEZ GALAZ ALEJANDRA HUMILDE</t>
  </si>
  <si>
    <t>GONZALEZ GALAZ CESAR IVAN</t>
  </si>
  <si>
    <t>GONZALEZ GALLO SARA PATRICIA</t>
  </si>
  <si>
    <t>GONZALEZ HERNANDEZ GLORIA ANGELICA</t>
  </si>
  <si>
    <t>GONZALEZ MALDONADO PAULINA ALEJANDRA</t>
  </si>
  <si>
    <t>GONZALEZ MAULEN PATRICIA LINA DEL CARMEN</t>
  </si>
  <si>
    <t>GONZALEZ MEJIAS PAOLA SOLEDAD</t>
  </si>
  <si>
    <t>GONZALEZ MIRANDA JORGE ANDRES</t>
  </si>
  <si>
    <t>GONZALEZ NEIRA JUAN ALFREDO</t>
  </si>
  <si>
    <t>GONZALEZ OGAZ DANIELA KARINA</t>
  </si>
  <si>
    <t>GONZALEZ PIZARRO XIMENA EUGENIA</t>
  </si>
  <si>
    <t>GONZALEZ POBLETE MAGALY ANDREA</t>
  </si>
  <si>
    <t>GONZALEZ REVECO YENNY MARGARITA</t>
  </si>
  <si>
    <t>GONZALEZ REYES VICTOR EUGENIO</t>
  </si>
  <si>
    <t>GONZALEZ RIQUELME ARTURO SEGUNDO</t>
  </si>
  <si>
    <t>GONZALEZ SALINAS ARTURO EDGARDO</t>
  </si>
  <si>
    <t>GONZALEZ SANTANA MARIA ANTONIETA</t>
  </si>
  <si>
    <t>GONZALEZ SANTANDER NATALIA INES</t>
  </si>
  <si>
    <t>GONZALEZ SARAVIA ALEJANDRA CRISTINA</t>
  </si>
  <si>
    <t>GONZALEZ SEPULVEDA SANDRA PATRICIA</t>
  </si>
  <si>
    <t>GONZALEZ VELASQUEZ CATHERINE XIMENA</t>
  </si>
  <si>
    <t>GUAJARDO SANCHEZ SOLANGE ALEJANDRA</t>
  </si>
  <si>
    <t>GUERRA CESPEDES PATRICIA GERALDINE</t>
  </si>
  <si>
    <t>GUERRA HERRERA PAULA GEMITA</t>
  </si>
  <si>
    <t>GUERRERO COFRE BRYAN EDUARDO</t>
  </si>
  <si>
    <t>GUERRERO VEGA MARCOS ANTONIO</t>
  </si>
  <si>
    <t>GUEVARA RUIZ FERNANDO</t>
  </si>
  <si>
    <t>GUINEZ DIAZ SANDRA DE LAS MERCEDES</t>
  </si>
  <si>
    <t>GUMERA CALDERON MARIA SOLEDAD</t>
  </si>
  <si>
    <t>GUTIERREZ ACOSTA JUAN GUILLERMO</t>
  </si>
  <si>
    <t>GUTIERREZ ADASME MIREYA DEL PILAR</t>
  </si>
  <si>
    <t>GUTIERREZ CARRASCO JUAN CARLOS</t>
  </si>
  <si>
    <t>GUTIERREZ CARRASCO MIGUEL ANGEL</t>
  </si>
  <si>
    <t>GUTIERREZ FERNANDEZ JOSE LUIS</t>
  </si>
  <si>
    <t>GUTIERREZ GALDAMEZ WILSON MANUEL</t>
  </si>
  <si>
    <t>GUTIERREZ MOLINA RAMON SEGUNDO</t>
  </si>
  <si>
    <t>GUTIERREZ TOLOZA FRANCIA JACQUELINE</t>
  </si>
  <si>
    <t>GUTIERREZ YANEZ JOSE MATIAS</t>
  </si>
  <si>
    <t>GUZMAN DELGADO PAULINA ALEJANDRA</t>
  </si>
  <si>
    <t>HANDSCHUH ABARCA CAROLINA STEFANY</t>
  </si>
  <si>
    <t>HAUSDORF STEGER MARIA LUISA</t>
  </si>
  <si>
    <t>HENRIQUEZ CAAMANO PAZ DANIELA</t>
  </si>
  <si>
    <t>HENRIQUEZ GORDONIZ GABRIEL EDUARDO</t>
  </si>
  <si>
    <t>HENRIQUEZ MIRANDA HERNAN ROBERTO</t>
  </si>
  <si>
    <t>HENRIQUEZ PENEIPIL FRANCISCO JAVIER</t>
  </si>
  <si>
    <t>HERMOSILLA PINO JESUS ALBERTO</t>
  </si>
  <si>
    <t>HERNANDEZ BERNAL NATALIA SOLEDAD</t>
  </si>
  <si>
    <t>HERNANDEZ CATRILAO ANGELA DEL PILAR</t>
  </si>
  <si>
    <t>HERNANDEZ CONTRERAS JOSE RAMON</t>
  </si>
  <si>
    <t>HERNANDEZ CONTRERAS LUIS EMILIO</t>
  </si>
  <si>
    <t>HERNANDEZ HERNANDEZ JUAN ALEJANDRO</t>
  </si>
  <si>
    <t>HERNANDEZ LAGOS CLAUDIO ANTONIO</t>
  </si>
  <si>
    <t>HERNANDEZ MANSILLA MARCELA EDITH</t>
  </si>
  <si>
    <t>HERNANDEZ VALENZUELA FABIOLA CRISTINA</t>
  </si>
  <si>
    <t>HERNANDEZ VIDAL GLORIA DEL CARMEN</t>
  </si>
  <si>
    <t>HERRERA AMARO DANIEL ALEJANDRO</t>
  </si>
  <si>
    <t>HERRERA DIAZ JUAN JOSE</t>
  </si>
  <si>
    <t>HERRERA DONOSO ARTURO JACINTO</t>
  </si>
  <si>
    <t>HERRERA VALENZUELA VIRGINIA EDUVIGIS</t>
  </si>
  <si>
    <t>HEVIA TAPIA JOSE MANUEL</t>
  </si>
  <si>
    <t>HIDALGO HORMAZABAL CLAUDIA ANDREA</t>
  </si>
  <si>
    <t>HIDALGO PEREZ PAULINA ELIANA</t>
  </si>
  <si>
    <t>HIDALGO SEPULVEDA LUCIANO</t>
  </si>
  <si>
    <t>HINOJOSA ARAYA JOSE MOISES</t>
  </si>
  <si>
    <t>HINOJOSA CONTRERAS MARIA ELIZABETH</t>
  </si>
  <si>
    <t>HINOJOSA RAMIREZ ELIZABETH DE LAS MERCEDES</t>
  </si>
  <si>
    <t>HUECHE MARTIN RENE OMAR</t>
  </si>
  <si>
    <t>HUENCHULEO ROJAS FRANCISCA ANDREA</t>
  </si>
  <si>
    <t>HUENUQUEO FERRADA JOSE MANUEL</t>
  </si>
  <si>
    <t>HUENUQUEO MALLEO CESAR IVAN</t>
  </si>
  <si>
    <t>HUENUQUEO MALLEO JOSE AMBROSIO</t>
  </si>
  <si>
    <t>HUERTA GATICA RODRIGO HERNAN</t>
  </si>
  <si>
    <t>HUERTA PAVEZ HUGO ANTONIO</t>
  </si>
  <si>
    <t>HUERTA SERRANO SABINA KARINA</t>
  </si>
  <si>
    <t>HURTADO QUINONES ANDREA</t>
  </si>
  <si>
    <t>IBARRA ACOSTA LORENA PAZ</t>
  </si>
  <si>
    <t>IBARRA GOMEZ RAMON EDGARDO</t>
  </si>
  <si>
    <t>ILABACA ALVEAR RICARDO ENRIQUE</t>
  </si>
  <si>
    <t>INFANTE PINTO TRINIDAD</t>
  </si>
  <si>
    <t>INOSTROZA LAGOS MONICA PAZ</t>
  </si>
  <si>
    <t>INOSTROZA MARTINEZ HERMINIA AMADA</t>
  </si>
  <si>
    <t>INOSTROZA SEPULVEDA ERIKA DEL CARMEN</t>
  </si>
  <si>
    <t>INOSTROZA TOBAR SARA RAQUEL</t>
  </si>
  <si>
    <t>INOSTROZA VEGA KARINA DEL ROSARIO</t>
  </si>
  <si>
    <t>IRIBARREN MANRIQUEZ ISA MILEN</t>
  </si>
  <si>
    <t>IRIGOYEN INFANTE DANIELA ANDREA</t>
  </si>
  <si>
    <t>ISLA RODRIGUEZ FERNANDO HUMBERTO</t>
  </si>
  <si>
    <t>ITURBE ARAYA JUAN IGNACIO</t>
  </si>
  <si>
    <t>ITURRIAGA CASTRO ALEXEI ANTONIO</t>
  </si>
  <si>
    <t>JAQUE ANDRADE MARIA JOSE</t>
  </si>
  <si>
    <t>JAQUE JARA SERGIO MAURICIO</t>
  </si>
  <si>
    <t>JAQUE PINTO HECTOR ANTONIO</t>
  </si>
  <si>
    <t>JARA AREVALO PATRICIA GEMA</t>
  </si>
  <si>
    <t>JARA BARRA PAULA ANDREA</t>
  </si>
  <si>
    <t>JARA MIRANDA FERNANDO</t>
  </si>
  <si>
    <t>JARA TOBAR ANGEL ANTONIO</t>
  </si>
  <si>
    <t>JEREZ NUNEZ ROCIO SALOME</t>
  </si>
  <si>
    <t>JEREZ SILVA PATRICIA EUGENIA</t>
  </si>
  <si>
    <t>JIMENEZ BADARACCO JAVIER IGNACIO</t>
  </si>
  <si>
    <t>JIMENEZ MEDINA ARIEL EDUARDO</t>
  </si>
  <si>
    <t>JIMENEZ MEDINA WILSON RICARDO</t>
  </si>
  <si>
    <t>JIMENEZ MUNOZ CARLOS ALBERTO</t>
  </si>
  <si>
    <t>JIMENEZ RAMIREZ JAIME ANTONIO</t>
  </si>
  <si>
    <t>JOFRE DOEPKING GABRIEL RODRIGO</t>
  </si>
  <si>
    <t>JOHNSON RODRIGUEZ CAROL EVY</t>
  </si>
  <si>
    <t>JONES HONORATO ALBERTO ALFREDO</t>
  </si>
  <si>
    <t>JOO OLIVARES SUI-YING KAREN</t>
  </si>
  <si>
    <t>JOPIA ZAVALA VALERIA ANDREA</t>
  </si>
  <si>
    <t>JORQUERA HIDALGO ANTONIO IVAN</t>
  </si>
  <si>
    <t>KLEIN BONACICH ROSA ELENA</t>
  </si>
  <si>
    <t>KLEIN GRUN ENRIQUETA BIANCA</t>
  </si>
  <si>
    <t>KOHL CRUCES HERMAN RICARDO</t>
  </si>
  <si>
    <t>KUHNE COVARRUBIAS WALTER RICHARD</t>
  </si>
  <si>
    <t>LABRA DIAZ SEBASTIAN BENJAMIN</t>
  </si>
  <si>
    <t>LABRA FARIAS BERNARDITA DEL CARMEN</t>
  </si>
  <si>
    <t>LABRIN VALENZUELA ROMINA FERNANDA</t>
  </si>
  <si>
    <t>LAGOS PAREDES LUIS FERNANDO</t>
  </si>
  <si>
    <t>LAMPE CAMPOS MARTA PATRICIA</t>
  </si>
  <si>
    <t>LARENAS FARIAS DANILO RENE</t>
  </si>
  <si>
    <t>LARENAS MERA EVELYN BELEN</t>
  </si>
  <si>
    <t>LARENAS MEZA LUIS HUMBERTO</t>
  </si>
  <si>
    <t>LARRAGUIBEL FLORES PATRICIA INES</t>
  </si>
  <si>
    <t>LASTRA PINO FANNY MARGARITA</t>
  </si>
  <si>
    <t>LASTRA ROJAS JULIA EMA</t>
  </si>
  <si>
    <t>LAZO ALFARO JUAN CARLOS</t>
  </si>
  <si>
    <t>LAZO VASQUEZ CARMEN ALEJANDRINA</t>
  </si>
  <si>
    <t>LECAROS DURAN PAMELA ANDREA</t>
  </si>
  <si>
    <t>LEDEZMA URTUBIA GERMAN ANDRES</t>
  </si>
  <si>
    <t>LEGUE DONOSO RODRIGO ANDRES</t>
  </si>
  <si>
    <t>LEIVA CARVAJAL MARIA ELIANA</t>
  </si>
  <si>
    <t>LEIVA DURAN PAULA VERONICA</t>
  </si>
  <si>
    <t>LEIVA GONZALEZ ESTEFANI EMILIA</t>
  </si>
  <si>
    <t>LEIVA ORELLANA ANA MARIA</t>
  </si>
  <si>
    <t>LEIVA ORTIZ JOSE MIGUEL ANGEL</t>
  </si>
  <si>
    <t>LEIVA PINTO EDUARDO ESTEBAN</t>
  </si>
  <si>
    <t>LEIVA VILCHES HECTOR JUAN</t>
  </si>
  <si>
    <t>LEMA COLECCHIO MARIA PAZ</t>
  </si>
  <si>
    <t>LEON FLORES CARLO ANDRE</t>
  </si>
  <si>
    <t>LEON PARDO YOLANDA</t>
  </si>
  <si>
    <t>LEWINSOHN CASTRO CLAUDIA LORENA</t>
  </si>
  <si>
    <t>LEYTON CASTILLO MIRTA INES</t>
  </si>
  <si>
    <t>LEYTON PARDO LUISA VALERIA</t>
  </si>
  <si>
    <t>LEYTON SALDANA ROSA OLIVIA</t>
  </si>
  <si>
    <t>LEYTON SILVA LUCIANO DE LA CRUZ</t>
  </si>
  <si>
    <t>LEYTON SILVA LUCIANO SEBASTIAN</t>
  </si>
  <si>
    <t>LIENDO GONZALEZ CATHERINE GISELLE</t>
  </si>
  <si>
    <t>LILLO MELLADO LAURA AMANDINA</t>
  </si>
  <si>
    <t>LILLO VENEGAS NELSON OMAR</t>
  </si>
  <si>
    <t>LINCOVILO GARCIA ANDREA ISABEL</t>
  </si>
  <si>
    <t>LIRA CORDINI EDUARDO EUGENIO</t>
  </si>
  <si>
    <t>LISBOA BANDA CECILIA</t>
  </si>
  <si>
    <t>LISBOA ZUNIGA JEOVANNA DEL CARMEN</t>
  </si>
  <si>
    <t>LIZANA VALDES JUAN CARLOS</t>
  </si>
  <si>
    <t>LLABRES SOLIS ROMINA THALIA</t>
  </si>
  <si>
    <t>LLANOS BARRERA CHRISTIAN ALEXIS</t>
  </si>
  <si>
    <t>LLANTEN GONZALEZ MIGUELINA DEL CARMEN</t>
  </si>
  <si>
    <t>LLOPIS MEDINA DIEGO FABIAN</t>
  </si>
  <si>
    <t>LLORENS SEPULVEDA MARCELO GUSTAVO</t>
  </si>
  <si>
    <t>LOPEZ BAZAES JORGE ISMAEL</t>
  </si>
  <si>
    <t>LOPEZ BRAVO KATHERINNE PAOLA</t>
  </si>
  <si>
    <t>LOPEZ CORTES ELIZABETH YOLANDA</t>
  </si>
  <si>
    <t>LOPEZ GONZALEZ ROBERTO LUIS</t>
  </si>
  <si>
    <t>LOPEZ GUERRERO HUMBERTO FRANCISCO</t>
  </si>
  <si>
    <t>LOPEZ GUZMAN ARIEL ENRIQUE</t>
  </si>
  <si>
    <t>LOPEZ LOPEZ LEONARDO ANDRES</t>
  </si>
  <si>
    <t>LOPEZ MANSILLA DIANA IVONNE</t>
  </si>
  <si>
    <t>LOPEZ RUBIO ZUNILDA PAOLA</t>
  </si>
  <si>
    <t>LOPEZ TAPIA MAURICIO CRISTOPHER</t>
  </si>
  <si>
    <t>LOPEZ URREJOLA PAOLA ANGELICA</t>
  </si>
  <si>
    <t>LOPEZ VALDAMBRINI LEONARDO</t>
  </si>
  <si>
    <t>LUCERO CARO CARLA DEL PILAR</t>
  </si>
  <si>
    <t>LUCERO NUNEZ JOSE MIGUEL</t>
  </si>
  <si>
    <t>LUNA FEIFEL ALEXANDRA ESTER</t>
  </si>
  <si>
    <t>LUNA MAGUIDA JUAN ANDRES</t>
  </si>
  <si>
    <t>LUNA MARTINEZ BRIAN AMADEUS</t>
  </si>
  <si>
    <t>LUQUE OLATE CLAUDIA ELIANA</t>
  </si>
  <si>
    <t>MACHUCA ARRIAGADA MAGALY DEL CARMEN</t>
  </si>
  <si>
    <t>MACHUCA PARRA PRISCILA MARGARITA</t>
  </si>
  <si>
    <t>MADARIAGA VENEGAS TAMARA PATRICIA</t>
  </si>
  <si>
    <t>MADRID CORTES JUAN ANTONIO</t>
  </si>
  <si>
    <t>MADRID MUNOZ GRACIELA MARIA</t>
  </si>
  <si>
    <t>MAGNA GARRIDO ANA MICAELA</t>
  </si>
  <si>
    <t>MALDONADO ALVARADO VIVIANA ALEJANDRA</t>
  </si>
  <si>
    <t>MALDONADO HERMOSILLA JESSICA DANIELA</t>
  </si>
  <si>
    <t>MANCILLA CANETE DANITZA</t>
  </si>
  <si>
    <t>MANCILLA TAPIA GABRIELA BERNARDITA MARIA</t>
  </si>
  <si>
    <t>MANDIOLA GRECCO DIEGO CRISTOBAL</t>
  </si>
  <si>
    <t>MANOSALVA GONZALEZ ROBERTO JULIAN</t>
  </si>
  <si>
    <t>MANSILLA NUNEZ DAMIAN RIGOBERTO</t>
  </si>
  <si>
    <t>MARABOLI HORMAZABAL YASNA DEL CARMEN</t>
  </si>
  <si>
    <t>MARCHANT ARCE JUAN ANTONIO</t>
  </si>
  <si>
    <t>MARCHANT SALINAS CARLOS ALBERTO</t>
  </si>
  <si>
    <t>MARCOLETA HEVIA RAUL ERASMO DEL CARMEN</t>
  </si>
  <si>
    <t>MARCOLETA OLLER MONSERRAT DE LOS ANGELES</t>
  </si>
  <si>
    <t>MARDONES CABRERA PEDRO NOLASCO</t>
  </si>
  <si>
    <t>MARDONES CAROCCA ERNESTO DHALMAR</t>
  </si>
  <si>
    <t>MARDONES GOMEZ NATALIA VALESKA</t>
  </si>
  <si>
    <t>MARIN TOLEDO ROSA ELIZABETH</t>
  </si>
  <si>
    <t>MARSCHHAUSEN OGALDE MARIO ANTONIO</t>
  </si>
  <si>
    <t>MARTINEZ HERRERA CARLOS MANUEL</t>
  </si>
  <si>
    <t>MARTINEZ MARTINEZ GABRIEL ALEJANDRO</t>
  </si>
  <si>
    <t>MARTINEZ NAVIA ALEJANDRO IVAN</t>
  </si>
  <si>
    <t>MARTINEZ PEREZ CLODOMIRA DE LAS MERCEDES</t>
  </si>
  <si>
    <t>MARTINEZ RUBIO LUIS ALBERTO</t>
  </si>
  <si>
    <t>MARTINEZ SALINAS JOSE LUIS</t>
  </si>
  <si>
    <t>MARTINEZ TAPIA HERMAN GUSTAVO</t>
  </si>
  <si>
    <t>MATSUMOTO JIMENEZ MABEL DEL CARMEN</t>
  </si>
  <si>
    <t>MATTA BECERRA GLORIA ANDREA</t>
  </si>
  <si>
    <t>MATURANA CASTILLO DANIELA CECILIA</t>
  </si>
  <si>
    <t>MATURANA ZENTENO MARIA SOLEDAD</t>
  </si>
  <si>
    <t>MATUS ARANEDA JUAN DANIEL</t>
  </si>
  <si>
    <t>MATUS PEREZ OMAR EVARISTO</t>
  </si>
  <si>
    <t>MATUS VALENZUELA FELIPE GONZALO</t>
  </si>
  <si>
    <t>MATUS VARGAS CRISTOFER ANTONIO</t>
  </si>
  <si>
    <t>MAULEN MANRIQUEZ JOSELYN ANDREA</t>
  </si>
  <si>
    <t>MAYO AVILA SILVINA MARLENE</t>
  </si>
  <si>
    <t>MEDEL QUILODRAN PABLO PATRICIO</t>
  </si>
  <si>
    <t>MEDINA ALVAREZ GIOVANNI ALEXIS</t>
  </si>
  <si>
    <t>MEDINA GONZALEZ JOSE EUGENIO</t>
  </si>
  <si>
    <t>MEDINA GONZALEZ MARIA JAVIERA</t>
  </si>
  <si>
    <t>MEDRANO SOTO CARLOS CESAR</t>
  </si>
  <si>
    <t>MELENDEZ LEIVA JUAN SOFANOL</t>
  </si>
  <si>
    <t>MELLA POLANCO JUAN MARCELO</t>
  </si>
  <si>
    <t>MELLADO CHACON RUTH ELIANA</t>
  </si>
  <si>
    <t>MENA AMACHE YANELA MAKARENA</t>
  </si>
  <si>
    <t>MENANTEAU ARAVENA ALVARO EDUARDO</t>
  </si>
  <si>
    <t>MENARES BUSTAMANTE FRANCISCO JAVIER</t>
  </si>
  <si>
    <t>MENDEZ LOPEZ JORGE LUIS</t>
  </si>
  <si>
    <t>MENDEZ ZAPATA LUIS ALBERTO</t>
  </si>
  <si>
    <t>MENDOZA EGUILUZ MANUEL FIDEL</t>
  </si>
  <si>
    <t>MENDOZA EGUILUZ MARIO ENRIQUE</t>
  </si>
  <si>
    <t>MENDOZA ESPINOLA LEONORA SOFIA</t>
  </si>
  <si>
    <t>MENDOZA GUIDOTTI YEAN MARY</t>
  </si>
  <si>
    <t>MENDOZA MENDOZA ROSITA NATALIA</t>
  </si>
  <si>
    <t>MENESES ZAMBRANO EDITH MAGALY</t>
  </si>
  <si>
    <t>MENESES ZAMBRANO SARA ROSA</t>
  </si>
  <si>
    <t>MERINO MERINO LESLIE GIANINNA</t>
  </si>
  <si>
    <t>MERINO ORELLANA MURIEL FRANCISCA</t>
  </si>
  <si>
    <t>MESA ROZAS PAOLA ANGELICA</t>
  </si>
  <si>
    <t>MESSINA CARRASCO GLORIA DEL CARMEN</t>
  </si>
  <si>
    <t>MESSINA CARRASCO VERONICA DEL PILAR</t>
  </si>
  <si>
    <t>MEZA INFANTE HECTOR HUGO</t>
  </si>
  <si>
    <t>MEZA LAGOS MANUEL ANTONIO</t>
  </si>
  <si>
    <t>MEZA VERGARA ANDREA LORENA</t>
  </si>
  <si>
    <t>MICHEL ARAYA FABIOLA IVETTE</t>
  </si>
  <si>
    <t>MILLANAO RIQUELME RICARDO ALFONSO</t>
  </si>
  <si>
    <t>MINAY OLIVARES MARCELO IVAN</t>
  </si>
  <si>
    <t>MIRALLES GONZALEZ LORENA</t>
  </si>
  <si>
    <t>MIRANDA AGUILERA ROXANA ESTEFANIA</t>
  </si>
  <si>
    <t>MIRANDA MIRANDA MYRTHA CAROLINA</t>
  </si>
  <si>
    <t>MIRANDA MORTTON CHRISTIAN HENRY</t>
  </si>
  <si>
    <t>MIRANDA NILIAN DAGOBERTO</t>
  </si>
  <si>
    <t>MIRANDA PIZARRO GLADYS REBECA</t>
  </si>
  <si>
    <t>MIRANDA PORRAS ALDO ANDRES</t>
  </si>
  <si>
    <t>MIRANDA REYES FRANCISCA</t>
  </si>
  <si>
    <t>MIRIC NAVARRO DAVOR</t>
  </si>
  <si>
    <t>MOLINA CONTRERAS CARMEN LUZ</t>
  </si>
  <si>
    <t>MOLINA GARRIDO JOSE FRANCISCO</t>
  </si>
  <si>
    <t>MOLINA MILMAN HELIA AGUEDA</t>
  </si>
  <si>
    <t>MOLINA SEPULVEDA JOSE ROBERTO</t>
  </si>
  <si>
    <t>MOLINA URRA ALEX ENRIQUE</t>
  </si>
  <si>
    <t>MOLINA VILLALOBOS FRANCIA DEL PILAR</t>
  </si>
  <si>
    <t>MONASTERIO MAGNAN LEONOR JULIA</t>
  </si>
  <si>
    <t>MONDACA FUENTES MANUEL IVAN</t>
  </si>
  <si>
    <t>MONDACA MONDACA CESAR MANUEL</t>
  </si>
  <si>
    <t>MONDELO DUHALDE DORA OBDULIA DEL CARMEN</t>
  </si>
  <si>
    <t>MONTECINO SANDOVAL JORGE ROBERTO</t>
  </si>
  <si>
    <t>MONTECINOS ASTROZA JONATHAN KEVIN</t>
  </si>
  <si>
    <t>MONTECINOS ESPINOZA EGOR MARCOS</t>
  </si>
  <si>
    <t>MONTERO SILVA RICARDO VALENTIN</t>
  </si>
  <si>
    <t>MORA ALBORNOZ PABLO ANTONIO</t>
  </si>
  <si>
    <t>MORA CANCINO VICTOR MAURICIO</t>
  </si>
  <si>
    <t>MORA CHACON ELIZABETH XIMENA</t>
  </si>
  <si>
    <t>MORAGA ESPINOZA ANA PAULINA</t>
  </si>
  <si>
    <t>MORAGA ESPINOZA DAVID ROBINSON</t>
  </si>
  <si>
    <t>MORALES CARRIEL MAURICIO EXEQUIEL</t>
  </si>
  <si>
    <t>MORALES MORA JEANNETTE DEL CARMEN</t>
  </si>
  <si>
    <t>MORALES MORALES HECTOR DANILO</t>
  </si>
  <si>
    <t>MORALES MUNOZ BERNARDO ENRIQUE</t>
  </si>
  <si>
    <t>MORALES RAMIREZ ANGELICA DEL PILAR</t>
  </si>
  <si>
    <t>MORALES REYES CRISTINA FABIOLA</t>
  </si>
  <si>
    <t>MORALES RIVERA MIRIAM DEL CARMEN</t>
  </si>
  <si>
    <t>MORALES ROZAS CLAUDIA CORINA</t>
  </si>
  <si>
    <t>MOREIRA VALDES PATRICIO LUCIANO</t>
  </si>
  <si>
    <t>MORENO SOTO FRANCISCO JAVIER</t>
  </si>
  <si>
    <t>MORGADO CARRASCO ROBERTO ANTONIO</t>
  </si>
  <si>
    <t>MORY FARIAS MANUEL ESTEBAN</t>
  </si>
  <si>
    <t>MOYA CAMPOS ENRIQUE</t>
  </si>
  <si>
    <t>MOYA MARTINEZ RAFAEL ANDRES</t>
  </si>
  <si>
    <t>MULLENDORFF ARAYA MARGARITA HILDEGARDE</t>
  </si>
  <si>
    <t>MULLER GOMEZ SILVIA PATRICIA</t>
  </si>
  <si>
    <t>MUNDACA VERDUGO EDITH YESENIA</t>
  </si>
  <si>
    <t>MUNOZ ACUNA PAQUITA ALEJANDRA</t>
  </si>
  <si>
    <t>MUNOZ ALARCON ALFREDO SEBASTIAN</t>
  </si>
  <si>
    <t>MUNOZ ARAYA MARIANA</t>
  </si>
  <si>
    <t>MUNOZ BARRERA KARINA ANDREA</t>
  </si>
  <si>
    <t>MUNOZ CAMPOS CLARINA DEL ROSARIO</t>
  </si>
  <si>
    <t>MUNOZ CARO JORGE ARTURO</t>
  </si>
  <si>
    <t>MUNOZ CARVAJAL MARIANELA DEL CARMEN</t>
  </si>
  <si>
    <t>MUNOZ CESPEDES HILDA ELIANA</t>
  </si>
  <si>
    <t>MUNOZ DIAZ NICOLAS IGNACIO</t>
  </si>
  <si>
    <t>MUNOZ FLORES DAMARIS ANAI</t>
  </si>
  <si>
    <t>MUNOZ GUERRA MARIBEL ANDREA</t>
  </si>
  <si>
    <t>MUNOZ MADGE CECILIA ROXANA</t>
  </si>
  <si>
    <t>MUNOZ MELINIR EVELYN DEL CARMEN</t>
  </si>
  <si>
    <t>MUNOZ MORENO MARGOT ELENA DEL CARMEN</t>
  </si>
  <si>
    <t>MUNOZ NAVARRO ALFONSO FERNANDO</t>
  </si>
  <si>
    <t>MUNOZ NEIRA JACQUELINE MARGOT</t>
  </si>
  <si>
    <t>MUNOZ PAREDES CARLOS ALBERTO</t>
  </si>
  <si>
    <t>MUNOZ RIQUELME MONICA DEL PILAR</t>
  </si>
  <si>
    <t>MUNOZ RIQUELME SARA IRENE</t>
  </si>
  <si>
    <t>MUNOZ RODRIGUEZ MARIA INES</t>
  </si>
  <si>
    <t>MUNOZ RUBILAR SOFIA CRISTINA</t>
  </si>
  <si>
    <t>MUNOZ SILVA LUIS ALEJANDRO</t>
  </si>
  <si>
    <t>MUNOZ SILVA MANUEL ISAAC</t>
  </si>
  <si>
    <t>MUNOZ STEINBERG MARCELA PAZ</t>
  </si>
  <si>
    <t>MUNOZ ULLOA OMAR ANTONIO</t>
  </si>
  <si>
    <t>MUNOZ VASQUEZ PAULA ANDREA</t>
  </si>
  <si>
    <t>MUNOZ VIDAL FERNANDA MURIEL</t>
  </si>
  <si>
    <t>MURIAS PALMA MARIA DE LOS ANGELES</t>
  </si>
  <si>
    <t>MURILLO PALOMINOS PAMELA ADRIANA</t>
  </si>
  <si>
    <t>NARANJO TRINCADO GONZALO AGUSTIN</t>
  </si>
  <si>
    <t>NAVARRETE PALMA CAROLINA IVONNE</t>
  </si>
  <si>
    <t>NAVARRETE SALDIAS MARIA SUSANA ISABEL</t>
  </si>
  <si>
    <t>NAVARRO CABELLO HECTOR MAURICIO</t>
  </si>
  <si>
    <t>NAVARRO CONTRERAS RONY ITALO</t>
  </si>
  <si>
    <t>NAVEAS MEDINA ISOLDA PAZ</t>
  </si>
  <si>
    <t>NAZAR RODRIGUEZ BERTA DEL CARMEN</t>
  </si>
  <si>
    <t>NEGRETE LOPEZ LUIS ANTONIO</t>
  </si>
  <si>
    <t>NEIRA LOPEZ LUIS REINALDO</t>
  </si>
  <si>
    <t>NEIRA LORCA MARIA PETRONILA</t>
  </si>
  <si>
    <t>NORAMBUENA VILLEGAS ALEJANDRA ELENA</t>
  </si>
  <si>
    <t>NORAMBUENA VILLEGAS CAROLINA ROSA</t>
  </si>
  <si>
    <t>NUNEZ FUENTEALBA FABIOLA ANDREA</t>
  </si>
  <si>
    <t>NUNEZ GONZALEZ SARA DEL ROSARIO</t>
  </si>
  <si>
    <t>NUNEZ MELLA FRANCISCO</t>
  </si>
  <si>
    <t>NUNEZ MELLA JUAN CARLOS</t>
  </si>
  <si>
    <t>NUNEZ NUNEZ NOEMI DEL CARMEN</t>
  </si>
  <si>
    <t>NUNEZ ROBLES PALOMA ISABEL</t>
  </si>
  <si>
    <t>NUNEZ SANCHEZ JULIETA IVONNE</t>
  </si>
  <si>
    <t>NUNEZ URIBE MARIA ERCILIA</t>
  </si>
  <si>
    <t>OCARANZA PINONES LUCIA STEFANY</t>
  </si>
  <si>
    <t>OGAZ RIQUELME ANA RUTH</t>
  </si>
  <si>
    <t>OGAZ SEPULVEDA ANIBAL MAXIMILIANO</t>
  </si>
  <si>
    <t>OJEDA TAPIA BILHA CRISTINA</t>
  </si>
  <si>
    <t>OLATE SALINAS DANIELA MARGARITA</t>
  </si>
  <si>
    <t>OLAVARRIA SCHELLHORN MARIA SUSANA</t>
  </si>
  <si>
    <t>OLGUIN FERNANDEZ VERONICA ELENA</t>
  </si>
  <si>
    <t>OLGUIN PIZARRO ALEJANDRA ANDREA</t>
  </si>
  <si>
    <t>OLIVA LEIVA CLAUDIA ALEJANDRA</t>
  </si>
  <si>
    <t>OLIVARES DIAZ BARBARA ANDREA</t>
  </si>
  <si>
    <t>OLIVARES OLIVARES MARIA GABRIELA</t>
  </si>
  <si>
    <t>OLIVARES ROJAS GLADYS CECILIA</t>
  </si>
  <si>
    <t>OLIVARES TAPIA NORA ROSALBA</t>
  </si>
  <si>
    <t>OLMEDO QUEVEDO ELIZABETH MARGARITA</t>
  </si>
  <si>
    <t>OLMOS GALLEGUILLOS FERNANDO IGNACIO</t>
  </si>
  <si>
    <t>ONATE CONTRERAS CLAUDIA ANDREA</t>
  </si>
  <si>
    <t>OPAZO MARTINEZ ALEJANDRA MARIA</t>
  </si>
  <si>
    <t>OPAZO TOLEDO REINALDO HUGO</t>
  </si>
  <si>
    <t>OPAZO ZAMBELLI ALDO ESTEBAN</t>
  </si>
  <si>
    <t>ORELLANA ALVEAR REINALDO ALBERTO</t>
  </si>
  <si>
    <t>ORELLANA SANDOVAL JAZMIN DE LAS MERCEDES</t>
  </si>
  <si>
    <t>ORELLANA SILVA HECTOR IVAN</t>
  </si>
  <si>
    <t>ORELLANA TAMAYO ROBERTO ANTONIO</t>
  </si>
  <si>
    <t>ORELLANA TORO NICOLAS ERNESTO</t>
  </si>
  <si>
    <t>ORMENO FIGUEROA NELSON GABRIEL</t>
  </si>
  <si>
    <t>ORREGO BARRIOS CLAUDIO ENRIQUE</t>
  </si>
  <si>
    <t>ORREGO BARRIOS JORGE ALEJANDRO</t>
  </si>
  <si>
    <t>ORTEGA ARAYA ROCIO DE LOS ANGELES</t>
  </si>
  <si>
    <t>ORTIZ DINAMARCA PEDRO MARIO</t>
  </si>
  <si>
    <t>ORTIZ IRIARTE VICTOR HUGO</t>
  </si>
  <si>
    <t>ORTIZ OLIVARES MANUEL ADOLFO</t>
  </si>
  <si>
    <t>OSORIO BAEZ JUAN FRANCISCO</t>
  </si>
  <si>
    <t>OSORIO BRAVO JAVIERA DEL CARMEN</t>
  </si>
  <si>
    <t>OSORIO CORVALAN HILDA MONICA</t>
  </si>
  <si>
    <t>OSORIO SANTELICES SERGIO FELIPE</t>
  </si>
  <si>
    <t>OSSANDON AHUMADA JUAN MANUEL</t>
  </si>
  <si>
    <t>OSSES ARAVENA RAUL MAURICIO</t>
  </si>
  <si>
    <t>OSSES LABORIE NICOLE POLLETTE</t>
  </si>
  <si>
    <t>OSSES VELASQUEZ MELISSA ISABEL</t>
  </si>
  <si>
    <t>OSSIO PINO CARLOS PATRICIO</t>
  </si>
  <si>
    <t>OSTERWALDER MONCAYO JASKARA KARIN</t>
  </si>
  <si>
    <t>OYARCE AGUIRRE EDUARDO FELIPE</t>
  </si>
  <si>
    <t>PACHECO PIÑANGO MAYERLEY  MIRLAY</t>
  </si>
  <si>
    <t>PADILLA ORTIZ PAMELA</t>
  </si>
  <si>
    <t>PAINEMAL PAINEO FRANCISCO ERNESTO</t>
  </si>
  <si>
    <t>PAINENAO LONCOPAN JESSICA EDITH</t>
  </si>
  <si>
    <t>PAINENAO LONCOPAN MARISOL</t>
  </si>
  <si>
    <t>PAINEPAN SANDOVAL BEATRIZ DEL CARMEN</t>
  </si>
  <si>
    <t>PALACIOS OSTOS JUAN CARLOS</t>
  </si>
  <si>
    <t>PALACIOS PINO JOSE LUIS</t>
  </si>
  <si>
    <t>PALMA AEDO LUIS RONALDO</t>
  </si>
  <si>
    <t>PALMA FLORES CAROLINA PAMELA</t>
  </si>
  <si>
    <t>PALMA HERNANDEZ MIGUEL ANGEL</t>
  </si>
  <si>
    <t>PALMA LINEROS HECTOR EDMUNDO</t>
  </si>
  <si>
    <t>PALMA TORO JULIO ISMAEL</t>
  </si>
  <si>
    <t>PARADA QUILALEO GUIDO RODRIGO</t>
  </si>
  <si>
    <t>PARADA RIQUELME CRISTINA ALEJANDRA</t>
  </si>
  <si>
    <t>PARDO GARRIDO ANDRES LEONARDO</t>
  </si>
  <si>
    <t>PARDO MEZA MAURICIO ERNESTO</t>
  </si>
  <si>
    <t>PARKER GUMUCIO CHRISTIAN VICTOR</t>
  </si>
  <si>
    <t>PARRA ARIAS CARLOS VICTORINO</t>
  </si>
  <si>
    <t>PARRA HERNANDEZ FERMIN ADRIAN</t>
  </si>
  <si>
    <t>PARRA PIZARRO LINDSAY CAROLINA</t>
  </si>
  <si>
    <t>PARRA ROGAZY CARLOS ROBERTO</t>
  </si>
  <si>
    <t>PARRA VENEGAS SILVIA EUGENIA</t>
  </si>
  <si>
    <t>PARRAGUEZ ROZAS JAIME CRISTIAN</t>
  </si>
  <si>
    <t>PAVEZ GAMBOA LUIS ANDRES</t>
  </si>
  <si>
    <t>PAVEZ MIRANDA CAROLYN CRISTY</t>
  </si>
  <si>
    <t>PAVEZ SILVA LUIS PATRICIO</t>
  </si>
  <si>
    <t>PAZ SANCHEZ KATHERINE ELIZABETH</t>
  </si>
  <si>
    <t>PENA BASCUR JORGE ELIAS</t>
  </si>
  <si>
    <t>PENA CARCAMO FRANCISCO JAVIER</t>
  </si>
  <si>
    <t>PENA CORTES ANGELICA AURELINA</t>
  </si>
  <si>
    <t>PENA FAUNDEZ CLAUDIA ROXANA</t>
  </si>
  <si>
    <t>PENA GALAZ FELIPE IGNACIO</t>
  </si>
  <si>
    <t>PENA GODOY EDUARDO ALFREDO</t>
  </si>
  <si>
    <t>PENA GODOY JORGE FRANCISCO</t>
  </si>
  <si>
    <t>PENA GONZALEZ CRISTIAN ERNESTO</t>
  </si>
  <si>
    <t>PENA ROJAS LUIS ALBERTO</t>
  </si>
  <si>
    <t>PENALOZA YANEZ GERMINA ANDREA</t>
  </si>
  <si>
    <t>PENTENERO TOLOZA CLAUDIA DEL PILAR</t>
  </si>
  <si>
    <t>PERALTA CASTILLO CLAUDIO ENRIQUE</t>
  </si>
  <si>
    <t>PEREZ ACUNA PATRICIA VERONICA</t>
  </si>
  <si>
    <t>PEREZ AGUILA MARLENE MACARENA</t>
  </si>
  <si>
    <t>PEREZ ALCANTARA DANIEL ANDRES</t>
  </si>
  <si>
    <t>PEREZ AMAYA GUILLERMO ALEJANDRO</t>
  </si>
  <si>
    <t>PEREZ CASTANEDA XIMENA ANGELICA</t>
  </si>
  <si>
    <t>PEREZ CONTRERAS ARNALDO ANDRES</t>
  </si>
  <si>
    <t>PEREZ CORTES IVELISSE ELIANA</t>
  </si>
  <si>
    <t>PEREZ FUENTES RICARDO IGNACIO</t>
  </si>
  <si>
    <t>PEREZ GAETE GONZALO RODRIGO</t>
  </si>
  <si>
    <t>PEREZ HERRERA DOMINGO ELIECER</t>
  </si>
  <si>
    <t>PEREZ HERRERA HUGO DAVID</t>
  </si>
  <si>
    <t>PEREZ LORCA ALICIA ISABEL</t>
  </si>
  <si>
    <t>PEREZ LORCA RODOLFO</t>
  </si>
  <si>
    <t>PEREZ MARINKOVIC PATRICIA VERONICA</t>
  </si>
  <si>
    <t>PEREZ MONSALVE ELIZABETH PATRICIA</t>
  </si>
  <si>
    <t>PEREZ OVALLE MACARENA</t>
  </si>
  <si>
    <t>PEREZ PARDO JORGE ANDRES</t>
  </si>
  <si>
    <t>PEREZ PEREZ GABRIEL DANILO</t>
  </si>
  <si>
    <t>PEREZ PULGAR EDUARDO JOSE</t>
  </si>
  <si>
    <t>PEREZ RODRIGUEZ ANGELO ENRIQUE</t>
  </si>
  <si>
    <t>PEREZ SEBALLOS SIMON GUILLERMO</t>
  </si>
  <si>
    <t>PEREZ SILVA DANIELA ANDREA</t>
  </si>
  <si>
    <t>PICHIHUECHE VIERA PAULINA ANDREA</t>
  </si>
  <si>
    <t>PILQUINIR RETAMAL MARIELA GLADYS</t>
  </si>
  <si>
    <t>PILQUINIR RIFFO MIGUEL ANGEL</t>
  </si>
  <si>
    <t>PINCHEIRA SEPULVEDA CAROLINA ALEJANDRA</t>
  </si>
  <si>
    <t>PINEDA JIMENEZ JORGE RODRIGO</t>
  </si>
  <si>
    <t>PINO FLORES ROBERTO EUGENIO</t>
  </si>
  <si>
    <t>PINO VALENZUELA ASTRID MARISOL</t>
  </si>
  <si>
    <t>PINONES NAVARRO GONZALO ESTEBAN</t>
  </si>
  <si>
    <t>PINTO LLANQUIHUEN MARIA ISABEL</t>
  </si>
  <si>
    <t>PINTO LOPEZ ALEJANDRA</t>
  </si>
  <si>
    <t>PINTO NAVARRETE IRIS DEL ROSARIO</t>
  </si>
  <si>
    <t>PIZARRO GONZALEZ MAURICIO ALEJANDRO</t>
  </si>
  <si>
    <t>PIZARRO KLIEBS JORGE ORLANDO</t>
  </si>
  <si>
    <t>PIZARRO MUNOZ CLAUDIO ANDRES</t>
  </si>
  <si>
    <t>PIZARRO MUNOZ HECTOR MANUEL</t>
  </si>
  <si>
    <t>PIZARRO OCHOA SARA MARGARITA</t>
  </si>
  <si>
    <t>PIZARRO PIZARRO JORGE DEL TRANSITO</t>
  </si>
  <si>
    <t>PIZARRO SOTO JUAN MAURICIO</t>
  </si>
  <si>
    <t>PIZARRO ULLOA VICTOR  ELIAS</t>
  </si>
  <si>
    <t>PLA FUENZALIDA YOLANDA DEL PILAR</t>
  </si>
  <si>
    <t>POBLETE CARVALLO CARLOS EMILIANO</t>
  </si>
  <si>
    <t>POBLETE NUNEZ MARCELA SOLANGE</t>
  </si>
  <si>
    <t>PONCE CERDA CLAUDIA IVONNE</t>
  </si>
  <si>
    <t>PONCE ORTEGA ROBERTO MELQUICEDEC</t>
  </si>
  <si>
    <t>PORRAS PORRAS CARMEN GLORIA</t>
  </si>
  <si>
    <t>PORTE BARREAUX IGNACIO RAUL</t>
  </si>
  <si>
    <t>PRADENAS CATALAN JENNIFER MARGOT</t>
  </si>
  <si>
    <t>PRADO SAN MARTIN XIMENA BEATRIZ</t>
  </si>
  <si>
    <t>PRAT MEZA SANDRA DEL PILAR</t>
  </si>
  <si>
    <t>QUEZADA CANETE ELIZABETH LEONOR</t>
  </si>
  <si>
    <t>QUEZADA MAYOR GLORIA BELEN</t>
  </si>
  <si>
    <t>QUIJADA CARRION VERONICA DEL CARMEN</t>
  </si>
  <si>
    <t>QUIJADA SOTO CAROLINA ANDREA</t>
  </si>
  <si>
    <t>QUINTANILLA ARPOULET RAFAEL ALBERTO</t>
  </si>
  <si>
    <t>QUIROGA ANDRADES JAIME ANDRES</t>
  </si>
  <si>
    <t>QUIROGA LUHR LUIS ADRIAN</t>
  </si>
  <si>
    <t>QUIROGA VIDAL CECILIA DANIELA</t>
  </si>
  <si>
    <t>QUIROZ MORAGA HILSON RENATO</t>
  </si>
  <si>
    <t>QUIROZ UBILLA OSMAN EDUARDO</t>
  </si>
  <si>
    <t>RABA KOZMA PEDRO ERNESTO</t>
  </si>
  <si>
    <t>RAHMER PAVEZ BEATRIZ DEL PILAR</t>
  </si>
  <si>
    <t>RAMIREZ ARRUE VERONICA CECILIA</t>
  </si>
  <si>
    <t>RAMIREZ ASTUDILLO GISSELLA ANDREA</t>
  </si>
  <si>
    <t>RAMIREZ FUENTES JUAN LUIS</t>
  </si>
  <si>
    <t>RAMIREZ RIVERA PABLO ANDRES</t>
  </si>
  <si>
    <t>RAMIREZ SEGUEL EVANGELINA DEL CARMEN</t>
  </si>
  <si>
    <t>RAMIREZ TORREALBA CLAUDIO RENE</t>
  </si>
  <si>
    <t>RAMIREZ VARAS MARIA REBECA</t>
  </si>
  <si>
    <t>RAMOS CHAMORRO KARINA ISABEL</t>
  </si>
  <si>
    <t>RAMOS MONSALVE ISSI ALEJANDRA</t>
  </si>
  <si>
    <t>RAMOS SILVA JOSE LUIS</t>
  </si>
  <si>
    <t>RAMOS VERA GLADYS EMELINA</t>
  </si>
  <si>
    <t>RAYMAN FUENTES ANGEL GUSTAVO</t>
  </si>
  <si>
    <t>REBOLLEDO FUENTES LORENA DEL CARMEN</t>
  </si>
  <si>
    <t>REINOSO CARVAJAL ABRAHAM EVARISTO</t>
  </si>
  <si>
    <t>RETAMAL ABARZUA JUAN CARLOS</t>
  </si>
  <si>
    <t>RETAMALES ITURRIAGA JOSE FIDEL</t>
  </si>
  <si>
    <t>RETAMALES SEPULVEDA HERNAN ALFREDO</t>
  </si>
  <si>
    <t>REY HUERTA ESTEBAN GABRIEL</t>
  </si>
  <si>
    <t>REYES CARDENAS LIGIA ANDREA</t>
  </si>
  <si>
    <t>REYES CATALAN ELISA DEL TRANSITO</t>
  </si>
  <si>
    <t>REYES FUENTES EMMANUELL EMILIANO</t>
  </si>
  <si>
    <t>REYES REYES PAOLA ALEJANDRA</t>
  </si>
  <si>
    <t>REYES SALGADO PAMELA DEL CARMEN</t>
  </si>
  <si>
    <t>RIBAUT KOMPATZKI MICHELLE BEATRIZ</t>
  </si>
  <si>
    <t>RICCIARDI VASQUEZ JOSE BERNARDINO</t>
  </si>
  <si>
    <t>RIFFO CAMPOS ALEXIS LEONARDO</t>
  </si>
  <si>
    <t>RIFFO FIGUEROA LESLIE FABIOLA</t>
  </si>
  <si>
    <t>RIOS MUNOZ JESSICA ALEJANDRA</t>
  </si>
  <si>
    <t>RIQUELME AHUMADA YORKA ANDREA</t>
  </si>
  <si>
    <t>RIQUELME CABRERA GEORGE WASHINGTON</t>
  </si>
  <si>
    <t>RIQUELME CUBILLOS EVELYN LORENA</t>
  </si>
  <si>
    <t>RIQUELME MURA MARITZA DE LAS MERCEDES</t>
  </si>
  <si>
    <t>RIQUELME RIQUELME MARISOL DEL CARMEN</t>
  </si>
  <si>
    <t>RIQUELME SEPULVEDA ROBERTO ARIEL</t>
  </si>
  <si>
    <t>RIVAS ORMENO ADRIANA NIEVES</t>
  </si>
  <si>
    <t>RIVAS SOLIS JOSE IGNACIO</t>
  </si>
  <si>
    <t>RIVERA BERNALES GABRIELA ANDREA</t>
  </si>
  <si>
    <t>RIVERA BERNALES SOLEDAD FERNANDA</t>
  </si>
  <si>
    <t>RIVERO GUZMAN SEBASTIAN IGNACIO</t>
  </si>
  <si>
    <t>RIVEROS SIERRA MURIEL FERNANDA</t>
  </si>
  <si>
    <t>ROBLEDO MATURANA RODRIGO SEBASTIAN</t>
  </si>
  <si>
    <t>ROBLES CONTRERAS CAROLINA ALEJANDRA</t>
  </si>
  <si>
    <t>ROBLES LABARCA GUSTAVO ENRIQUE</t>
  </si>
  <si>
    <t>ROBLES URQUIETA GLADYS ANGELICA</t>
  </si>
  <si>
    <t>ROCO MUNOZ ROSA ISABEL</t>
  </si>
  <si>
    <t>RODRIGUEZ ALBORNOZ JUAN HORACIO</t>
  </si>
  <si>
    <t>RODRIGUEZ ARELLANO SOLANGE CAROLINA</t>
  </si>
  <si>
    <t>RODRIGUEZ COLLIO FERNANDO</t>
  </si>
  <si>
    <t>RODRIGUEZ COLLIO PEDRO HUGO</t>
  </si>
  <si>
    <t>RODRIGUEZ COLLIO VICTOR MANUEL</t>
  </si>
  <si>
    <t>RODRIGUEZ GONZALEZ FRANCISCO ANDRES</t>
  </si>
  <si>
    <t>RODRIGUEZ GUTIERREZ SANDRA EUGENIA</t>
  </si>
  <si>
    <t>RODRIGUEZ MARTINEZ FRANCISCA GIOVANNA</t>
  </si>
  <si>
    <t>RODRIGUEZ MOLINA DANIEL BERNARDO</t>
  </si>
  <si>
    <t>RODRIGUEZ YANEZ DANIEL IBAR</t>
  </si>
  <si>
    <t>ROJAS AHUMADA RENATO DEL CARMEN</t>
  </si>
  <si>
    <t>ROJAS ALBORNOZ ROSA ESTER</t>
  </si>
  <si>
    <t>ROJAS ARANEDA DANIEL ESTEBAN</t>
  </si>
  <si>
    <t>ROJAS ARAYA JOSE VICENTE</t>
  </si>
  <si>
    <t>ROJAS AVALOS CYNTHIA ELIZABETH</t>
  </si>
  <si>
    <t>ROJAS CABALLERO CRISTIAN ALFREDO</t>
  </si>
  <si>
    <t>ROJAS CANDIA ANDREA ALEJANDRA</t>
  </si>
  <si>
    <t>ROJAS CAVIERES DANIEL DE JESUS</t>
  </si>
  <si>
    <t>ROJAS CHIGUAIHUEN ELIZABETH MARGARITA</t>
  </si>
  <si>
    <t>ROJAS CHIGUAIHUEN VICTOR ALFONSO</t>
  </si>
  <si>
    <t>ROJAS CIFUENTES PATRICIA CECILIA</t>
  </si>
  <si>
    <t>ROJAS CONTRERAS VICTOR HUGO</t>
  </si>
  <si>
    <t>ROJAS GALLEGUILLOS REINALDO MAXIMILIANO</t>
  </si>
  <si>
    <t>ROJAS GARCIA JUAN CARLOS</t>
  </si>
  <si>
    <t>ROJAS JIMENEZ HECTOR IGNACIO</t>
  </si>
  <si>
    <t>ROJAS MANALICH ANA MARIA</t>
  </si>
  <si>
    <t>ROJAS MARTINEZ MAURICIO ESTEBAN</t>
  </si>
  <si>
    <t>ROJAS MENESES LUISA BERNARDITA</t>
  </si>
  <si>
    <t>ROJAS NAVIA MARIO HERNAN</t>
  </si>
  <si>
    <t>ROJAS OLIVARES JUAN RODOLFO</t>
  </si>
  <si>
    <t>ROJAS OVANDO FRANCISCO JAVIER</t>
  </si>
  <si>
    <t>ROJAS ROJAS FRANCISCO TOMAS</t>
  </si>
  <si>
    <t>ROJAS SAAVEDRA JUAN MIGUEL</t>
  </si>
  <si>
    <t>ROJAS SEPULVEDA OSCAR FERNANDO</t>
  </si>
  <si>
    <t>ROJAS SOTO FERNANDO EDMUNDO</t>
  </si>
  <si>
    <t>ROJAS TRAMOLAO ROMINA TABITA</t>
  </si>
  <si>
    <t>ROJAS URZUA MARCELA ISABEL</t>
  </si>
  <si>
    <t>ROJAS VERA MANUEL SEGUNDO</t>
  </si>
  <si>
    <t>ROJAS VILCHES CECILIA ANGELICA</t>
  </si>
  <si>
    <t>ROJAS VILLAR YURY AMELIA</t>
  </si>
  <si>
    <t>ROJAS ZAMORANO EDUARDO GUILLERMO</t>
  </si>
  <si>
    <t>ROJO MARTINEZ ALEJANDRO ANTONIO</t>
  </si>
  <si>
    <t>ROMAN FARIAS MIGUEL ESTEBAN</t>
  </si>
  <si>
    <t>ROMERO ALLENDES VICTOR MANUEL</t>
  </si>
  <si>
    <t>ROMERO FIGUEROA JULIO RODRIGO</t>
  </si>
  <si>
    <t>ROMERO LOPEZ JUAN PABLO</t>
  </si>
  <si>
    <t>ROMERO SANTANDER PAMELA NATALIA</t>
  </si>
  <si>
    <t>RONCAGLIOLO GAC LUCIANO AGOSTINO</t>
  </si>
  <si>
    <t>ROSALES CARMONA ANA ROSA</t>
  </si>
  <si>
    <t>ROSAS VILLALOBOS SANDRA DEL CARMEN</t>
  </si>
  <si>
    <t>ROSINELLI CONTRERAS MARCELA LORENA</t>
  </si>
  <si>
    <t>RUBIO CHUNIL CAMILA VICTORIA</t>
  </si>
  <si>
    <t>RUBIO MIRANDA ENRIQUE MIGUEL</t>
  </si>
  <si>
    <t>RUBIO POLANCO STEPHANIE ROSA MARIA</t>
  </si>
  <si>
    <t>RUBIO SCHIAFFINO CARLOS SANTIAGO</t>
  </si>
  <si>
    <t>RUIZ ORTIZ RAMON ALEJANDRO</t>
  </si>
  <si>
    <t>RUIZ SILVA ORLANDO</t>
  </si>
  <si>
    <t>RUIZ VELASQUEZ JOSE ELIAS</t>
  </si>
  <si>
    <t>RUMINO MATAMALA JORGE ALAMIRO</t>
  </si>
  <si>
    <t>RUT PALMA ROSA GLADYS</t>
  </si>
  <si>
    <t>SAAVEDRA DONOSO CRISTIAN EDUARDO</t>
  </si>
  <si>
    <t>SAAVEDRA FLORES BETSY DEL PILAR</t>
  </si>
  <si>
    <t>SAAVEDRA SANCHEZ PEDRO ISAIAS</t>
  </si>
  <si>
    <t>SAEZ ARRIETA CRISTIAN LORENZO</t>
  </si>
  <si>
    <t>SAEZ JIMENEZ ERIK MAURICIO</t>
  </si>
  <si>
    <t>SAEZ MADRID TATIANA ALEJANDRA</t>
  </si>
  <si>
    <t>SAEZ PANERO NICOLE ALEJANDRA</t>
  </si>
  <si>
    <t>SAEZ SALAS ISABEL MARGARITA</t>
  </si>
  <si>
    <t>SAEZ SAN MARTIN PATRICIA AURORA</t>
  </si>
  <si>
    <t>SALAMANCA ARANDA SEBASTIAN ADOLFO</t>
  </si>
  <si>
    <t>SALAS DAVINSON HUGO HUMBERTO</t>
  </si>
  <si>
    <t>SALAS GONZALEZ MARIA ELENA</t>
  </si>
  <si>
    <t>SALAS NUNEZ ROMINA ANDREA</t>
  </si>
  <si>
    <t>SALAZAR ZAMORANO MIGUEL ANDRES</t>
  </si>
  <si>
    <t>SALGADO CARRILLANCA CELSO ENRIQUE</t>
  </si>
  <si>
    <t>SALGADO CAYUL TAMARA ANDREA</t>
  </si>
  <si>
    <t>SALGADO MONDACA FELIPE HERNAN</t>
  </si>
  <si>
    <t>SALGADO VALLE JOEL EUGENIO</t>
  </si>
  <si>
    <t>SALINAS CALDERON SANDRA LILIANA</t>
  </si>
  <si>
    <t>SALINAS SANDOVAL DAVID RODOLFO</t>
  </si>
  <si>
    <t>SAN MARTIN PALACIOS FRANCISCO JAVIER</t>
  </si>
  <si>
    <t>SAN MARTIN SALAZAR DANIELA YENIFER</t>
  </si>
  <si>
    <t>SANCHEZ VASQUEZ JORGE LUIS</t>
  </si>
  <si>
    <t>SANDOVAL DELGADO GUISELA CECILIA</t>
  </si>
  <si>
    <t>SANDOVAL MUNOZ PAMELA SUSANA</t>
  </si>
  <si>
    <t>SANDOVAL PARDO ALEJANDRA ELISA</t>
  </si>
  <si>
    <t>SANDOVAL PEREZ JOHANNA DEL CARMEN</t>
  </si>
  <si>
    <t>SANDOVAL PIZARRO ANANIA DEL TRANSITO</t>
  </si>
  <si>
    <t>SANDOVAL PIZARRO JUAN CARLOS</t>
  </si>
  <si>
    <t>SANDOVAL SANTANA MARCELA DEL CARMEN</t>
  </si>
  <si>
    <t>SANDOVAL ULLOA JUAN CARLOS</t>
  </si>
  <si>
    <t>SANHUEZA ALVEAR CLAUDIA DEL PILAR</t>
  </si>
  <si>
    <t>SANHUEZA AZUA INGRID MABEL</t>
  </si>
  <si>
    <t>SANHUEZA CHUREO PAOLA ANDREA</t>
  </si>
  <si>
    <t>SANHUEZA CORTES RENATO ALEJANDRO</t>
  </si>
  <si>
    <t>SANTANDER MEYER ROCIO DEL PILAR</t>
  </si>
  <si>
    <t>SANTELICES GOMEZ GUILLERMINA MARIA JACINTA</t>
  </si>
  <si>
    <t>SANZANA PROBOSTE EVELYN DENISSE</t>
  </si>
  <si>
    <t>SANZANA TORO JACQUELINE DEL CARMEN</t>
  </si>
  <si>
    <t>SARAVIA CATALAN FRANCIS LUCIA</t>
  </si>
  <si>
    <t>SARTORI ESCOBAR ALICIA DEL CARMEN</t>
  </si>
  <si>
    <t>SEGURA RAMIREZ JAVIER ALBERTO</t>
  </si>
  <si>
    <t>SEPERIZA WITTWER ASTRID JEANISSE</t>
  </si>
  <si>
    <t>SEPULVEDA CARRASCO CYNTHIA ANDREA</t>
  </si>
  <si>
    <t>SEPULVEDA LOPEZ NOEMI ERCILIA</t>
  </si>
  <si>
    <t>SEPULVEDA ROJAS DANIELA NICOLE</t>
  </si>
  <si>
    <t>SEPULVEDA SEPULVEDA CECILIA ANDREA</t>
  </si>
  <si>
    <t>SEPULVEDA SEPULVEDA MAGALY ANGELICA</t>
  </si>
  <si>
    <t>SEPULVEDA VERDEJO SERGIO HERNAN</t>
  </si>
  <si>
    <t>SEVERINO LEIVA DELIA AURORA</t>
  </si>
  <si>
    <t>SEYMOUR DOBUD FERNANDO ANDRES</t>
  </si>
  <si>
    <t>SILO ARAYA CARMEN RUDY</t>
  </si>
  <si>
    <t>SILVA AZOCAR ALEJANDRO FELIPE</t>
  </si>
  <si>
    <t>SILVA BRAVO VICTORIA RITA</t>
  </si>
  <si>
    <t>SILVA BUCAREI ESTER DE LAS MERCEDES</t>
  </si>
  <si>
    <t>SILVA BUCAREI MAGALY ADRIANA</t>
  </si>
  <si>
    <t>SILVA CESPEDES ORIANA BEATRIZ</t>
  </si>
  <si>
    <t>SILVA FERNANDEZ KAREN PATRICIA</t>
  </si>
  <si>
    <t>SILVA GONZALEZ GEREMIAS PABLO</t>
  </si>
  <si>
    <t>SILVA GUTIERREZ MARICEL DEL CARMEN</t>
  </si>
  <si>
    <t>SILVA GUZMAN FABIOLA LORENA</t>
  </si>
  <si>
    <t>SILVA LUQUE GUACOLDA DEL CARMEN</t>
  </si>
  <si>
    <t>SILVA RUBIO PAULA SYLVIA</t>
  </si>
  <si>
    <t>SILVA VALDEBENITO RAUL JOEL</t>
  </si>
  <si>
    <t>SILVA VILCHE ROBERT EGIDIO</t>
  </si>
  <si>
    <t>SILVA ZUNIGA ROXANA LEONOR</t>
  </si>
  <si>
    <t>SIMON ORTIZ LISBETH VIVIANA</t>
  </si>
  <si>
    <t>SOLIS AMPUERO VICTOR HUGO</t>
  </si>
  <si>
    <t>SOLIS PEREZ JAVIER ALEJANDRO</t>
  </si>
  <si>
    <t>SOTO AID EVELYN ALEJANDRA</t>
  </si>
  <si>
    <t>SOTO ARAYA JORGE ARTURO</t>
  </si>
  <si>
    <t>SOTO ARELLANO YOHANA DEL PILAR</t>
  </si>
  <si>
    <t>SOTO BECERRA OMAR</t>
  </si>
  <si>
    <t>SOTO CACERES CAMILO IGNACIO</t>
  </si>
  <si>
    <t>SOTO IBARRA ANGELICA MARIA</t>
  </si>
  <si>
    <t>SOTO JAQUE DOMINGO ESTANISLAO</t>
  </si>
  <si>
    <t>SOTO MUNOZ MARCELO ENRIQUE</t>
  </si>
  <si>
    <t>SOTO PINOCHET SUSANA DEL CARMEN</t>
  </si>
  <si>
    <t>SOTO RIQUELME JUAN CARLOS</t>
  </si>
  <si>
    <t>STOCKLE HENRIQUEZ JUAN SEBASTIAN</t>
  </si>
  <si>
    <t>STSISHANKOVA SSA ULYANA</t>
  </si>
  <si>
    <t>STUARDO ORREGO MARCELO ANDRES</t>
  </si>
  <si>
    <t>SUAREZ PALOMERA JOEL ENRIQUE</t>
  </si>
  <si>
    <t>SUAZO FERNANDEZ RAQUEL MARIA ELENA</t>
  </si>
  <si>
    <t>SUN MUNOZ SU HSEN</t>
  </si>
  <si>
    <t>TAIBA VALENZUELA CARLOS ENRIQUE</t>
  </si>
  <si>
    <t>TAIBA VALENZUELA TERESA DE LAS NIEVES</t>
  </si>
  <si>
    <t>TAPIA AREVALO MARCELA ANDREA</t>
  </si>
  <si>
    <t>TAPIA DURAN LUIS RAMON</t>
  </si>
  <si>
    <t>TAPIA MUNOZ ROSA ANGELICA</t>
  </si>
  <si>
    <t>TAPIA MUNOZ TAKURI NAHUEL</t>
  </si>
  <si>
    <t>TAPIA ORELLANA WALTER CAMILO ARTURO</t>
  </si>
  <si>
    <t>TAPIA PEREZ FRESIA LIBERTAD</t>
  </si>
  <si>
    <t>TARIFENO BASCUR DAPHNE EVELYN</t>
  </si>
  <si>
    <t>THOMS LOBOS RAUL NADIM</t>
  </si>
  <si>
    <t>TOBAR CASTILLO JUAN GABRIEL</t>
  </si>
  <si>
    <t>TOBAR PALMA PABLO ANIBAL</t>
  </si>
  <si>
    <t>TOLEDO MEZA MARIA CRISTINA</t>
  </si>
  <si>
    <t>TOLEDO PEREZ IRIS SOLEDAD</t>
  </si>
  <si>
    <t>TOLEDO VERA JOSE ANTONIO</t>
  </si>
  <si>
    <t>TOLEDO VILLEGAS GERARDO ENRIQUE</t>
  </si>
  <si>
    <t>TOLEDO ZAPATA ENRIQUE</t>
  </si>
  <si>
    <t>TOLENTINO CARVAJAL VICENTE ANDRES</t>
  </si>
  <si>
    <t>TOMIGO MEJIAS ANA MARIA</t>
  </si>
  <si>
    <t>TORO FLORES KARLA VALESKA TERESA</t>
  </si>
  <si>
    <t>TORO IBACACHE LENISSETT MC NEAL</t>
  </si>
  <si>
    <t>TORO NUNEZ MAGDALENA DE LOURDES</t>
  </si>
  <si>
    <t>TORRES GONZALEZ LUIS ANTONIO</t>
  </si>
  <si>
    <t>TORRES LAGOS XIMENA ANDREA</t>
  </si>
  <si>
    <t>TORRES NEGRIER ABEL ROLANDO</t>
  </si>
  <si>
    <t>TORRES ORTEGA JORGE ANTONIO</t>
  </si>
  <si>
    <t>TORRES OYARZUN JOSE RAMON</t>
  </si>
  <si>
    <t>TRINCADO TORRES MARIA ISABEL</t>
  </si>
  <si>
    <t>TRONCOSO CID DANIELA CAROLINA</t>
  </si>
  <si>
    <t>TRONCOSO GARRIDO CARLOS PATRICIO</t>
  </si>
  <si>
    <t>TRONCOSO ROSALES GISELA VALESKA DEL CARMEN</t>
  </si>
  <si>
    <t>TRONCOSO VERGARA PAMELA DEL CARMEN</t>
  </si>
  <si>
    <t>TRONCOSO VILLA SERGIO DEL CARMEN</t>
  </si>
  <si>
    <t>TRUJILLO DEL CAMPO BEATRIZ DEL CARMEN</t>
  </si>
  <si>
    <t>UBEDA MENICHETTI RICARDO LUCIANO</t>
  </si>
  <si>
    <t>UBILLA ALBORNOZ CAROL ESTEFANIA</t>
  </si>
  <si>
    <t>UGARTE SALDIVIA YESSICA ANDREA</t>
  </si>
  <si>
    <t>ULLOA AVALOS SERGIO ALEJANDRO</t>
  </si>
  <si>
    <t>ULLOA BERNALES CLAUDIA SOLANGE</t>
  </si>
  <si>
    <t>ULLOA DAVIS VALERIA MARLEN</t>
  </si>
  <si>
    <t>ULLOA NAVIA DELFIN DEL TRANSITO</t>
  </si>
  <si>
    <t>ULLOA ORELLANA FREDDY LEONEL</t>
  </si>
  <si>
    <t>UMANA HERRERA ENRIQUETA DEL CARMEN</t>
  </si>
  <si>
    <t>UNDURRAGA IBACETA CINTHIA KATHERINE</t>
  </si>
  <si>
    <t>URIBE BURGOS TEOBALDO ALFREDO</t>
  </si>
  <si>
    <t>URIBE MALDONADO MARIA BELIZA</t>
  </si>
  <si>
    <t>URRUTIA CAMPOS MARIA SOLEDAD</t>
  </si>
  <si>
    <t>URRUTIA CONTRERAS MARJORIE ANDREA</t>
  </si>
  <si>
    <t>URZUA GARRIDO OLGA PILAR</t>
  </si>
  <si>
    <t>URZUA STRICKER SUSANA VICTORIA</t>
  </si>
  <si>
    <t>VALDEBENITO PINILLA MARCO ANTONIO</t>
  </si>
  <si>
    <t>VALDEBENITO SOTO JESSICA ISABEL</t>
  </si>
  <si>
    <t>VALDES HENRIQUEZ DANIEL MANUEL</t>
  </si>
  <si>
    <t>VALDES HERRERA JONATHAN ANDRES</t>
  </si>
  <si>
    <t>VALDES MENA SUSANA DEL PILAR</t>
  </si>
  <si>
    <t>VALDES OPAZO FLAVIO ENRIQUE</t>
  </si>
  <si>
    <t>VALDES PAREJA LUIS ANGEL</t>
  </si>
  <si>
    <t>VALDES PAREJA VICTOR MANUEL</t>
  </si>
  <si>
    <t>VALDES PEREZ VICTOR ALEJANDRO</t>
  </si>
  <si>
    <t>VALDES RUNCO MIGUEL ANGEL</t>
  </si>
  <si>
    <t>VALDES SOTELO LUIS ENRIQUE</t>
  </si>
  <si>
    <t>VALDEVENITO VALDES LUIS HORTELIO</t>
  </si>
  <si>
    <t>VALDIVIA ARAVENA OSCAR ENRIQUE</t>
  </si>
  <si>
    <t>VALDIVIA JARA PAOLA ANDREA</t>
  </si>
  <si>
    <t>VALENCIA CONTRERAS BARBARA ALEJANDRA</t>
  </si>
  <si>
    <t>VALENCIA REYES LAURA DEL CARMEN</t>
  </si>
  <si>
    <t>VALENZUELA ARANCIBIA MAURICIO ANDRES</t>
  </si>
  <si>
    <t>VALENZUELA BASCUNAN CATALINA BELEN</t>
  </si>
  <si>
    <t>VALENZUELA BASCUNAN XIMENA DEL CARMEN</t>
  </si>
  <si>
    <t>VALENZUELA BRAVO KATHERINE ANDREA</t>
  </si>
  <si>
    <t>VALENZUELA ERAZO MARICEL ANDREA</t>
  </si>
  <si>
    <t>VALENZUELA FERNANDEZ AGDALIN ANDRES</t>
  </si>
  <si>
    <t>VALENZUELA PARADA VICTOR MODESTO</t>
  </si>
  <si>
    <t>VALENZUELA PINTO JOCELYN DEL PILAR</t>
  </si>
  <si>
    <t>VALENZUELA PLAZA ISABEL MARGARITA</t>
  </si>
  <si>
    <t>VALENZUELA ROJAS MARIA CRISTINA</t>
  </si>
  <si>
    <t>VALENZUELA SILVA MARIO IGNACIO</t>
  </si>
  <si>
    <t>VALENZUELA VENEGAS JUAN DAGOBERTO</t>
  </si>
  <si>
    <t>VALLEJOS BARRIENTOS KATHERINE DEL CARMEN</t>
  </si>
  <si>
    <t>VALLEJOS BELMAR DANIELA ALEJANDRA</t>
  </si>
  <si>
    <t>VALLEJOS BELMAR MARIANELA</t>
  </si>
  <si>
    <t>VALLEJOS CORTES MIREYA DE LA LUZ</t>
  </si>
  <si>
    <t>VALLEJOS JOFRE ALEJANDRO LORENZO</t>
  </si>
  <si>
    <t>VALLEJOS LLANTEN HERNALDO ARIEL</t>
  </si>
  <si>
    <t>VALLEJOS RUIZ YENIKZIA ESTER</t>
  </si>
  <si>
    <t>VAN DEN BERG  ANOEK</t>
  </si>
  <si>
    <t>VARGAS INOSTROZA ANDRES RODRIGO</t>
  </si>
  <si>
    <t>VARGAS INOSTROZA HECTOR EDUARDO</t>
  </si>
  <si>
    <t>VARGAS OSORIO MARIA ANGELICA</t>
  </si>
  <si>
    <t>VARGAS PINTO PATRICIA DEL CARMEN</t>
  </si>
  <si>
    <t>VARGAS REYES PAULA ESTER</t>
  </si>
  <si>
    <t>VARGAS SERRANO LUIS OSVALDO</t>
  </si>
  <si>
    <t>VARGAS SILVA LEANDRO ANDRES</t>
  </si>
  <si>
    <t>VASQUEZ BECERRA MARCELA ALEJANDRA</t>
  </si>
  <si>
    <t>VASQUEZ JAUREGUI JOSE ALESSANDRO</t>
  </si>
  <si>
    <t>VASQUEZ QUELOPANA JANET ANDREA</t>
  </si>
  <si>
    <t>VASQUEZ RAMIREZ FERNANDO EDUARDO</t>
  </si>
  <si>
    <t>VASQUEZ RAUCH VERONICA ANDREA</t>
  </si>
  <si>
    <t>VASQUEZ SAAVEDRA ANDRES ESTEBAN</t>
  </si>
  <si>
    <t>VEAS SANCHEZ ALICIA JIMENA</t>
  </si>
  <si>
    <t>VEGA ESQUIVEL PAMELA ANDREA</t>
  </si>
  <si>
    <t>VEGA FREDES DJENANA DE LAS MERCEDES</t>
  </si>
  <si>
    <t>VEGA GALARCE INGER SOLANGE</t>
  </si>
  <si>
    <t>VEGA JERIA RAUL HUMBERTO</t>
  </si>
  <si>
    <t>VEGA SEPULVEDA LEONARDO ESTEBAN</t>
  </si>
  <si>
    <t>VEGA VEGA JORGE ANTONIO</t>
  </si>
  <si>
    <t>VEJAR REYES VALERIA ANDREA</t>
  </si>
  <si>
    <t>VELASQUEZ VASQUEZ LUIS CARLOS</t>
  </si>
  <si>
    <t>VELEZ MONTECINOS MAXIMILIANO ALEJANDRO</t>
  </si>
  <si>
    <t>VELIZ ALELUYA ALEJANDRA DAMIANA</t>
  </si>
  <si>
    <t>VELIZ FILIPP ELIZABETH CARMEN</t>
  </si>
  <si>
    <t>VELOSO GARCIA SOLEDAD DEL PILAR</t>
  </si>
  <si>
    <t>VELOZO MARTINEZ MOISES ENRIQUE</t>
  </si>
  <si>
    <t>VENEGAS FUENTES MARIA ISOLINA</t>
  </si>
  <si>
    <t>VERA CARDENAS ESTER DEL CARMEN</t>
  </si>
  <si>
    <t>VERA ESCOBAR CARLOS MAURICIO</t>
  </si>
  <si>
    <t>VERA SANTIBANEZ ANDREA DEL CARMEN</t>
  </si>
  <si>
    <t>VERA URIBE RITA ISABEL</t>
  </si>
  <si>
    <t>VERDUGO JARA ELIAS ALBERTO</t>
  </si>
  <si>
    <t>VERGARA BARRERA MARITZA VIRGINIA</t>
  </si>
  <si>
    <t>VERGARA ESPINOZA CHRISTIAN ANDRES</t>
  </si>
  <si>
    <t>VERGARA GONZALEZ ROLANDO ALBERTO</t>
  </si>
  <si>
    <t>VERGARA MUNOZ RUTH JEANNETTE</t>
  </si>
  <si>
    <t>VERGARA RAMIREZ LUZ ELIANA</t>
  </si>
  <si>
    <t>VERGARA SILVA PATRICIA ANDREA</t>
  </si>
  <si>
    <t>VIAL MUNOZ FRANCISCO JAVIER</t>
  </si>
  <si>
    <t>VICENT CORTES ANTONIO ALEXIS</t>
  </si>
  <si>
    <t>VICTORIANO DONOSO MARGARITA DEL ROSARIO</t>
  </si>
  <si>
    <t>VIDAL FUENZALIDA LUCIA DEL CARMEN</t>
  </si>
  <si>
    <t>VIDAL MIRANDA KAREN PAULINA</t>
  </si>
  <si>
    <t>VIDELA FONSECA ALFREDO ALEJANDRO</t>
  </si>
  <si>
    <t>VILCHES FUENTES LUIS ARTURO</t>
  </si>
  <si>
    <t>VILCHES HENRIQUEZ EVELYN LISSETTE</t>
  </si>
  <si>
    <t>VILLABLANCA ICARTE MARIANELA DEL CARMEN</t>
  </si>
  <si>
    <t>VILLALOBOS MARTINEZ ALEX SEGUNDO</t>
  </si>
  <si>
    <t>VILLAR SANDOVAL SILVANA</t>
  </si>
  <si>
    <t>VILLARROEL AYALA GONZALO GARIEL ALONSO</t>
  </si>
  <si>
    <t>VILLARROEL LASTRA LIDIA LORENA</t>
  </si>
  <si>
    <t>VILLARROEL MORALES MARIELA PATRICIA</t>
  </si>
  <si>
    <t>VILLARROEL RAMIREZ RENE HUMBERTO</t>
  </si>
  <si>
    <t>VILLEGAS SEPULVEDA LORENA PAOLA</t>
  </si>
  <si>
    <t>VILLENA VALENZUELA LUIS ALBERTO</t>
  </si>
  <si>
    <t>VINES HIDALGO MARCELA HENY</t>
  </si>
  <si>
    <t>VISCARRA REBOLLEDO SUGEY NICOLE</t>
  </si>
  <si>
    <t>VISTOSO RAMIREZ VERONICA PAOLA</t>
  </si>
  <si>
    <t>VIVEROS VERA LENCKA JAQUELINE</t>
  </si>
  <si>
    <t>WAISMAN CARRILLO FANNY DENISE RIVKA</t>
  </si>
  <si>
    <t>WIEDERHOLD CUEVAS CAROLINA ANDREA</t>
  </si>
  <si>
    <t>WILLSCHREI TAPIA ALMA HENILDE</t>
  </si>
  <si>
    <t>WONG VALDES TAMARA CONSUELO</t>
  </si>
  <si>
    <t>YANEZ ARAVENA MARISOL JULIA DEL CARMEN</t>
  </si>
  <si>
    <t>YANEZ CATALAN LINA KATY</t>
  </si>
  <si>
    <t>YEVENES ANDAUR LUISA ELIANA</t>
  </si>
  <si>
    <t>ZAMORANO GONZALEZ DANIELA JOSEFINA</t>
  </si>
  <si>
    <t>ZAMORANO LABBE JEANNETTE DEL CARMEN</t>
  </si>
  <si>
    <t>ZAMORANO QUEZADA GUILLERMO HERNAN</t>
  </si>
  <si>
    <t>ZAMORANO ROBLERO PEDRO ANTONIO</t>
  </si>
  <si>
    <t>ZARATE LIMONADO EDUARDO OCTAVIO</t>
  </si>
  <si>
    <t>ZAVALA CABRERA SERGIO MANUEL</t>
  </si>
  <si>
    <t>ZENTENO ROZAS JAIME ANTONIO</t>
  </si>
  <si>
    <t>ZENTENO VILLAGRAN MARCIA DEL PILAR</t>
  </si>
  <si>
    <t>ZOLEZZI CID JUAN MANUEL</t>
  </si>
  <si>
    <t>ZUNIGA ESPINOZA ESTER DEL PILAR</t>
  </si>
  <si>
    <t>ZUNIGA HIGUERA AQUILES ENRIQUE</t>
  </si>
  <si>
    <t>ZUNIGA MARTINEZ MARIO CHRISTIAN</t>
  </si>
  <si>
    <t>ZUNIGA MELLA ANDRES ALEJANDRO</t>
  </si>
  <si>
    <t>ZUNIGA MORALES ROSA ESTER</t>
  </si>
  <si>
    <t>ZUNIGA PARDO MARCELA ANDREA</t>
  </si>
  <si>
    <t>ZUNIGA PARDO MARICEL DEL CARMEN</t>
  </si>
  <si>
    <t>ZUNIGA REBOLLEDO ERIKA ESTER</t>
  </si>
  <si>
    <t>ZUNIGA SEIJO MAXIMILIANO DEL CARMEN</t>
  </si>
  <si>
    <t>ZURITA ECHEVERRIA ALEJANDRO ANTONIO</t>
  </si>
  <si>
    <t>ZURITA ROJAS NINETTE ARGEL</t>
  </si>
  <si>
    <t>RUT</t>
  </si>
  <si>
    <t>RUT SIN 0 Y CÓD VERIFICADOR</t>
  </si>
  <si>
    <t>N°</t>
  </si>
  <si>
    <t>FOLIO</t>
  </si>
  <si>
    <t>U. MAYOR</t>
  </si>
  <si>
    <t>CENTRO DE COSTO</t>
  </si>
  <si>
    <t>PUESTO</t>
  </si>
  <si>
    <t>POSICION</t>
  </si>
  <si>
    <t>G°</t>
  </si>
  <si>
    <t>JORNADA</t>
  </si>
  <si>
    <t>TIPO DE CONTRATO</t>
  </si>
  <si>
    <t>ESCALAFON</t>
  </si>
  <si>
    <t xml:space="preserve">1ER PROCESO </t>
  </si>
  <si>
    <t xml:space="preserve">POSTULANTES </t>
  </si>
  <si>
    <t>2DO PROCESO</t>
  </si>
  <si>
    <t>POSTULANTES 2</t>
  </si>
  <si>
    <t>INFORMES PSI</t>
  </si>
  <si>
    <t>N° PROCESOS NO-INT</t>
  </si>
  <si>
    <t>DETALLE</t>
  </si>
  <si>
    <t>FECHA CONTRATO</t>
  </si>
  <si>
    <t>SELECCIONADA - O INTERNO</t>
  </si>
  <si>
    <t>SELECCIONADA - O EXTERNO</t>
  </si>
  <si>
    <t>BRECHAS A CAPACITAR (1)</t>
  </si>
  <si>
    <t>1-COMP 1</t>
  </si>
  <si>
    <t>1- COMP 2</t>
  </si>
  <si>
    <t>1- COMP 3</t>
  </si>
  <si>
    <t>FECHA DE INICIO DEL PROCESO</t>
  </si>
  <si>
    <t>FECHA DE TERMINO DEL PROCESO</t>
  </si>
  <si>
    <t>GRADO ANTERIOR</t>
  </si>
  <si>
    <t xml:space="preserve">ESTAMENTO </t>
  </si>
  <si>
    <t>PUESTO ANTERIOR</t>
  </si>
  <si>
    <t>UNIDAD DE DESEMPEÑO ANTERIOR</t>
  </si>
  <si>
    <t>OBSERVACION</t>
  </si>
  <si>
    <t>MOTIVO CONTRATACION</t>
  </si>
  <si>
    <t>REEMPLAZA A</t>
  </si>
  <si>
    <t>RUT_S/DV_REEMP</t>
  </si>
  <si>
    <t>OPCION</t>
  </si>
  <si>
    <t>DÍAS LAB</t>
  </si>
  <si>
    <t>PROC</t>
  </si>
  <si>
    <t>Hidden- StringFilter</t>
  </si>
  <si>
    <t>Hidden- NoFilter</t>
  </si>
  <si>
    <t>CategoryFilter</t>
  </si>
  <si>
    <t>NoFilter</t>
  </si>
  <si>
    <t>DateFilter</t>
  </si>
  <si>
    <t>StringFilter</t>
  </si>
  <si>
    <t>ListType</t>
  </si>
  <si>
    <t>Nº</t>
  </si>
  <si>
    <t>CARGO/FUNCION</t>
  </si>
  <si>
    <t>GRADO</t>
  </si>
  <si>
    <t>DIRECCION GENERAL DE COMUNICACIONES Y ASUNTOS PUBLICOS</t>
  </si>
  <si>
    <t>SECRETARIA ADMINISTRATIVA</t>
  </si>
  <si>
    <t>--</t>
  </si>
  <si>
    <t>ROJAS MUNOZ DORA</t>
  </si>
  <si>
    <t>FACULTAD DE ADMINISTRACION Y ECONOMIA</t>
  </si>
  <si>
    <t>DEPARTAMENTO DE ADMINISTRACION</t>
  </si>
  <si>
    <t>DESIERTO</t>
  </si>
  <si>
    <t>BASCUR TORRES PAULA</t>
  </si>
  <si>
    <t>FACULTAD DE CIENCIA</t>
  </si>
  <si>
    <t>TECNICO DE SOPORTE Y ESPECIALIDAD</t>
  </si>
  <si>
    <t>PINO BRICENO ALEX</t>
  </si>
  <si>
    <t>ESCUELA DE MEDICINA</t>
  </si>
  <si>
    <t>FACULTAD DE HUMANIDADES</t>
  </si>
  <si>
    <t>SECRETARIA</t>
  </si>
  <si>
    <t>LIENDO GONZALEZ KATHERINE</t>
  </si>
  <si>
    <t>DEPARTAMENTO DE LINGÜISTICA Y LITERAR</t>
  </si>
  <si>
    <t>BIBLIOTECARIO DOCUMENTALISTA</t>
  </si>
  <si>
    <t>ARANDA ESPINOZA CLAUDIA</t>
  </si>
  <si>
    <t>JEFE ADMINISTRATIVO</t>
  </si>
  <si>
    <t>OSSES ARAVENA RAUL</t>
  </si>
  <si>
    <t>DEPARTAMENTO DE GESTION DE PERSONAL</t>
  </si>
  <si>
    <t>BIBLIOTECARIO</t>
  </si>
  <si>
    <t>P</t>
  </si>
  <si>
    <t>ALVAREZ ALMARZA RUBEN</t>
  </si>
  <si>
    <t>DEPARTAMENTO DE INGENIERIA QUIMICA</t>
  </si>
  <si>
    <t>FACULTAD DE INGENIERIA</t>
  </si>
  <si>
    <t>DEPARTAMENTO DE INGENIERA GEOGRAFICA</t>
  </si>
  <si>
    <t>LA UNIDAD REQUIRENTE PROPONE A LA SRA. YANIRA ALVAREZ MORALES</t>
  </si>
  <si>
    <t>FACULTAD DE QUIMICA Y BIOLOGIA</t>
  </si>
  <si>
    <t>COORDINADOR DE VINCULACION CON EL MEDIO</t>
  </si>
  <si>
    <t>ROZAS SALAS CARLOS</t>
  </si>
  <si>
    <t>PROF. HORAS DE CLASES</t>
  </si>
  <si>
    <t>DEPARTAMENTO DE BIOLOGIA</t>
  </si>
  <si>
    <t>FACULTAD TECNOLOGICA</t>
  </si>
  <si>
    <t>DEPARTAMENTO DE TECNOLOGIAS GENERALES</t>
  </si>
  <si>
    <t>TECNICO DE LABORATORIO</t>
  </si>
  <si>
    <t>GALLARDO CANALES RODRIGO</t>
  </si>
  <si>
    <t>PRORRECTORIA</t>
  </si>
  <si>
    <t>DEPARTAMENTO DE GESTION ESTRATEGICA</t>
  </si>
  <si>
    <t>ANALISTA DE GESTION ESTRATEGICA</t>
  </si>
  <si>
    <t>LA UNIDAD REQUIRENTE PROPONE A LA SRA. CAROLINA PINO PINO</t>
  </si>
  <si>
    <t>JEFE DE ADMINISTRACION Y FINANZAS</t>
  </si>
  <si>
    <t>NO HUBO SELECCIONADO</t>
  </si>
  <si>
    <t>GAETE VASQUEZ LISSETTE</t>
  </si>
  <si>
    <t>CECTA LLANQUIHUE</t>
  </si>
  <si>
    <t>JEFE DE MEDIO AMBIENTE</t>
  </si>
  <si>
    <t>EL ACTA ESPEFICIA QUE SE SELECCIONO A LUCIANO DIAZ AGURTO</t>
  </si>
  <si>
    <t>SECRETARIA GENERAL</t>
  </si>
  <si>
    <t>ESTAFETA</t>
  </si>
  <si>
    <t xml:space="preserve">AUXILIAR </t>
  </si>
  <si>
    <t>CIFELLI LUNA FELIPE</t>
  </si>
  <si>
    <t>CONTRERAS LIZANA SERGIO</t>
  </si>
  <si>
    <t>VICERRECTORIA ACADEMICA</t>
  </si>
  <si>
    <t>ESCUELA DE ARQUITECTURA</t>
  </si>
  <si>
    <t>INTERNO/EXTERNO</t>
  </si>
  <si>
    <t>ESPINOZA TORO SALVADOR ADRIAN</t>
  </si>
  <si>
    <t>VICERRECTORIA DE ASUNTOS ECONOMICOS Y ADMINSTRATIVO</t>
  </si>
  <si>
    <t>JEFE DE GESTION DE PERSONAL</t>
  </si>
  <si>
    <t>GUINEZ DIAZ SANDRA</t>
  </si>
  <si>
    <t>ADMINSTRACION GENERAL DEL FONDO SOLIDARIO</t>
  </si>
  <si>
    <t>SERVICIO DE BIENESTAR DEL PERSONAL</t>
  </si>
  <si>
    <t>JEFE DE SERVICIO</t>
  </si>
  <si>
    <t>PLANTA DE CONFIANZA</t>
  </si>
  <si>
    <t>ASISTENTE DE RECURSOS HUMANOS</t>
  </si>
  <si>
    <t>SALINAS ORELLANA JUAN LUIS</t>
  </si>
  <si>
    <t>ADMINISTRACION GENERAL DEL FONDO SOLIDARIO</t>
  </si>
  <si>
    <t>ASISTENTE INFORMATICO</t>
  </si>
  <si>
    <t>ASISTENTE SOCIAL</t>
  </si>
  <si>
    <t>DIAZ LARA DANIELA</t>
  </si>
  <si>
    <t>CATALAN VELASQUEZ MIGUEL FRANCISCO</t>
  </si>
  <si>
    <t>VICERRECTORIA DE GESTION Y DESARROLLO ESTUDIANTIL</t>
  </si>
  <si>
    <t>CENTRO DE SALUD</t>
  </si>
  <si>
    <t>ASISTENTE DENTAL</t>
  </si>
  <si>
    <t>GOMEZ RIVERO PAULINA, GONZALEZ PIZARRO XIMENA, SILVA FERNANDEZ KAREN</t>
  </si>
  <si>
    <t>SECRETARIA DE DIRECCION</t>
  </si>
  <si>
    <t>MELLADO CHACON RUTH</t>
  </si>
  <si>
    <t>DIRECCION DE APOYO AL ESTUDIANTE</t>
  </si>
  <si>
    <t>BARAHONA RODRIGUEZ BELEN</t>
  </si>
  <si>
    <t>DEPARTAMENTO DE DESARROLLO DE TALENTOS ARTISTICOS</t>
  </si>
  <si>
    <t>ENCARGADA DE VESTUARIO</t>
  </si>
  <si>
    <t>MARTINEZ LAGOS BARBARA VICTORIA</t>
  </si>
  <si>
    <t>ARCHIVERO CLINICO</t>
  </si>
  <si>
    <t>CABRERA SILVA ANGELO</t>
  </si>
  <si>
    <t>GINECOLOGO</t>
  </si>
  <si>
    <t>11 HORAS</t>
  </si>
  <si>
    <t>LEY 15076</t>
  </si>
  <si>
    <t>CARO DIAZ GUSTAVO ADOLFO</t>
  </si>
  <si>
    <t>DEPARTAMENTO DE PROMOCION DE LA SALUD</t>
  </si>
  <si>
    <t>PSICOLOGO EDUCACIONAL</t>
  </si>
  <si>
    <t>PAINEPAN SANDOVAL BEATRIZ</t>
  </si>
  <si>
    <t>VICERRECTORIA DE INVESTIGACION Y DESARROLLO</t>
  </si>
  <si>
    <t>DIRECCION DE GESTION TECNOLOGICA</t>
  </si>
  <si>
    <t>COORDINADOR DE PROYECTOS</t>
  </si>
  <si>
    <t>HERRERA MANRIQUEZ PAOLO</t>
  </si>
  <si>
    <t>acu</t>
  </si>
  <si>
    <t>UNIDAD SOLICITANTE</t>
  </si>
  <si>
    <t>CASINO CENTRAL</t>
  </si>
  <si>
    <t>AUXILIAR DE SERVICIOS</t>
  </si>
  <si>
    <t>INTERNO- EXTERNO</t>
  </si>
  <si>
    <t>MAESTRO COCINA (2)</t>
  </si>
  <si>
    <t>FLORES CIFUENTES HUGO</t>
  </si>
  <si>
    <t>ROJAS SOTO FERNANDO</t>
  </si>
  <si>
    <t>MAESTRO JEFE COCINA</t>
  </si>
  <si>
    <t>CORREA HERNANDEZ MANUEL</t>
  </si>
  <si>
    <t>ACEVEDO AHUMADA FRANCES</t>
  </si>
  <si>
    <t>CITECAMP</t>
  </si>
  <si>
    <t>COMPLEJO BULNES</t>
  </si>
  <si>
    <t>TECNICO COMPUTACION</t>
  </si>
  <si>
    <t>BENAVIDES GONZALEZ EDUARDO</t>
  </si>
  <si>
    <t>CONTRALORIA UNIVERSITARIA</t>
  </si>
  <si>
    <t>TECNICO JURIDICO</t>
  </si>
  <si>
    <t>SALAS NUÑEZ ROMINA</t>
  </si>
  <si>
    <t>CONTADOR AUDITOR</t>
  </si>
  <si>
    <t>RIOS ALBORNOZ JOCELYN</t>
  </si>
  <si>
    <t>JUAN MARCOS TORRES HERNANDEZ</t>
  </si>
  <si>
    <t>DEPARTAMENTO CONTROL PRESUPUESTARIO</t>
  </si>
  <si>
    <t>ANALISTA PRESUPUESTARIO</t>
  </si>
  <si>
    <t>RIVERA BERNALES GABRIELA</t>
  </si>
  <si>
    <t>DEPARTAMENTO DE ADQUISICIONES</t>
  </si>
  <si>
    <t>DEPARTAMENTO DE TALENTOS ARTISTICOS</t>
  </si>
  <si>
    <t>DECLARADO DESIERTO</t>
  </si>
  <si>
    <t>PERIODISTA</t>
  </si>
  <si>
    <t>OLMOS GALLEGUILLOS FERNANDO</t>
  </si>
  <si>
    <t>DEPARTAMENTO FISICA</t>
  </si>
  <si>
    <t>BOIN MARABOLI MARIA</t>
  </si>
  <si>
    <t>SECRETARIA(2)</t>
  </si>
  <si>
    <t>MUNDACA VERDUGO EDITH -SEPULVEDA SEPULVEDA MAGALY</t>
  </si>
  <si>
    <t>TECNICO MECANICO</t>
  </si>
  <si>
    <t>MARTIN ARRIETA GONZALO</t>
  </si>
  <si>
    <t>DEPARTAMENTO MINAS</t>
  </si>
  <si>
    <t>AGUILAR MELLA GLADYS</t>
  </si>
  <si>
    <t>JARA VALENZUELA LORENA</t>
  </si>
  <si>
    <t>BERRIOS URIBE PEDRO</t>
  </si>
  <si>
    <t>DEPARTAMENTO PROMOCION SALUD</t>
  </si>
  <si>
    <t>PSICOLOGO GRUPAL</t>
  </si>
  <si>
    <t>VASQUEZ RAUCH VERONICA</t>
  </si>
  <si>
    <t>PSICOLOGO PREVENCION DROGA Y ALCOHOL</t>
  </si>
  <si>
    <t>CASTILLO MANZANO MARIO</t>
  </si>
  <si>
    <t>DIRECCION DE CALIDAD Y SISTEMAS</t>
  </si>
  <si>
    <t>ANALISTA DE LA CALIDAD</t>
  </si>
  <si>
    <t>DIRECCION DE ESTUDIOS Y ANALISIS INSTITUCIONAL</t>
  </si>
  <si>
    <t>ANALISTA INSTITUCIONAL</t>
  </si>
  <si>
    <t>DIRECCION DE GESTION TERRITORIAL DEL CAMPUS</t>
  </si>
  <si>
    <t>ENCARGADO DE PREVENCION DE RIESGOS</t>
  </si>
  <si>
    <t>IVAN OLIVARES LAVADOS</t>
  </si>
  <si>
    <t>PREVENCIONISTA DE RIESGO</t>
  </si>
  <si>
    <t>EDUARDO ANDANA SOBARZO, MITZY GATICA</t>
  </si>
  <si>
    <t>MAUREIRA MOYA VICTOR</t>
  </si>
  <si>
    <t>EDITOR GENERAL PORTAL USACH</t>
  </si>
  <si>
    <t>GALLARDO ROULIEZ DANIELA</t>
  </si>
  <si>
    <t>FACULTAD DE CIENCIAS MEDICAS</t>
  </si>
  <si>
    <t>MAYORDOMO</t>
  </si>
  <si>
    <t>FERNANDEZ ROJAS HECTOR</t>
  </si>
  <si>
    <t>FACULTAD HUMANIDADES</t>
  </si>
  <si>
    <t>SECRETARIA VICEDECANATO</t>
  </si>
  <si>
    <t>FACULTAD QUIMICA Y BIOLOGIA</t>
  </si>
  <si>
    <t>AUXILIAR LABORATORIO</t>
  </si>
  <si>
    <t>BARAONA MUÑOZ DAVID</t>
  </si>
  <si>
    <t>ENCARGADO INVERNADERO</t>
  </si>
  <si>
    <t>MONDACA FUENTES IGNACIO</t>
  </si>
  <si>
    <t>TECNICO SOCIAL</t>
  </si>
  <si>
    <t>NAVARRETE DIAZ DANIELA</t>
  </si>
  <si>
    <t>INGENIERIA ELECTRICA</t>
  </si>
  <si>
    <t>AUXILIAR DE PORTERIA</t>
  </si>
  <si>
    <t>LUCERO NUÑEZ JOSE</t>
  </si>
  <si>
    <t>ENCARGADO MANTENCION</t>
  </si>
  <si>
    <t>PILQUIÑIR RIFFO MIGUEL</t>
  </si>
  <si>
    <t>PAÑOLERO</t>
  </si>
  <si>
    <t>ALVAREZ RUBILLO FABIAN</t>
  </si>
  <si>
    <t>INGENIERIA INFORMATICA</t>
  </si>
  <si>
    <t>AUXILIAR (2)</t>
  </si>
  <si>
    <t>OLAVE SANTANA RAUL - PEREZ CONTRERAS ARNALDO</t>
  </si>
  <si>
    <t>BUSTAMANTE HENRIQUEZ CARLOS</t>
  </si>
  <si>
    <t>RADIO USACH</t>
  </si>
  <si>
    <t>ISLA MORA ABISAG</t>
  </si>
  <si>
    <t>SERVICIO BIENESTAR DEL PERSONAL</t>
  </si>
  <si>
    <t>VILLAR SIMON ROSA</t>
  </si>
  <si>
    <t>EDUCADORA DE PARVULOS(2)</t>
  </si>
  <si>
    <t>DELGADO JORQUERA PAMELA-HUERTA GONZALEZ LORETO</t>
  </si>
  <si>
    <t>TECNICO EN PARVULOS(3)</t>
  </si>
  <si>
    <t>BRITO BASTIAS DANIELA-MESSINA CARRASCO VERONICA-RAMIREZ DINAMARCA ANA</t>
  </si>
  <si>
    <t>VRAEA</t>
  </si>
  <si>
    <t xml:space="preserve">ANALISTA  </t>
  </si>
  <si>
    <t>PIZARRO MARTINEZ SANDRA</t>
  </si>
  <si>
    <t>DEPARTAMENTO DE CALIDAD</t>
  </si>
  <si>
    <t>ASESOR</t>
  </si>
  <si>
    <t>GUEDE REYES EDGARDO</t>
  </si>
  <si>
    <t>DEPARTAMENTO DE PLANES Y PRESUPUESTOS</t>
  </si>
  <si>
    <t>SECRETARIA VICERRECTORIA</t>
  </si>
  <si>
    <t>CURAMIL MORALES MARTA</t>
  </si>
  <si>
    <t>OLMEDO QUEVEDO ELIZABETH</t>
  </si>
  <si>
    <t>POSTULANTES</t>
  </si>
  <si>
    <t>SELECCIONADA - O INTERNA</t>
  </si>
  <si>
    <t>SELECCIONADA - O EXTERNA</t>
  </si>
  <si>
    <t xml:space="preserve">AGUILERA BARRAZA EVA </t>
  </si>
  <si>
    <t>INGENIERO INFORMATICO</t>
  </si>
  <si>
    <t>RAMOS COSSIO SERGIO</t>
  </si>
  <si>
    <t>JEFE DEPARTAMENTO CONTROL DE LEGALIDAD</t>
  </si>
  <si>
    <t>JEFATURA SUPERIOR</t>
  </si>
  <si>
    <t>PEREZ GAETE CLAUDIA</t>
  </si>
  <si>
    <t>DEPARTAMENTO CIENCIA Y TECNOLOGIA DE LOS ALIMENTOS</t>
  </si>
  <si>
    <t>ENCARGADO DE LABORATORIO DE MICROBIOLOGIA</t>
  </si>
  <si>
    <t>CASTILLO ACUNA CARMEN</t>
  </si>
  <si>
    <t>ARRIAGADA SANTIBAÑEZ RODRIGO</t>
  </si>
  <si>
    <t>DIRECCION DE RECURSOS HUMANOS</t>
  </si>
  <si>
    <t>HAY ACTA</t>
  </si>
  <si>
    <t xml:space="preserve"> </t>
  </si>
  <si>
    <t>RAMIREZ MARIA REBECA</t>
  </si>
  <si>
    <t>DEPARTAMETO GESTION ESTRATEGICA</t>
  </si>
  <si>
    <t>ANALISTA DE GESTION</t>
  </si>
  <si>
    <t>SEPULVEDA ARAVENA ROMINA</t>
  </si>
  <si>
    <t>SECCION CASINOS</t>
  </si>
  <si>
    <t>JEFE SECCION CASINO</t>
  </si>
  <si>
    <t>VIELMA MUÑOZ CLAUDIA</t>
  </si>
  <si>
    <t>SERV. BIENESTAR DEL PERSONAL</t>
  </si>
  <si>
    <t>TECNICO EN PARVULOS</t>
  </si>
  <si>
    <t>GONZALEZ FLORES JESSICA, UBILLA ALBORNOZ CAROL</t>
  </si>
  <si>
    <t>VICERRECTORIA DE ASUNTOS ECONOMICOS Y ADMINISTRATIVOS</t>
  </si>
  <si>
    <t>SECRETARIA DE VICERRECTORIA</t>
  </si>
  <si>
    <t xml:space="preserve">PAVEZ MIRANDA CAROLYN </t>
  </si>
  <si>
    <t>DEPTO. DE INGENIERIA EN OBRAS CIVILES</t>
  </si>
  <si>
    <t>SAEZ MADRID TATIANA</t>
  </si>
  <si>
    <t>DIRECCION DE FINANZAS</t>
  </si>
  <si>
    <t>TECNICO DE LABORATORIO DE ANALISIS E INVESTIGACION</t>
  </si>
  <si>
    <t>TAPIA ORELLANA WALTER</t>
  </si>
  <si>
    <t>MEDICO CIRUJANO</t>
  </si>
  <si>
    <t>ADMINISTRATIVO DE APOYO</t>
  </si>
  <si>
    <t>RAMOS MONSALVE ISSI</t>
  </si>
  <si>
    <t>RAMOS MONSALVE ISIS ALEJANDRA</t>
  </si>
  <si>
    <t>DEPARTAMENTO DE BIBLIOTECA</t>
  </si>
  <si>
    <t>BARRENECHEA PEREZ CARLOS, CANDIA ARANCIBIA VICTOR, DINAMARCA GALLEGOS GUSTAVO</t>
  </si>
  <si>
    <t>TECNICO DE BIBLIOTECA</t>
  </si>
  <si>
    <t>Junio y julio</t>
  </si>
  <si>
    <t>DE LA MAZA GONZALEZ MARIO, PORRAS PORRAS CARMEN, ROJAS OLIVARES JUAN, SILVA AZOCAR ALEJANDRO</t>
  </si>
  <si>
    <t>ASISTENTE DE BIBLIOTECA</t>
  </si>
  <si>
    <t>DEPARTAMENTO DE CALIDAD Y ACREDITACION DE CARRERAS</t>
  </si>
  <si>
    <t>ALARCON FUENZALIDA MAURICIO, ATALA PACHECO DENISSE</t>
  </si>
  <si>
    <t>COORDINADOR DE ACREDITACION DE CARRERAS</t>
  </si>
  <si>
    <t>GALDAMES AREVALO MARCELA</t>
  </si>
  <si>
    <t>PROFESOR HORAS DE CLASES</t>
  </si>
  <si>
    <t>ESCUELA DE PSICOLOGIA</t>
  </si>
  <si>
    <t>DEPARTAMENTO DE DESARROLLO DE PERSONAS</t>
  </si>
  <si>
    <t>ANALISTA DE GESTION DE PERSONAS</t>
  </si>
  <si>
    <t>VEGA SEPULVEDA LEONARDO</t>
  </si>
  <si>
    <t>DEPARTAMENTO DE ESTUDIOS</t>
  </si>
  <si>
    <t xml:space="preserve">ANALISTA DE ESTUDIOS EN CONTEXTO </t>
  </si>
  <si>
    <t>ACUÑA CRUZ MAURICIO</t>
  </si>
  <si>
    <t>DIRECCION DE COMUNICACIONES</t>
  </si>
  <si>
    <t>ANALISTA DE ESTUDIOS EN PROCESOS ANALITICOS</t>
  </si>
  <si>
    <t>ANALISTA DE ESTUDIOS EN COMPORTAMIENTO</t>
  </si>
  <si>
    <t>VASQUEZ DIAZ IGNACIO ANDRES</t>
  </si>
  <si>
    <t>ANALISTA DE GESTION ESTRATEGICA PERFIL HUMANISTA</t>
  </si>
  <si>
    <t>NO HAY SELECCIONADO</t>
  </si>
  <si>
    <t>CARRASCO YAÑEZ SOLANGE</t>
  </si>
  <si>
    <t>ANALISTA DE GESTION ESTRATEGICA PERFIL INGENIERO</t>
  </si>
  <si>
    <t>DIAZ CEPEDA MARIO</t>
  </si>
  <si>
    <t>DEPARTAMENTO DE INGENIERIA EN OBRAS CIVILES</t>
  </si>
  <si>
    <t>TECNICO NIVEL SUPERIOR EN COMPUTACION</t>
  </si>
  <si>
    <t>PEÑA GALAZ FELIPE</t>
  </si>
  <si>
    <t>ESCUELA DE OBTETRICIA Y PUERICULTURA</t>
  </si>
  <si>
    <t>DEPARTAMENTO DE INGENIERIA METALURGICA</t>
  </si>
  <si>
    <t>TECNICO DE LABORATORIO DE PROCESAMIENTO DE MINERALES</t>
  </si>
  <si>
    <t>RETAMALES SEPULVEDA HERNAN</t>
  </si>
  <si>
    <t>JEFE LABORATORIO DE ANALISIS QUIMICA</t>
  </si>
  <si>
    <t>DEPARTAMENTO DE MATEMATICA Y CIENCIAS DE LA COMPUTACION</t>
  </si>
  <si>
    <t>JEFE ADMINISTRATIVO DE DETO ACADEMICO</t>
  </si>
  <si>
    <t>CUBILLOS MONTECINO SOLEDAD</t>
  </si>
  <si>
    <t>DIRECCION DE DESARROLLO INSTITUCIONAL</t>
  </si>
  <si>
    <t>TRONCOSO ROSALES GISELA</t>
  </si>
  <si>
    <t>DIRECCION DE EXTENSION Y ACTIVIDADES CULTURALES</t>
  </si>
  <si>
    <t>VIOLIN PRIMERO TUTTI</t>
  </si>
  <si>
    <t>DUSTIN ALBERT CASSONET MEDINA</t>
  </si>
  <si>
    <t>ADMINISTRATIVO CONTABLE</t>
  </si>
  <si>
    <t>PENDIENTE</t>
  </si>
  <si>
    <t>DIRECCION DE PLANES Y PRESUPUESTOS</t>
  </si>
  <si>
    <t>CARVAJAL OSORIO MAGALY</t>
  </si>
  <si>
    <t>DEPARTAMENTO DE GESTION DE PERSONAS</t>
  </si>
  <si>
    <t>DIRECCION DE RELACIONES INTERUNIVERSITARIAS E INTERNACIONALES</t>
  </si>
  <si>
    <t>COORDINADOR DE MOVILIDAD ESTUDIANTIL Y DESARROLLO NACIONAL E INTERNACIONAL</t>
  </si>
  <si>
    <t>ADMINISTRATIVO DE REGISTRO CURRICULAR</t>
  </si>
  <si>
    <t>MUNDACA VERDUGO EDITH</t>
  </si>
  <si>
    <t>DEPARTAMENTO DE FISICA</t>
  </si>
  <si>
    <t>TECNOLOGO MEDICO</t>
  </si>
  <si>
    <t>HERNANDEZ CARREÑO CHERIE</t>
  </si>
  <si>
    <t xml:space="preserve">SECRETARIA DE DECANO </t>
  </si>
  <si>
    <t>BERRIOS FARIAS NOEMI</t>
  </si>
  <si>
    <t>INSTITUTO DE ESTUDIOS AVANZADOS</t>
  </si>
  <si>
    <t>INOSTROZA TOBAR SARA</t>
  </si>
  <si>
    <t>GODOY MANSILLA GONZALO</t>
  </si>
  <si>
    <t>DIGITADOR</t>
  </si>
  <si>
    <t>TECNICO EN PARVULO</t>
  </si>
  <si>
    <t>FIGUEROA GALVEZ CARMNE Y PEREZ SILVA DANIELA</t>
  </si>
  <si>
    <t>UNIDAD DE BIBLIOTECAS (DEPTO DE ING. QUIMICA)</t>
  </si>
  <si>
    <t>NAVARRO CABELLO HECTOR</t>
  </si>
  <si>
    <t>UNIDAD DE SERVICIOS ALIMENTARIOS</t>
  </si>
  <si>
    <t>MAESTRO DE COCINA</t>
  </si>
  <si>
    <t>MARTINEZ OLAVE JUAN</t>
  </si>
  <si>
    <t>VICEDECANATO DE CIENCIA</t>
  </si>
  <si>
    <t>SECRETARIA DE VICEDECANATO DE CIENCIA</t>
  </si>
  <si>
    <t>VICERRECTORIA DE APOYO GESTION Y DESARROLLO INSTITUCIONA</t>
  </si>
  <si>
    <t>ENTRENADOR DEPORTIVO</t>
  </si>
  <si>
    <t>ZELADA ALLENDE JORGE</t>
  </si>
  <si>
    <t>VICERRECTORIA DE VINCULACION CON EL MEDIO</t>
  </si>
  <si>
    <t xml:space="preserve">JEFE ADMINISTRATIVO </t>
  </si>
  <si>
    <t>ALBORNOZ SAN MARTIN GABRIELA</t>
  </si>
  <si>
    <t>SELECCIONADA- O EXTERNO</t>
  </si>
  <si>
    <t>DIFERENCIA DÍAS</t>
  </si>
  <si>
    <t>Secretario de Apoyo Docente</t>
  </si>
  <si>
    <t>SECRETARIA DE APOYO DOCENTE</t>
  </si>
  <si>
    <t>ZUNIGA PARDO MARCELA</t>
  </si>
  <si>
    <t>DPTO. TECNOLOGIAS INDUSTRIAL</t>
  </si>
  <si>
    <t>DEPARTAMENTO DE HISTORIA</t>
  </si>
  <si>
    <t>Encargado Administrativo de Unidad Académica</t>
  </si>
  <si>
    <t>JEFE ADMINISTRATIVO DE DEPARTAMENTO ACADEMICO</t>
  </si>
  <si>
    <t>PENALOZA YANEZ GERMINIA ANDREA</t>
  </si>
  <si>
    <t>INSTITUTO DE ESTUDIOS</t>
  </si>
  <si>
    <t>Encargado de Vinculación con el Medio</t>
  </si>
  <si>
    <t>ENCARGADO DE VINCULACION CON EL MEDIO</t>
  </si>
  <si>
    <t>CARMEN GLORIA BRAVO QUEZADA</t>
  </si>
  <si>
    <t>DECANATO DE CIENCIA</t>
  </si>
  <si>
    <t>Secretario B</t>
  </si>
  <si>
    <t>SECRETARIA DE VICEDECANO</t>
  </si>
  <si>
    <t>PALOMA NUNEZ ROBLES</t>
  </si>
  <si>
    <t>SECRETARIA DE DEPARTAMENTO</t>
  </si>
  <si>
    <t>PEÑA FAUNDEZ CLAUDIA</t>
  </si>
  <si>
    <t>Asistente de Laboratorio</t>
  </si>
  <si>
    <t>ASISTENTE DE LABORATORIO</t>
  </si>
  <si>
    <t>OTEIZA JEREZ HUMBERTO</t>
  </si>
  <si>
    <t>Técnico de Soporte Básico en Computación</t>
  </si>
  <si>
    <t>TECNICO DE SOPORTE BASICO</t>
  </si>
  <si>
    <t>HERMOSILLA PINO JESUS</t>
  </si>
  <si>
    <t>DEPARTAMENTO DE EDUCACION CONTINUA</t>
  </si>
  <si>
    <t>Analista de Educación Continua</t>
  </si>
  <si>
    <t>COORDINADOR DE EDUCACION CONTINUA</t>
  </si>
  <si>
    <t>DEPARTAMENTO EDITORIAL</t>
  </si>
  <si>
    <t>Administrativo Especializado</t>
  </si>
  <si>
    <t>ADMINISTRATIVO ESPECIALIZADO</t>
  </si>
  <si>
    <t>RIVERA VICENCIO LEON RICARDO</t>
  </si>
  <si>
    <t>DEPARTAMENTO DE RECURSOS HUMANOS</t>
  </si>
  <si>
    <t>Administrativo de Proceso</t>
  </si>
  <si>
    <t>ADMINISTRATIVO DE PROCESO</t>
  </si>
  <si>
    <t>ZENTENO VILLAGRAN MARCIA</t>
  </si>
  <si>
    <t>DEPARTAMENTO DE FINANZAS</t>
  </si>
  <si>
    <t>DEPARTAMENTO DE BIBLIOTECA CENTRAL</t>
  </si>
  <si>
    <t>Bibliotecario</t>
  </si>
  <si>
    <t>LOPEZ INIGUEZ LUCIO</t>
  </si>
  <si>
    <t>FUNDACION DE EGRESADOS Y AMIGOS</t>
  </si>
  <si>
    <t>Periodista</t>
  </si>
  <si>
    <t>10 1/2 JORNADA</t>
  </si>
  <si>
    <t>PEREZ SEBALLOS SIMON</t>
  </si>
  <si>
    <t>VICERRECTORIA DE APOYO AL ESTUDIANTE</t>
  </si>
  <si>
    <t>DEPARTAMENTO DE GESTION DEL DEPORTE Y CULTURA</t>
  </si>
  <si>
    <t>Entrenador Deportivo</t>
  </si>
  <si>
    <t>PROFESOR ENTRENADOR DE VOLEIBOL</t>
  </si>
  <si>
    <t>BUGUENO LIZAMA LUIS</t>
  </si>
  <si>
    <t>PRO. POR HORA</t>
  </si>
  <si>
    <t>Administrativo de Registro Curricular</t>
  </si>
  <si>
    <t>Auxiliar de Servicios</t>
  </si>
  <si>
    <t>AUXILIAR DE SERVICIO</t>
  </si>
  <si>
    <t xml:space="preserve">VASQUEZ JAUREGUI JOSE </t>
  </si>
  <si>
    <t>Analista de Gestión de Personas</t>
  </si>
  <si>
    <t>JUAN AVILES ZAPATA</t>
  </si>
  <si>
    <t>MILLANAO CORDOVA RICHARD</t>
  </si>
  <si>
    <t>SEPULVEDA SEPULVEDA MAGALY</t>
  </si>
  <si>
    <t>Secretario C</t>
  </si>
  <si>
    <t>Mayordomo</t>
  </si>
  <si>
    <t>CURIN TRUREO FRANCISCO</t>
  </si>
  <si>
    <t>ESCUELA DE OBSTETRICIA Y PUERICULTURA</t>
  </si>
  <si>
    <t>AHUMADA CASTILLO DANILO</t>
  </si>
  <si>
    <t>Encargado de Laboratorio</t>
  </si>
  <si>
    <t>SAMIT MENARES YESSENIA</t>
  </si>
  <si>
    <t>UNIDAD DE ADMINISTRACION DE SERVICIOS ALIMENTARIOS</t>
  </si>
  <si>
    <t>Ayudante Maestro de Cocina</t>
  </si>
  <si>
    <t>AYUDANTE DE MAESTRO DE COCINA</t>
  </si>
  <si>
    <t>JIMENEZ RETAMAL LUIS HERNAN</t>
  </si>
  <si>
    <t>VICERRECTORIA DE INVESTIGACION, DESARROLLO E INNOVACION</t>
  </si>
  <si>
    <t>ANALISTA QUIMICO</t>
  </si>
  <si>
    <t>QUIJADA SOTO CAROLINA</t>
  </si>
  <si>
    <t>Administrativo de Apoyo</t>
  </si>
  <si>
    <t>MANCILLA TAPIA GABRIELA</t>
  </si>
  <si>
    <t>Estafeta</t>
  </si>
  <si>
    <t>PEREZ FUENTES RICARDO</t>
  </si>
  <si>
    <t>Jefe de Laboratorio</t>
  </si>
  <si>
    <t>JEFE DE LABORATORIO ANALISIS QUIMICO</t>
  </si>
  <si>
    <t>MUNOZ ZUNIGA PATRICIA ELENA</t>
  </si>
  <si>
    <t>UNIDAD DE BIBLIOTECAS</t>
  </si>
  <si>
    <t>HECTOR NAVARRO CABELLO</t>
  </si>
  <si>
    <t>JOHANNA HUILLICAL ACEVEDO</t>
  </si>
  <si>
    <t>MARIA SUSANA BOIN MARABOLI</t>
  </si>
  <si>
    <t>DEPARTAMENTO DE COMUNICACIONES</t>
  </si>
  <si>
    <t>SANDRA GOMEZ SOTO</t>
  </si>
  <si>
    <t>RENE EDUARDO ESTAY ZORRICUETA</t>
  </si>
  <si>
    <t>FACULTAD DE CIENCIAS</t>
  </si>
  <si>
    <t>MARLENE PEREZ AGUILA</t>
  </si>
  <si>
    <t>ESCUELA DE ENFERMERIA</t>
  </si>
  <si>
    <t>JAIME ANTONIO ARCE LOPEZ</t>
  </si>
  <si>
    <t>DEPARTAMENTO DE MATEMATICAS Y CIENCIAS DE LA COMPUTACION</t>
  </si>
  <si>
    <t>JUAN CARLOS PALACIOS OSTOS</t>
  </si>
  <si>
    <t>Jefe de Finanzas</t>
  </si>
  <si>
    <t>JEFE DE FINANZAS</t>
  </si>
  <si>
    <t>LAURA LILLO MELLADO</t>
  </si>
  <si>
    <t>INGENIERIA INDUSTRIAL</t>
  </si>
  <si>
    <t>Analista de Estudios</t>
  </si>
  <si>
    <t>ANALISTA DE ESTUDIOS ANALITICOS</t>
  </si>
  <si>
    <t>MARCO ORELLANA PADILLA</t>
  </si>
  <si>
    <t>SOLEDAD FIERRO</t>
  </si>
  <si>
    <t>DEPARTAMENTO DE RELACIONES INTERNACIONALES E INTERUNIVERSITARIAS</t>
  </si>
  <si>
    <t>Diseñador Gráfico</t>
  </si>
  <si>
    <t>DISEÑADOR GRAFICO</t>
  </si>
  <si>
    <t>MACARENA CARCAMO MOREL</t>
  </si>
  <si>
    <t>Analista PS</t>
  </si>
  <si>
    <t>ANALISTA INFORMATICO ERP</t>
  </si>
  <si>
    <t>EDUARDO EUGENIO LIRA CORDINI</t>
  </si>
  <si>
    <t>DIRECCION DE ADMINISTRACION Y FINANZAS</t>
  </si>
  <si>
    <t>Cajero B 1º categoría</t>
  </si>
  <si>
    <t>CAJERO PRIMERA CATEGORIA</t>
  </si>
  <si>
    <t>VERONICA FLORES RETAMAL</t>
  </si>
  <si>
    <t>YESSENIA SAMIT</t>
  </si>
  <si>
    <t>DEPARTAMENTO DE ADMINISTRACION Y FINANZAS</t>
  </si>
  <si>
    <t>Administrativo Contable</t>
  </si>
  <si>
    <t>VICTOR ROJAS CHIGUAIHUEN</t>
  </si>
  <si>
    <t>FACULTAD  DE INGENIERIA</t>
  </si>
  <si>
    <t>DEPARTAMENTO DE INGENIERIA INFORMATICA</t>
  </si>
  <si>
    <t>MARGOT MUÑOZ MORENO</t>
  </si>
  <si>
    <t>DEPARTAMENTO  DE BENEFICIOS ESTUDIANTILES</t>
  </si>
  <si>
    <t>UNIDAD DE ATENCION DE SALUD</t>
  </si>
  <si>
    <t>Médicos y Dentistas</t>
  </si>
  <si>
    <t>22 HORAS</t>
  </si>
  <si>
    <t>FELIPE  COLLANTE MORALES</t>
  </si>
  <si>
    <t>SABINA HUERTA SERRANO</t>
  </si>
  <si>
    <t>Jefe de Oficina</t>
  </si>
  <si>
    <t>JEFE DE BIENES Y SERVICIOS</t>
  </si>
  <si>
    <t>GERARDO TOLEDO VILLEGAS</t>
  </si>
  <si>
    <t>CIENCIAS MEDICAS</t>
  </si>
  <si>
    <t>JULIAN PARDO CARRION</t>
  </si>
  <si>
    <t>DEPARTAMENTO DE INGENIERIA INDUSTRIAL</t>
  </si>
  <si>
    <t>NATALIA HERNANDEZ BERNAL</t>
  </si>
  <si>
    <t>DEPARTAMENTO DE INGENIERIA MECANICA</t>
  </si>
  <si>
    <t>PAULINA PICHIHUECHE VIERA</t>
  </si>
  <si>
    <t>MARIA ANGELICA VARGAS OSORIO</t>
  </si>
  <si>
    <t>RONALD BRAVO JORQUERA</t>
  </si>
  <si>
    <t>Analista de Gestión II</t>
  </si>
  <si>
    <t>ANALISTA II</t>
  </si>
  <si>
    <t>PIERO VITERI MADRID</t>
  </si>
  <si>
    <t>Técnico de Laboratorio</t>
  </si>
  <si>
    <t>LORENA VILLEGAS SEPULVEDA</t>
  </si>
  <si>
    <t>DEPARTAMENTO DE FINANZAS Y TESORERIA</t>
  </si>
  <si>
    <t>ADMINISTRATIVO CONTABLE DE CREDITO Y COBRANZAS</t>
  </si>
  <si>
    <t>CAROLA ACOSTA SANDOVAL</t>
  </si>
  <si>
    <t>DEPARTAMENTO DE TECNOLOGIAS INDUSTRIALES</t>
  </si>
  <si>
    <t>MARIANELA VALLEJOS BELMAR</t>
  </si>
  <si>
    <t>ALEJANDRA GONZALEZ GALAZ</t>
  </si>
  <si>
    <t>JOSE MIGUEL BRIZUELA MOYA</t>
  </si>
  <si>
    <t>Asistente de Biblioteca</t>
  </si>
  <si>
    <t>ANDRES ESPOSITO VERA</t>
  </si>
  <si>
    <t>Encargado de Sala</t>
  </si>
  <si>
    <t>INSPECTOR DE SALA DE LECTURA</t>
  </si>
  <si>
    <t>MANUEL ORTIZ OLIVARES</t>
  </si>
  <si>
    <t>ANGELO PEREZ RODRIGUEZ</t>
  </si>
  <si>
    <t>DEPARTAMENTO DE LINGÜISTICA Y LITERATURA</t>
  </si>
  <si>
    <t>JUAN CARLOS SANDOVAL ULLOA</t>
  </si>
  <si>
    <t>DEPARTAMENTO DE CALIDAD Y ACREDITACION</t>
  </si>
  <si>
    <t>Analista de Acreditación</t>
  </si>
  <si>
    <t>COORDINADOR DE ACREDITACION DE CARRERAS Y PROGRAMAS</t>
  </si>
  <si>
    <t>SELECCIONADOS</t>
  </si>
  <si>
    <t xml:space="preserve">VICTOR SOTO VALDIVIA </t>
  </si>
  <si>
    <t>CLAUDIA ORELLANA GARRIDO</t>
  </si>
  <si>
    <t>Analista de Movilidad</t>
  </si>
  <si>
    <t>COORDINADOR DE AREA</t>
  </si>
  <si>
    <t>GIANINA DE LA BARRERA</t>
  </si>
  <si>
    <t>RUT_PRELIM</t>
  </si>
  <si>
    <t>Administrativo de Compras</t>
  </si>
  <si>
    <t>ADMINISTRATIVO DE COMPRAS</t>
  </si>
  <si>
    <t>STEPHANIE RUBIO</t>
  </si>
  <si>
    <t>15723000-K</t>
  </si>
  <si>
    <t>REGULARIZACIÓN CONTRACTUAL</t>
  </si>
  <si>
    <t>CEUS-LLANQUIHUE</t>
  </si>
  <si>
    <t>Jefe de Sección</t>
  </si>
  <si>
    <t>JEFE DE SECCION</t>
  </si>
  <si>
    <t>MANUEL AVILA SOTO</t>
  </si>
  <si>
    <t>05891825-3</t>
  </si>
  <si>
    <t>PROCESO DE SELECCIÓN</t>
  </si>
  <si>
    <t>ALFREDO BOWEN</t>
  </si>
  <si>
    <t>CIRUJANO DENTISTA</t>
  </si>
  <si>
    <t>CAROLINA DEL VILLAR URRA</t>
  </si>
  <si>
    <t>16558294-2</t>
  </si>
  <si>
    <t>UNIDAD DE CONSTRUCCIONES</t>
  </si>
  <si>
    <t>Constructor Civil</t>
  </si>
  <si>
    <t>CONSTRUCTOR CIVIL</t>
  </si>
  <si>
    <t>RODRIGO ALONSO MENDOZA REINOSO</t>
  </si>
  <si>
    <t>08880762-6</t>
  </si>
  <si>
    <t>ARTURO GONZALEZ RIQUELME</t>
  </si>
  <si>
    <t>06649381-4</t>
  </si>
  <si>
    <t>VICERRCTORIA DE VINCULACION CON EL MEDIO</t>
  </si>
  <si>
    <t>ARCHIVO DE DOCUMENTACION GRAFICA Y AUDIOVISUAL</t>
  </si>
  <si>
    <t xml:space="preserve">ENCARGADO DE LABORATORIO </t>
  </si>
  <si>
    <t>ANDRES ZUNIGA MELLA</t>
  </si>
  <si>
    <t>15566567-K</t>
  </si>
  <si>
    <t>COMUNICADOR AUDIOVISUAL</t>
  </si>
  <si>
    <t>JAVIER HERRERA BECERRA</t>
  </si>
  <si>
    <t>16743291-3</t>
  </si>
  <si>
    <t>UNIE-CITECAMP</t>
  </si>
  <si>
    <t>JAVIER JIMENEZ BARADACCO</t>
  </si>
  <si>
    <t>16302498-5</t>
  </si>
  <si>
    <t>Analista de Gestión I</t>
  </si>
  <si>
    <t>ANALISTA I</t>
  </si>
  <si>
    <t>MARIA GALLEGOS REYES</t>
  </si>
  <si>
    <t>13935899-6</t>
  </si>
  <si>
    <t>Jefe de Área</t>
  </si>
  <si>
    <t>JEFE DE AREA</t>
  </si>
  <si>
    <t>JORGE CHAVEZ ROJAS</t>
  </si>
  <si>
    <t>12374267-2</t>
  </si>
  <si>
    <t>TRABAJO EN EQUIPO</t>
  </si>
  <si>
    <t>NICOLE ABRICOT MARCHANT</t>
  </si>
  <si>
    <t>16877266-1</t>
  </si>
  <si>
    <t>DEPARTAMENTO DE INVESTIGACIONES CIENTIFICAS Y TECNOLOGICAS</t>
  </si>
  <si>
    <t>ERIKA CATALAN CORNEJO</t>
  </si>
  <si>
    <t>13721127-0</t>
  </si>
  <si>
    <t>Encargado de Unidad Menor</t>
  </si>
  <si>
    <t>ENCARGADA OFICINA DE PARTES</t>
  </si>
  <si>
    <t>ANA BURGOS  HERNANDEZ</t>
  </si>
  <si>
    <t>16067135-1</t>
  </si>
  <si>
    <t>UNIDAD DE PROMOCION DE SALUD</t>
  </si>
  <si>
    <t>Psicólogo Clínico</t>
  </si>
  <si>
    <t>PSICOLOGO CLINICO</t>
  </si>
  <si>
    <t>DAPHNE PINOCHET VARGAS</t>
  </si>
  <si>
    <t>13199480-K</t>
  </si>
  <si>
    <t>Administrador de Sistemas</t>
  </si>
  <si>
    <t>ADMINISTRADOR DE SISTEMAS</t>
  </si>
  <si>
    <t>CRISTIAN VERGARA ESPINOZA</t>
  </si>
  <si>
    <t>10608447-5</t>
  </si>
  <si>
    <t>RECTORIA</t>
  </si>
  <si>
    <t>JAVIER DONOSO OYARZUN</t>
  </si>
  <si>
    <t>16749110-3</t>
  </si>
  <si>
    <t>OLGA GARRAO VIELMA</t>
  </si>
  <si>
    <t>08316934-6</t>
  </si>
  <si>
    <t>DIRECCION DE POSTGRADO</t>
  </si>
  <si>
    <t>PAULA AVILA MORAGA</t>
  </si>
  <si>
    <t>12024427-2</t>
  </si>
  <si>
    <t>DANIELA FIGUEROA VIDELA</t>
  </si>
  <si>
    <t>13432795-2</t>
  </si>
  <si>
    <t>Locutor</t>
  </si>
  <si>
    <t>LOCUTORA</t>
  </si>
  <si>
    <t>MURIEL RIVEROS SIERRA</t>
  </si>
  <si>
    <t>15797499-8</t>
  </si>
  <si>
    <t>CIESCOOP</t>
  </si>
  <si>
    <t>ELIZABETH PEREZ MONSALVE</t>
  </si>
  <si>
    <t>11834899-0</t>
  </si>
  <si>
    <t>MARIA DONOSO GOMIEN</t>
  </si>
  <si>
    <t>08542182-4</t>
  </si>
  <si>
    <t>CONCIENCIA ORGANIZACIONAL</t>
  </si>
  <si>
    <t>LIDERAZGO</t>
  </si>
  <si>
    <t>TOLERANCIA A LA PRESION</t>
  </si>
  <si>
    <t>AUTORIZACIÓN DIRECTA</t>
  </si>
  <si>
    <t>EDUARDO GUERRA ALCOCER</t>
  </si>
  <si>
    <t>06090242-9</t>
  </si>
  <si>
    <t>DIRECCION DE ASISTENCIA JURIDICA</t>
  </si>
  <si>
    <t>Abogado Dirección Jurídica</t>
  </si>
  <si>
    <t>ABOGADO</t>
  </si>
  <si>
    <t>CLAUDIA ALIAGA TORRAS</t>
  </si>
  <si>
    <t>11479909-2</t>
  </si>
  <si>
    <t>LUIS BOBADILLA MADRID</t>
  </si>
  <si>
    <t>16016388-7</t>
  </si>
  <si>
    <t>ELENA GALINDO AREVALO</t>
  </si>
  <si>
    <t>11850214-0</t>
  </si>
  <si>
    <t>ANA MARIA LEIVA ORELLANA</t>
  </si>
  <si>
    <t>11649015-3</t>
  </si>
  <si>
    <t>C</t>
  </si>
  <si>
    <t>EDISON CAMPOS FERNANDEZ</t>
  </si>
  <si>
    <t>17873394-K</t>
  </si>
  <si>
    <t>DEPARTAMENTO DE RELACIONES INTERUNIVERSITARIAS E INTERNACIONALES</t>
  </si>
  <si>
    <t xml:space="preserve">MAGALY FLORES HUICHIHUALA </t>
  </si>
  <si>
    <t>17738116-0</t>
  </si>
  <si>
    <t>E</t>
  </si>
  <si>
    <t>ANGELICA MORALES RAMIREZ</t>
  </si>
  <si>
    <t>09767915-0</t>
  </si>
  <si>
    <t>VICTORIA SILVA BRAVO</t>
  </si>
  <si>
    <t>07818802-2</t>
  </si>
  <si>
    <t xml:space="preserve"> VICERRECTORIA DE INVESTIGACION, DESARROLLO E INNOVACION</t>
  </si>
  <si>
    <t>Editor</t>
  </si>
  <si>
    <t>EDITOR</t>
  </si>
  <si>
    <t>JOSE LUIS MARTINEZ SALINAS</t>
  </si>
  <si>
    <t>07549490-4</t>
  </si>
  <si>
    <t>CRISTINA PARADA RIQUELME</t>
  </si>
  <si>
    <t>13284976-5</t>
  </si>
  <si>
    <t>Auditor</t>
  </si>
  <si>
    <t>AUDITOR</t>
  </si>
  <si>
    <t>CAMILA LEON CARBONELL</t>
  </si>
  <si>
    <t>16568171-1</t>
  </si>
  <si>
    <t>ROSA KLEIN BONACICH</t>
  </si>
  <si>
    <t>07811741-9</t>
  </si>
  <si>
    <t>UNIDAD DE CREDITO Y COBRANZA</t>
  </si>
  <si>
    <t>ADMNISTRATIVO CONTABLE RECAUDACION MATRICULAS</t>
  </si>
  <si>
    <t>ANDREA BRITO ALBORNOZ</t>
  </si>
  <si>
    <t>13750019-1</t>
  </si>
  <si>
    <t>ENCARGADO DE LABORATORIO (1/2 JORNADA)</t>
  </si>
  <si>
    <t>HUGO DAVID PEREZ HERRERA</t>
  </si>
  <si>
    <t>15374900-0</t>
  </si>
  <si>
    <t>MARIA JOSE DIAZ DIAZ</t>
  </si>
  <si>
    <t>13069424-1</t>
  </si>
  <si>
    <t>SECRETARIA DE VICEDECANATO</t>
  </si>
  <si>
    <t>GABRIELA MANCILLA TAPIA</t>
  </si>
  <si>
    <t>18243390-K</t>
  </si>
  <si>
    <t>CRISTIAN CESPEDES VASQUEZ</t>
  </si>
  <si>
    <t>15823407-6</t>
  </si>
  <si>
    <t>UNIDAD DE REGISTRO ACADEMICO Y CURRICULAR</t>
  </si>
  <si>
    <t>Administrativo de Registro Académico</t>
  </si>
  <si>
    <t>ADMINISTRATIVO DE REGISTRO ACADEMICO</t>
  </si>
  <si>
    <t>LINDSAY PARRA PIZARRO</t>
  </si>
  <si>
    <t>15504352-0</t>
  </si>
  <si>
    <t>UNIDAD DE REGISTRO  ACADEMICO</t>
  </si>
  <si>
    <t>DEPARTAMENTO DE SELLO EDITORIAL</t>
  </si>
  <si>
    <t>JOSE ARTURO ARROYO MANCILLA</t>
  </si>
  <si>
    <t>14484032-1</t>
  </si>
  <si>
    <t>DEPARTAMENTO DE BENEFICIOS ESTUDIANTILES</t>
  </si>
  <si>
    <t>LUISA ROJAS MENESES</t>
  </si>
  <si>
    <t>16151050-5</t>
  </si>
  <si>
    <t>JOSE ANTONIO ORTEGA PINO</t>
  </si>
  <si>
    <t>10596564-8</t>
  </si>
  <si>
    <t>DEPARTAMENTO DE INGENIERIA GEOGRAFICA</t>
  </si>
  <si>
    <t>PATRICIO EDUARDO RIVERA RETAMAL</t>
  </si>
  <si>
    <t>13137647-2</t>
  </si>
  <si>
    <t>INSPECTOR DE SALA</t>
  </si>
  <si>
    <t>PROGRAMA BACHILLERATO</t>
  </si>
  <si>
    <t>SERGIO ANDRES BRAVO VERGARA</t>
  </si>
  <si>
    <t>16076753-7</t>
  </si>
  <si>
    <t>Secretario A</t>
  </si>
  <si>
    <t>MAGDALENA CASTILLO DIAZ</t>
  </si>
  <si>
    <t>12359929-2</t>
  </si>
  <si>
    <t>DEPARTAMENTO DE CALIDAD DE VIDA ESTUDIANTIL</t>
  </si>
  <si>
    <t>ESCUELA DE PERIODISMO</t>
  </si>
  <si>
    <t>JOSE HUENUQUEO FERRADA</t>
  </si>
  <si>
    <t>16418228-2</t>
  </si>
  <si>
    <t>BILHA OJEDA TAPIA</t>
  </si>
  <si>
    <t>12100640-5</t>
  </si>
  <si>
    <t>CAROLINA FARAY FARAY</t>
  </si>
  <si>
    <t>18698458-6</t>
  </si>
  <si>
    <t>INGER VEGA GALARCE</t>
  </si>
  <si>
    <t>17391370-2</t>
  </si>
  <si>
    <t>DEPARTAMENTO DE PLANIFICACION PRESUPUESTARIA</t>
  </si>
  <si>
    <t>Analista Presupuestario</t>
  </si>
  <si>
    <t>ANALISTA DE PLANIFICACION PRESUPUESTARIA</t>
  </si>
  <si>
    <t>ARIEL LOPEZ GUZMAN</t>
  </si>
  <si>
    <t>13292352-3</t>
  </si>
  <si>
    <t>HERMAN KOHL CRUCES</t>
  </si>
  <si>
    <t>16006926-0</t>
  </si>
  <si>
    <t>HOSPITAL EL PINO</t>
  </si>
  <si>
    <t>MARIA ARNAIZ PEREZ</t>
  </si>
  <si>
    <t>13656668-7</t>
  </si>
  <si>
    <t>ADMINSTRATIVO ESPECIALIZADO</t>
  </si>
  <si>
    <t>JESSICA RIOZ MUNOZ</t>
  </si>
  <si>
    <t>13437512-4</t>
  </si>
  <si>
    <t>CARLOS OSSIO PINO</t>
  </si>
  <si>
    <t>08815409-6</t>
  </si>
  <si>
    <t>SECRETARIA DE SUBDIRECCION DE DOCENCIA</t>
  </si>
  <si>
    <t>JENNIFFER ABARCA MEDINA</t>
  </si>
  <si>
    <t>14160744-8</t>
  </si>
  <si>
    <t>Auxiliar de Enfermería</t>
  </si>
  <si>
    <t>AUXILIAR DE ENFERMERIA</t>
  </si>
  <si>
    <t>EVELYN FERNANDEZ GONZALEZ</t>
  </si>
  <si>
    <t>11193867-9</t>
  </si>
  <si>
    <t>KATHERINE VALLEJOS BARRIENTOS</t>
  </si>
  <si>
    <t>15415839-1</t>
  </si>
  <si>
    <t>Técnico de Biblioteca</t>
  </si>
  <si>
    <t>SUSANA BRAVO FUENTES</t>
  </si>
  <si>
    <t>16252531-K</t>
  </si>
  <si>
    <t>GLORIA RIVEROS</t>
  </si>
  <si>
    <t>AUDITOR DE SISTEMAS INFORMATICOS</t>
  </si>
  <si>
    <t>VICTOR SERRANO VERDUGO</t>
  </si>
  <si>
    <t>17315900-5</t>
  </si>
  <si>
    <t>DEPARTAMENTO DE ECONOMIA</t>
  </si>
  <si>
    <t>LILIBETTE CORREA MAULEN</t>
  </si>
  <si>
    <t>15450488-5</t>
  </si>
  <si>
    <t>ALEJANDRO GOMEZ SILVA</t>
  </si>
  <si>
    <t>13756635-4</t>
  </si>
  <si>
    <t>DEPARTAMENTO DE GESTION Y POLITICAS PUBLICAS</t>
  </si>
  <si>
    <t>ROSA FUENTES MARAMBIO</t>
  </si>
  <si>
    <t>13062616-5</t>
  </si>
  <si>
    <t>ADMINISTRACION GENERAL DE FONDO SOLIDARIO Y CREDITO UNIVERSITARIO</t>
  </si>
  <si>
    <t>MARIELA GALAZ MANCILLA</t>
  </si>
  <si>
    <t>15794628-5</t>
  </si>
  <si>
    <t>PROFESOR ENTRENADOR DE TENIS (1/2 JORNADA)</t>
  </si>
  <si>
    <t>ANDRES VASQUEZ SAAVEDRA</t>
  </si>
  <si>
    <t>08403087-2</t>
  </si>
  <si>
    <t>ROBERTO FLORES DONAS</t>
  </si>
  <si>
    <t>14154969-3</t>
  </si>
  <si>
    <t>MARIO DE LA MAZA</t>
  </si>
  <si>
    <t>LICENCIATURA EN CIENCIAS DE LA ACTIVIDAD FISICA</t>
  </si>
  <si>
    <t>MIRTA LEYTON CASTILLO</t>
  </si>
  <si>
    <t>09961713-6</t>
  </si>
  <si>
    <t>DIRECCION DE PREGRADO</t>
  </si>
  <si>
    <t>CARLA LUCERO CARO</t>
  </si>
  <si>
    <t>16567441-3</t>
  </si>
  <si>
    <t>GERALDINE ALVAREZ RUBILLO</t>
  </si>
  <si>
    <t>17254484-3</t>
  </si>
  <si>
    <t>SERGIO GAETE HERNANDEZ</t>
  </si>
  <si>
    <t>12477339-3</t>
  </si>
  <si>
    <t>SUPERVISOR DE MONITORES PROYECTO INGLES B-LEARNING</t>
  </si>
  <si>
    <t>JULIA BARRAZA SAN MARTIN</t>
  </si>
  <si>
    <t>12264463-4</t>
  </si>
  <si>
    <t>ANALISTA DE CAPACITACION Y DESARROLLO</t>
  </si>
  <si>
    <t>COORDINADOR DE SECCION DE CURSOS DEPORTIVOS</t>
  </si>
  <si>
    <t>CRISTIAN FERRADA MENDEZ</t>
  </si>
  <si>
    <t>12748537-2</t>
  </si>
  <si>
    <t>DEPARTAMENTO DE GESTION DE DEPORTE Y CULTURA</t>
  </si>
  <si>
    <t>MARCELO AVILA SOTO</t>
  </si>
  <si>
    <t>13063123-1</t>
  </si>
  <si>
    <t>RAQUEL AVILA GALVEZ</t>
  </si>
  <si>
    <t>12900867-9</t>
  </si>
  <si>
    <t>Asistente Social Personal</t>
  </si>
  <si>
    <t>ANGELICA FAJARDO LAZO</t>
  </si>
  <si>
    <t>16615699-8</t>
  </si>
  <si>
    <t>PROGRAMA DE BACHILLERATO</t>
  </si>
  <si>
    <t>Técnico Contable</t>
  </si>
  <si>
    <t>TECNICO CONTABLE</t>
  </si>
  <si>
    <t>RODRIGO BORQUEZ CONTRERAS</t>
  </si>
  <si>
    <t>13453913-5</t>
  </si>
  <si>
    <t>UNIDAD DE BIENESTAR DEL PERSONAL</t>
  </si>
  <si>
    <t>TECNICO ELECTRONICO</t>
  </si>
  <si>
    <t>ALEXEI ITURRIAGA CASTRO</t>
  </si>
  <si>
    <t>08771005-K</t>
  </si>
  <si>
    <t>ANDRES GONZALEZ SANTA CRUZ</t>
  </si>
  <si>
    <t>17089843-5</t>
  </si>
  <si>
    <t>CARMEN JULIA RIOSECO WACKERLING</t>
  </si>
  <si>
    <t>08038677-K</t>
  </si>
  <si>
    <t>HUGO BUSTOS SAEZ</t>
  </si>
  <si>
    <t>14284438-9</t>
  </si>
  <si>
    <t>FERNANDO ISLA RODRIGUEZ</t>
  </si>
  <si>
    <t>14349291-5</t>
  </si>
  <si>
    <t>MAURICIO VALENZUELA ARANCIBIA</t>
  </si>
  <si>
    <t>16861876-K</t>
  </si>
  <si>
    <t>ALEJANDRO MARTINEZ NAVIA</t>
  </si>
  <si>
    <t>14404679-K</t>
  </si>
  <si>
    <t>MIGUEL ROMAN FARIAS</t>
  </si>
  <si>
    <t>13451143-5</t>
  </si>
  <si>
    <t>DEPARTAMENTO DE REGISTRO ACADEMICO</t>
  </si>
  <si>
    <t>SUGEY VISCARRA REBOLLEDO</t>
  </si>
  <si>
    <t>17767326-9</t>
  </si>
  <si>
    <t>DANIEL JORDAN CASTRO</t>
  </si>
  <si>
    <t>13454355-8</t>
  </si>
  <si>
    <t>ALEXIS ARELLANO FARIAS</t>
  </si>
  <si>
    <t>15774828-9</t>
  </si>
  <si>
    <t>Administrativo de Recursos Humanos</t>
  </si>
  <si>
    <t>ADMINISTRATIVO DE RECURSOS HUMANOS</t>
  </si>
  <si>
    <t>MARTIN ANGULO RUIZ</t>
  </si>
  <si>
    <t>17741571-5</t>
  </si>
  <si>
    <t>JOSE EGANA RODRIGUEZ</t>
  </si>
  <si>
    <t>13640380-K</t>
  </si>
  <si>
    <t>Asistente Social Estudiantil</t>
  </si>
  <si>
    <t>PAULA HERNANDEZ BANNOUT</t>
  </si>
  <si>
    <t>13067959-5</t>
  </si>
  <si>
    <t>AUTOCONTROL</t>
  </si>
  <si>
    <t>PROFESOR ENTRENADOR DE ATLETISMO (1/2 JORNADA)</t>
  </si>
  <si>
    <t>ROXANA SILVA ZUNIGA</t>
  </si>
  <si>
    <t>15794147-K</t>
  </si>
  <si>
    <t>PROFESOR HORA</t>
  </si>
  <si>
    <t>13465223-3</t>
  </si>
  <si>
    <t>JORGE ANDRES PEREZ PARDO</t>
  </si>
  <si>
    <t>15348018-4</t>
  </si>
  <si>
    <t>DEPARTAMENTO DE INGENIERIA EN MINAS</t>
  </si>
  <si>
    <t>LUCIANO LEYTON SILVA</t>
  </si>
  <si>
    <t>16122030-2</t>
  </si>
  <si>
    <t>JEFE DE AREA DE CONTABILIDAD</t>
  </si>
  <si>
    <t>CLAUDIA PIZARRO VERA</t>
  </si>
  <si>
    <t>15979607-8</t>
  </si>
  <si>
    <t>Radio Controlador</t>
  </si>
  <si>
    <t>RADIO OPERADOR</t>
  </si>
  <si>
    <t>ALEXIS ARMIJO HUERTA</t>
  </si>
  <si>
    <t>17986671-4</t>
  </si>
  <si>
    <t>NICOLAS ORDENES FUENTES</t>
  </si>
  <si>
    <t>17007590-0</t>
  </si>
  <si>
    <t>Camarógrafo</t>
  </si>
  <si>
    <t>CAMAROGRAFO</t>
  </si>
  <si>
    <t>BASTIAN GONZALEZ TAPIA</t>
  </si>
  <si>
    <t>17167377-1</t>
  </si>
  <si>
    <t>JEFE DE SECCION DE BIBLIOTECA</t>
  </si>
  <si>
    <t>FRANCISCO BUSTOS NAULIN</t>
  </si>
  <si>
    <t>14147405-7</t>
  </si>
  <si>
    <t>NATALIA MEJIAS ROJAS</t>
  </si>
  <si>
    <t>17543051-2</t>
  </si>
  <si>
    <t>SECRETARIA DE DECANO</t>
  </si>
  <si>
    <t>LEONOR CORDERO RIQUELME</t>
  </si>
  <si>
    <t>15942362-K</t>
  </si>
  <si>
    <t>SECRETARIA DE SECRETARIO DE FACULTAD</t>
  </si>
  <si>
    <t>ESTEFANI LEIVA GONZALEZ</t>
  </si>
  <si>
    <t>17190373-4</t>
  </si>
  <si>
    <t>ALMA WILLSCHRE TAPIA</t>
  </si>
  <si>
    <t>08754079-0</t>
  </si>
  <si>
    <t>MARIELA PILQUINIR RETAMAL</t>
  </si>
  <si>
    <t>13680355-7</t>
  </si>
  <si>
    <t>DEPARTAMENTO DE REGISTRO ACADEMICO Y CURRICULAR</t>
  </si>
  <si>
    <t>ORIENTACION A LOS RESULTADOS</t>
  </si>
  <si>
    <t>Asistente de Mantención</t>
  </si>
  <si>
    <t>ASISTENTE DE MANTENCION</t>
  </si>
  <si>
    <t>PABLO ARIAS SALAZAR</t>
  </si>
  <si>
    <t>12240420-K</t>
  </si>
  <si>
    <t>CRISTIAN PENA GONZALEZ</t>
  </si>
  <si>
    <t>15539457-9</t>
  </si>
  <si>
    <t>MAGALY SEPULVEDA SEPULVEDA</t>
  </si>
  <si>
    <t>12688602-0</t>
  </si>
  <si>
    <t>Encargado Técnico de Laboratorio</t>
  </si>
  <si>
    <t>ENCARGADO TECNICO DE LABORATORIO</t>
  </si>
  <si>
    <t>DIEGO LLOPIS MEDINA</t>
  </si>
  <si>
    <t>15636029-5</t>
  </si>
  <si>
    <t>DANIELA ESTAY ZORRICUETA</t>
  </si>
  <si>
    <t>19283391-4</t>
  </si>
  <si>
    <t>PAMELA VEGA ESQUIVEL</t>
  </si>
  <si>
    <t>18463575-5</t>
  </si>
  <si>
    <t>MONICA MUNOZ RIQUELME</t>
  </si>
  <si>
    <t>12249498-5</t>
  </si>
  <si>
    <t>TECNICO DE SOPORTE BASICO EN COMPUTACION</t>
  </si>
  <si>
    <t>ROBERTO ORELLANA TAMAYO</t>
  </si>
  <si>
    <t>17411947-3</t>
  </si>
  <si>
    <t>LUIS FRIAS SAAVEDRA</t>
  </si>
  <si>
    <t>15623010-3</t>
  </si>
  <si>
    <t>COMUNICACION</t>
  </si>
  <si>
    <t>Técnico en Atención de Párvulos</t>
  </si>
  <si>
    <t>DANIELA IRIGOYEN INFANTE</t>
  </si>
  <si>
    <t>13920637-1</t>
  </si>
  <si>
    <t>ELIZABETH FUENTES ROJAS</t>
  </si>
  <si>
    <t>15585394-8</t>
  </si>
  <si>
    <t>ROMINA ROJAS TREMOLAO</t>
  </si>
  <si>
    <t>18756734-3</t>
  </si>
  <si>
    <t>PREOCUPACION POR EL ORDEN Y LA CLARIDAD</t>
  </si>
  <si>
    <t>HECTOR RIOS JARA</t>
  </si>
  <si>
    <t>16747183-8</t>
  </si>
  <si>
    <t>PROFESOR HRA</t>
  </si>
  <si>
    <t>TAMARA WONG</t>
  </si>
  <si>
    <t>ENCARGADO DE LABORATORIO</t>
  </si>
  <si>
    <t>CESAR LOPEZ RIVEROS</t>
  </si>
  <si>
    <t>13549917-K</t>
  </si>
  <si>
    <t>JUAN TOBAR CASTILLO</t>
  </si>
  <si>
    <t>08666537-9</t>
  </si>
  <si>
    <t>JOSE GUTIERREZ YANEZ</t>
  </si>
  <si>
    <t>15654866-9</t>
  </si>
  <si>
    <t>CRISTIAN PILQUIMAN ARANDA</t>
  </si>
  <si>
    <t>16639337-K</t>
  </si>
  <si>
    <t xml:space="preserve">EVELYN SANZANA PROBOSTE </t>
  </si>
  <si>
    <t>13688765-3</t>
  </si>
  <si>
    <t xml:space="preserve">DEPARTAMENTO DE FINANZAS Y TESORERIA </t>
  </si>
  <si>
    <t>PATRICIA JARA AREVALO</t>
  </si>
  <si>
    <t>11873105-0</t>
  </si>
  <si>
    <t>DEPARTAMENTO DE CIENCIAS DEL AMBIENTE</t>
  </si>
  <si>
    <t>EVELYN LARENAS MERA</t>
  </si>
  <si>
    <t>18277610-6</t>
  </si>
  <si>
    <t>INICIATIVA</t>
  </si>
  <si>
    <t>JOSE CARRIZO CRAIG</t>
  </si>
  <si>
    <t>12575053-2</t>
  </si>
  <si>
    <t>ENCARGADO DE LABORATRORIO</t>
  </si>
  <si>
    <t>RODRIGO ROBLEDO MATURANA</t>
  </si>
  <si>
    <t>16126204-8</t>
  </si>
  <si>
    <t>ADAPTABILIDAD AL CAMBIO</t>
  </si>
  <si>
    <t>DEPARTAMETO DE ASIGNACION DE BENEFICIOS ESTUDIANTILES</t>
  </si>
  <si>
    <t>FERNANDA MUNOZ VIDAL</t>
  </si>
  <si>
    <t>16964645-7</t>
  </si>
  <si>
    <t>PAMELA GALAZ LOYOLA</t>
  </si>
  <si>
    <t>12859252-0</t>
  </si>
  <si>
    <t>JORGE PENA BASCUR</t>
  </si>
  <si>
    <t>17672745-4</t>
  </si>
  <si>
    <t>MONICA MUÑOZ RIQUELME</t>
  </si>
  <si>
    <t>Registrador Curricular</t>
  </si>
  <si>
    <t>REGISTRADOR CURRICULAR</t>
  </si>
  <si>
    <t>MARICEL CEA PINO</t>
  </si>
  <si>
    <t>14178355-6</t>
  </si>
  <si>
    <t>JEFE DE OPERACIONES Y CONTABILIZACIONES</t>
  </si>
  <si>
    <t>FRANCISCO MORENO SOTO</t>
  </si>
  <si>
    <t>15851883-K</t>
  </si>
  <si>
    <t>RENE VILLARROEL RAMIREZ</t>
  </si>
  <si>
    <t>12468770-5</t>
  </si>
  <si>
    <t>VICTOR ROMERO</t>
  </si>
  <si>
    <t>Maestro de Cocina</t>
  </si>
  <si>
    <t>EDUARDO OYARCE AGUIRRE</t>
  </si>
  <si>
    <t>15342860-3</t>
  </si>
  <si>
    <t>JUAN MARTINEZ OLAVE</t>
  </si>
  <si>
    <t>DAMARIS MUNOZ FLORES</t>
  </si>
  <si>
    <t>19061920-6</t>
  </si>
  <si>
    <t>ANALISTA DE ACREDITACION DE CARRERAS Y PROGRAMAS</t>
  </si>
  <si>
    <t>JOSE MIGUEL SANHUEZA DE LA CRUZ</t>
  </si>
  <si>
    <t>16660732-9</t>
  </si>
  <si>
    <t>16921111-6</t>
  </si>
  <si>
    <t>JENIFER CELIS MENDEZ</t>
  </si>
  <si>
    <t>PENSAMIENTO ANALITICO</t>
  </si>
  <si>
    <t>Nutricionista</t>
  </si>
  <si>
    <t>NUTRICIONISTA</t>
  </si>
  <si>
    <t>MARIA BARRIGA FIGUEROA</t>
  </si>
  <si>
    <t>16912242-3</t>
  </si>
  <si>
    <t>DEPARTAMENTO DE QUIMICA DE LOS MATERIALES</t>
  </si>
  <si>
    <t>CAMILO BRAVO HIDALGO</t>
  </si>
  <si>
    <t>17670586-8</t>
  </si>
  <si>
    <t>SERGIA DEL VALLE (1/2 J)</t>
  </si>
  <si>
    <t>ELIZABETH ALARCON MORA</t>
  </si>
  <si>
    <t>15563432-4</t>
  </si>
  <si>
    <t>MYRTHA MIRANDA MIRANDA</t>
  </si>
  <si>
    <t>15639128-K</t>
  </si>
  <si>
    <t>FRANCISCA RODRIGUEZ MARTINEZ</t>
  </si>
  <si>
    <t>19183281-7</t>
  </si>
  <si>
    <t>JEFE DE SECCION DE TITULOS Y GRADOS</t>
  </si>
  <si>
    <t>JOSE HUENUQUEO MALLEO</t>
  </si>
  <si>
    <t>09703334-K</t>
  </si>
  <si>
    <t>CAJERO</t>
  </si>
  <si>
    <t>FABIOLA SILVA GUZMAN</t>
  </si>
  <si>
    <t>16143854-5</t>
  </si>
  <si>
    <t>UNIDAD DE COORDINACION INSTITUCIONAL</t>
  </si>
  <si>
    <t>CLAUDIA MORALES ROZAS</t>
  </si>
  <si>
    <t>11751199-5</t>
  </si>
  <si>
    <t>UNIDAD DE GESTION DEL CAMPUS</t>
  </si>
  <si>
    <t>OPERADOR TELEFONICO</t>
  </si>
  <si>
    <t>FANNY FARIAS MARTINEZ</t>
  </si>
  <si>
    <t>10678201-6</t>
  </si>
  <si>
    <t>ZULEMA LAVIN</t>
  </si>
  <si>
    <t>JORGE ESCOBAR MORALES</t>
  </si>
  <si>
    <t>04436770-K</t>
  </si>
  <si>
    <t>DANIELA VALLEJOS BELMAR</t>
  </si>
  <si>
    <t>13078261-2</t>
  </si>
  <si>
    <t>JEFE DE SECCION ACTIVO FIJO</t>
  </si>
  <si>
    <t>JESSICA MALDONADO HERMOSILLA</t>
  </si>
  <si>
    <t>16909766-6</t>
  </si>
  <si>
    <t>JOSE HERNANDEZ KAISER</t>
  </si>
  <si>
    <t>SILVIA ESTOLAZA NUNEZ</t>
  </si>
  <si>
    <t>14318501-K</t>
  </si>
  <si>
    <t>JORGE VEGA QUINTANILLA</t>
  </si>
  <si>
    <t>15585855-9</t>
  </si>
  <si>
    <t>SAMUEL BECERRA</t>
  </si>
  <si>
    <t>PROGRAMA DE RESPONSABILIDAD SOCIAL UNIVERSITARIA</t>
  </si>
  <si>
    <t>ANA CAROLINA ORTIZ LANDAETA</t>
  </si>
  <si>
    <t>15921217-3</t>
  </si>
  <si>
    <t>GEORGE RIQUELME CABRERA</t>
  </si>
  <si>
    <t>09765223-6</t>
  </si>
  <si>
    <t>ROSALINDO ROJAS</t>
  </si>
  <si>
    <t>DEPARTAMENTO DE INGENIERIA ELECTRICA</t>
  </si>
  <si>
    <t>JEFE DE LABORATORIO</t>
  </si>
  <si>
    <t>TOMAS CASTILLO CASTILLO</t>
  </si>
  <si>
    <t>15422866-7</t>
  </si>
  <si>
    <t>CAPACIDAD DE PLANIFICACION Y ORGANIZACION</t>
  </si>
  <si>
    <t>ROBERTO MORALES OJEDA</t>
  </si>
  <si>
    <t>13687608-2</t>
  </si>
  <si>
    <t>ENCARGADO DE LABORATORIO (DE DISEÑO)</t>
  </si>
  <si>
    <t>MACARENA CASTILLO PUMARINO</t>
  </si>
  <si>
    <t>15314756-6</t>
  </si>
  <si>
    <t>ENCARGADO ADMINISTRATIVO</t>
  </si>
  <si>
    <t>MARCIA ZENTENO VILLAGRAN</t>
  </si>
  <si>
    <t>11684269-6</t>
  </si>
  <si>
    <t>RAUL OSSES</t>
  </si>
  <si>
    <t>MARISOL RIQUELME RIQUELME</t>
  </si>
  <si>
    <t>11575535-8</t>
  </si>
  <si>
    <t>PROCESO INTERNO</t>
  </si>
  <si>
    <t>PROCESO EXTERNO O POSTERIOR</t>
  </si>
  <si>
    <t>N° PROCESOS NO-INTERNOS  
(TOT. DESIERTOS)</t>
  </si>
  <si>
    <t>DIAS LAB</t>
  </si>
  <si>
    <t>ANO</t>
  </si>
  <si>
    <t>Secretario(a) de Apoyo Docente</t>
  </si>
  <si>
    <t>Jornada Completa</t>
  </si>
  <si>
    <t>IVONNE FUENTEALBA PAREDES</t>
  </si>
  <si>
    <t>13483149-9</t>
  </si>
  <si>
    <t>CENTRO DE INSTRUMENTACION Y DESARROLLO ELECTRONICO</t>
  </si>
  <si>
    <t>Técnico(a) de Laboratorio</t>
  </si>
  <si>
    <t>TÉCNICO DE LABORATORIO</t>
  </si>
  <si>
    <t>MAURICIO MORALES CARRIEL</t>
  </si>
  <si>
    <t>16427277-K</t>
  </si>
  <si>
    <t>NATALIA MARDONES GOMEZ</t>
  </si>
  <si>
    <t>14207688-8</t>
  </si>
  <si>
    <t>DEPARTAMENTO DE MATEMATICA Y CIENCIA DE LA COMPUTACION</t>
  </si>
  <si>
    <t>Administrador(a) de Sistemas</t>
  </si>
  <si>
    <t>CLAUDIO FARIAS AGUILERA</t>
  </si>
  <si>
    <t>10228021-0</t>
  </si>
  <si>
    <t>FRANCISCO ACUNA CASTILLO</t>
  </si>
  <si>
    <t>17021753-5</t>
  </si>
  <si>
    <t>DEPARTAMENTO DE ASIGNACION DE BENEFICIOS ESTUDIANTILES</t>
  </si>
  <si>
    <t>Administrativo(a) Especializado</t>
  </si>
  <si>
    <t>FREDDY BRIONES GUTIERREZ</t>
  </si>
  <si>
    <t>12236278-7</t>
  </si>
  <si>
    <t>BUSQUEDA DE INFORMACION</t>
  </si>
  <si>
    <t>Publicista</t>
  </si>
  <si>
    <t>PUBLICISTA</t>
  </si>
  <si>
    <t>JOSE CORONADO JARA</t>
  </si>
  <si>
    <t>15894942-3</t>
  </si>
  <si>
    <t>LEONARDO COFRE CATALAN</t>
  </si>
  <si>
    <t>15830917-3</t>
  </si>
  <si>
    <t>Técnico(a) en Atención de Párvulos</t>
  </si>
  <si>
    <t>TECNICO DE PARVULOS</t>
  </si>
  <si>
    <t>MARIA CERDA ANCAMIL</t>
  </si>
  <si>
    <t>15454600-6</t>
  </si>
  <si>
    <t>Operador(a) de Caldera</t>
  </si>
  <si>
    <t>OPERADOR DE CALDERA</t>
  </si>
  <si>
    <t>VICTOR EGUILUZ CASTILLO</t>
  </si>
  <si>
    <t>07368541-9</t>
  </si>
  <si>
    <t>Mayordomo(a)</t>
  </si>
  <si>
    <t>CELSO SALGADO CARRILLANCA</t>
  </si>
  <si>
    <t>08152829-2</t>
  </si>
  <si>
    <t>RAUL DE LA VEGA</t>
  </si>
  <si>
    <t>Entrenador(a) Deportivo(a)</t>
  </si>
  <si>
    <t>PROFESOR ENTRENADOR DEPORTIVO</t>
  </si>
  <si>
    <t>1/2 Jornada</t>
  </si>
  <si>
    <t>ALEJANDRO TORO CATALAN</t>
  </si>
  <si>
    <t>15451437-6</t>
  </si>
  <si>
    <t>LUIS BUGUEÑO LIZAMA</t>
  </si>
  <si>
    <t>ELIZAEBTH  ROJAS CHIGUAIHUEN</t>
  </si>
  <si>
    <t>16025809-8</t>
  </si>
  <si>
    <t>PROFESOR ENTRENADOR DE PREPARACION FISICA</t>
  </si>
  <si>
    <t>MARCELO SOTO MUNOZ</t>
  </si>
  <si>
    <t>17243895-4</t>
  </si>
  <si>
    <t>JORGE ZELADA ALLENDE</t>
  </si>
  <si>
    <t>Administrativo(a) de Recursos Humanos</t>
  </si>
  <si>
    <t>YEAN MENDOZA GUIDOTTI</t>
  </si>
  <si>
    <t>18278977-1</t>
  </si>
  <si>
    <t>(MARCIA ZENTENO)</t>
  </si>
  <si>
    <t>Administrativo(a) de Registro Curricular</t>
  </si>
  <si>
    <t>-</t>
  </si>
  <si>
    <t>Encargado(a) Técnico(a) de Laboratorio</t>
  </si>
  <si>
    <t>JUDITH MOYANO FUENTES</t>
  </si>
  <si>
    <t>16342033-3</t>
  </si>
  <si>
    <t>FRANCISCA CESPEDES</t>
  </si>
  <si>
    <t>PROFESOR ENTRENADOR DEPORTIVO BASQUETBOL DAMAS</t>
  </si>
  <si>
    <t>FELIPE FRITZCHMANN SANCHEZ</t>
  </si>
  <si>
    <t>13902432-K</t>
  </si>
  <si>
    <t>CHRISTIAN POBLETE SCHNEIDER</t>
  </si>
  <si>
    <t>Administrativo(a) de Proceso</t>
  </si>
  <si>
    <t>JAZMIN AGUILERA SILVA</t>
  </si>
  <si>
    <t>13438026-8</t>
  </si>
  <si>
    <t>Secretario(a) C</t>
  </si>
  <si>
    <t>MILENA GOMEZ MEDINA</t>
  </si>
  <si>
    <t>18339692-7</t>
  </si>
  <si>
    <t>MARIA VALENZUELA</t>
  </si>
  <si>
    <t>Técnico(a) de Biblioteca</t>
  </si>
  <si>
    <t>CAROLINA ARENAS QUILAN</t>
  </si>
  <si>
    <t>13264920-0</t>
  </si>
  <si>
    <t>CARLOS BARRENECHEA</t>
  </si>
  <si>
    <t>DEPARTAMENTO DE CONTABILIDAD Y AUDITORIA</t>
  </si>
  <si>
    <t>CATHERINE GONZALEZ VELASQUEZ</t>
  </si>
  <si>
    <t>17381281-7</t>
  </si>
  <si>
    <t>Técnico(a) en Prevención de Riesgos</t>
  </si>
  <si>
    <t>TECNICO EN PREVENCION DE RIESGOS</t>
  </si>
  <si>
    <t>MIGUEL SALAZAR ZAMORANO</t>
  </si>
  <si>
    <t>16570996-9</t>
  </si>
  <si>
    <t>CENTRO DE INNOVACION Y TRANSFERENCIA TECNOLOGICA</t>
  </si>
  <si>
    <t>Jefe(a) de Sección</t>
  </si>
  <si>
    <t>KAREN ARRIAGADA RIVAS</t>
  </si>
  <si>
    <t>15797419-K</t>
  </si>
  <si>
    <t>MARGARITA LLORENS CORVALAN</t>
  </si>
  <si>
    <t>HILDA VERA GONZALEZ</t>
  </si>
  <si>
    <t>10147605-7</t>
  </si>
  <si>
    <t>Encargado(a) de Sala</t>
  </si>
  <si>
    <t>INSPECTOR  DE SALAS DE LECTURA</t>
  </si>
  <si>
    <t>CARLOS MARTINEZ HERRERA</t>
  </si>
  <si>
    <t>14179988-6</t>
  </si>
  <si>
    <t>Encargado(a) de Laboratorio</t>
  </si>
  <si>
    <t>ENCARGADO DE LABORATORIO DE EMBRIOLOGIA</t>
  </si>
  <si>
    <t>JORGE LILLO CONTRERAS</t>
  </si>
  <si>
    <t>16961705-8</t>
  </si>
  <si>
    <t>YESSENIA SAMIT MENARES</t>
  </si>
  <si>
    <t>ELIZABETH LOPEZ CORTES</t>
  </si>
  <si>
    <t>15050864-9</t>
  </si>
  <si>
    <t>Encargado(a) de Vinculación con el Medio</t>
  </si>
  <si>
    <t>MARIA PAZ LEMA COLECCHIO</t>
  </si>
  <si>
    <t>10059867-1</t>
  </si>
  <si>
    <t>FABIAN AGUILERA BARRAZA</t>
  </si>
  <si>
    <t>11740181-2</t>
  </si>
  <si>
    <t>JOAQUIN CURTZE REYES</t>
  </si>
  <si>
    <t>07406583-K</t>
  </si>
  <si>
    <t>PAULINA HIDALGO PEREZ</t>
  </si>
  <si>
    <t>Secretario(a) B</t>
  </si>
  <si>
    <t>SECRETARIA DE UNIDAD</t>
  </si>
  <si>
    <t>GABRIELA DIAZ BERTOLI</t>
  </si>
  <si>
    <t>18251296-6</t>
  </si>
  <si>
    <t>CAROL BUSTOS GARCIA</t>
  </si>
  <si>
    <t>12812753-4</t>
  </si>
  <si>
    <t>Administrativo(a) de Remuneraciones</t>
  </si>
  <si>
    <t>ADMINISTRATIVO DE REMUNERACIONES</t>
  </si>
  <si>
    <t>RENE HUECHE MARTIN</t>
  </si>
  <si>
    <t>15783465-7</t>
  </si>
  <si>
    <t>CENTRO DE ESTUDIOS EN CIENCIA Y TECNOLOGIA DE LOS ALIMENTOS</t>
  </si>
  <si>
    <t>SANDRA ARREDONDO RIVERA</t>
  </si>
  <si>
    <t>11047452-0</t>
  </si>
  <si>
    <t>JAZMIN AGUILERA</t>
  </si>
  <si>
    <t>JAIME ARCE LOPEZ</t>
  </si>
  <si>
    <t>09256451-7</t>
  </si>
  <si>
    <t>ROBERTO MORGADO CARRASCO</t>
  </si>
  <si>
    <t>08718049-2</t>
  </si>
  <si>
    <t>INGRID CANIULEF MENDEZ</t>
  </si>
  <si>
    <t>14381670-2</t>
  </si>
  <si>
    <t>MARIA ANTONIETA GONZALEZ</t>
  </si>
  <si>
    <t>VANESA CONTRERAS URBINA</t>
  </si>
  <si>
    <t>12240422-6</t>
  </si>
  <si>
    <t>PATRICIA ROJAS</t>
  </si>
  <si>
    <t>Analista de Planificación y Análisis</t>
  </si>
  <si>
    <t>ELSA CARRASCO FERNANDEZ</t>
  </si>
  <si>
    <t>14044448-0</t>
  </si>
  <si>
    <t>VALERIA ULLOA DAVIS</t>
  </si>
  <si>
    <t>17050435-6</t>
  </si>
  <si>
    <t>Administrativo(a) de Apoyo</t>
  </si>
  <si>
    <t>PAOLA SIRANDONI POLITIS</t>
  </si>
  <si>
    <t>08039104-8</t>
  </si>
  <si>
    <t>ANDREA SEPULVEDA PADILLA</t>
  </si>
  <si>
    <t>GLORIA MATTA BECERRA</t>
  </si>
  <si>
    <t>12889130-7</t>
  </si>
  <si>
    <t>PEDRO SAAVEDRA SANCHEZ</t>
  </si>
  <si>
    <t>16628961-0</t>
  </si>
  <si>
    <t>ELISA ESPINOZA ABRIGO</t>
  </si>
  <si>
    <t>11852318-0</t>
  </si>
  <si>
    <t>MARIA ANGELICA VALENZUELA GOMEZ</t>
  </si>
  <si>
    <t>Médicos(as) y Dentistas</t>
  </si>
  <si>
    <t xml:space="preserve">1/4 Jornada </t>
  </si>
  <si>
    <t>Por 11 hrs. Ley 15.076</t>
  </si>
  <si>
    <t>CATHERINE DIAZ SANHUEZA</t>
  </si>
  <si>
    <t>17349924-8</t>
  </si>
  <si>
    <t>MARIO VALENZUELA OLEA</t>
  </si>
  <si>
    <t>ERICH RAMIREZ ALMARZA</t>
  </si>
  <si>
    <t>10071458-2</t>
  </si>
  <si>
    <t>DEPARTAMENTO DE LINGÜÍSTICA Y LITERATURA</t>
  </si>
  <si>
    <t>GERALDINE ASTETE IBARRA</t>
  </si>
  <si>
    <t>11902612-1</t>
  </si>
  <si>
    <t>JOSE ORTEGA PINO</t>
  </si>
  <si>
    <t>MARIANELA MUNOZ CARVAJAL</t>
  </si>
  <si>
    <t>09993392-5</t>
  </si>
  <si>
    <t>ADMINISTRATIVO DE PROCESOS</t>
  </si>
  <si>
    <t>PAULA LEIVA DURAN</t>
  </si>
  <si>
    <t>13042684-0</t>
  </si>
  <si>
    <t>Técnico(a) de Soporte Básico en Computación</t>
  </si>
  <si>
    <t>JOSE CONTRERAS MUNOZ</t>
  </si>
  <si>
    <t>17767682-9</t>
  </si>
  <si>
    <t>Analista Informático</t>
  </si>
  <si>
    <t>ANALISTA INFORMATICO</t>
  </si>
  <si>
    <t>MAURICIO LOPEZ TAPIA</t>
  </si>
  <si>
    <t>15428031-6</t>
  </si>
  <si>
    <t>UNIDAD DE ADQUISICIONES</t>
  </si>
  <si>
    <t>ELIANA BAEZ SOTO</t>
  </si>
  <si>
    <t>09098074-2</t>
  </si>
  <si>
    <t>MONICA RIVERA</t>
  </si>
  <si>
    <t>ALEJANDRA GONZALEZ SARAVIA</t>
  </si>
  <si>
    <t>10526735-5</t>
  </si>
  <si>
    <t>FANNY FARIAS</t>
  </si>
  <si>
    <t>ARNALDO PEREZ CONTRERAS</t>
  </si>
  <si>
    <t>13496946-6</t>
  </si>
  <si>
    <t>CARLOS BUSTAMANTE HENRIQUEZ</t>
  </si>
  <si>
    <t>RODRIGO CAROCA MARTINEZ</t>
  </si>
  <si>
    <t>12513939-6</t>
  </si>
  <si>
    <t>BERNARDA DIAZ DIAZ</t>
  </si>
  <si>
    <t>15415292-K</t>
  </si>
  <si>
    <t>PROFESOR ENTRENADOR DEPORTIVO FUTBOL</t>
  </si>
  <si>
    <t>GIOVANNI NATALI FLANDEZ</t>
  </si>
  <si>
    <t>16390660-0</t>
  </si>
  <si>
    <t>HUGO MULCHI COSSIO</t>
  </si>
  <si>
    <t>14526364-6</t>
  </si>
  <si>
    <t>JUAN MORENO HUICHIPANE</t>
  </si>
  <si>
    <t>10506791-7</t>
  </si>
  <si>
    <t>DEPARTAMENTO DE GESTION Y CONTROL DE CONTRATOS</t>
  </si>
  <si>
    <t>Abogado(a) Control de Contratos</t>
  </si>
  <si>
    <t>GERMAN LEDEZMA URTUBIA</t>
  </si>
  <si>
    <t>14310630-6</t>
  </si>
  <si>
    <t xml:space="preserve">DEPARTAMENTO DE COMUNICACIONES </t>
  </si>
  <si>
    <t xml:space="preserve">PERIODISTA </t>
  </si>
  <si>
    <t>TOMAS PARKER CERDA</t>
  </si>
  <si>
    <t>14123013-1</t>
  </si>
  <si>
    <t>13898274-2</t>
  </si>
  <si>
    <t>JAIME BASAEZ</t>
  </si>
  <si>
    <t>ARIEL ALMONACID MOLINA</t>
  </si>
  <si>
    <t>18767118-3</t>
  </si>
  <si>
    <t>JOSE ARROYO MANCILLA</t>
  </si>
  <si>
    <t>TÉCNICO DE SOPORTE BÁSICO EN COMPUTACIÓN</t>
  </si>
  <si>
    <t>CRISTIAN ROJAS CABALLERO</t>
  </si>
  <si>
    <t>13665776-3</t>
  </si>
  <si>
    <t>CLAUDIO YOTSUMOTO</t>
  </si>
  <si>
    <t>Analista de Proyectos I</t>
  </si>
  <si>
    <t>ANALISTA DE PROYECTOS</t>
  </si>
  <si>
    <t>LUCIANO HIDALGO SEPULVEDA</t>
  </si>
  <si>
    <t>16749757-8</t>
  </si>
  <si>
    <t>FRANCISCA MIRANDA REYES</t>
  </si>
  <si>
    <t>16006444-7</t>
  </si>
  <si>
    <t>JUAN HERNANDEZ HERNANDEZ</t>
  </si>
  <si>
    <t>13068230-8</t>
  </si>
  <si>
    <t>JOSELYN MAULEN MANRIQUEZ</t>
  </si>
  <si>
    <t>16666160-9</t>
  </si>
  <si>
    <t>JUAN SALINAS</t>
  </si>
  <si>
    <t>ALEXIS CABELLO ARAVENA</t>
  </si>
  <si>
    <t>16951912-9</t>
  </si>
  <si>
    <t>BRIAN LUNA MARTINEZ</t>
  </si>
  <si>
    <t>16924975-K</t>
  </si>
  <si>
    <t>SERGIO ALEGRIA NUNEZ</t>
  </si>
  <si>
    <t>05900912-5</t>
  </si>
  <si>
    <t>MIRIAM MORALES RIVERA</t>
  </si>
  <si>
    <t>13937544-0</t>
  </si>
  <si>
    <t>VALENTINA DEL CAMPO ESCARATE</t>
  </si>
  <si>
    <t>09063120-9</t>
  </si>
  <si>
    <t>CRISTINA BARRIA</t>
  </si>
  <si>
    <t>Bibliotecario(a)</t>
  </si>
  <si>
    <t>MABEL MATSUMOTO JIMENEZ</t>
  </si>
  <si>
    <t>14003220-4</t>
  </si>
  <si>
    <t>PEDRO CASTRO AGUSTO</t>
  </si>
  <si>
    <t>07687205-8</t>
  </si>
  <si>
    <t>ARNALDO PEREZ</t>
  </si>
  <si>
    <t>Técnico(a) Eléctrico</t>
  </si>
  <si>
    <t>TECNICO ELECTRICO</t>
  </si>
  <si>
    <t>MAURICIO PIZARRO GONZALEZ</t>
  </si>
  <si>
    <t>13353713-9</t>
  </si>
  <si>
    <t>EGOR MONTECINOS</t>
  </si>
  <si>
    <t>ANGELICA FLORES FERNANDEZ</t>
  </si>
  <si>
    <t>10874837-0</t>
  </si>
  <si>
    <t>Matrón(a)</t>
  </si>
  <si>
    <t>MATRONA</t>
  </si>
  <si>
    <t>ESTEFANIA DE LA PENA PARADA</t>
  </si>
  <si>
    <t>15617714-8</t>
  </si>
  <si>
    <t>PAULINA DIAZ ROZAS</t>
  </si>
  <si>
    <t>RODRIGO HUERTA GATICA</t>
  </si>
  <si>
    <t>14201293-6</t>
  </si>
  <si>
    <t>Encargado(a) de Bodega, Bienes y Servicios</t>
  </si>
  <si>
    <t>ENCARGADO DE BODEGA</t>
  </si>
  <si>
    <t>FERNANDO VASQUEZ RAMIREZ</t>
  </si>
  <si>
    <t>10275145-0</t>
  </si>
  <si>
    <t>ALEJANDRO GOMEZ</t>
  </si>
  <si>
    <t>SUSANA CERDA ARANCIBIA</t>
  </si>
  <si>
    <t>17879933-9</t>
  </si>
  <si>
    <t>JACOB BORQUEZ SOTO</t>
  </si>
  <si>
    <t>Administrativo(a) Contable</t>
  </si>
  <si>
    <t>MARIA PAZ CUBILLOS CASTRO</t>
  </si>
  <si>
    <t>17663754-4</t>
  </si>
  <si>
    <t>PAULA LEIVA</t>
  </si>
  <si>
    <t>DANIELA OLATE SALINAS</t>
  </si>
  <si>
    <t>16660591-1</t>
  </si>
  <si>
    <t>JONATHAN MONTECINOS ASTROZA</t>
  </si>
  <si>
    <t>19258950-9</t>
  </si>
  <si>
    <t>NELLY GUTIERREZ IBACETA</t>
  </si>
  <si>
    <t>14367797-4</t>
  </si>
  <si>
    <t>UNIDAD DE INNOVACION EDUCATIVA</t>
  </si>
  <si>
    <t>DANIELA MATURANA CASTILLO</t>
  </si>
  <si>
    <t>15843366-4</t>
  </si>
  <si>
    <t>JORGE MARCHANT</t>
  </si>
  <si>
    <t>DANIELA BERTHOLET RODRIGUEZ</t>
  </si>
  <si>
    <t>15642034-4</t>
  </si>
  <si>
    <t>ELISA MARCHANT</t>
  </si>
  <si>
    <t>LEONARDO LOPEZ LOPEZ</t>
  </si>
  <si>
    <t>13554568-6</t>
  </si>
  <si>
    <t>LISSETTE DURAN SILVA</t>
  </si>
  <si>
    <t>16928712-0</t>
  </si>
  <si>
    <t>RUTH VERGARA MUNOZ</t>
  </si>
  <si>
    <t>13462160-5</t>
  </si>
  <si>
    <t>SORAYA ABARCA CERDA</t>
  </si>
  <si>
    <t>13254211-2</t>
  </si>
  <si>
    <t>JAIME PARRAGUEZ ROZAS</t>
  </si>
  <si>
    <t>12880526-5</t>
  </si>
  <si>
    <t>CHRISTIAN LLANOS BARRERA</t>
  </si>
  <si>
    <t>16379746-1</t>
  </si>
  <si>
    <t>MARCOS HERNANDEZ CAMPOS</t>
  </si>
  <si>
    <t>ESTER ZUNIGA ESPINOZA</t>
  </si>
  <si>
    <t>17251936-9</t>
  </si>
  <si>
    <t>ANA MARIA MUNOZ SEGUEL</t>
  </si>
  <si>
    <t>Jefe(a) de Laboratorio</t>
  </si>
  <si>
    <t>DANIELA BRICENO GUTIERREZ</t>
  </si>
  <si>
    <t>15665644-5</t>
  </si>
  <si>
    <t>RUBEN GARATE COLLADO</t>
  </si>
  <si>
    <t>ALEX ARAYA LILLO</t>
  </si>
  <si>
    <t>17254189-5</t>
  </si>
  <si>
    <t>UNIDAD DE RADIO</t>
  </si>
  <si>
    <t>Radio Controlador(a)</t>
  </si>
  <si>
    <t>RADIO CONTROLADOR</t>
  </si>
  <si>
    <t>PEDRO ZAMORANO ROBLERO</t>
  </si>
  <si>
    <t>17662691-7</t>
  </si>
  <si>
    <t>FLEXIBILIDAD</t>
  </si>
  <si>
    <t>ALDO MIRANDA PORRAS</t>
  </si>
  <si>
    <t>Analista Contable II</t>
  </si>
  <si>
    <t>ANALISTA CONTABLE II</t>
  </si>
  <si>
    <t>LESLEY DOÑA RIOSECO</t>
  </si>
  <si>
    <t>13923654-8</t>
  </si>
  <si>
    <t>LUIS CONCHA</t>
  </si>
  <si>
    <t>ROCIO BERRIOS SANHUEZA</t>
  </si>
  <si>
    <t>16176069-2</t>
  </si>
  <si>
    <t>MARION DONOSO PAVEZ</t>
  </si>
  <si>
    <t>10972162-K</t>
  </si>
  <si>
    <t>SEBASTIAN ROJAS (jessica maldonado honorarios)</t>
  </si>
  <si>
    <t>GIOVANNI MEDINA ALVAREZ</t>
  </si>
  <si>
    <t>17255425-3</t>
  </si>
  <si>
    <t>PEDRO YANEZ</t>
  </si>
  <si>
    <t>LUIS PAVEZ GAMBOA</t>
  </si>
  <si>
    <t>17102425-0</t>
  </si>
  <si>
    <t>MAURICIO PIZARRO</t>
  </si>
  <si>
    <t>14476981-3</t>
  </si>
  <si>
    <t>Administrativo</t>
  </si>
  <si>
    <t>Secretaria Docente</t>
  </si>
  <si>
    <t>Departamento de Tecnologia Industriales</t>
  </si>
  <si>
    <t>DANIELA VALLEJOS</t>
  </si>
  <si>
    <t>BELEN PEREZ CAAMAÑO</t>
  </si>
  <si>
    <t>17671702-5</t>
  </si>
  <si>
    <t>DAVID MORAGA ESPINOZA</t>
  </si>
  <si>
    <t>14160336-1</t>
  </si>
  <si>
    <t>ADMINISTRACION GENERAL DEL FONDO SOLIDARIO Y CREDITO UNIVERSITARIO</t>
  </si>
  <si>
    <t>JEFE DE SECCION (CONTABILIDAD)</t>
  </si>
  <si>
    <t>ELIAS VERDUGO JARA</t>
  </si>
  <si>
    <t>16987564-2</t>
  </si>
  <si>
    <t>DPTO. DE INGENIERIA MECANICA</t>
  </si>
  <si>
    <t>Encargado(a) Administrativo(a) de Unidad Académica</t>
  </si>
  <si>
    <t>ENCARG. ADMIN. UNIDAD ACADEM.</t>
  </si>
  <si>
    <t>CARLOS TAIBA VALENZUELA</t>
  </si>
  <si>
    <t>6699643-3</t>
  </si>
  <si>
    <t xml:space="preserve">JAIME JIMENEZ </t>
  </si>
  <si>
    <t>DPTO. DE FINANZAS Y TESORERIA</t>
  </si>
  <si>
    <t>MARYORIE MEDINA GOMEZ</t>
  </si>
  <si>
    <t>14156475-7</t>
  </si>
  <si>
    <t>DPTO. DE INGENIERIA INFORMATICA</t>
  </si>
  <si>
    <t>15623289-0</t>
  </si>
  <si>
    <t>PROF. HRS</t>
  </si>
  <si>
    <t>10974588-K</t>
  </si>
  <si>
    <t>ENC. LABORATORIO</t>
  </si>
  <si>
    <t>VR. ACADEMICA</t>
  </si>
  <si>
    <t>EDISON CAPRILE PONS</t>
  </si>
  <si>
    <t>12798257-0</t>
  </si>
  <si>
    <t>16141569-3</t>
  </si>
  <si>
    <t>BIBLIOTECARIA</t>
  </si>
  <si>
    <t>FRANCISCO MENARES BUSTAMANTE</t>
  </si>
  <si>
    <t>16696867-4</t>
  </si>
  <si>
    <t>JORGE REYES HERRERA</t>
  </si>
  <si>
    <t>DPTO. DE INGENIERIA EN MINAS</t>
  </si>
  <si>
    <t>ALEJANDRA OPAZO MARTINEZ</t>
  </si>
  <si>
    <t>9127516-3</t>
  </si>
  <si>
    <t>SOLEDAD SAN MARTIN AZUA</t>
  </si>
  <si>
    <t>13092635-5</t>
  </si>
  <si>
    <t>MILENA GOMEZ</t>
  </si>
  <si>
    <t>DPTO. DE CIENCIA Y TEC.DE LOS ALIM</t>
  </si>
  <si>
    <t>7411329-K</t>
  </si>
  <si>
    <t>ASISTENTE BIBLIOTECA</t>
  </si>
  <si>
    <t>ANA ROJAS MAÑALICH</t>
  </si>
  <si>
    <t>GUACOLDA SILVA LUQUE</t>
  </si>
  <si>
    <t>13839647-9</t>
  </si>
  <si>
    <t>DPTO. DE DESARROLLO DE PERSONAS</t>
  </si>
  <si>
    <t>TAMARA SALGADO CAYUL</t>
  </si>
  <si>
    <t>18671900-K</t>
  </si>
  <si>
    <t>UNIDAD DE ADM. SERV. ALIMENTARIOS</t>
  </si>
  <si>
    <t>Ayudante Maestro(a) de Cocina</t>
  </si>
  <si>
    <t>AYUDANTE MAESTRO DE COCINA</t>
  </si>
  <si>
    <t>DOMINGO SOTO JAQUE</t>
  </si>
  <si>
    <t>12005782-0</t>
  </si>
  <si>
    <t>LUIS JIMENEZ</t>
  </si>
  <si>
    <t>LORENA IBARRA ACOSTA</t>
  </si>
  <si>
    <t>11390994-3</t>
  </si>
  <si>
    <t>ROSA LEYTON</t>
  </si>
  <si>
    <t>Constructor(a) Civil</t>
  </si>
  <si>
    <t>RODRIGO FARIAS GODOY</t>
  </si>
  <si>
    <t>13282283-2</t>
  </si>
  <si>
    <t>DANIEL BARROS VASQUEZ</t>
  </si>
  <si>
    <t>16067829-1</t>
  </si>
  <si>
    <t>SERGIA DEL VALLE</t>
  </si>
  <si>
    <t>FERNANDO ABARCA BACK</t>
  </si>
  <si>
    <t>15644487-1</t>
  </si>
  <si>
    <t>ORLANDO AMPUERO MEZA</t>
  </si>
  <si>
    <t>17284001-9</t>
  </si>
  <si>
    <t>FRANCISCO MILLAR SANCHEZ</t>
  </si>
  <si>
    <t>DPTO. DE LINGUISTICA Y LITERATURA</t>
  </si>
  <si>
    <t>CECILIA SEPULVEDA SEPULVEDA</t>
  </si>
  <si>
    <t>12640960-5</t>
  </si>
  <si>
    <t>FACULTAD DE ADMINIST Y ECONOMI</t>
  </si>
  <si>
    <t>SECRETARIA DE CENTRO</t>
  </si>
  <si>
    <t>LESLIE MERIÑO MERIÑO</t>
  </si>
  <si>
    <t>18082414-6</t>
  </si>
  <si>
    <t>AUTORIZADO 2015</t>
  </si>
  <si>
    <t>CINTHIA UNDURRAGA IBACETA</t>
  </si>
  <si>
    <t>15327094-5</t>
  </si>
  <si>
    <t>SEBASTIAN DEL CANTO ORTEGA</t>
  </si>
  <si>
    <t>17031660-6</t>
  </si>
  <si>
    <t>JOCELYN VALENZUELA MELLA</t>
  </si>
  <si>
    <t>SOLEDAD VELOSO GARCIA</t>
  </si>
  <si>
    <t>13207216-7</t>
  </si>
  <si>
    <t>PABLO ZOLEZZI LABRA</t>
  </si>
  <si>
    <t>OLENKHA CEPEDA BRITO</t>
  </si>
  <si>
    <t>16953840-9</t>
  </si>
  <si>
    <t>LUCIO LOPEZ IÑIQUEZ</t>
  </si>
  <si>
    <t>DPTO. DE INGENIERIA QUIMICA</t>
  </si>
  <si>
    <t>MARCO VALDEBENITO PINILLA</t>
  </si>
  <si>
    <t>18050994-1</t>
  </si>
  <si>
    <t>LUIS CIFUENTES SANCHEZ</t>
  </si>
  <si>
    <t>TAKURI TAPIA MUÑOZ</t>
  </si>
  <si>
    <t>17030357-1</t>
  </si>
  <si>
    <t>OSCAR FIGUEROA SAN MARTIN</t>
  </si>
  <si>
    <t>12506937-1</t>
  </si>
  <si>
    <t>UNIDAD DE PROMOCION DE LA SALUD</t>
  </si>
  <si>
    <t>Psicólogo(a)</t>
  </si>
  <si>
    <t>PSICOLOGO_CLINICO</t>
  </si>
  <si>
    <t>LEYLA CHAJTUR ZAMUDIO</t>
  </si>
  <si>
    <t>15916447-0</t>
  </si>
  <si>
    <t>MARIO CASTILLO MANZANO</t>
  </si>
  <si>
    <t>VERONICA RAMIREZ ARRUE</t>
  </si>
  <si>
    <t>12234367-7</t>
  </si>
  <si>
    <t>DPTO. DE EDUCACION</t>
  </si>
  <si>
    <t>3/4 Jornada</t>
  </si>
  <si>
    <t>CRISTIAN LEIVA MALDONADO</t>
  </si>
  <si>
    <t>17051053-4</t>
  </si>
  <si>
    <t>ERNESTO CID MELO</t>
  </si>
  <si>
    <t>DPTO. DE TECNOLOGIAS INDUSTRIALES</t>
  </si>
  <si>
    <t>GLORIA GONZALEZ HERNANDEZ</t>
  </si>
  <si>
    <t>7987386-1</t>
  </si>
  <si>
    <t>Jefe(a) de Área</t>
  </si>
  <si>
    <t>BEATRIZ DEL PILAR RAHMER PAVEZ</t>
  </si>
  <si>
    <t>13924244-0</t>
  </si>
  <si>
    <t>VR. DE INVEST. DESARR E INNOVACION</t>
  </si>
  <si>
    <t>SECRETARIA(O) B</t>
  </si>
  <si>
    <t>KATHERINE ELIZABETH PAZ SANCHEZ</t>
  </si>
  <si>
    <t>14091964-0</t>
  </si>
  <si>
    <t>Administrativo(a) de Compras</t>
  </si>
  <si>
    <t>VERONICA ELENA OLGUIN FERNANDEZ</t>
  </si>
  <si>
    <t>18079595-2</t>
  </si>
  <si>
    <t>DANIELA CONSTANZA GUERRA GALVEZ</t>
  </si>
  <si>
    <t>17633977-2</t>
  </si>
  <si>
    <t>GISSELLA ANDREA GOMEZ ALFARO</t>
  </si>
  <si>
    <t>18702008-5</t>
  </si>
  <si>
    <t>FRANCISCA CATALINA GARCIA SOTO</t>
  </si>
  <si>
    <t>8739132-9</t>
  </si>
  <si>
    <t>ANALISTA DE PROYECTOS I</t>
  </si>
  <si>
    <t>JESSENIA DEL CARMEN FUENTES ASPEE</t>
  </si>
  <si>
    <t>13992685-4</t>
  </si>
  <si>
    <t>MAYRA DANIELA CHAVEZ HORMAZABAL</t>
  </si>
  <si>
    <t>17730421-2</t>
  </si>
  <si>
    <t>CLAUDIA BEJARES BAHAMONDES</t>
  </si>
  <si>
    <t>12655092-8</t>
  </si>
  <si>
    <t>DPTO. DE COMUNICACIONES</t>
  </si>
  <si>
    <t>13336696-2</t>
  </si>
  <si>
    <t>ANALISTA DE GESTION II</t>
  </si>
  <si>
    <t>SILVIA MULLER GOMEZ</t>
  </si>
  <si>
    <t>18060136-8</t>
  </si>
  <si>
    <t>ANALISTA DE PLANIFICACION Y ANALISIS</t>
  </si>
  <si>
    <t>BRYAN GUERRERO COFRE</t>
  </si>
  <si>
    <t>18121889-4</t>
  </si>
  <si>
    <t>CAROLINA HANDSCHUH ABARCA</t>
  </si>
  <si>
    <t>17376319-0</t>
  </si>
  <si>
    <t>WASHINGTON DURAN</t>
  </si>
  <si>
    <t>VR. DE VINCULACION CON EL MEDIO</t>
  </si>
  <si>
    <t>Profesional de Extensión</t>
  </si>
  <si>
    <t>DIRECTOR CORO</t>
  </si>
  <si>
    <t>ANDRES BAHAMONDES GONZALEZ</t>
  </si>
  <si>
    <t>13925927-0</t>
  </si>
  <si>
    <t>SANTIAGO MARIN ACUÑA</t>
  </si>
  <si>
    <t>1/4 Jornada</t>
  </si>
  <si>
    <t>KATHERINE VALENZUELA BRAVO</t>
  </si>
  <si>
    <t>17412257-1</t>
  </si>
  <si>
    <t>PAULINA HENRIQUEZ GALLARDO</t>
  </si>
  <si>
    <t xml:space="preserve"> AUTORIZADO 2015</t>
  </si>
  <si>
    <t>15314535-0</t>
  </si>
  <si>
    <t>Médico(a) Veterinario(a)</t>
  </si>
  <si>
    <t>MEDICO VETERINARIO</t>
  </si>
  <si>
    <t>PAULA BRAVO ARREDONDO</t>
  </si>
  <si>
    <t>16075522-9</t>
  </si>
  <si>
    <t>18251296-5</t>
  </si>
  <si>
    <t>AUTORIZADO 2016</t>
  </si>
  <si>
    <t>JOSE TOLEDO VERA</t>
  </si>
  <si>
    <t>10405955-4</t>
  </si>
  <si>
    <t>AUTORIZADO 2013 - 2016</t>
  </si>
  <si>
    <t>DPTO. DE DEPORTES</t>
  </si>
  <si>
    <t>LUIS PALMA AEDO</t>
  </si>
  <si>
    <t>19088083-4</t>
  </si>
  <si>
    <t>JAIME SILVA MONTENEGRO</t>
  </si>
  <si>
    <t>JEFE DE SECCION EDIFICIO EDUARDO MORALES SANTOS</t>
  </si>
  <si>
    <t>HECTOR JAQUE PINTO</t>
  </si>
  <si>
    <t>16041081-7</t>
  </si>
  <si>
    <t>DPTO. DE MAT. Y CS. DE LA COMP.</t>
  </si>
  <si>
    <t>JUAN LUNA MAGUIDA</t>
  </si>
  <si>
    <t>17051027-5</t>
  </si>
  <si>
    <t>DPTO. DE RECURSOS HUMANOS</t>
  </si>
  <si>
    <t>MARIA HINOJOSA CONTRERAS</t>
  </si>
  <si>
    <t>9976220-9</t>
  </si>
  <si>
    <t>GEORGE RIQUELME</t>
  </si>
  <si>
    <t>DANIELA SAN MARTIN SALAZAR</t>
  </si>
  <si>
    <t>16734688-K</t>
  </si>
  <si>
    <t>VERONICA LAGOS LAGOS</t>
  </si>
  <si>
    <t>UNIDAD DE DESARR. PROYECTOS TECN.</t>
  </si>
  <si>
    <t>VIOLETA ABARCA QUIROZ</t>
  </si>
  <si>
    <t>13082118-9</t>
  </si>
  <si>
    <t>DANIELA TRONCOSO CID</t>
  </si>
  <si>
    <t>17305149-2</t>
  </si>
  <si>
    <t>CECILIA ROJAS VILCHES</t>
  </si>
  <si>
    <t>10629652-9</t>
  </si>
  <si>
    <t>RAUL PARDO LEIVA</t>
  </si>
  <si>
    <t>Técnico(a) Contable</t>
  </si>
  <si>
    <t>LUZ MIRANDA NAVARRETE</t>
  </si>
  <si>
    <t>BARBARA OLIVARES DIAZ</t>
  </si>
  <si>
    <t>19482281-2</t>
  </si>
  <si>
    <t>SILVANA VILLAR SANDOVAL</t>
  </si>
  <si>
    <t>17286770-7</t>
  </si>
  <si>
    <t xml:space="preserve">SECRETARIA DE UNIDAD </t>
  </si>
  <si>
    <t>VERONICA CANTELLANO MARTINEZ</t>
  </si>
  <si>
    <t>14534753-K</t>
  </si>
  <si>
    <t>Cajero(a) A 1º categoria</t>
  </si>
  <si>
    <t>CAJERO A_ 1CATEG</t>
  </si>
  <si>
    <t>GLORIA DAVIS MARIN</t>
  </si>
  <si>
    <t>8121793-9</t>
  </si>
  <si>
    <t>NORA OLIVARES TAPIA</t>
  </si>
  <si>
    <t>Técnico(a) de Bodega</t>
  </si>
  <si>
    <t>TECNICO DE BODEGA</t>
  </si>
  <si>
    <t>CLAUDIO REED ROMO</t>
  </si>
  <si>
    <t>15476569-7</t>
  </si>
  <si>
    <t>JULIO SEGURA RAMIREZ</t>
  </si>
  <si>
    <t>NELSON CID DONOSO</t>
  </si>
  <si>
    <t>16675958-7</t>
  </si>
  <si>
    <t>ERICK RAMIREZ ALMARZA</t>
  </si>
  <si>
    <t>FERNANDA ARAYA VERGARA</t>
  </si>
  <si>
    <t>15045222-8</t>
  </si>
  <si>
    <t>DPTO. DE FISICA</t>
  </si>
  <si>
    <t>ERIKA INOSTROZA SEPULVEDA</t>
  </si>
  <si>
    <t>7683909-3</t>
  </si>
  <si>
    <t>EMILINA BRONTE</t>
  </si>
  <si>
    <t>NATALIA GONZALEZ SANTANDER</t>
  </si>
  <si>
    <t>14197589-7</t>
  </si>
  <si>
    <t>RODOLFO QUINTERO</t>
  </si>
  <si>
    <t>EDUARDO DOÑAS OPAZO</t>
  </si>
  <si>
    <t>8860929-8</t>
  </si>
  <si>
    <t>ROBERTO BRITO PAREDES</t>
  </si>
  <si>
    <t>NICOLAS ORELLANA TORO</t>
  </si>
  <si>
    <t>19171399-0</t>
  </si>
  <si>
    <t>Abogado(a) Contraloria Universitaria</t>
  </si>
  <si>
    <t>9982687-8</t>
  </si>
  <si>
    <t>UNIDAD DE COORDINACION INSTIT.</t>
  </si>
  <si>
    <t>Chofer</t>
  </si>
  <si>
    <t>CHOFER</t>
  </si>
  <si>
    <t>HECTOR SILVA HERNANDEZ</t>
  </si>
  <si>
    <t>9864987-5</t>
  </si>
  <si>
    <t>JUAN INOSTROZA PEREZ</t>
  </si>
  <si>
    <t>14521348-7</t>
  </si>
  <si>
    <t>Secretario(a) A</t>
  </si>
  <si>
    <t>SECRETARIA(O) A</t>
  </si>
  <si>
    <t>7980395-2</t>
  </si>
  <si>
    <t>MAGALY SILVA BUCAREY</t>
  </si>
  <si>
    <t>ANALISTA DE EGRESOS</t>
  </si>
  <si>
    <t>GABRIEL HENRIQUEZ GORDONIZ</t>
  </si>
  <si>
    <t>15601230-0</t>
  </si>
  <si>
    <t>ANTONELLA GALARCE DENNINGER</t>
  </si>
  <si>
    <t>15617477-7</t>
  </si>
  <si>
    <t>GLORIA FUENTES MANSILLA</t>
  </si>
  <si>
    <t>17817645-5</t>
  </si>
  <si>
    <t>RICARDO RIQUELME SEPULVEDA</t>
  </si>
  <si>
    <t>15067539-1</t>
  </si>
  <si>
    <t>Educador(a) de Párvulos</t>
  </si>
  <si>
    <t>SOLEDAD RIVERA BERNALES</t>
  </si>
  <si>
    <t>17138870-8</t>
  </si>
  <si>
    <t>UNIDAD DE VOCACION ARTISTICA</t>
  </si>
  <si>
    <t>FERNANDO RODRIGUEZ COLLIO</t>
  </si>
  <si>
    <t>9662880-3</t>
  </si>
  <si>
    <t>JUAN CARLOS AYALA</t>
  </si>
  <si>
    <t>ROMINA LABRIN VALENZUELA</t>
  </si>
  <si>
    <t>19208931-K</t>
  </si>
  <si>
    <t>Vigilante</t>
  </si>
  <si>
    <t>VIGILANTE</t>
  </si>
  <si>
    <t>LUIS VARGAS SERRANO</t>
  </si>
  <si>
    <t>11299063-1</t>
  </si>
  <si>
    <t>GUSTAVO DONOSO DONOSO</t>
  </si>
  <si>
    <t>15352848-9</t>
  </si>
  <si>
    <t>JOSE CANCINO</t>
  </si>
  <si>
    <t>ROCIO ORTEGA ARAYA</t>
  </si>
  <si>
    <t>19385989-5</t>
  </si>
  <si>
    <t>FLORES FERNANDEZ CHERIE BERTA</t>
  </si>
  <si>
    <t>13938161-0</t>
  </si>
  <si>
    <t>MARCELA ZABALA</t>
  </si>
  <si>
    <t>ADMINIST REGISTRO CURRICULAR</t>
  </si>
  <si>
    <t>SIRANDONI POLITIS PAOLA ALEJANDRA</t>
  </si>
  <si>
    <t>8039104-8</t>
  </si>
  <si>
    <t>NADIA PALMA CARCAMO</t>
  </si>
  <si>
    <t>14179988-0</t>
  </si>
  <si>
    <t>RICARDO SANCHEZ NAVARRETE</t>
  </si>
  <si>
    <t>SECRETARIA(O) DE UNIDAD</t>
  </si>
  <si>
    <t>CECILIA CONTRERAS OYARZO</t>
  </si>
  <si>
    <t>15139053-6</t>
  </si>
  <si>
    <t>NANCY NORIN ANTILEO</t>
  </si>
  <si>
    <t>DPTO. DE INVEST. CIENTIFICA</t>
  </si>
  <si>
    <t>SECRETARIA(O) DE DIRECCION</t>
  </si>
  <si>
    <t>ANGELA HERNANDEZ CATRILAO</t>
  </si>
  <si>
    <t>15365361-5</t>
  </si>
  <si>
    <t>ADMINISTRATIVO DE PROCESO REMUNERACIONES</t>
  </si>
  <si>
    <t>KATYA ORDENES GARAY</t>
  </si>
  <si>
    <t>8451850-6</t>
  </si>
  <si>
    <t>JOSE ALVAREZ CAVIERES</t>
  </si>
  <si>
    <t>16407416-1</t>
  </si>
  <si>
    <t>CARLOS ARAOS MURAT</t>
  </si>
  <si>
    <t>FACULTAD DE DERECHO</t>
  </si>
  <si>
    <t>SECRETARIA(O) DE DECANO</t>
  </si>
  <si>
    <t>16390180-3</t>
  </si>
  <si>
    <t>ERIK SAEZ JIMENEZ</t>
  </si>
  <si>
    <t>17005536-5</t>
  </si>
  <si>
    <t>LUIS NUÑEZ GALVEZ</t>
  </si>
  <si>
    <t>CEUS LLANQUIHUE USACH</t>
  </si>
  <si>
    <t>ENCARGADO DE PROYECTOS</t>
  </si>
  <si>
    <t>EDISON SERRANO GUTIERREZ</t>
  </si>
  <si>
    <t>13636345-K</t>
  </si>
  <si>
    <t>GUILLERMO SEGUEL LEAL</t>
  </si>
  <si>
    <t>SECRETARIA (A) DE CENTRO</t>
  </si>
  <si>
    <t xml:space="preserve">VIVIANA MALDONADO </t>
  </si>
  <si>
    <t>11925652-6</t>
  </si>
  <si>
    <t>CONTRATACIÓN DIRECTA</t>
  </si>
  <si>
    <t>REINCORPORACIÓN / AUTORIZADO 2016</t>
  </si>
  <si>
    <t>MARIA BARRIENTOS ALVAREZ</t>
  </si>
  <si>
    <t>15293811-K</t>
  </si>
  <si>
    <t>JEFE DE AREA DE ARCHIVO PATRIMONIAL</t>
  </si>
  <si>
    <t>CATALINA JARA JORQUERA</t>
  </si>
  <si>
    <t>DPTO. DE INGENIERIA ELECTRICA</t>
  </si>
  <si>
    <t>VICTOR PIZARRO ULLOA</t>
  </si>
  <si>
    <t>17244200-5</t>
  </si>
  <si>
    <t>FABIAN ALVAREZ RUBILLO</t>
  </si>
  <si>
    <t>DPTO. DE INGENIERIA METALURGICA</t>
  </si>
  <si>
    <t>JEFE DE LABORATORIO (ANALISIS QUIMICO)</t>
  </si>
  <si>
    <t>EMMANUELL REYES FUENTES</t>
  </si>
  <si>
    <t>16875601-1</t>
  </si>
  <si>
    <t>PATRICIA MUÑOZ ZUÑIGA</t>
  </si>
  <si>
    <t>AUTORIZADO 2016 / CORREO</t>
  </si>
  <si>
    <t>Administrativo(a) Gestión de Proyectos</t>
  </si>
  <si>
    <t>ADMINISTRATIVO DE GESTIÓN DE PROYECTOS</t>
  </si>
  <si>
    <t>MARIELLA CRUZ BARRIOS</t>
  </si>
  <si>
    <t>18051229-2</t>
  </si>
  <si>
    <t>PAMELA MURILLO PALOMINOS</t>
  </si>
  <si>
    <t>12366304-7</t>
  </si>
  <si>
    <t>JORGE PEÑA BASCUR</t>
  </si>
  <si>
    <t>DIR. DE ASISTENCIA JURIDICA</t>
  </si>
  <si>
    <t>SECRETARIO(A) DE DIRECCION</t>
  </si>
  <si>
    <t>KARINA MUÑOZ BARRERA</t>
  </si>
  <si>
    <t>AUXILIAR DE SERVICIOS (HOSPITAL EL PINO)</t>
  </si>
  <si>
    <t>KARINA RAMOS CHAMORRO</t>
  </si>
  <si>
    <t>16716589-3</t>
  </si>
  <si>
    <t>CLAUDIA ARENAS MOYA</t>
  </si>
  <si>
    <t>18698519-2</t>
  </si>
  <si>
    <t>VICTOR ARELLANO CATALAN</t>
  </si>
  <si>
    <t>OMAR MUÑOZ ULLOA</t>
  </si>
  <si>
    <t>17924331-8</t>
  </si>
  <si>
    <t>ROBINSON MUÑOZ HERNANDEZ</t>
  </si>
  <si>
    <t>MAURICIO ROJAS MARTINEZ</t>
  </si>
  <si>
    <t>15505340-2</t>
  </si>
  <si>
    <t>ANALISTA DE GESTION I</t>
  </si>
  <si>
    <t>ROMINA ARCILA RUIZ</t>
  </si>
  <si>
    <t>17839410-K</t>
  </si>
  <si>
    <t>CHERIE FLORES FERNÁNDEZ</t>
  </si>
  <si>
    <t>PABLO CARREÑO ESCOBAR</t>
  </si>
  <si>
    <t>15475408-3</t>
  </si>
  <si>
    <t>JULIAN PARDO CARRIÓN</t>
  </si>
  <si>
    <t>PRESENTACION (ESPACIO AL FINAL)</t>
  </si>
  <si>
    <t>PUESTO PS (LARGO)</t>
  </si>
  <si>
    <t>COINCIDEN?</t>
  </si>
  <si>
    <t>Pendiente</t>
  </si>
  <si>
    <t>Abogado Contraloria Universitaria</t>
  </si>
  <si>
    <t>ABOGADO CONTRALORIA UNIVERSITARIA</t>
  </si>
  <si>
    <t>Abogado Dirección Juridica</t>
  </si>
  <si>
    <t>ABOGADO DIR JURIDICA</t>
  </si>
  <si>
    <t>Abogado(a) Dirección Juridica</t>
  </si>
  <si>
    <t>Académico</t>
  </si>
  <si>
    <t>ACADEMICO</t>
  </si>
  <si>
    <t>Académico(a)</t>
  </si>
  <si>
    <t>Jefe de Administración y Finanzas</t>
  </si>
  <si>
    <t>Administrativo de Activación y Seguimiento</t>
  </si>
  <si>
    <t>ADMINIST. ACTIVACION_SEGUIM.</t>
  </si>
  <si>
    <t>Administrativo(a) de Activación y Seguimiento</t>
  </si>
  <si>
    <t>Administrativo de Cobranzas</t>
  </si>
  <si>
    <t>ADMINISTRATIVO DE COBRANZAS</t>
  </si>
  <si>
    <t>Administrativo(a) de Cobranzas</t>
  </si>
  <si>
    <t>ADMINIST. RECURSOS HUMANOS</t>
  </si>
  <si>
    <t>ADMINIST. REGISTRO ACADEMICO</t>
  </si>
  <si>
    <t>Administrativo(a) de Registro Académico</t>
  </si>
  <si>
    <t>Analista de Gestión Estratégica</t>
  </si>
  <si>
    <t>Administrativo de Remuneraciones</t>
  </si>
  <si>
    <t>ADMINIST. REMUNERACIONES</t>
  </si>
  <si>
    <t>Administrativo Especializado de Proyecto</t>
  </si>
  <si>
    <t>ADMIN. ESPECIALIZADO PROYECTOS</t>
  </si>
  <si>
    <t>Administrativo(a) Especializado de Proyecto</t>
  </si>
  <si>
    <t>Administrativo Especializado PeopleSoft</t>
  </si>
  <si>
    <t>ADMINISTRAT. ESPECIALIZADO PS</t>
  </si>
  <si>
    <t>Administrativo(a) Especializado PeopleSoft</t>
  </si>
  <si>
    <t>Administrativo Gestión de Proyectos</t>
  </si>
  <si>
    <t>ADMINISTRAT. GESTION_PROYECTOS</t>
  </si>
  <si>
    <t>Agente OIRS</t>
  </si>
  <si>
    <t>AGENTE OIRS</t>
  </si>
  <si>
    <t>Analista Contable I</t>
  </si>
  <si>
    <t>ANALISTA CONTABLE I</t>
  </si>
  <si>
    <t>Psicólogo</t>
  </si>
  <si>
    <t>ANALISTA DE ACREDITACION</t>
  </si>
  <si>
    <t>Analista de Apoyo a la Docencia</t>
  </si>
  <si>
    <t>ANALISTA APOYO A LA DOCENCIA</t>
  </si>
  <si>
    <t>Analista de Base de Datos</t>
  </si>
  <si>
    <t>ANALISTA BASE DE DATOS</t>
  </si>
  <si>
    <t>ANALISTA DE EDUCACION CONTINUA</t>
  </si>
  <si>
    <t>ANALISTA DE ESTUDIOS</t>
  </si>
  <si>
    <t>Chofer de Ambulancia</t>
  </si>
  <si>
    <t>Analista de Gestión Administrativa</t>
  </si>
  <si>
    <t>ANALISTA DE GESTION ADMINISTRATIVA</t>
  </si>
  <si>
    <t>ANALISTA GESTION DE PERSONAS</t>
  </si>
  <si>
    <t>ANALISTA GESTION ESTRATEGICA</t>
  </si>
  <si>
    <t>Analista de la Calidad</t>
  </si>
  <si>
    <t>ANALISTA PLANIFICAC_ANALISIS</t>
  </si>
  <si>
    <t>Analista de Proyectos II</t>
  </si>
  <si>
    <t>ANALISTA DE PROYECTOS II</t>
  </si>
  <si>
    <t>Analista de Relaciones Internacionales e Interuniversitarias</t>
  </si>
  <si>
    <t>ANALISTA DRII</t>
  </si>
  <si>
    <t>Analista Funcional PeopleSoft</t>
  </si>
  <si>
    <t>ANALISTA PS</t>
  </si>
  <si>
    <t>Analista Financiero y Control de Gestión</t>
  </si>
  <si>
    <t>ANALISTA FINANCIERO Y CONTROL DE GESTION</t>
  </si>
  <si>
    <t>Analista Tributario</t>
  </si>
  <si>
    <t>ANALISTA TRIBUTARIO</t>
  </si>
  <si>
    <t>Arquitecto</t>
  </si>
  <si>
    <t>ARQUITECTO</t>
  </si>
  <si>
    <t>Arquitecto(a)</t>
  </si>
  <si>
    <t>Arsenalero</t>
  </si>
  <si>
    <t>ARSENALERA</t>
  </si>
  <si>
    <t>Arsenalero(a)</t>
  </si>
  <si>
    <t>Asesor Técnico Comunicacional</t>
  </si>
  <si>
    <t>ASESOR TECNICO COMUNICACIONAL</t>
  </si>
  <si>
    <t>Asesor(a) Técnico(a) Comunicacional</t>
  </si>
  <si>
    <t>Técnico de Laboratorio Especializado</t>
  </si>
  <si>
    <t>Asistente de Grupo Artistico</t>
  </si>
  <si>
    <t>ASISTENTE DE GRUPO ARTISTICO</t>
  </si>
  <si>
    <t>Asistente Proyectos/Investigación</t>
  </si>
  <si>
    <t>ASISTENTE PROYECTOS/INVESTIG.</t>
  </si>
  <si>
    <t>ASISTENTE SOCIAL ESTUDIANTIL</t>
  </si>
  <si>
    <t>ASISTENTE SOCIAL PERSONAL</t>
  </si>
  <si>
    <t>Auxiliar de Enfermeria</t>
  </si>
  <si>
    <t>Auditor I</t>
  </si>
  <si>
    <t>AUDITOR I</t>
  </si>
  <si>
    <t>Auditor(a) I</t>
  </si>
  <si>
    <t>Auditor II</t>
  </si>
  <si>
    <t>AUDITOR II</t>
  </si>
  <si>
    <t>Auditor(a) II</t>
  </si>
  <si>
    <t>Auxiliar de Odontologia</t>
  </si>
  <si>
    <t>AUXILIAR DE ODONTOLOGIA</t>
  </si>
  <si>
    <t>Auxiliar de Odontología</t>
  </si>
  <si>
    <t>Cajero A 1º categoria</t>
  </si>
  <si>
    <t>Cajero B 1º categoria</t>
  </si>
  <si>
    <t>CAJERO B_ 1CATEG</t>
  </si>
  <si>
    <t>Cajero(a) B 1º categoria</t>
  </si>
  <si>
    <t>Cajero B 2º categoria</t>
  </si>
  <si>
    <t>CAJERO B_2CATEG</t>
  </si>
  <si>
    <t>Cajero(a) B 2º categoria</t>
  </si>
  <si>
    <t>Camarógrafo(a)</t>
  </si>
  <si>
    <t>CHOFER_AMBULANCIA</t>
  </si>
  <si>
    <t>Consejero Académico</t>
  </si>
  <si>
    <t>CONSEJERO ACADEMICO</t>
  </si>
  <si>
    <t>Consejero(a) Académico(a)</t>
  </si>
  <si>
    <t>Contralor Universitario</t>
  </si>
  <si>
    <t>CONTRALOR UNIVERSITARIO</t>
  </si>
  <si>
    <t>Contralor(a) Universitario(a)</t>
  </si>
  <si>
    <t>Decano</t>
  </si>
  <si>
    <t>DECANO</t>
  </si>
  <si>
    <t>Decano(a)</t>
  </si>
  <si>
    <t>Desarrollador Técnico PeopleSoft</t>
  </si>
  <si>
    <t>DESARROLLADOR TECNICO PS</t>
  </si>
  <si>
    <t>Desarrollador(a) Técnico(a) PeopleSoft</t>
  </si>
  <si>
    <t>Dibujante Proyectista</t>
  </si>
  <si>
    <t>DIBUJANTE PROYECTISTA</t>
  </si>
  <si>
    <t>Director A</t>
  </si>
  <si>
    <t>DIRECTOR A</t>
  </si>
  <si>
    <t>Director(a) A</t>
  </si>
  <si>
    <t>Director B</t>
  </si>
  <si>
    <t>DIRECTOR B</t>
  </si>
  <si>
    <t>Director(a) B</t>
  </si>
  <si>
    <t>Director Unidad Académica</t>
  </si>
  <si>
    <t>DIRECTOR_UNIDAD ACADEMICA</t>
  </si>
  <si>
    <t>Director(a) Unidad Académica</t>
  </si>
  <si>
    <t>Diseñador(a) Gráfico(a)</t>
  </si>
  <si>
    <t>Editor(a)</t>
  </si>
  <si>
    <t>Educador de Párvulos</t>
  </si>
  <si>
    <t>EDUCADOR DE PARVULOS</t>
  </si>
  <si>
    <t>Encargado Administrativo de Centro de Costo</t>
  </si>
  <si>
    <t>ENCARGADO ADMIN. CENTRO_COSTOS</t>
  </si>
  <si>
    <t>Encargado(a) Administrativo(a) de Centro de Costo</t>
  </si>
  <si>
    <t>ENCARGADO ADMIN. UNIDAD ACA</t>
  </si>
  <si>
    <t>Encargado de Bodega, Bienes y Servicios</t>
  </si>
  <si>
    <t>ENCARG. BODEGA_BIENES Y SERV.</t>
  </si>
  <si>
    <t>Encargado de Bodega, Bienes y Servicios Especializados</t>
  </si>
  <si>
    <t>ENCARG. BODEGA_BIENES Y SERV_ESP</t>
  </si>
  <si>
    <t>Encargado(a) de Bodega, Bienes y Servicios Especializados</t>
  </si>
  <si>
    <t>Encargado de Ceremonial y Protocolo</t>
  </si>
  <si>
    <t>ENC. CEREMONIAL Y PROTOCOLO</t>
  </si>
  <si>
    <t>Encargado(a) de Ceremonial y Protocolo</t>
  </si>
  <si>
    <t>Encargado de Compras Unidad</t>
  </si>
  <si>
    <t>ENCARGADO DE COMPRAS UNIDAD</t>
  </si>
  <si>
    <t>Encargado(a) de Compras Unidad</t>
  </si>
  <si>
    <t>ENCARGADO DE SALA</t>
  </si>
  <si>
    <t>Encargado de Turno</t>
  </si>
  <si>
    <t>ENCARGADO DE TURNO</t>
  </si>
  <si>
    <t>Encargado(a) de Turno</t>
  </si>
  <si>
    <t>ENCARGADO DE UNIDAD MENOR</t>
  </si>
  <si>
    <t>Encargado(a) de Unidad Menor</t>
  </si>
  <si>
    <t>ENCARGADO VINCULAC_MEDIO II</t>
  </si>
  <si>
    <t>ENCARG TECNICO DE LABORATORIO</t>
  </si>
  <si>
    <t>Enfermero</t>
  </si>
  <si>
    <t>ENFERMERA</t>
  </si>
  <si>
    <t>Enfermero(a)</t>
  </si>
  <si>
    <t>Fotógrafo</t>
  </si>
  <si>
    <t>FOTOGRAFO</t>
  </si>
  <si>
    <t>Fotógrafo(a)</t>
  </si>
  <si>
    <t>Ingeniero Eléctrico</t>
  </si>
  <si>
    <t>INGENIERO ELECTRICO</t>
  </si>
  <si>
    <t>Ingeniero(a) Eléctrico(a)</t>
  </si>
  <si>
    <t>JEFE ADMINISTRACION Y FINANZAS</t>
  </si>
  <si>
    <t>Jefe(a) de Administración y Finanzas</t>
  </si>
  <si>
    <t>Jefe de Área Proyecto TI</t>
  </si>
  <si>
    <t>JEFE DE PROYECTO/JEFE DE AREA</t>
  </si>
  <si>
    <t>Jefe(a) de Área Proyecto TI</t>
  </si>
  <si>
    <t>Jefe de Carrera</t>
  </si>
  <si>
    <t>JEFE CARRERA</t>
  </si>
  <si>
    <t>Jefe(a) de Carrera</t>
  </si>
  <si>
    <t>Jefe de Departamento A</t>
  </si>
  <si>
    <t>JEFE DE DEPARTAMENTO A</t>
  </si>
  <si>
    <t>Jefe(a) de Departamento A</t>
  </si>
  <si>
    <t>Jefe de Departamento B</t>
  </si>
  <si>
    <t>JEFE DE DEPARTAMENTO B</t>
  </si>
  <si>
    <t>Jefe(a) de Departamento B</t>
  </si>
  <si>
    <t>Jefe de Departamento C</t>
  </si>
  <si>
    <t>JEFE DE DEPARTAMENTO C</t>
  </si>
  <si>
    <t>Jefe(a) de Departamento C</t>
  </si>
  <si>
    <t>Jefe(a) de Finanzas</t>
  </si>
  <si>
    <t>JEFE DE OFICINA</t>
  </si>
  <si>
    <t>Jefe(a) de Oficina</t>
  </si>
  <si>
    <t>Jefe de Unidad A</t>
  </si>
  <si>
    <t>JEFE DE UNIDAD A</t>
  </si>
  <si>
    <t>Jefe(a) de Unidad A</t>
  </si>
  <si>
    <t>Jefe de Unidad B</t>
  </si>
  <si>
    <t>JEFE DE UNIDAD B</t>
  </si>
  <si>
    <t>Jefe(a) de Unidad B</t>
  </si>
  <si>
    <t>Jefe de Unidad C</t>
  </si>
  <si>
    <t>JEFE DE UNIDAD C</t>
  </si>
  <si>
    <t>Jefe(a) de Unidad C</t>
  </si>
  <si>
    <t>Kinesiólogo</t>
  </si>
  <si>
    <t>KINESIOLOGO</t>
  </si>
  <si>
    <t>Kinesiólogo(a)</t>
  </si>
  <si>
    <t>LOCUTOR</t>
  </si>
  <si>
    <t>Locutor(a)</t>
  </si>
  <si>
    <t>Maestro(a) de Cocina</t>
  </si>
  <si>
    <t>Maestro Jefe de Cocina</t>
  </si>
  <si>
    <t>MAESTRO JEFE DE COCINA</t>
  </si>
  <si>
    <t>Maestro(a) Jefe de Cocina</t>
  </si>
  <si>
    <t>Matrón</t>
  </si>
  <si>
    <t>Médico Veterinario</t>
  </si>
  <si>
    <t>MEDICOS Y DENTISTAS</t>
  </si>
  <si>
    <t>Músico</t>
  </si>
  <si>
    <t>MUSICO</t>
  </si>
  <si>
    <t>Músico(a)</t>
  </si>
  <si>
    <t>Operador de Caldera</t>
  </si>
  <si>
    <t>Operador de Radio</t>
  </si>
  <si>
    <t>OPERADOR DE RADIO</t>
  </si>
  <si>
    <t>Operador(a) de Radio</t>
  </si>
  <si>
    <t>Orientador Vocacional</t>
  </si>
  <si>
    <t>ORIENTADOR VOCACIONAL</t>
  </si>
  <si>
    <t>Orientador(a) Vocacional</t>
  </si>
  <si>
    <t>Prevencionista de Riesgos</t>
  </si>
  <si>
    <t>PREVENCIONISTA DE RIESGOS</t>
  </si>
  <si>
    <t>PROFESIONAL DE EXTENSION</t>
  </si>
  <si>
    <t>Profesional de Investigación y Desarrollo</t>
  </si>
  <si>
    <t>PROFESIONAL INVESTIG. Y DESAR.</t>
  </si>
  <si>
    <t>Profesional de Laboratorio Especializado</t>
  </si>
  <si>
    <t>PROFESIONAL ESPEC. DE LABORATORIO</t>
  </si>
  <si>
    <t>Profesor por Horas</t>
  </si>
  <si>
    <t>PROFESOR HORAS</t>
  </si>
  <si>
    <t>Profesor(a) por Horas</t>
  </si>
  <si>
    <t>Profesor por Horas, Adjunto I</t>
  </si>
  <si>
    <t>PROFESOR HORAS_ADJ I</t>
  </si>
  <si>
    <t>Profesor(a) por Horas, Adjunto(a) I</t>
  </si>
  <si>
    <t>Profesor por Horas, Adjunto II</t>
  </si>
  <si>
    <t>PROFESOR HORAS_ADJ II</t>
  </si>
  <si>
    <t>Profesor(a) por Horas, Adjunto(a) II</t>
  </si>
  <si>
    <t>Profesor por Horas, Ayudante</t>
  </si>
  <si>
    <t>PROFESOR HORAS_AYUDANTE</t>
  </si>
  <si>
    <t>Profesor(a) por Horas, Ayudante</t>
  </si>
  <si>
    <t>Profesor por Horas, Excelencia</t>
  </si>
  <si>
    <t>PROFESOR HORAS_EXCELENCIA</t>
  </si>
  <si>
    <t>Profesor(a) por Horas, Excelencia</t>
  </si>
  <si>
    <t>Profesor por Horas, Instructor I</t>
  </si>
  <si>
    <t>PROFESOR HORAS_INST I</t>
  </si>
  <si>
    <t>Profesor(a) por Horas, Instructor(a) I</t>
  </si>
  <si>
    <t>Profesor por Horas, Instructor II</t>
  </si>
  <si>
    <t>PROFESOR HORAS_INST II</t>
  </si>
  <si>
    <t>Profesor(a) por Horas, Instructor(a) II</t>
  </si>
  <si>
    <t>Prorrector</t>
  </si>
  <si>
    <t>PRORRECTOR</t>
  </si>
  <si>
    <t>Prorrector(a)</t>
  </si>
  <si>
    <t>PSICOLOGO</t>
  </si>
  <si>
    <t>Psicólogo(a) Dirección de Género, Diversidad y Equidad</t>
  </si>
  <si>
    <t>PSICOLOGO DIR GENERO DIVERSIDAD Y EQUIDAD</t>
  </si>
  <si>
    <t>Psiquiatra</t>
  </si>
  <si>
    <t>MEDICO PSIQUIATRA</t>
  </si>
  <si>
    <t>Rector</t>
  </si>
  <si>
    <t>RECTOR</t>
  </si>
  <si>
    <t>Rector(a)</t>
  </si>
  <si>
    <t>Registrador(a) Curricular</t>
  </si>
  <si>
    <t>SECRETARIA(O) C</t>
  </si>
  <si>
    <t>Secretario de Facultad</t>
  </si>
  <si>
    <t>SECRETARIO DE FACULTAD</t>
  </si>
  <si>
    <t>Secretario(a) de Facultad</t>
  </si>
  <si>
    <t>Secretario General</t>
  </si>
  <si>
    <t>SECRETARIO GENERAL</t>
  </si>
  <si>
    <t>Secretario(a) General</t>
  </si>
  <si>
    <t>Supervisor</t>
  </si>
  <si>
    <t>SUPERVISOR</t>
  </si>
  <si>
    <t>Supervisor(a)</t>
  </si>
  <si>
    <t>Técnico Asistente Social</t>
  </si>
  <si>
    <t>TECNICO ASISTENTE SOCIAL</t>
  </si>
  <si>
    <t>Técnico(a) Asistente Social</t>
  </si>
  <si>
    <t>Técnico de Bodega</t>
  </si>
  <si>
    <t>TECNICO DE LABORATORIO ESPEC.</t>
  </si>
  <si>
    <t>Técnico(a) de Laboratorio Especializado</t>
  </si>
  <si>
    <t>Técnico de Mantención</t>
  </si>
  <si>
    <t>TECNICO DE MANTENCION</t>
  </si>
  <si>
    <t>Técnico(a) de Mantención</t>
  </si>
  <si>
    <t>Técnico de Nivel Superior en Informática</t>
  </si>
  <si>
    <t>TECNICO NIVEL SUP_INFORMATICA</t>
  </si>
  <si>
    <t>Técnico(a) de Nivel Superior en Informática</t>
  </si>
  <si>
    <t>Técnico de Pabellón</t>
  </si>
  <si>
    <t>TECNICO DE PABELLON</t>
  </si>
  <si>
    <t>Técnico(a) de Pabellón</t>
  </si>
  <si>
    <t>TECNICO SOPORTE BASICO COMP.</t>
  </si>
  <si>
    <t>Técnico Eléctrico</t>
  </si>
  <si>
    <t>Técnico en Alimentos</t>
  </si>
  <si>
    <t>TECNICO EN ALIMENTOS</t>
  </si>
  <si>
    <t>Técnico(a) en Alimentos</t>
  </si>
  <si>
    <t>TECNICO ATENCION_PARVULOS</t>
  </si>
  <si>
    <t>Técnico en Prevención de Riesgos</t>
  </si>
  <si>
    <t>TECNICO EN PREV RIESGOS</t>
  </si>
  <si>
    <t>Técnico Entrenador Deportivo</t>
  </si>
  <si>
    <t>TECNICO ENTRENADOR DEPORTIVO</t>
  </si>
  <si>
    <t>Técnico(a) Entrenador(a) Deportivo(a)</t>
  </si>
  <si>
    <t>Vicedecano</t>
  </si>
  <si>
    <t>VICEDECANO</t>
  </si>
  <si>
    <t>Vicedecano(a)</t>
  </si>
  <si>
    <t>Vicerrector</t>
  </si>
  <si>
    <t>VICERRECTOR</t>
  </si>
  <si>
    <t>Vicerrector(a)</t>
  </si>
  <si>
    <t>DPTO. DE PUBLICIDAD E IMAGEN</t>
  </si>
  <si>
    <t>SECRETARIO(A) DE APOYO DOCENTE</t>
  </si>
  <si>
    <t>MARIBEL MUÑOZ GUERRA</t>
  </si>
  <si>
    <t>15083887-8</t>
  </si>
  <si>
    <t>13750423-5</t>
  </si>
  <si>
    <t>FALTAN DOCUMENTOS EN CARPETA</t>
  </si>
  <si>
    <t>PAOLA REYES REYES</t>
  </si>
  <si>
    <t>PROFESOR ENTRENADOR DEPORTIVO (VOLEIBOL)</t>
  </si>
  <si>
    <t>CRISTIAN ESCOBAR ZUÑIGA</t>
  </si>
  <si>
    <t>15347267-K</t>
  </si>
  <si>
    <t>PAMELA ARMIJO CONTRERAS</t>
  </si>
  <si>
    <t>16578821-3</t>
  </si>
  <si>
    <t>SERGIO DELGADO VERDEJO</t>
  </si>
  <si>
    <t>SECRETARIO (A)</t>
  </si>
  <si>
    <t>15934235-2</t>
  </si>
  <si>
    <t>SECRETARIA APOYO DOCENTE</t>
  </si>
  <si>
    <t>JUDITH SILVA BARCAZÓ</t>
  </si>
  <si>
    <t>12502248-0</t>
  </si>
  <si>
    <t>ENCARGADO DE CEREMONIA Y PROTOCOLO</t>
  </si>
  <si>
    <t>PAZ HENRIQUEZ CAAMAÑO</t>
  </si>
  <si>
    <t>17316152-2</t>
  </si>
  <si>
    <t>PENSAMIENTO ESTRATEGICO</t>
  </si>
  <si>
    <t>WILSON GUTIERREZ GALDAMEZ</t>
  </si>
  <si>
    <t>14534049-7</t>
  </si>
  <si>
    <t>SERGIO CORTES HURTADO</t>
  </si>
  <si>
    <t>SECRETARIO(A) C ADMINISTRATIVO</t>
  </si>
  <si>
    <t>KATHERINE GARATE MILLAN</t>
  </si>
  <si>
    <t>18338937-8</t>
  </si>
  <si>
    <t>VIOLETA ABARCA</t>
  </si>
  <si>
    <t>DPTO. DE BIOLOGIA</t>
  </si>
  <si>
    <t>CAROL MEZA VALDERRAMA</t>
  </si>
  <si>
    <t>16348283-5</t>
  </si>
  <si>
    <t>SEBASTIAN RIVERO GUZMAN</t>
  </si>
  <si>
    <t>19241477-6</t>
  </si>
  <si>
    <t>DAVID BARAHONA MUÑOZ</t>
  </si>
  <si>
    <t>CAMARÓGRAFO</t>
  </si>
  <si>
    <t>GONZALO VILLARROEL AYALA</t>
  </si>
  <si>
    <t>16704249-K</t>
  </si>
  <si>
    <t>DANIEL PEREZ ALCANTARA</t>
  </si>
  <si>
    <t>18766421-7</t>
  </si>
  <si>
    <t>SECRETARIA C</t>
  </si>
  <si>
    <t>CLAUDIA PENTENERO TOLOZA</t>
  </si>
  <si>
    <t>12855258-8</t>
  </si>
  <si>
    <t>VALERIA ULLORA DAVIS</t>
  </si>
  <si>
    <t>BARBARA VALENCIA CONTRERAS</t>
  </si>
  <si>
    <t>17972409-K</t>
  </si>
  <si>
    <t>CAMILO DIAZ CONTRERAS</t>
  </si>
  <si>
    <t>17001164-3</t>
  </si>
  <si>
    <t>JACINTO TRUJILLO SILVA</t>
  </si>
  <si>
    <t>SELLO EDITORIAL</t>
  </si>
  <si>
    <t>JULIA RIOSECO</t>
  </si>
  <si>
    <t>VR. DE POSTGRADO</t>
  </si>
  <si>
    <t>NUTRICIONISTA (JARDIN INFANTIL)</t>
  </si>
  <si>
    <t>ELIZABETH QUEZADA CAÑETE</t>
  </si>
  <si>
    <t>16877666-7</t>
  </si>
  <si>
    <t>PERIODISTA (COMUNICADOR AUDIOVISUAL)</t>
  </si>
  <si>
    <t>ISAAC ESTAY ROSALES</t>
  </si>
  <si>
    <t>15564557-1</t>
  </si>
  <si>
    <t>RICARDO RIQUELME</t>
  </si>
  <si>
    <t>AUTORIZADO 2017</t>
  </si>
  <si>
    <t>DANIELA ANDIA CLAVERO</t>
  </si>
  <si>
    <t>16661194-6</t>
  </si>
  <si>
    <t>ELIZABETH PONCE PEREZ</t>
  </si>
  <si>
    <t>AYUDANTE MAESTRO COCINA</t>
  </si>
  <si>
    <t xml:space="preserve">AUXILIAR DE SERVICIOS </t>
  </si>
  <si>
    <t>MANUEL CORREA HERNANDEZ</t>
  </si>
  <si>
    <t>EDUCADOR DE PARVULOS (SALA CUNA Y JARDIN INFANTIL)</t>
  </si>
  <si>
    <t>PAMELA ROMERO SANTANDER</t>
  </si>
  <si>
    <t>16372814-1</t>
  </si>
  <si>
    <t>PAMELA DELGADO JORQUERA</t>
  </si>
  <si>
    <t>JEFE DE SECCIÓN (CONCILIACIONES BANCARIAS)</t>
  </si>
  <si>
    <t>CLAUDIA DIAZ MOLINA</t>
  </si>
  <si>
    <t>16942218-4</t>
  </si>
  <si>
    <t>CRISTOPHER ALVAREZ VALENZUELA</t>
  </si>
  <si>
    <t>19635069-1</t>
  </si>
  <si>
    <t>JAIME MOLINA URRA</t>
  </si>
  <si>
    <t>ENTRENADOR DEPORTIVO (FUTBOL)</t>
  </si>
  <si>
    <t>JUAN GUTIERREZ ACOSTA</t>
  </si>
  <si>
    <t>8507126-2</t>
  </si>
  <si>
    <t>DPTO. DE ECONOMIA</t>
  </si>
  <si>
    <t>SECRETARIA B DEPARTAMENTO</t>
  </si>
  <si>
    <t>SILVIA ACEVEDO BERRIOS</t>
  </si>
  <si>
    <t>12960008-K</t>
  </si>
  <si>
    <t>MARTA ADRIAZOLA MORENO</t>
  </si>
  <si>
    <t>12260688-0</t>
  </si>
  <si>
    <t>18326702-7</t>
  </si>
  <si>
    <t>ALEXIS RIFFO CAMPOS</t>
  </si>
  <si>
    <t>15426721-2</t>
  </si>
  <si>
    <t>SILVINA MAYO AVILA</t>
  </si>
  <si>
    <t>18304944-5</t>
  </si>
  <si>
    <t>MARCELA TAPIA AREVALO</t>
  </si>
  <si>
    <t>DPTO. DE INGENIERIA OBRAS CIVILES</t>
  </si>
  <si>
    <t>PABLO TOBAR PALMA</t>
  </si>
  <si>
    <t>17339326-1</t>
  </si>
  <si>
    <t>JEFE DE AREA ARCHIVO PATRIMONIAL</t>
  </si>
  <si>
    <t>ALEJANDRA PINTO LOPEZ</t>
  </si>
  <si>
    <t>15314358-7</t>
  </si>
  <si>
    <t>ANDRES ZUÑIGA MELLA</t>
  </si>
  <si>
    <t>DIR. DE ADM. Y FINANZAS</t>
  </si>
  <si>
    <t>ANALISTA CONTABLE TRIBUTARIO</t>
  </si>
  <si>
    <t>DIR. ADM. Y FINANZAS</t>
  </si>
  <si>
    <t xml:space="preserve">CARMEN SANCHO </t>
  </si>
  <si>
    <t>JEFE DE SECCION ( ANALISIS)</t>
  </si>
  <si>
    <t>TECNICO CONTABLE ( CONCILIACIONES BANCARIAS)</t>
  </si>
  <si>
    <t>ADMINISTRATIVA DE APOYO</t>
  </si>
  <si>
    <t>DPTO. DESARROLLO PERSONAS</t>
  </si>
  <si>
    <t>TECNICO CONTABLE ( ENCARGADO DE PAGOS)</t>
  </si>
  <si>
    <t>8061081-5</t>
  </si>
  <si>
    <t>EJECUTIVO DE COBRANZAS</t>
  </si>
  <si>
    <t>MARJORIE MEDINA</t>
  </si>
  <si>
    <t>ADMINISTRATIVO DE APOYO ( OFICINA DE PARTES CENTRAL)</t>
  </si>
  <si>
    <t>UNIDAD DE CASINO</t>
  </si>
  <si>
    <t>RENE ESTAY ZURICUETA</t>
  </si>
  <si>
    <t>18698548-6</t>
  </si>
  <si>
    <t>DPTO. DESARROLLO DE PERSONAS</t>
  </si>
  <si>
    <t>EVELYN SANZANA PROVOSTE</t>
  </si>
  <si>
    <t>CHOFER ( CONDUCTOR DE AMBULANCIA)</t>
  </si>
  <si>
    <t>ISMAEL DIAZ ARANEDA</t>
  </si>
  <si>
    <t>15776084-K</t>
  </si>
  <si>
    <t>MAURICIO BARRIOS CALDERON</t>
  </si>
  <si>
    <t>12449676-4</t>
  </si>
  <si>
    <t>DPTO. DE CALIDAD Y ACREDITACION</t>
  </si>
  <si>
    <t>ANALISTA DE ACREDITACIÓN</t>
  </si>
  <si>
    <t>OMAR SOTO BECERRA</t>
  </si>
  <si>
    <t>15994631-2</t>
  </si>
  <si>
    <t>JENIFER CELIS</t>
  </si>
  <si>
    <t>PAMELA PADILLA ORTIZ</t>
  </si>
  <si>
    <t>15316707-9</t>
  </si>
  <si>
    <t>JOSE MIGUEL SANHUEZA</t>
  </si>
  <si>
    <t>TÉCNICO DE BODEGA</t>
  </si>
  <si>
    <t>CHRISTIAN BAHAMONDES BARRIOS</t>
  </si>
  <si>
    <t>18278676-4</t>
  </si>
  <si>
    <t>PATRICIO ARENAS LONCOMILLA</t>
  </si>
  <si>
    <t>18336472-3</t>
  </si>
  <si>
    <t>GISELLA RAMIREZ ASTUDILLO</t>
  </si>
  <si>
    <t>18076595-6</t>
  </si>
  <si>
    <t>BUSCAR</t>
  </si>
  <si>
    <t>JEFE DE SECCION  ( OPERACIONES)</t>
  </si>
  <si>
    <t>VICTOR DOCMAC CARVAJAL</t>
  </si>
  <si>
    <t>14189321-1</t>
  </si>
  <si>
    <t>SECRETARIA DE APOYO DOCENTE ( HOSPITAL BARROS LUCO)</t>
  </si>
  <si>
    <t>CLAUDIA FUENTES PEZOA</t>
  </si>
  <si>
    <t>11468281-0</t>
  </si>
  <si>
    <t>GRACIELA GAMBOA MONSALVE</t>
  </si>
  <si>
    <t>17251005-1</t>
  </si>
  <si>
    <t xml:space="preserve">TAMARA SALGADO CAYUL </t>
  </si>
  <si>
    <t>MATRON</t>
  </si>
  <si>
    <t>MARCELA VÁSQUEZ BECERRA</t>
  </si>
  <si>
    <t>18818287-9</t>
  </si>
  <si>
    <t>ESTEFANIA DE LA PEÑA</t>
  </si>
  <si>
    <t>MATIAS ASTETE FUENTES</t>
  </si>
  <si>
    <t>16280352-2</t>
  </si>
  <si>
    <t>ADM.GRAL. FONDO SOLIDARIO CRED</t>
  </si>
  <si>
    <t>JEFE DE SECCION ( COBRANZA)</t>
  </si>
  <si>
    <t>PAOLA MESA ROZAS</t>
  </si>
  <si>
    <t>16547604-2</t>
  </si>
  <si>
    <t>JEFE DE SECCION ( ESTUDIOS- EJECUTIVO INTEGRAL CREDITO Y COBRANZAS)</t>
  </si>
  <si>
    <t>SEBASTIAN LABRA DIAZ</t>
  </si>
  <si>
    <t>12783339-7</t>
  </si>
  <si>
    <t>JEFE DE SECCION ( INGRESOS)</t>
  </si>
  <si>
    <t>ANDREA ROJAS CANDIA</t>
  </si>
  <si>
    <t>15320897-2</t>
  </si>
  <si>
    <t>ANALISTA CONTABLE II ( ANALISTA PROFESIONAL DE CONCILIACIONES BANCARIAS)</t>
  </si>
  <si>
    <t>KARLA TORO FLORES</t>
  </si>
  <si>
    <t>17803186-4</t>
  </si>
  <si>
    <t>ADMINISTRATIVO CONTABLE ( EJECUTIVO ATENCION RECAUDACION MATRICULAS)</t>
  </si>
  <si>
    <t>GUISELLA BEECHER PARRA</t>
  </si>
  <si>
    <t>13265762-9</t>
  </si>
  <si>
    <t>ANALISTA DE APOYO A LA DOCENCIA</t>
  </si>
  <si>
    <t>SEBASTIAN SALAMANCA ARANDA</t>
  </si>
  <si>
    <t>17050761-4</t>
  </si>
  <si>
    <t>ROSA MARIN TOLEDO</t>
  </si>
  <si>
    <t>16588861-8</t>
  </si>
  <si>
    <t>MARIA MALDONADO IBACETA</t>
  </si>
  <si>
    <t>MELISSA OSSES VELASQUEZ</t>
  </si>
  <si>
    <t>16808508-7</t>
  </si>
  <si>
    <t>JOSE GUTIERREZ FERNANDEZ</t>
  </si>
  <si>
    <t>16277161-2</t>
  </si>
  <si>
    <t>ELISA ARAUS SALAZAR</t>
  </si>
  <si>
    <t>16428238-4</t>
  </si>
  <si>
    <t>CARLOS GUAZZINI YAÑEZ</t>
  </si>
  <si>
    <t>13683206-9</t>
  </si>
  <si>
    <t>SECRETARIA DE APOYO DOCENTE ( HOSPITAL EL CARMEN)</t>
  </si>
  <si>
    <t>YOLANDA LEON PARDO</t>
  </si>
  <si>
    <t>11434305-6</t>
  </si>
  <si>
    <t>MARCO FUENTES SAEZ</t>
  </si>
  <si>
    <t>11123640-2</t>
  </si>
  <si>
    <t>JUAN CARLOS TRONCOSO ESCARATE</t>
  </si>
  <si>
    <t>DOUGLAS SUAREZ ZAMORANO</t>
  </si>
  <si>
    <t>18534953-5</t>
  </si>
  <si>
    <t>ANTONIO VICENT CORTES</t>
  </si>
  <si>
    <t>18380085-K</t>
  </si>
  <si>
    <t>RAUL ORTEGA ARANCIBIA</t>
  </si>
  <si>
    <t>JAVIERA OSORIO BRAVO</t>
  </si>
  <si>
    <t>18274489-1</t>
  </si>
  <si>
    <t>CLAUDIO PIZARRO MUÑOZ</t>
  </si>
  <si>
    <t>10228277-9</t>
  </si>
  <si>
    <t>CARLOS VALENZUELA SALAZAR</t>
  </si>
  <si>
    <t>JEFE DE AREA ( ACREDITACION)</t>
  </si>
  <si>
    <t>PAULA MUÑOZ VASQUEZ</t>
  </si>
  <si>
    <t>15632197-4</t>
  </si>
  <si>
    <t>DORIS RODES</t>
  </si>
  <si>
    <t>ROCIO JEREZ NUÑEZ</t>
  </si>
  <si>
    <t>18114911-6</t>
  </si>
  <si>
    <t>VICTOR SOTO VALDIVIA</t>
  </si>
  <si>
    <t>DANILO LARENAS FARIAS</t>
  </si>
  <si>
    <t>16331696-K</t>
  </si>
  <si>
    <t>ADMINISTRATIVO APOYO DE OFICINA DE PARTES CENTRAL</t>
  </si>
  <si>
    <t>ISABEL SAEZ SALAS</t>
  </si>
  <si>
    <t>19270779-K</t>
  </si>
  <si>
    <t>RENE ESTAY ZORRICUETA</t>
  </si>
  <si>
    <t>RODRIGO AGUILAR AVENDAÑO</t>
  </si>
  <si>
    <t>12471794-9</t>
  </si>
  <si>
    <t>RAMON CARVAJAL NANJARI</t>
  </si>
  <si>
    <t>15932149-5</t>
  </si>
  <si>
    <t>SECRETARIA (B) DE DIRECCION</t>
  </si>
  <si>
    <t>VALESKA ARELLANO ARELLANO</t>
  </si>
  <si>
    <t>13438545-6</t>
  </si>
  <si>
    <t>FLOR REYES CARO</t>
  </si>
  <si>
    <t>Por 22 hrs. Ley 15.076</t>
  </si>
  <si>
    <t>CECILIA LISBOA BANDA</t>
  </si>
  <si>
    <t>8540708-2</t>
  </si>
  <si>
    <t>JOSE EGAÑA RODRIGUEZ</t>
  </si>
  <si>
    <t>PAULINA GUTIERREZ PEÑAILILLO</t>
  </si>
  <si>
    <t>13951491-2</t>
  </si>
  <si>
    <t>ENZO BORRONI RICARDI</t>
  </si>
  <si>
    <t>13048402-6</t>
  </si>
  <si>
    <t>ALEX ARAYA</t>
  </si>
  <si>
    <t>ADMINISTRATIVO DE APOYO ( ARCHIVO CENTRAL)</t>
  </si>
  <si>
    <t>DANIELA SEPULVEDA ROJAS</t>
  </si>
  <si>
    <t>16648725-0</t>
  </si>
  <si>
    <t>EDITH AGUILERA GONZALEZ</t>
  </si>
  <si>
    <t>11168851-6</t>
  </si>
  <si>
    <t>ENCARGADO DE LABORATORIO ( ARCHIVO PATRIMONIAL)</t>
  </si>
  <si>
    <t>MICHELLE RIBAUT KOMPATZKI</t>
  </si>
  <si>
    <t>17387266-6</t>
  </si>
  <si>
    <t xml:space="preserve">SECRETARIA (B) </t>
  </si>
  <si>
    <t>CLAUDIA CANALES MUÑOZ</t>
  </si>
  <si>
    <t>18456224-3</t>
  </si>
  <si>
    <t>JESUS VALDEBENITO GINART</t>
  </si>
  <si>
    <t>DANIEL ROJAS ARANEDA</t>
  </si>
  <si>
    <t>15401585-K</t>
  </si>
  <si>
    <t>ADMINISTRATIVO CONTABLE ( EJECUTIVO DE COBRANZA)</t>
  </si>
  <si>
    <t>EVELYN SOTO AID</t>
  </si>
  <si>
    <t>13887751-5</t>
  </si>
  <si>
    <t>XIMENA ACEVEDO</t>
  </si>
  <si>
    <t xml:space="preserve">ANALISTA CONTABLE II </t>
  </si>
  <si>
    <t>DIEGO BUSTAMANTE FLORES</t>
  </si>
  <si>
    <t>11884683-4</t>
  </si>
  <si>
    <t>VICTOR GONZALEZ AGUAYO</t>
  </si>
  <si>
    <t>15854032-0</t>
  </si>
  <si>
    <t>PROFESIONAL DE INVESTIGACION Y DESARROLLO</t>
  </si>
  <si>
    <t>ADENS GONZALEZ CHIA</t>
  </si>
  <si>
    <t>15003727-1</t>
  </si>
  <si>
    <t>AUXILIAR DE SERVICIOS (EDIFICIO 726)</t>
  </si>
  <si>
    <t>RICARDO FRANCESCONI ARAVENA</t>
  </si>
  <si>
    <t>12513253-7</t>
  </si>
  <si>
    <t>JUAN HERNÁNDEZ HERNÁNDEZ</t>
  </si>
  <si>
    <t>MARCOS CORNES CARES</t>
  </si>
  <si>
    <t>16931062-9</t>
  </si>
  <si>
    <t>DANIEL CUEVAS MIRANDA</t>
  </si>
  <si>
    <t>17706868-3</t>
  </si>
  <si>
    <t>SECRETARIO C</t>
  </si>
  <si>
    <t>SARA ALBORNOZ BOSICH</t>
  </si>
  <si>
    <t>17941217-9</t>
  </si>
  <si>
    <t>JEFE DE SECCION ( INSTALACIONES)</t>
  </si>
  <si>
    <t>JUAN MADRID CORTES</t>
  </si>
  <si>
    <t>13064375-2</t>
  </si>
  <si>
    <t>DANIEL VALDES HENRIQUEZ</t>
  </si>
  <si>
    <t>CRISTIAN SAAVEDRA DONOSO</t>
  </si>
  <si>
    <t>12578312-0</t>
  </si>
  <si>
    <t>ADMINISTRATIVO ESPECIALIZADO ( CONTROL FACTURACION PROVEEDORES Y CUENTAS POR PAGAR)</t>
  </si>
  <si>
    <t>FRANCISCA GONZALEZ AVILES</t>
  </si>
  <si>
    <t>17203105-6</t>
  </si>
  <si>
    <t>GUIDO PARADA QUILALEO</t>
  </si>
  <si>
    <t>12270826-8</t>
  </si>
  <si>
    <t>HERNAN VENEGAS PEÑALOZA</t>
  </si>
  <si>
    <t>CAROLINA PINCHEIRA SEPULVEDA</t>
  </si>
  <si>
    <t>17467477-9</t>
  </si>
  <si>
    <t xml:space="preserve">PIERO VITERI </t>
  </si>
  <si>
    <t>MARCO FERNANDEZ ASTORGA</t>
  </si>
  <si>
    <t>17819019-9</t>
  </si>
  <si>
    <t>CONSTANZA POBLETE CORNEJO</t>
  </si>
  <si>
    <t>LISETTE GARCIA MESINA</t>
  </si>
  <si>
    <t>7810002-8</t>
  </si>
  <si>
    <t>DPTO. DE INGENIERIA GEOGRAFICA</t>
  </si>
  <si>
    <t>SECRETARIO DE APOYO DOCENTE</t>
  </si>
  <si>
    <t>ADM COMPRAS MERCADO PUBLICO</t>
  </si>
  <si>
    <t>DICYT</t>
  </si>
  <si>
    <t>EDIFICIO DOCENTE APOQUINDO</t>
  </si>
  <si>
    <t xml:space="preserve">SECRETARIA B </t>
  </si>
  <si>
    <t>14.003.220-4</t>
  </si>
  <si>
    <t>ENCARGADA DE BIBLIOTECA</t>
  </si>
  <si>
    <t>PAULINA PICHIHUECHE</t>
  </si>
  <si>
    <t>SECRETARIO B</t>
  </si>
  <si>
    <t>13.207.216-7</t>
  </si>
  <si>
    <t>PALOMA NUÑEZ ROBLES</t>
  </si>
  <si>
    <t>DPTO. DE RELAC. INTERUNIV E INTERN</t>
  </si>
  <si>
    <t>SECRETARIO  B</t>
  </si>
  <si>
    <t>MARITZA DÍAZ GALINDO</t>
  </si>
  <si>
    <t>14126884-8</t>
  </si>
  <si>
    <t>SECRETARIO (B) DE DEPARTAMENTO</t>
  </si>
  <si>
    <t>TERESA FIGUEROA GONZÁLEZ</t>
  </si>
  <si>
    <t>11851134-4</t>
  </si>
  <si>
    <t>ENRIQUETA UMAÑA HERRERA</t>
  </si>
  <si>
    <t>A179.2</t>
  </si>
  <si>
    <t>SECRETARIO B DE DIRECCIÓN</t>
  </si>
  <si>
    <t>ADMINISTRATIVA</t>
  </si>
  <si>
    <t>ENCARGADO TÉCNICO DE LABORATORIO</t>
  </si>
  <si>
    <t>AGUSTÍN FARIAS ORELLANA</t>
  </si>
  <si>
    <t>16747770-4</t>
  </si>
  <si>
    <t>16447409-7</t>
  </si>
  <si>
    <t>SECRETARIO A</t>
  </si>
  <si>
    <t>12870862-6</t>
  </si>
  <si>
    <t>11524154-0</t>
  </si>
  <si>
    <t>SECRETARIA DE DIRECCIÓN</t>
  </si>
  <si>
    <t>DPTO. GESTION AGRARIA</t>
  </si>
  <si>
    <t>SANDRA ROSAS</t>
  </si>
  <si>
    <t>LUIS CONTRERAS GONZÁLEZ</t>
  </si>
  <si>
    <t>13297941-3</t>
  </si>
  <si>
    <t>JUAN MORENO HUICHAPANE</t>
  </si>
  <si>
    <t>JEFE DE ADMINISTRACIÓN Y FINANZAS</t>
  </si>
  <si>
    <t>12490135-9</t>
  </si>
  <si>
    <t>ANALISTA GESTION ADMINISTRATIVA</t>
  </si>
  <si>
    <t>DANIEL CAMPOS RIELOFF</t>
  </si>
  <si>
    <t>ANALISTA  DE GESTION ADMINISTRATIVA</t>
  </si>
  <si>
    <t>16452017-K</t>
  </si>
  <si>
    <t>ANDRES PARDO GARRIDO</t>
  </si>
  <si>
    <t>A130.1</t>
  </si>
  <si>
    <t>LUIS ARAYA LAGUNAS</t>
  </si>
  <si>
    <t>6992571-5</t>
  </si>
  <si>
    <t>AFUSACH</t>
  </si>
  <si>
    <t>ROSA TAPIA MUÑOZ</t>
  </si>
  <si>
    <t>14367085-6</t>
  </si>
  <si>
    <t>ACTA2018-15</t>
  </si>
  <si>
    <t>DPTO. DE CIENCIAS DEL AMBIENTE</t>
  </si>
  <si>
    <t>CAMILA RUBIO CHUÑIL</t>
  </si>
  <si>
    <t>20040743-1</t>
  </si>
  <si>
    <t xml:space="preserve">- </t>
  </si>
  <si>
    <t>A180</t>
  </si>
  <si>
    <t>ROMINA LLABRES SOLIS</t>
  </si>
  <si>
    <t>17959771-3</t>
  </si>
  <si>
    <t>MIGUEL SEPULVEDA RIVERA</t>
  </si>
  <si>
    <t>ACTA2018-12</t>
  </si>
  <si>
    <t>FERMIN PARRA HERNANDEZ</t>
  </si>
  <si>
    <t>15579586-7</t>
  </si>
  <si>
    <t>FLORIAN ESPINOZA ECHEVERRIA</t>
  </si>
  <si>
    <t>A98</t>
  </si>
  <si>
    <t>SEBASTIAN BORQUEZ SALAZAR</t>
  </si>
  <si>
    <t>18057011-K</t>
  </si>
  <si>
    <t>PATRICIO RIVERA RETAMAL</t>
  </si>
  <si>
    <t>A169</t>
  </si>
  <si>
    <t>DIR. DE PREGRADO</t>
  </si>
  <si>
    <t>STEPHANIE BUSTOS BAEZ</t>
  </si>
  <si>
    <t>16088193-3</t>
  </si>
  <si>
    <t>A194</t>
  </si>
  <si>
    <t>13460559-6</t>
  </si>
  <si>
    <t>VR. VINCULACION CON EL MEDIO</t>
  </si>
  <si>
    <t>A130.2</t>
  </si>
  <si>
    <t>ROBERTO PINO FLORES</t>
  </si>
  <si>
    <t>12782003-1</t>
  </si>
  <si>
    <t>A173</t>
  </si>
  <si>
    <t>ANALISTA INFORMATICO ( ANALISTA TI)</t>
  </si>
  <si>
    <t>16360131-1</t>
  </si>
  <si>
    <t>PROF. HORAS</t>
  </si>
  <si>
    <t>PROFESOR</t>
  </si>
  <si>
    <t>JUAN ITURBE ARAYA</t>
  </si>
  <si>
    <t>A201</t>
  </si>
  <si>
    <t xml:space="preserve">ANALISTA DE GESTION I </t>
  </si>
  <si>
    <t>13072507-4</t>
  </si>
  <si>
    <t>DPTO. DE PLANIFICACION PRESUPUESTARIA</t>
  </si>
  <si>
    <t>INICIA EN MEDIA JORNADA A CONTAR DEL 02/05/2018</t>
  </si>
  <si>
    <t>A193</t>
  </si>
  <si>
    <t>JEFE DE AREA ( AREA INTERNACIONALIZACION DEL POSTGRADO)</t>
  </si>
  <si>
    <t>LUIS CLAVERIA CAMBON</t>
  </si>
  <si>
    <t>17699481-9</t>
  </si>
  <si>
    <t>A189</t>
  </si>
  <si>
    <t>CAROLINA DIAZ MORALES</t>
  </si>
  <si>
    <t>14127573-9</t>
  </si>
  <si>
    <t>SE CONTRATA POR UN PERIODO A PRUEBA DE 3 MESES</t>
  </si>
  <si>
    <t>A004</t>
  </si>
  <si>
    <t>CLAUDIA ULLOA BERNALES</t>
  </si>
  <si>
    <t>11491519-K</t>
  </si>
  <si>
    <t>ELIZABETH DONOSO FRITZ</t>
  </si>
  <si>
    <t>A85</t>
  </si>
  <si>
    <t>DPTO. DE GESTION ESTRATEGICA</t>
  </si>
  <si>
    <t>GLORIA QUEZADA MAYOR</t>
  </si>
  <si>
    <t>17237050-0</t>
  </si>
  <si>
    <t>IGNACIO VASQUEZ DIAZ</t>
  </si>
  <si>
    <t>S/F</t>
  </si>
  <si>
    <t>DANIELA CORTES MOROSO</t>
  </si>
  <si>
    <t>19528552-7</t>
  </si>
  <si>
    <t>YANIRA ALVAREZ MORALES</t>
  </si>
  <si>
    <t>ACTA2018-16</t>
  </si>
  <si>
    <t>ALDO OPAZO ZAMBELLI</t>
  </si>
  <si>
    <t>18167401-6</t>
  </si>
  <si>
    <t>A179.1</t>
  </si>
  <si>
    <t>SECRETARIO (B)  DE DIRECCION</t>
  </si>
  <si>
    <t>IRIS TOLEDO PEREZ</t>
  </si>
  <si>
    <t>11172372-9</t>
  </si>
  <si>
    <t>HORACIO CORNEJO GARCES</t>
  </si>
  <si>
    <t>16709992-0</t>
  </si>
  <si>
    <t xml:space="preserve">PROF. HORAS </t>
  </si>
  <si>
    <t>ACTA2018-14</t>
  </si>
  <si>
    <t>GONZALO PIÑONES NAVARRO</t>
  </si>
  <si>
    <t>17608606-8</t>
  </si>
  <si>
    <t>GABRIEL JOFRE DOEPKING</t>
  </si>
  <si>
    <t>19792801-8</t>
  </si>
  <si>
    <t>JUAN AVILES MORALES</t>
  </si>
  <si>
    <t>A198</t>
  </si>
  <si>
    <t>JUAN ALANO PALAVECINO</t>
  </si>
  <si>
    <t>17434877-4</t>
  </si>
  <si>
    <t>ASISTENTE DE BIBLIOTECA ( HORARIO VESPERTINO)</t>
  </si>
  <si>
    <t>BASTIAN GONZALEZ CAAMAÑO</t>
  </si>
  <si>
    <t>16716976-7</t>
  </si>
  <si>
    <t xml:space="preserve"> MORAGA POBLETE MARIO</t>
  </si>
  <si>
    <t>A200</t>
  </si>
  <si>
    <t>MARIA HAUSDORF STEGER</t>
  </si>
  <si>
    <t>13592396-6</t>
  </si>
  <si>
    <t>INGRID SANHUEZA AZUA</t>
  </si>
  <si>
    <t>14165767-4</t>
  </si>
  <si>
    <t>NICOLE OSSES LABORIE</t>
  </si>
  <si>
    <t>17484988-9</t>
  </si>
  <si>
    <t>ABOGADO DIRECCIÓN JURÍDICA</t>
  </si>
  <si>
    <t>MELISA FUENTES WEBER</t>
  </si>
  <si>
    <t>16201292-4</t>
  </si>
  <si>
    <t>ALIAGA TORRAS CLAUDIA</t>
  </si>
  <si>
    <t>A199</t>
  </si>
  <si>
    <t>MARIA JOSE CALDERON GARIN</t>
  </si>
  <si>
    <t>16088029-5</t>
  </si>
  <si>
    <t>ALMONACID MOLINA ARIEL</t>
  </si>
  <si>
    <t>A203</t>
  </si>
  <si>
    <t>CHOFER DE AMBULANCIA</t>
  </si>
  <si>
    <t>JUAN FERRADA BERNAL</t>
  </si>
  <si>
    <t>13886041-8</t>
  </si>
  <si>
    <t xml:space="preserve">DIAZ ARANEDA ISMAEL </t>
  </si>
  <si>
    <t>JEFE DE AREA CURRICULAR</t>
  </si>
  <si>
    <t>DIEGO MANDIOLA GRECCO</t>
  </si>
  <si>
    <t>09243470-2</t>
  </si>
  <si>
    <t>FUENTES ASPEE JESSENIA</t>
  </si>
  <si>
    <t>VR. DE APOYO AL ESTUDIANTE</t>
  </si>
  <si>
    <t>ALICIA BLANCO GALLARDO</t>
  </si>
  <si>
    <t>09665534-7</t>
  </si>
  <si>
    <t>MUÑOZ CESPEDES FERNANDO</t>
  </si>
  <si>
    <t>JOHANNA SANDOVAL PEREZ</t>
  </si>
  <si>
    <t>13031839-8</t>
  </si>
  <si>
    <t>MARSCHHAUSEN OGALDE MARIO</t>
  </si>
  <si>
    <t>DAMIAN MANSILLA NUÑEZ</t>
  </si>
  <si>
    <t>17014369-8</t>
  </si>
  <si>
    <t>DOMINGO PEREZ HERRERA</t>
  </si>
  <si>
    <t>11167270-9</t>
  </si>
  <si>
    <t>A208</t>
  </si>
  <si>
    <t>MONICA CORTES FLORES</t>
  </si>
  <si>
    <t>17879126-5</t>
  </si>
  <si>
    <t xml:space="preserve"> ALBORNOZ SAN MARTIN GABRIELA</t>
  </si>
  <si>
    <t>ROXANA MIRANDA AGUILERA</t>
  </si>
  <si>
    <t>17737715-5</t>
  </si>
  <si>
    <t xml:space="preserve">FLORES HUICHAHUALA MAGALY </t>
  </si>
  <si>
    <t>ALFREDO MUÑOZ ALARCON</t>
  </si>
  <si>
    <t>17484138-1</t>
  </si>
  <si>
    <t>STEPHAN ANDEREYA ESPINOSA</t>
  </si>
  <si>
    <t>15550090-5</t>
  </si>
  <si>
    <t>COMISION</t>
  </si>
  <si>
    <t>ANALISTA DE BASE DE DATOS</t>
  </si>
  <si>
    <t>FELIPE ARANCIBIA MIRANDA</t>
  </si>
  <si>
    <t>15841378-7</t>
  </si>
  <si>
    <t>A191</t>
  </si>
  <si>
    <t>ENCARGADO DE LABORATORIO ( HIDROMETALURGIA)</t>
  </si>
  <si>
    <t>DANIEL ESPINOZA ESPINOZA</t>
  </si>
  <si>
    <t>15894218-6</t>
  </si>
  <si>
    <t xml:space="preserve">MUÑOZ ZUÑIGA PATRICIA </t>
  </si>
  <si>
    <t>A126</t>
  </si>
  <si>
    <t>FREDDY ULLOA ORELLANA</t>
  </si>
  <si>
    <t>17381673-1</t>
  </si>
  <si>
    <t xml:space="preserve">AVILA GALVEZ RAQUEL </t>
  </si>
  <si>
    <t>GUILLERMO CAMPOS CUTURRUFO</t>
  </si>
  <si>
    <t>9577358-3</t>
  </si>
  <si>
    <t>LEIVA MALDONADO CRISTIAN</t>
  </si>
  <si>
    <t>JOCELYN ARCOS MORALES</t>
  </si>
  <si>
    <t>17150350-7</t>
  </si>
  <si>
    <t xml:space="preserve"> PINCHEIRA SEPULVEDA CAROLINA</t>
  </si>
  <si>
    <t>ACTA VRAE</t>
  </si>
  <si>
    <t>SECRETARIA B</t>
  </si>
  <si>
    <t>LUIS NEGRETE LOPEZ</t>
  </si>
  <si>
    <t>13926873-3</t>
  </si>
  <si>
    <t>Secretaria B</t>
  </si>
  <si>
    <t>EVELYN RIQUELME CUBILLOS</t>
  </si>
  <si>
    <t>12894346-3</t>
  </si>
  <si>
    <t xml:space="preserve">CANTELLANO MARTINEZ VERONICA </t>
  </si>
  <si>
    <t>A207</t>
  </si>
  <si>
    <t>TECNICO DE LABORATORIO ESPECIALIZADO ( ESTABULARIO)</t>
  </si>
  <si>
    <t>ALEXIS BARRIOS POBLETE</t>
  </si>
  <si>
    <t>14128405-3</t>
  </si>
  <si>
    <t>A217</t>
  </si>
  <si>
    <t>MEDICO CIRUJANO LEY 19664</t>
  </si>
  <si>
    <t>JORGE DOBBS LIZANA</t>
  </si>
  <si>
    <t>10328126-1</t>
  </si>
  <si>
    <t>GUTIERREZ PEÑAILILLO PAULINA</t>
  </si>
  <si>
    <t>IR2018-01</t>
  </si>
  <si>
    <t>DPTO. DE EXTENSION</t>
  </si>
  <si>
    <t>ASISTENTE GRUPO ARTISTICO ( INSPECTOR DE ORQUESTA)</t>
  </si>
  <si>
    <t>DANIELA ZAMORANO GONZALEZ</t>
  </si>
  <si>
    <t>17306385-7</t>
  </si>
  <si>
    <t>GONZALEZ RECABAL CARLOS</t>
  </si>
  <si>
    <t>SECRETARIA DE APOYO DOCENTE ( EDIFICIO INTECTUR)</t>
  </si>
  <si>
    <t>CAROLINA GARCIA VILLALOBOS</t>
  </si>
  <si>
    <t>13661288-3</t>
  </si>
  <si>
    <t>A212</t>
  </si>
  <si>
    <t>FRESIA TAPIA PEREZ</t>
  </si>
  <si>
    <t>18305027-3</t>
  </si>
  <si>
    <t>CEPEDA BRITO OLENKHA</t>
  </si>
  <si>
    <t>CLAUDIA ARENAS YANTORNO</t>
  </si>
  <si>
    <t>17030596-5</t>
  </si>
  <si>
    <t>A213</t>
  </si>
  <si>
    <t>ORDENES GARAY KATYA</t>
  </si>
  <si>
    <t>IR2018-04</t>
  </si>
  <si>
    <t>MARIA ALVAREZ GALLEGUILLOS</t>
  </si>
  <si>
    <t>15463491-6</t>
  </si>
  <si>
    <t>JARA SANDOVAL LIDIA</t>
  </si>
  <si>
    <t>ADMINISTRATIVO ESPECIALIZADO ( CONTROL Y GESTION)</t>
  </si>
  <si>
    <t>JONATHAN VALDES HERRERA</t>
  </si>
  <si>
    <t>17340975-3</t>
  </si>
  <si>
    <t>GONZALEZ AVILES FRANCISCA</t>
  </si>
  <si>
    <t>IR2018-05</t>
  </si>
  <si>
    <t>ADMINISTRATIVO DE APOYO RECEPCIONISTA</t>
  </si>
  <si>
    <t>ORELLANA RIVERA DORIS</t>
  </si>
  <si>
    <t>IR2018-02</t>
  </si>
  <si>
    <t>PEÑA GODOY JUAN</t>
  </si>
  <si>
    <t>IR2018-16</t>
  </si>
  <si>
    <t>11667471-8</t>
  </si>
  <si>
    <t>VALENZUELA CALDERON CRISTINA</t>
  </si>
  <si>
    <t>IGNACIO PORTE BARREAUX</t>
  </si>
  <si>
    <t>17705852-1</t>
  </si>
  <si>
    <t xml:space="preserve">ENCARGADO DE LABORATORIO   </t>
  </si>
  <si>
    <t>MAXIMILIANO VELEZ MONTECINOS</t>
  </si>
  <si>
    <t>16226942-9</t>
  </si>
  <si>
    <t xml:space="preserve"> - </t>
  </si>
  <si>
    <t>DPTO. DE GESTION AGRARIA</t>
  </si>
  <si>
    <t xml:space="preserve">SECRETARIA DE APOYO DOCENTE    </t>
  </si>
  <si>
    <t>FRANCIA MOLINA VILLALOBOS</t>
  </si>
  <si>
    <t>12673028-4</t>
  </si>
  <si>
    <t>ORELLANA SANDOVAL JAZMIN</t>
  </si>
  <si>
    <t>IR2018-09</t>
  </si>
  <si>
    <t>SECRETARIA A DECANATO</t>
  </si>
  <si>
    <t>10531801-4</t>
  </si>
  <si>
    <t>ROMERO CERDA ELIANA</t>
  </si>
  <si>
    <t>MIGUEL ARRIAGADA ORTEGA</t>
  </si>
  <si>
    <t>10044346-5</t>
  </si>
  <si>
    <t>ESPINOZA TORO SALVADOR</t>
  </si>
  <si>
    <t>AGDALIN VALENZUELA SANHUEZA</t>
  </si>
  <si>
    <t>18410852-6</t>
  </si>
  <si>
    <t>MOYANO FUENTES JUDITH</t>
  </si>
  <si>
    <t>IR2018-11</t>
  </si>
  <si>
    <t>CAJERO B 2° CATEGORIA</t>
  </si>
  <si>
    <t>10499435-0</t>
  </si>
  <si>
    <t>CALDERON SOTO - AGUILAR GLORIA</t>
  </si>
  <si>
    <t>IR2018-10</t>
  </si>
  <si>
    <t>TECNICO EN ATENCION DE PARVULOS</t>
  </si>
  <si>
    <t>MARICEL SILVA GUTIERREZ</t>
  </si>
  <si>
    <t>11752677-1</t>
  </si>
  <si>
    <t>BRIONES VIDAL PATRICIA</t>
  </si>
  <si>
    <t>A177</t>
  </si>
  <si>
    <t>OLGUIN FERNANDEZ VERONICA</t>
  </si>
  <si>
    <t>A215</t>
  </si>
  <si>
    <t>FELIPE MATUS VALENZUELA</t>
  </si>
  <si>
    <t>17225035-1</t>
  </si>
  <si>
    <t>ORELLANA GARRIDO CLAUDIA</t>
  </si>
  <si>
    <t>IR2018-18</t>
  </si>
  <si>
    <t xml:space="preserve">ASISTENTE DE BIBLIOTECA  </t>
  </si>
  <si>
    <t>IR2018-19</t>
  </si>
  <si>
    <t>LUIS FUENTES COELLO</t>
  </si>
  <si>
    <t>9095484-9</t>
  </si>
  <si>
    <t>A223</t>
  </si>
  <si>
    <t>16562789-K</t>
  </si>
  <si>
    <t>ARMIJO CORNEJO MIGUEL</t>
  </si>
  <si>
    <t xml:space="preserve">MEDICO GINECOLOGO LEY 19664 </t>
  </si>
  <si>
    <t>JESSICA BASTOURI CARRASCO</t>
  </si>
  <si>
    <t>26033733-5</t>
  </si>
  <si>
    <t>A241</t>
  </si>
  <si>
    <t>ENCARGADO DE LABORATORIO ( PROCESAMIENTO EN MINERALES)</t>
  </si>
  <si>
    <t>VICTOR VALDES PEREZ</t>
  </si>
  <si>
    <t>18538269-9</t>
  </si>
  <si>
    <t>LEON FAGNILLI RAMIRO</t>
  </si>
  <si>
    <t>TIHARE DIAZ GONZALEZ</t>
  </si>
  <si>
    <t>17834829-9</t>
  </si>
  <si>
    <t>A222</t>
  </si>
  <si>
    <t>ADMINISTRATIVO CONTABLE ( OPERACIONES)</t>
  </si>
  <si>
    <t>JORGE MENDEZ LOPEZ</t>
  </si>
  <si>
    <t>18756738-6</t>
  </si>
  <si>
    <t>MIRANDA MIRANDA MYRTHA</t>
  </si>
  <si>
    <t>A235</t>
  </si>
  <si>
    <t>PSICOLOGO UNIDAD FUNCIONAL DE GENERO , DIVERSIDAD Y EQUIDAD</t>
  </si>
  <si>
    <t>PAULA VARGAS REYES</t>
  </si>
  <si>
    <t>18535351-6</t>
  </si>
  <si>
    <t>IR2018-13</t>
  </si>
  <si>
    <t>SECRETARIA B ( DEPARTAMENTO)</t>
  </si>
  <si>
    <t>XIMENA SILVA TRAILLANCA</t>
  </si>
  <si>
    <t>12879504-9</t>
  </si>
  <si>
    <t>MIRANDA GUERRERO SOLEDAD</t>
  </si>
  <si>
    <t>BARBARA SALAZAR SANTIBAÑEZ</t>
  </si>
  <si>
    <t>12007137-8</t>
  </si>
  <si>
    <t>CAROLINA ESTAY UBILLA</t>
  </si>
  <si>
    <t>16092120-K</t>
  </si>
  <si>
    <t xml:space="preserve">PEREZ ACUNA PATRICIA </t>
  </si>
  <si>
    <t>IR2018-08</t>
  </si>
  <si>
    <t>MARIA VALDES GAMBINO</t>
  </si>
  <si>
    <t>15333652-0</t>
  </si>
  <si>
    <t>LOYOLA CONTRERAS BENITA</t>
  </si>
  <si>
    <t>A230</t>
  </si>
  <si>
    <t>ENCARGADO DE LABORATORIO ( MICROBIOLOGIA)</t>
  </si>
  <si>
    <t>RUBEN PEÑA BERNALES</t>
  </si>
  <si>
    <t>15840498-2</t>
  </si>
  <si>
    <t>CASTILLO ACUÑA CARMEN</t>
  </si>
  <si>
    <t>A167</t>
  </si>
  <si>
    <t>TRINIDAD INFANTE PINTO</t>
  </si>
  <si>
    <t>16941755-5</t>
  </si>
  <si>
    <t>GARRIDO CARRASCO MACARENA</t>
  </si>
  <si>
    <t>IR2018-23</t>
  </si>
  <si>
    <t>DIRECTORA SALA CUNA Y JARDIN INFANTIL ( JEFE DE SECCION)</t>
  </si>
  <si>
    <t>EVA PERALES SKARPA</t>
  </si>
  <si>
    <t>12624720-6</t>
  </si>
  <si>
    <t>VERGARA OSORIO PILAR</t>
  </si>
  <si>
    <t>A229</t>
  </si>
  <si>
    <t>7687205-8</t>
  </si>
  <si>
    <t xml:space="preserve">HUENUQUEO FERRADA JOSE </t>
  </si>
  <si>
    <t>ANALISTA DE RELACIONES INTERNACIONALES E INTERUNIVERSITARIAS</t>
  </si>
  <si>
    <t>MAYERLEY PACHECO PIÑANGO</t>
  </si>
  <si>
    <t>25913272-K</t>
  </si>
  <si>
    <t>MACARENA PEREZ OVALLE</t>
  </si>
  <si>
    <t>13922416-7</t>
  </si>
  <si>
    <t>A234</t>
  </si>
  <si>
    <t xml:space="preserve">ABOGADO </t>
  </si>
  <si>
    <t>CONSTANZA REYES TOLEDO</t>
  </si>
  <si>
    <t>17697368-4</t>
  </si>
  <si>
    <t>DAVID PAVEZ GUERRERO</t>
  </si>
  <si>
    <t>16209975-2</t>
  </si>
  <si>
    <t>FRANCISCO VILLANUEVA GUAJARDO</t>
  </si>
  <si>
    <t>17673495-7</t>
  </si>
  <si>
    <t>LEONARDO MERINO MANRIQUEZ</t>
  </si>
  <si>
    <t>12988103-8</t>
  </si>
  <si>
    <t>A231</t>
  </si>
  <si>
    <t>PAOLA VALDIVIA JARA</t>
  </si>
  <si>
    <t>16962501-8</t>
  </si>
  <si>
    <t>AMACHE MENA YANELA</t>
  </si>
  <si>
    <t>A231 (A188)</t>
  </si>
  <si>
    <t>GLADYS RAMOS VERA</t>
  </si>
  <si>
    <t>11975431-3</t>
  </si>
  <si>
    <t>ARAYA VERGARA FERNANDA</t>
  </si>
  <si>
    <t>IR2018-27</t>
  </si>
  <si>
    <t>INSTITUTO DE ESTUDIOS AVANZADO</t>
  </si>
  <si>
    <t>MARIA ORTEGA AYANCAN</t>
  </si>
  <si>
    <t>11715230-8</t>
  </si>
  <si>
    <t>WARTEMBERG ORELLANA MARIA VERONICA</t>
  </si>
  <si>
    <t>IR2018-22</t>
  </si>
  <si>
    <t>JEFA DE SECCION ADMINISTRACIÓN INTERNA Y PAGARES</t>
  </si>
  <si>
    <t>RIQUELME LOPEZ ROBERTO</t>
  </si>
  <si>
    <t>A260</t>
  </si>
  <si>
    <t>MEZA VALDERRAMA CAROL</t>
  </si>
  <si>
    <t>A237</t>
  </si>
  <si>
    <t>PSICOLOGA</t>
  </si>
  <si>
    <t>MARIA VEAS GUERRERO</t>
  </si>
  <si>
    <t>15342346-6</t>
  </si>
  <si>
    <t>A228</t>
  </si>
  <si>
    <t>NATALIA ROJO MORALES</t>
  </si>
  <si>
    <t>15970818-7</t>
  </si>
  <si>
    <t>A262</t>
  </si>
  <si>
    <t>JAIME GOMEZ CATALAN</t>
  </si>
  <si>
    <t>17576116-0</t>
  </si>
  <si>
    <t>A248</t>
  </si>
  <si>
    <t>DPTO. DE BENEFICIOS ESTUDIANTILE</t>
  </si>
  <si>
    <t>14447359-0</t>
  </si>
  <si>
    <t>HERNANDEZ BANNOUT PAULA</t>
  </si>
  <si>
    <t>A238</t>
  </si>
  <si>
    <t>8404597-7</t>
  </si>
  <si>
    <t xml:space="preserve"> COVARRUBIAS KUHNE WALTER</t>
  </si>
  <si>
    <t>9829292-6</t>
  </si>
  <si>
    <t>KONG LAO DOMINGO</t>
  </si>
  <si>
    <t>A242</t>
  </si>
  <si>
    <t>MONICA GUERRA NAVARRO</t>
  </si>
  <si>
    <t>15079671-7</t>
  </si>
  <si>
    <t>FLORES FERNANDEZ CHERIE</t>
  </si>
  <si>
    <t>A252</t>
  </si>
  <si>
    <t>ADMINISTRATIVA DE REGISTRO CURRICULAR</t>
  </si>
  <si>
    <t>SIRANDONI POLITIS PAOLA</t>
  </si>
  <si>
    <t>A269</t>
  </si>
  <si>
    <t>JEFE DE AREA APOYO AL ESTUDIANTE</t>
  </si>
  <si>
    <t>8815409-6</t>
  </si>
  <si>
    <t>IR2018-39</t>
  </si>
  <si>
    <t>10045330-4</t>
  </si>
  <si>
    <t>VELIZ FILIPP ELIZABETH</t>
  </si>
  <si>
    <t>A270-B</t>
  </si>
  <si>
    <t>PROFESIONAL DE EXTENSIÓN ( DIRECTOR COREOGRAFICO BALLET FOLCLORICO)</t>
  </si>
  <si>
    <t>MALDONADO VARGAS LUIS</t>
  </si>
  <si>
    <t>8013027-9</t>
  </si>
  <si>
    <t>ALBORNOZ ARIAS JOSE</t>
  </si>
  <si>
    <t>A254</t>
  </si>
  <si>
    <t>DPTO. DE TECNOLOGÍAS DE GESTIÓN</t>
  </si>
  <si>
    <t>11123150-8</t>
  </si>
  <si>
    <t>SOTO VALDES PATRICIO</t>
  </si>
  <si>
    <t>IR2018-31</t>
  </si>
  <si>
    <t>MARIA SALINAS TEJEDA</t>
  </si>
  <si>
    <t>13663549-2</t>
  </si>
  <si>
    <t>CEBALLOS TRABUCCO MARIA</t>
  </si>
  <si>
    <t>A160</t>
  </si>
  <si>
    <t>PASCAL TORO LAGOS</t>
  </si>
  <si>
    <t>15929844-1</t>
  </si>
  <si>
    <t>IR2018-37</t>
  </si>
  <si>
    <t>JEFA DE FINANZAS</t>
  </si>
  <si>
    <t>SUAZO COZ MARIA</t>
  </si>
  <si>
    <t>A245</t>
  </si>
  <si>
    <t>JEFE DE SECCION VIGILANCIA Y SEGURIDAD</t>
  </si>
  <si>
    <t>DURAN MOYA RENATO</t>
  </si>
  <si>
    <t>10655081-6</t>
  </si>
  <si>
    <t>VALENZUELA LORCA MANUEL</t>
  </si>
  <si>
    <t>ACTA019-06</t>
  </si>
  <si>
    <t>JEFE DE AREA CONTABILIDAD</t>
  </si>
  <si>
    <t>ACTA2019-17</t>
  </si>
  <si>
    <t>ENCARGADA DE VINCULACION CON EL MEDIO</t>
  </si>
  <si>
    <t>9063120-9</t>
  </si>
  <si>
    <t>CORONADO JARA JOSE</t>
  </si>
  <si>
    <t>ACTA2019-18</t>
  </si>
  <si>
    <t>ORTUZAR JIMENEZ JULIA</t>
  </si>
  <si>
    <t>8056884-3</t>
  </si>
  <si>
    <t>WELTE KERN ERIKA</t>
  </si>
  <si>
    <t>ACTA2019-19</t>
  </si>
  <si>
    <t>18085414-6</t>
  </si>
  <si>
    <t>CANALES MUÑOZ CLAUDIA Y SILVA DELGADO SONIA</t>
  </si>
  <si>
    <t>ACTA2019-25</t>
  </si>
  <si>
    <t>08860929-8</t>
  </si>
  <si>
    <t>ACTA2019-03</t>
  </si>
  <si>
    <t xml:space="preserve">TECNICO DE LABORATORIO   </t>
  </si>
  <si>
    <t>ACTA2019-02</t>
  </si>
  <si>
    <t>A272</t>
  </si>
  <si>
    <t>DPTO. DE FILOSOFIA</t>
  </si>
  <si>
    <t>10268835-K</t>
  </si>
  <si>
    <t>TORO NUÑEZ MAGDALENA</t>
  </si>
  <si>
    <t>A276</t>
  </si>
  <si>
    <t>por 22 hrs, ley 19.664</t>
  </si>
  <si>
    <t>ANTONIA OLEA MUÑOZ</t>
  </si>
  <si>
    <t>18392973-9</t>
  </si>
  <si>
    <t>BANDA LISBOA CECILIA</t>
  </si>
  <si>
    <t>ACTA2019-08</t>
  </si>
  <si>
    <t>15370916-5</t>
  </si>
  <si>
    <t>IR2018-34</t>
  </si>
  <si>
    <t>ANALISTA DE GESTION II ( ENCARGADO DE OFICINA DE RETIRO)</t>
  </si>
  <si>
    <t>CLAUDIA LARA GALAZ</t>
  </si>
  <si>
    <t>12306152-7</t>
  </si>
  <si>
    <t>CORTES CARVAJAL RAFAEL</t>
  </si>
  <si>
    <t>A227</t>
  </si>
  <si>
    <t>SEBASTIAN CALDERON LIZAMA</t>
  </si>
  <si>
    <t>16826269-8</t>
  </si>
  <si>
    <t>BUSTOS SAEZ HUGO</t>
  </si>
  <si>
    <t>a224</t>
  </si>
  <si>
    <t>JEFA DE SECCION, DIRECTORA CAP</t>
  </si>
  <si>
    <t>URSULA PESSE HERMOSILLA</t>
  </si>
  <si>
    <t>09036567-3</t>
  </si>
  <si>
    <t>ORTIZ BARRERA JADE</t>
  </si>
  <si>
    <t>A225</t>
  </si>
  <si>
    <t>DPTO. DE PLANFIC PRESUPUESTARIA</t>
  </si>
  <si>
    <t>12479336-K</t>
  </si>
  <si>
    <t>CARRASCO PALMA MARTA</t>
  </si>
  <si>
    <t>acta2019-07</t>
  </si>
  <si>
    <t>ACTA2019-09</t>
  </si>
  <si>
    <t>JEFE DE AREA COMPRAS Y SERVICIOS INSTITUCIONALES</t>
  </si>
  <si>
    <t>7983577-3</t>
  </si>
  <si>
    <t>IR2018-03</t>
  </si>
  <si>
    <t>UMAÑA HERRERA BLANCA</t>
  </si>
  <si>
    <t>11643375-3</t>
  </si>
  <si>
    <t>GARCIA ESPINOZA ELIANA</t>
  </si>
  <si>
    <t>ACTA2018-09</t>
  </si>
  <si>
    <t>a251</t>
  </si>
  <si>
    <t>ADMINISTRATIVA CONTABLE</t>
  </si>
  <si>
    <t>CUBILLOS CASTRO MARIA</t>
  </si>
  <si>
    <t>IR2018-12</t>
  </si>
  <si>
    <t>ARAVENA ALVAREZ PAVEL</t>
  </si>
  <si>
    <t>16914909-7</t>
  </si>
  <si>
    <t>MURILLO PALOMINO PAMELA</t>
  </si>
  <si>
    <t>IR2018-25</t>
  </si>
  <si>
    <t>Profesional Especializado(a) de Laboratorio</t>
  </si>
  <si>
    <t>PROFESIONAL ESPECIALIZADO DE LABORATORIO ( MICROBIOLOGIA)</t>
  </si>
  <si>
    <t>ALVAREZ GUERRERO FABIOLA</t>
  </si>
  <si>
    <t>16193208-6</t>
  </si>
  <si>
    <t>MUÑOZ CORTES HILDA</t>
  </si>
  <si>
    <t>A283</t>
  </si>
  <si>
    <t>JEFA DE SECCIÓN ANALISIS DE CUENTAS</t>
  </si>
  <si>
    <t>DONOSO PAVEZ MARION</t>
  </si>
  <si>
    <t>A271</t>
  </si>
  <si>
    <t>MORALES ACEVEDO DANIEL</t>
  </si>
  <si>
    <t>10080885-4</t>
  </si>
  <si>
    <t>CALDERON BARRIOS MAURICIO</t>
  </si>
  <si>
    <t>A264</t>
  </si>
  <si>
    <t>ADMINISTRATIVA DE RECURSOS HUMANOS</t>
  </si>
  <si>
    <t>AGUILAR AVENDAÑO RODRIGO</t>
  </si>
  <si>
    <t>ACTA2019-29</t>
  </si>
  <si>
    <t>Técnico(a) de Compras</t>
  </si>
  <si>
    <t>TECNICO DE COMPRAS</t>
  </si>
  <si>
    <t>A277</t>
  </si>
  <si>
    <t>PROFESIONAL ESPICIALIZADO DE LABORATORIO / OPERADOR EQUIPOS ESPECTROSCOPICOS Y FT-IR</t>
  </si>
  <si>
    <t>CONTENLA SAEZ ROMMINA</t>
  </si>
  <si>
    <t>16129369-5</t>
  </si>
  <si>
    <t>KLEIN GRUN ENRIQUETA</t>
  </si>
  <si>
    <t>ACTA2019-10</t>
  </si>
  <si>
    <t>JEFE DE AREA ( LICITACION Y CONTRATOS)</t>
  </si>
  <si>
    <t>A247</t>
  </si>
  <si>
    <t>ENCARGADO DE BODEGA, BIENES Y SERVICIOS</t>
  </si>
  <si>
    <t>SOLIS PEREZ JAVIER</t>
  </si>
  <si>
    <t>A274</t>
  </si>
  <si>
    <t>TECNICA DE LABORATORIO</t>
  </si>
  <si>
    <t xml:space="preserve">EPUYAO SALGADO NADIA </t>
  </si>
  <si>
    <t>18432874-7</t>
  </si>
  <si>
    <t>DEL CANTO ORTEGA SEBASTIAN</t>
  </si>
  <si>
    <t>ACTA2019-15</t>
  </si>
  <si>
    <t>DPTO. DE INGENIERIA INDUSTRIAL</t>
  </si>
  <si>
    <t>CORTES OLIVARES CYNTHIA</t>
  </si>
  <si>
    <t>9966232-8</t>
  </si>
  <si>
    <t>A304</t>
  </si>
  <si>
    <t>14192009-K</t>
  </si>
  <si>
    <t>A315</t>
  </si>
  <si>
    <t>ANALISTA INFORMÁTICO</t>
  </si>
  <si>
    <t>15374087-9</t>
  </si>
  <si>
    <t>A314</t>
  </si>
  <si>
    <t>A302</t>
  </si>
  <si>
    <t>ADMINISTRATIVA DE REGISTRO CURRICULAR ( TITULADORA)</t>
  </si>
  <si>
    <t>TECNICA DE COMPRAS</t>
  </si>
  <si>
    <t>17106896-7</t>
  </si>
  <si>
    <t>PAVEZ MIRANDA CAROLYN</t>
  </si>
  <si>
    <t>A323</t>
  </si>
  <si>
    <t>SECRETARIA C ( PABELLON FORMA)</t>
  </si>
  <si>
    <t>A324</t>
  </si>
  <si>
    <t>MAYORDOMO PAÑOLERO ( PABELLON FORMA) DIURNO</t>
  </si>
  <si>
    <t>ASISTENTE DE MANTENCIÓN ( CERRAJERO)</t>
  </si>
  <si>
    <t>RIQUELME RIQUELME DANIEL</t>
  </si>
  <si>
    <t>17831879-9</t>
  </si>
  <si>
    <t>MENARES ARRIAGADA GUILLERMO</t>
  </si>
  <si>
    <t>A270_A</t>
  </si>
  <si>
    <t>PROFESIONAL DE EXTENSION ( DIRECTOR MUSICAL BALLET FOLCLORICO)</t>
  </si>
  <si>
    <t>CORNEJO JARA OLGA</t>
  </si>
  <si>
    <t>16655351-2</t>
  </si>
  <si>
    <t>ARIAS ALBORNOZ JOSE</t>
  </si>
  <si>
    <t>ACTA2019-04</t>
  </si>
  <si>
    <t>CALDERON SOTO VERONICA</t>
  </si>
  <si>
    <t>10309289-2</t>
  </si>
  <si>
    <t>A286</t>
  </si>
  <si>
    <t>MAULEN MANRIQUEZ JOSELYN</t>
  </si>
  <si>
    <t>A267</t>
  </si>
  <si>
    <t>ADMINISTRATIVA ESPECIALIZADA</t>
  </si>
  <si>
    <t>11848270-0</t>
  </si>
  <si>
    <t>A325</t>
  </si>
  <si>
    <t>MAYORDOMO PAÑOLERO ( PABELLON FORMA) VESPERTINO</t>
  </si>
  <si>
    <t>16146459-7</t>
  </si>
  <si>
    <t>A326</t>
  </si>
  <si>
    <t>PROFESIONAL ESPECIALIZADO DE LABORATORIO ( ESPECIALISTA EQUIPO EQM 160036)</t>
  </si>
  <si>
    <t>SILVA MOLINA CARLOS</t>
  </si>
  <si>
    <t>15608779-3</t>
  </si>
  <si>
    <t>A290</t>
  </si>
  <si>
    <t>FARIAS LARENAS DANILO</t>
  </si>
  <si>
    <t>PICHIHUECHE VIERA PAULINA</t>
  </si>
  <si>
    <t>A281</t>
  </si>
  <si>
    <t>DIAZ HUENCHULLAN VICTOR</t>
  </si>
  <si>
    <t>13151557-K</t>
  </si>
  <si>
    <t>DIAZ MORALES CAROLINA</t>
  </si>
  <si>
    <t>A259</t>
  </si>
  <si>
    <t>VALENZUELA SANDOVAL JONATHAN</t>
  </si>
  <si>
    <t>14905714-5</t>
  </si>
  <si>
    <t>CASTRO AGUSTO PEDRO</t>
  </si>
  <si>
    <t>MATUS ARANEDA JUAN</t>
  </si>
  <si>
    <t>A308</t>
  </si>
  <si>
    <t>MUÑOZ GUERRA MARIBEL</t>
  </si>
  <si>
    <t>A353</t>
  </si>
  <si>
    <t>ANALISTA DE GESTION II ( ANALISTA CURRICULAR)</t>
  </si>
  <si>
    <t>CALDERON QUEZADA MATIAS</t>
  </si>
  <si>
    <t>18394658-7</t>
  </si>
  <si>
    <t>CUEVAS GALLARDO MARIA</t>
  </si>
  <si>
    <t>A317</t>
  </si>
  <si>
    <t>GAMBOA SILVA SERGIO</t>
  </si>
  <si>
    <t>14431876-5</t>
  </si>
  <si>
    <t>A243</t>
  </si>
  <si>
    <t>SILVA SILVA ANTONIO</t>
  </si>
  <si>
    <t>16115052-5</t>
  </si>
  <si>
    <t>CERDA ARANCIBIA SUSANA</t>
  </si>
  <si>
    <t>CACERES BASTIAS MANUEL</t>
  </si>
  <si>
    <t>15444672-9</t>
  </si>
  <si>
    <t>MUÑOZ SILVA LUIS</t>
  </si>
  <si>
    <t>A316</t>
  </si>
  <si>
    <t>JEFA DE SECCIÓN SERVICIO SOCIAL</t>
  </si>
  <si>
    <t>18.060.136-8</t>
  </si>
  <si>
    <t>A382</t>
  </si>
  <si>
    <t>EDITOR DIARIO INSTITUCIONAL</t>
  </si>
  <si>
    <t>FLORES GALVEZ JOSE</t>
  </si>
  <si>
    <t>10487286-7</t>
  </si>
  <si>
    <t>DOUZET JELDRES PABLO</t>
  </si>
  <si>
    <t>A342</t>
  </si>
  <si>
    <t>JEFA DE SECCION ( CURSOS CULTURALES DE FORMACION INTEGRAL CCFI</t>
  </si>
  <si>
    <t>ARAVENA TORRES SUSANA</t>
  </si>
  <si>
    <t>11627295-4</t>
  </si>
  <si>
    <t>COVARRUBIAS PIZARRO GLORIA</t>
  </si>
  <si>
    <t>A374</t>
  </si>
  <si>
    <t>ANALISTA DE GESTION I ( COORDINADOR DOCENTE)</t>
  </si>
  <si>
    <t>BOSSART ROJAS JAVIER</t>
  </si>
  <si>
    <t>12109393-6</t>
  </si>
  <si>
    <t>URBINA RODRIGUEZ FRANCISCO</t>
  </si>
  <si>
    <t>A305</t>
  </si>
  <si>
    <t>12905498-0</t>
  </si>
  <si>
    <t>ACTA2019-23</t>
  </si>
  <si>
    <t>ACTA2019-05</t>
  </si>
  <si>
    <t>HUIRCAN BRAVO SAMARIA</t>
  </si>
  <si>
    <t>17845827-2</t>
  </si>
  <si>
    <t>A303</t>
  </si>
  <si>
    <t>12661966-9</t>
  </si>
  <si>
    <t>A359</t>
  </si>
  <si>
    <t>ANALISTA DE GESTION II ( ENCARGADO/A DE COMPRAS)</t>
  </si>
  <si>
    <t xml:space="preserve">ORTIZ DINAMARCA PEDRO </t>
  </si>
  <si>
    <t>A358</t>
  </si>
  <si>
    <t>JEFE DE AREA ( GESTION ACADEMICA Y PLANES DE ESTUDIO)</t>
  </si>
  <si>
    <t>15282232-4</t>
  </si>
  <si>
    <t>CORON TORRES OSCAR</t>
  </si>
  <si>
    <t>A364</t>
  </si>
  <si>
    <t>MARABOLI HORMAZABAL CRISTIAN</t>
  </si>
  <si>
    <t>A368</t>
  </si>
  <si>
    <t>UNIDAD DE PROYECTO UNICYT</t>
  </si>
  <si>
    <t>PSICOLOGO PROYECTO USA1811</t>
  </si>
  <si>
    <t>TOLOZA DIAZ FELIPE</t>
  </si>
  <si>
    <t>18089232-K</t>
  </si>
  <si>
    <t>PROCESO NO PUBLICADO EN PAGINA</t>
  </si>
  <si>
    <t>ACTA2019-26</t>
  </si>
  <si>
    <t>SEPULVEDA FARIAS MATIAS</t>
  </si>
  <si>
    <t>17677806-7</t>
  </si>
  <si>
    <t>RIVERA CATALAN JACQUELINE</t>
  </si>
  <si>
    <t>A346</t>
  </si>
  <si>
    <t>SECRETARIA B ( DEPARTAMENTOS DERECHO PUBLICO Y PRIVADO, CIENCIAS DE DERECHO</t>
  </si>
  <si>
    <t>A306</t>
  </si>
  <si>
    <t>HORMAZABAL CHAVEZ MAIRA</t>
  </si>
  <si>
    <t>A240</t>
  </si>
  <si>
    <t>PSICOLOGO (CAP)</t>
  </si>
  <si>
    <t>REYES LOZANO CLAUDIO</t>
  </si>
  <si>
    <t>16300797-5</t>
  </si>
  <si>
    <t>DIAZ GARCIA HUIDOBRO MARCELA</t>
  </si>
  <si>
    <t>ACTA2019-24</t>
  </si>
  <si>
    <t>19063037-4</t>
  </si>
  <si>
    <t>MARTINEZ NAVIA ALEJANDRO</t>
  </si>
  <si>
    <t>IR2018-20</t>
  </si>
  <si>
    <t>ENCARGADA DE UNIDAD MENOR</t>
  </si>
  <si>
    <t>FIGUEROA FLORES BLANCA</t>
  </si>
  <si>
    <t>IR2018-28</t>
  </si>
  <si>
    <t>BELLALTA BERRIOS MARIA</t>
  </si>
  <si>
    <t>A311</t>
  </si>
  <si>
    <t>CANALES MUÑOZ PAMELA</t>
  </si>
  <si>
    <t>16452025-0</t>
  </si>
  <si>
    <t>FIGUEROA GALVEZ CARMEN</t>
  </si>
  <si>
    <t>A383</t>
  </si>
  <si>
    <t>DPTO. DE CONTABILIDAD Y AUDITOR</t>
  </si>
  <si>
    <t xml:space="preserve">SECRETARIA B ( DEPARTAMENTO)  </t>
  </si>
  <si>
    <t>ORTIZ RAVELO MARCIA</t>
  </si>
  <si>
    <t>14318130-8</t>
  </si>
  <si>
    <t>PINO AMPUERO MYRIAM</t>
  </si>
  <si>
    <t>A321</t>
  </si>
  <si>
    <t>ARANEDA ARIAS RAUL</t>
  </si>
  <si>
    <t>19932849-2</t>
  </si>
  <si>
    <t>ORELLANA SILVA VICTOR</t>
  </si>
  <si>
    <t>A307</t>
  </si>
  <si>
    <t>VASQUEZ MALHUE BARBARA</t>
  </si>
  <si>
    <t>16279996-7</t>
  </si>
  <si>
    <t>ADRIAZOLA MORENO MARTA</t>
  </si>
  <si>
    <t>ACTA2019-14</t>
  </si>
  <si>
    <t>FERNANDEZ SEPULVEDA CARLOS</t>
  </si>
  <si>
    <t>18533115-6</t>
  </si>
  <si>
    <t>ARIAS VARGAS PATRICIO</t>
  </si>
  <si>
    <t>A345</t>
  </si>
  <si>
    <t>JARA NAVARRETE VALERIA</t>
  </si>
  <si>
    <t>A348</t>
  </si>
  <si>
    <t>MANSILLA FUENTES GLORIA</t>
  </si>
  <si>
    <t>A318</t>
  </si>
  <si>
    <t>13688649-5</t>
  </si>
  <si>
    <t>MONTECINO CUBILLOS SOLEDAD</t>
  </si>
  <si>
    <t>A380</t>
  </si>
  <si>
    <t>ADMINISTRATIVA DE REGISTRO ACADEMICO ( TITULADORA)</t>
  </si>
  <si>
    <t>TOMIGO MEJIAS ANA</t>
  </si>
  <si>
    <t>A406</t>
  </si>
  <si>
    <t>GONZALEZ SANTA CRUZ ANDRES</t>
  </si>
  <si>
    <t>A341</t>
  </si>
  <si>
    <t>TECNICO ELECTRICO ( CLIMATIZACION)</t>
  </si>
  <si>
    <t>FERNANDEZ PEÑALOZA CARLOS</t>
  </si>
  <si>
    <t>7317438-4</t>
  </si>
  <si>
    <t>ORELLANA TORO NICOLAS</t>
  </si>
  <si>
    <t>A375</t>
  </si>
  <si>
    <t>SILVA LUQUE GUACOLDA</t>
  </si>
  <si>
    <t>A301</t>
  </si>
  <si>
    <t>MAYORDOMA</t>
  </si>
  <si>
    <t>DUARTE DUARTE ESMERALDA</t>
  </si>
  <si>
    <t>10549457-2</t>
  </si>
  <si>
    <t>GUTIERREZ MOLINA RAMON</t>
  </si>
  <si>
    <t>A373</t>
  </si>
  <si>
    <t>SARTORI ESCOBAR ALICIA</t>
  </si>
  <si>
    <t>ACTA2019-11</t>
  </si>
  <si>
    <t>REUBICACIÓN</t>
  </si>
  <si>
    <t>PETRELLI OPITZ KARINA</t>
  </si>
  <si>
    <t>A338</t>
  </si>
  <si>
    <t>REBOLLEDO GONZALEZ GERSON</t>
  </si>
  <si>
    <t>19783791-8</t>
  </si>
  <si>
    <t>ZACARIAS ESPARZA SERGIO</t>
  </si>
  <si>
    <t>A372</t>
  </si>
  <si>
    <t>VIDAL FUENZALIDA LUCIA</t>
  </si>
  <si>
    <t>GONZALEZ CATALAN FANNY</t>
  </si>
  <si>
    <t>15410304-K</t>
  </si>
  <si>
    <t>SAAVEDRA DONOSO CRISTIAN</t>
  </si>
  <si>
    <t>A293</t>
  </si>
  <si>
    <t xml:space="preserve">SECRETARIA C </t>
  </si>
  <si>
    <t>FUENTEALBA PAREDES IVONNE</t>
  </si>
  <si>
    <t>A366</t>
  </si>
  <si>
    <t>CONTRERAS GONZALEZ LUIS</t>
  </si>
  <si>
    <t>A393</t>
  </si>
  <si>
    <t>ADMINISTRATIVA DE PROCESO</t>
  </si>
  <si>
    <t>A394</t>
  </si>
  <si>
    <t>18118813-8</t>
  </si>
  <si>
    <t>A386</t>
  </si>
  <si>
    <t>JEFA DE OFICINA ( VIGILANCIA)</t>
  </si>
  <si>
    <t>RODRIGUEZ COLLIO VICTOR</t>
  </si>
  <si>
    <t>ACTA2019-20</t>
  </si>
  <si>
    <t>MONSALVEZ VALDERRAMA ANA</t>
  </si>
  <si>
    <t>12523432-1</t>
  </si>
  <si>
    <t>LILLO MELLADO LAURA</t>
  </si>
  <si>
    <t>A410</t>
  </si>
  <si>
    <t>MUÑOZ VASQUEZ PAULA</t>
  </si>
  <si>
    <t>A285</t>
  </si>
  <si>
    <t>GONZALEZ BAEZ LORENA</t>
  </si>
  <si>
    <t>11053738-7</t>
  </si>
  <si>
    <t>CONCHA SILVA MARAT</t>
  </si>
  <si>
    <t>A356</t>
  </si>
  <si>
    <t>ANALISTA CONTABLE II ( ANALISTA DE CONCILIACIONES BANCARIAS)</t>
  </si>
  <si>
    <t>QUIJADA  FLORES NICOLE</t>
  </si>
  <si>
    <t>17676254-3</t>
  </si>
  <si>
    <t>FLORES TORO KARLA</t>
  </si>
  <si>
    <t>A389</t>
  </si>
  <si>
    <t>LARENAS FARIAS DANILO</t>
  </si>
  <si>
    <t>A282</t>
  </si>
  <si>
    <t>ANALISTA DE GESTION II APOYO INFORMATICO</t>
  </si>
  <si>
    <t xml:space="preserve"> SORIANO HERMOSILLA ALDO</t>
  </si>
  <si>
    <t>17034521-5</t>
  </si>
  <si>
    <t>CARRASCO MARTA</t>
  </si>
  <si>
    <t>A402</t>
  </si>
  <si>
    <t xml:space="preserve">EDITOR  </t>
  </si>
  <si>
    <t xml:space="preserve">ARAYA LILLO ALEX </t>
  </si>
  <si>
    <t>JAQUE AVILA ARMANDO</t>
  </si>
  <si>
    <t>A361</t>
  </si>
  <si>
    <t>ANALISTA GESTION I</t>
  </si>
  <si>
    <t>ANALISTA DE GESTION I  ( COMITE DE ETICA)</t>
  </si>
  <si>
    <t xml:space="preserve">FRANCISCA MIRANDA B FRANCISCA </t>
  </si>
  <si>
    <t>17349172-7</t>
  </si>
  <si>
    <t>HERRERA SALDIVIA ANDREA</t>
  </si>
  <si>
    <t xml:space="preserve"> GODOY MENDEZ GILBERTO</t>
  </si>
  <si>
    <t>8775662-9</t>
  </si>
  <si>
    <t>ERWIN LEAL RIVERA</t>
  </si>
  <si>
    <t>A331</t>
  </si>
  <si>
    <t>ADMINISTRATIVA CONTABLE  ( COBRANZAS)</t>
  </si>
  <si>
    <t>JERIA GALVEZ VALERIA</t>
  </si>
  <si>
    <t>16424884-4</t>
  </si>
  <si>
    <t>SOTO AID EVELYN</t>
  </si>
  <si>
    <t>A337</t>
  </si>
  <si>
    <t>ROJAS CANCINO MADELEINE</t>
  </si>
  <si>
    <t>18925942-5</t>
  </si>
  <si>
    <t>BEECHER PARRA GUISELLA</t>
  </si>
  <si>
    <t>A367</t>
  </si>
  <si>
    <t>SALGADO CAYUL TAMARA</t>
  </si>
  <si>
    <t>A411</t>
  </si>
  <si>
    <t>9589121-7</t>
  </si>
  <si>
    <t>DIAZ GONZALEZ MIGUEL</t>
  </si>
  <si>
    <t>A319</t>
  </si>
  <si>
    <t>MERIÑO VALDIVIA BRAULIO</t>
  </si>
  <si>
    <t>20198160-3</t>
  </si>
  <si>
    <t>AGUILA VILLEGAS SHIRLEY</t>
  </si>
  <si>
    <t>A413</t>
  </si>
  <si>
    <t>JEFE DE AREA VIGILANCIA Y SEGURIDAD</t>
  </si>
  <si>
    <t>HERMAN MORENO FARFAN</t>
  </si>
  <si>
    <t>12497530-1</t>
  </si>
  <si>
    <t>A409</t>
  </si>
  <si>
    <t>BURGOS VILLABLANCA EDGARDO</t>
  </si>
  <si>
    <t>14541363-K</t>
  </si>
  <si>
    <t>MORAGA ESPINOZA ANA</t>
  </si>
  <si>
    <t>A292</t>
  </si>
  <si>
    <t>MOYA CASTRO GABRIELA</t>
  </si>
  <si>
    <t>19584010-5</t>
  </si>
  <si>
    <t>GONZALEZ SANTANDER NATALIA</t>
  </si>
  <si>
    <t>A422</t>
  </si>
  <si>
    <t>SANTIBAÑEZ MILLAS HERNAN</t>
  </si>
  <si>
    <t>13041780-9</t>
  </si>
  <si>
    <t>RIFFO CAMPOS ALEXIS</t>
  </si>
  <si>
    <t>A398</t>
  </si>
  <si>
    <t>ANALISTA DE GESTION II ATENCION AL VISITANTE INTERNACIONAL</t>
  </si>
  <si>
    <t>MONDACA AHRENS PAULA</t>
  </si>
  <si>
    <t>18665923-6</t>
  </si>
  <si>
    <t>SILVA VARGAS LEANDRO</t>
  </si>
  <si>
    <t>A478</t>
  </si>
  <si>
    <t xml:space="preserve">Desarrollador(a) Técnico(a) </t>
  </si>
  <si>
    <t>DESARROLLADOR TECNICO TI</t>
  </si>
  <si>
    <t>SEPULVEDA CABAS CRISTIAN</t>
  </si>
  <si>
    <t>18991732-5</t>
  </si>
  <si>
    <t>A479</t>
  </si>
  <si>
    <t>CASANUEVA OJEDA ALEXIS</t>
  </si>
  <si>
    <t>18204469-5</t>
  </si>
  <si>
    <t>A414</t>
  </si>
  <si>
    <t>PINTO PEREZ CRISTEL</t>
  </si>
  <si>
    <t>18115543 -4</t>
  </si>
  <si>
    <t>CHAJTUR ZAMUDIO LEYLA</t>
  </si>
  <si>
    <t>A443</t>
  </si>
  <si>
    <t>ANALISTA DE GESTON I (DOCENCIA)</t>
  </si>
  <si>
    <t>MUÑOZ BUZETA ROMINA</t>
  </si>
  <si>
    <t>16207468-7</t>
  </si>
  <si>
    <t>A408</t>
  </si>
  <si>
    <t>FUENTES GONZALEZ DANIELA</t>
  </si>
  <si>
    <t>PENDIENTE ACTA FIRMADA</t>
  </si>
  <si>
    <t>A378</t>
  </si>
  <si>
    <t>JEFA DE CALIDAD</t>
  </si>
  <si>
    <t>VERDUGO MEDINA LIDIA</t>
  </si>
  <si>
    <t>A421</t>
  </si>
  <si>
    <t>A437</t>
  </si>
  <si>
    <t>A420</t>
  </si>
  <si>
    <t>DIRECCIÓN DE ASISTENCIA JURIDICA</t>
  </si>
  <si>
    <t>BOIN BAKIT ALDA</t>
  </si>
  <si>
    <t>A299</t>
  </si>
  <si>
    <t>GODOY GUERRA GLORIA</t>
  </si>
  <si>
    <t>A444</t>
  </si>
  <si>
    <t>GOMOLAN GONZALEZ PATRICIO</t>
  </si>
  <si>
    <t>A336</t>
  </si>
  <si>
    <t>SECCIÓN FUTSAL</t>
  </si>
  <si>
    <t>TEJIAS OLGUIN RENE</t>
  </si>
  <si>
    <t>A442</t>
  </si>
  <si>
    <t>DOCENCIA</t>
  </si>
  <si>
    <t>A460</t>
  </si>
  <si>
    <t>A424</t>
  </si>
  <si>
    <t>EDITORA</t>
  </si>
  <si>
    <t>ECHEVERRIA IBIETA CATALINA</t>
  </si>
  <si>
    <t>16367301-0</t>
  </si>
  <si>
    <t>KUHNE COVARRUBIAS WALTER</t>
  </si>
  <si>
    <t>A471</t>
  </si>
  <si>
    <t>TÉCNICO CONTABLE</t>
  </si>
  <si>
    <t>ARAYA TILLERIA CRISTOBAL</t>
  </si>
  <si>
    <t>A309</t>
  </si>
  <si>
    <t>TÉCNICO SOPORTE BASICO EN COMPUTACION</t>
  </si>
  <si>
    <t>GODOY CHAVEZ MATIA</t>
  </si>
  <si>
    <t>19142636-3</t>
  </si>
  <si>
    <t>ASTETE FUENTES MATIAS</t>
  </si>
  <si>
    <t>A486</t>
  </si>
  <si>
    <t>PERIODISTA ( PROGRAMACION AUDIOVISUAL)</t>
  </si>
  <si>
    <t>10732787-8</t>
  </si>
  <si>
    <t>A485</t>
  </si>
  <si>
    <t>PERIODISTA ( COMUNITY MANAGER)</t>
  </si>
  <si>
    <t>CORTES MATAMOROS PAULINA</t>
  </si>
  <si>
    <t>17711140-6</t>
  </si>
  <si>
    <t>A495</t>
  </si>
  <si>
    <t>AGUILAR BERRIOS EMILIA</t>
  </si>
  <si>
    <t>17600659-5</t>
  </si>
  <si>
    <t>MEDEL QUILODRAN PABLO</t>
  </si>
  <si>
    <t>A496</t>
  </si>
  <si>
    <t>MARTEL MARTEL IVELIZ</t>
  </si>
  <si>
    <t>16077167-4</t>
  </si>
  <si>
    <t>SANTIBAÑEZ GIAVERINI ANGIE</t>
  </si>
  <si>
    <t>A521</t>
  </si>
  <si>
    <t>AUDIOVISUAL DEPORTIVO</t>
  </si>
  <si>
    <t>BARRA AVILA JAIME</t>
  </si>
  <si>
    <t>A541</t>
  </si>
  <si>
    <t>PERIODISTA ( PROGRAMA DE CIENCIAS)</t>
  </si>
  <si>
    <t>RIMASSA SAAVEDRA IVAN</t>
  </si>
  <si>
    <t>A291</t>
  </si>
  <si>
    <t>CACERES TAPIA XIMENA</t>
  </si>
  <si>
    <t>A545</t>
  </si>
  <si>
    <t>Técnico en Esterilización , Vacunatorio y Epidemiología</t>
  </si>
  <si>
    <t>GUTIERREZ SALAS MARCELA</t>
  </si>
  <si>
    <t>A546</t>
  </si>
  <si>
    <t>CUTIÑO LOPEZ HELEN</t>
  </si>
  <si>
    <t>A552</t>
  </si>
  <si>
    <t>BAHAMONDES ABARZA JAVIERA</t>
  </si>
  <si>
    <t>A547</t>
  </si>
  <si>
    <t>CONTRERAS DANCEANU LIZA</t>
  </si>
  <si>
    <t>17700939-3</t>
  </si>
  <si>
    <t>CAMPOS FERNANDEZ EDISON</t>
  </si>
  <si>
    <t>A551</t>
  </si>
  <si>
    <t>infraestructura FAE</t>
  </si>
  <si>
    <t>A548</t>
  </si>
  <si>
    <t>MENA MORAGA FRANCISCA</t>
  </si>
  <si>
    <t>A549</t>
  </si>
  <si>
    <t>OLIVA PORTALES VICTORIA</t>
  </si>
  <si>
    <t>A589</t>
  </si>
  <si>
    <t>OLGUIN GONZALEZ FELIPE</t>
  </si>
  <si>
    <t>A484</t>
  </si>
  <si>
    <t>AEDO OLGUIN MARIA</t>
  </si>
  <si>
    <t>A555</t>
  </si>
  <si>
    <t>A577</t>
  </si>
  <si>
    <t>GUAL ORTEGA CAMILA</t>
  </si>
  <si>
    <t>16710897-0</t>
  </si>
  <si>
    <t>A587</t>
  </si>
  <si>
    <t>LABEN</t>
  </si>
  <si>
    <t>11863488-8</t>
  </si>
  <si>
    <t>A560</t>
  </si>
  <si>
    <t>DIAZ BUSTAMANTE LISANDRO</t>
  </si>
  <si>
    <t>A584</t>
  </si>
  <si>
    <t>CABRERA MATUS CAROLINA</t>
  </si>
  <si>
    <t>A595</t>
  </si>
  <si>
    <t>ROJAS NAVIA MARIO</t>
  </si>
  <si>
    <t>A602</t>
  </si>
  <si>
    <t>SAAVEDRA LOPEZ LORETO</t>
  </si>
  <si>
    <t>16797444-9</t>
  </si>
  <si>
    <t>MADRID MUÑOZ GRACIELA</t>
  </si>
  <si>
    <t>A576</t>
  </si>
  <si>
    <t>PROCESO DIRIGIDO</t>
  </si>
  <si>
    <t>A510</t>
  </si>
  <si>
    <t>PRACTICAS PROFESIONALES</t>
  </si>
  <si>
    <t>9993392-5</t>
  </si>
  <si>
    <t>LAZO CARMEN</t>
  </si>
  <si>
    <t>A434</t>
  </si>
  <si>
    <t>A435</t>
  </si>
  <si>
    <t>18846795-4</t>
  </si>
  <si>
    <t>A622</t>
  </si>
  <si>
    <t>Auxiliar de Seguridad</t>
  </si>
  <si>
    <t>AZOCAR CLAVERO CAROLAIN</t>
  </si>
  <si>
    <t>19440941-9</t>
  </si>
  <si>
    <t>MATUS DIAZ JUAN</t>
  </si>
  <si>
    <t>A628</t>
  </si>
  <si>
    <t>TECNICO NIVEL SUPERIOR EN INFORMATICA</t>
  </si>
  <si>
    <t>MARCHANT ARCE JUAN</t>
  </si>
  <si>
    <t>A490</t>
  </si>
  <si>
    <t>13285803-9</t>
  </si>
  <si>
    <t>ROJAS FERNANDO</t>
  </si>
  <si>
    <t>A469</t>
  </si>
  <si>
    <t>RAMIREZ PINO ANA</t>
  </si>
  <si>
    <t>17600591-2</t>
  </si>
  <si>
    <t>CALDERON MARIA JOSE</t>
  </si>
  <si>
    <t>A625</t>
  </si>
  <si>
    <t>TERAPIA OCUPACIONAL</t>
  </si>
  <si>
    <t>A608</t>
  </si>
  <si>
    <t>PROCESO AL RANGO</t>
  </si>
  <si>
    <t>13475807-4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</si>
</sst>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M/yyyy"/>
    <numFmt numFmtId="165" formatCode="_-* #,##0\ _€_-;\-* #,##0\ _€_-;_-* &quot;-&quot;??\ _€_-;_-@"/>
    <numFmt numFmtId="166" formatCode="d&quot;/&quot;m&quot;/&quot;yyyy"/>
    <numFmt numFmtId="167" formatCode="dd/mm/yyyy"/>
    <numFmt numFmtId="168" formatCode="d/m/yyyy"/>
    <numFmt numFmtId="169" formatCode="dd/mm/yy"/>
  </numFmts>
  <fonts count="36">
    <font>
      <sz val="11.0"/>
      <color rgb="FF000000"/>
      <name val="Calibri"/>
    </font>
    <font>
      <sz val="10.0"/>
      <name val="Arial Narrow"/>
    </font>
    <font>
      <b/>
      <sz val="9.0"/>
      <color rgb="FF0070C0"/>
      <name val="Arial"/>
    </font>
    <font>
      <b/>
      <sz val="11.0"/>
      <color rgb="FF000000"/>
      <name val="Calibri"/>
    </font>
    <font>
      <b/>
      <sz val="11.0"/>
      <color rgb="FF0070C0"/>
      <name val="Calibri"/>
    </font>
    <font>
      <b/>
      <u/>
      <sz val="11.0"/>
      <color rgb="FF0000FF"/>
      <name val="Calibri"/>
    </font>
    <font>
      <sz val="11.0"/>
      <color rgb="FF0070C0"/>
      <name val="Calibri"/>
    </font>
    <font>
      <u/>
      <sz val="11.0"/>
      <color rgb="FF0000FF"/>
      <name val="Calibri"/>
    </font>
    <font>
      <b/>
      <sz val="10.0"/>
      <color rgb="FF0000FF"/>
      <name val="Calibri"/>
    </font>
    <font>
      <sz val="11.0"/>
      <color rgb="FF0000FF"/>
      <name val="Calibri"/>
    </font>
    <font>
      <b/>
      <sz val="9.0"/>
      <color rgb="FF000000"/>
      <name val="Calibri"/>
    </font>
    <font>
      <b/>
    </font>
    <font/>
    <font>
      <b/>
      <sz val="10.0"/>
      <name val="Arial Narrow"/>
    </font>
    <font>
      <b/>
      <i/>
      <sz val="10.0"/>
      <name val="Arial Narrow"/>
    </font>
    <font>
      <sz val="10.0"/>
      <color rgb="FF000000"/>
      <name val="Arial Narrow"/>
    </font>
    <font>
      <b/>
      <sz val="10.0"/>
      <color rgb="FF000000"/>
      <name val="Arial Narrow"/>
    </font>
    <font>
      <b/>
      <sz val="10.0"/>
      <color rgb="FFFF0000"/>
      <name val="Arial Narrow"/>
    </font>
    <font>
      <sz val="10.0"/>
      <color rgb="FFFF0000"/>
      <name val="Arial Narrow"/>
    </font>
    <font>
      <sz val="11.0"/>
      <color rgb="FFFF0000"/>
      <name val="Calibri"/>
    </font>
    <font>
      <b/>
      <sz val="9.0"/>
      <name val="Arial Narrow"/>
    </font>
    <font>
      <sz val="9.0"/>
      <name val="Arial Narrow"/>
    </font>
    <font>
      <sz val="9.0"/>
      <color rgb="FF000000"/>
      <name val="Arial Narrow"/>
    </font>
    <font>
      <sz val="11.0"/>
      <name val="Calibri"/>
    </font>
    <font>
      <b/>
      <sz val="8.0"/>
      <name val="Arial Narrow"/>
    </font>
    <font>
      <sz val="8.0"/>
      <color rgb="FF000000"/>
      <name val="Calibri"/>
    </font>
    <font>
      <sz val="9.0"/>
      <color rgb="FF000000"/>
      <name val="Calibri"/>
    </font>
    <font>
      <sz val="11.0"/>
      <color rgb="FF000000"/>
      <name val="Inconsolata"/>
    </font>
    <font>
      <i/>
      <sz val="10.0"/>
      <name val="Arial Narrow"/>
    </font>
    <font>
      <sz val="10.0"/>
      <color rgb="FF000000"/>
      <name val="Calibri"/>
    </font>
    <font>
      <name val="Arial Narrow"/>
    </font>
    <font>
      <name val="Calibri"/>
    </font>
    <font>
      <sz val="10.0"/>
      <name val="Arial"/>
    </font>
    <font>
      <color rgb="FF000000"/>
      <name val="&quot;Arial Narrow&quot;"/>
    </font>
    <font>
      <sz val="10.0"/>
      <color rgb="FF434343"/>
      <name val="Arial Narrow"/>
    </font>
    <font>
      <color rgb="FF000000"/>
      <name val="Arial Narrow"/>
    </font>
  </fonts>
  <fills count="1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2DBDB"/>
        <bgColor rgb="FFF2DBDB"/>
      </patternFill>
    </fill>
    <fill>
      <patternFill patternType="solid">
        <fgColor rgb="FF92D050"/>
        <bgColor rgb="FF92D050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B7E1CD"/>
        <bgColor rgb="FFB7E1CD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8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center"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shrinkToFit="0" wrapText="0"/>
    </xf>
    <xf borderId="1" fillId="0" fontId="1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0" fillId="0" fontId="2" numFmtId="0" xfId="0" applyAlignment="1" applyFont="1">
      <alignment horizontal="left" shrinkToFit="0" wrapText="0"/>
    </xf>
    <xf borderId="0" fillId="0" fontId="3" numFmtId="0" xfId="0" applyAlignment="1" applyFont="1">
      <alignment horizontal="left" shrinkToFit="0" wrapText="0"/>
    </xf>
    <xf borderId="0" fillId="0" fontId="4" numFmtId="0" xfId="0" applyAlignment="1" applyFont="1">
      <alignment shrinkToFit="0" wrapText="0"/>
    </xf>
    <xf borderId="0" fillId="0" fontId="0" numFmtId="0" xfId="0" applyAlignment="1" applyFont="1">
      <alignment horizontal="left" shrinkToFit="0" wrapText="0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6" numFmtId="0" xfId="0" applyAlignment="1" applyFont="1">
      <alignment shrinkToFit="0" wrapText="0"/>
    </xf>
    <xf borderId="0" fillId="0" fontId="7" numFmtId="0" xfId="0" applyAlignment="1" applyFont="1">
      <alignment shrinkToFit="0" wrapText="0"/>
    </xf>
    <xf borderId="0" fillId="0" fontId="2" numFmtId="0" xfId="0" applyAlignment="1" applyFont="1">
      <alignment horizontal="left" shrinkToFit="0" vertical="center" wrapText="0"/>
    </xf>
    <xf borderId="0" fillId="0" fontId="8" numFmtId="0" xfId="0" applyAlignment="1" applyFont="1">
      <alignment shrinkToFit="0" vertical="center" wrapText="1"/>
    </xf>
    <xf borderId="0" fillId="0" fontId="9" numFmtId="0" xfId="0" applyAlignment="1" applyFont="1">
      <alignment shrinkToFit="0" wrapText="0"/>
    </xf>
    <xf borderId="0" fillId="0" fontId="10" numFmtId="0" xfId="0" applyAlignment="1" applyFont="1">
      <alignment horizontal="center" shrinkToFit="0" vertical="center" wrapText="0"/>
    </xf>
    <xf borderId="0" fillId="0" fontId="1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/>
    </xf>
    <xf borderId="0" fillId="0" fontId="12" numFmtId="0" xfId="0" applyAlignment="1" applyFont="1">
      <alignment readingOrder="0" shrinkToFit="0" wrapText="0"/>
    </xf>
    <xf borderId="0" fillId="3" fontId="0" numFmtId="0" xfId="0" applyAlignment="1" applyFill="1" applyFont="1">
      <alignment readingOrder="0" shrinkToFit="0" vertical="bottom" wrapText="0"/>
    </xf>
    <xf borderId="2" fillId="4" fontId="13" numFmtId="0" xfId="0" applyAlignment="1" applyBorder="1" applyFill="1" applyFont="1">
      <alignment horizontal="center" readingOrder="0" shrinkToFit="0" vertical="center" wrapText="1"/>
    </xf>
    <xf borderId="1" fillId="4" fontId="14" numFmtId="0" xfId="0" applyAlignment="1" applyBorder="1" applyFont="1">
      <alignment horizontal="center" readingOrder="0" shrinkToFit="0" vertical="center" wrapText="1"/>
    </xf>
    <xf borderId="1" fillId="4" fontId="13" numFmtId="0" xfId="0" applyAlignment="1" applyBorder="1" applyFont="1">
      <alignment horizontal="center" readingOrder="0" shrinkToFit="0" vertical="center" wrapText="1"/>
    </xf>
    <xf borderId="1" fillId="4" fontId="13" numFmtId="0" xfId="0" applyAlignment="1" applyBorder="1" applyFont="1">
      <alignment horizontal="center" shrinkToFit="0" vertical="center" wrapText="1"/>
    </xf>
    <xf borderId="1" fillId="5" fontId="13" numFmtId="0" xfId="0" applyAlignment="1" applyBorder="1" applyFill="1" applyFont="1">
      <alignment horizontal="center" readingOrder="0" shrinkToFit="0" vertical="center" wrapText="1"/>
    </xf>
    <xf borderId="1" fillId="4" fontId="13" numFmtId="164" xfId="0" applyAlignment="1" applyBorder="1" applyFont="1" applyNumberFormat="1">
      <alignment horizontal="center" shrinkToFit="0" vertical="center" wrapText="1"/>
    </xf>
    <xf borderId="3" fillId="4" fontId="13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0"/>
    </xf>
    <xf borderId="0" fillId="0" fontId="15" numFmtId="0" xfId="0" applyAlignment="1" applyFont="1">
      <alignment shrinkToFit="0" vertical="center" wrapText="0"/>
    </xf>
    <xf borderId="0" fillId="0" fontId="1" numFmtId="0" xfId="0" applyAlignment="1" applyFont="1">
      <alignment shrinkToFit="0" vertical="center" wrapText="0"/>
    </xf>
    <xf borderId="0" fillId="0" fontId="15" numFmtId="14" xfId="0" applyAlignment="1" applyFont="1" applyNumberFormat="1">
      <alignment shrinkToFit="0" vertical="center" wrapText="0"/>
    </xf>
    <xf borderId="0" fillId="0" fontId="15" numFmtId="164" xfId="0" applyAlignment="1" applyFont="1" applyNumberFormat="1">
      <alignment shrinkToFit="0" vertical="center" wrapText="0"/>
    </xf>
    <xf borderId="0" fillId="0" fontId="12" numFmtId="164" xfId="0" applyFont="1" applyNumberFormat="1"/>
    <xf borderId="0" fillId="0" fontId="15" numFmtId="17" xfId="0" applyAlignment="1" applyFont="1" applyNumberFormat="1">
      <alignment horizontal="center" shrinkToFit="0" vertical="center" wrapText="0"/>
    </xf>
    <xf borderId="0" fillId="0" fontId="11" numFmtId="0" xfId="0" applyFont="1"/>
    <xf borderId="0" fillId="0" fontId="16" numFmtId="0" xfId="0" applyAlignment="1" applyFont="1">
      <alignment horizontal="center" shrinkToFit="0" vertical="center" wrapText="0"/>
    </xf>
    <xf borderId="0" fillId="4" fontId="13" numFmtId="0" xfId="0" applyAlignment="1" applyFont="1">
      <alignment horizontal="center" shrinkToFit="0" vertical="center" wrapText="1"/>
    </xf>
    <xf borderId="1" fillId="4" fontId="13" numFmtId="0" xfId="0" applyAlignment="1" applyBorder="1" applyFont="1">
      <alignment horizontal="center" readingOrder="0" shrinkToFit="0" vertical="center" wrapText="1"/>
    </xf>
    <xf borderId="0" fillId="4" fontId="13" numFmtId="0" xfId="0" applyAlignment="1" applyFont="1">
      <alignment horizontal="center" readingOrder="0" shrinkToFit="0" vertical="center" wrapText="1"/>
    </xf>
    <xf borderId="0" fillId="0" fontId="12" numFmtId="14" xfId="0" applyFont="1" applyNumberFormat="1"/>
    <xf borderId="0" fillId="0" fontId="12" numFmtId="17" xfId="0" applyFont="1" applyNumberFormat="1"/>
    <xf borderId="1" fillId="6" fontId="13" numFmtId="0" xfId="0" applyAlignment="1" applyBorder="1" applyFill="1" applyFont="1">
      <alignment horizontal="center" shrinkToFit="0" vertical="center" wrapText="1"/>
    </xf>
    <xf borderId="1" fillId="6" fontId="17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shrinkToFit="0" vertical="center" wrapText="0"/>
    </xf>
    <xf borderId="1" fillId="0" fontId="15" numFmtId="0" xfId="0" applyAlignment="1" applyBorder="1" applyFont="1">
      <alignment shrinkToFit="0" vertical="center" wrapText="0"/>
    </xf>
    <xf borderId="1" fillId="0" fontId="18" numFmtId="0" xfId="0" applyAlignment="1" applyBorder="1" applyFont="1">
      <alignment shrinkToFit="0" vertical="center" wrapText="0"/>
    </xf>
    <xf borderId="1" fillId="0" fontId="15" numFmtId="14" xfId="0" applyAlignment="1" applyBorder="1" applyFont="1" applyNumberFormat="1">
      <alignment shrinkToFit="0" vertical="center" wrapText="0"/>
    </xf>
    <xf borderId="1" fillId="0" fontId="15" numFmtId="17" xfId="0" applyAlignment="1" applyBorder="1" applyFont="1" applyNumberFormat="1">
      <alignment shrinkToFit="0" vertical="center" wrapText="0"/>
    </xf>
    <xf borderId="0" fillId="0" fontId="19" numFmtId="0" xfId="0" applyAlignment="1" applyFont="1">
      <alignment shrinkToFit="0" wrapText="0"/>
    </xf>
    <xf borderId="4" fillId="6" fontId="20" numFmtId="0" xfId="0" applyAlignment="1" applyBorder="1" applyFont="1">
      <alignment horizontal="center" readingOrder="0" shrinkToFit="0" vertical="center" wrapText="1"/>
    </xf>
    <xf borderId="4" fillId="6" fontId="20" numFmtId="0" xfId="0" applyAlignment="1" applyBorder="1" applyFont="1">
      <alignment horizontal="center" shrinkToFit="0" vertical="center" wrapText="1"/>
    </xf>
    <xf borderId="5" fillId="6" fontId="20" numFmtId="0" xfId="0" applyAlignment="1" applyBorder="1" applyFont="1">
      <alignment horizontal="center" shrinkToFit="0" vertical="center" wrapText="1"/>
    </xf>
    <xf borderId="6" fillId="6" fontId="20" numFmtId="0" xfId="0" applyAlignment="1" applyBorder="1" applyFont="1">
      <alignment horizontal="center" shrinkToFit="0" vertical="center" wrapText="1"/>
    </xf>
    <xf borderId="1" fillId="0" fontId="21" numFmtId="0" xfId="0" applyAlignment="1" applyBorder="1" applyFont="1">
      <alignment horizontal="center" shrinkToFit="0" vertical="center" wrapText="0"/>
    </xf>
    <xf borderId="1" fillId="0" fontId="21" numFmtId="0" xfId="0" applyAlignment="1" applyBorder="1" applyFont="1">
      <alignment shrinkToFit="0" vertical="center" wrapText="1"/>
    </xf>
    <xf borderId="1" fillId="0" fontId="21" numFmtId="0" xfId="0" applyAlignment="1" applyBorder="1" applyFont="1">
      <alignment horizontal="center" shrinkToFit="0" vertical="center" wrapText="1"/>
    </xf>
    <xf borderId="1" fillId="0" fontId="21" numFmtId="14" xfId="0" applyAlignment="1" applyBorder="1" applyFont="1" applyNumberFormat="1">
      <alignment horizontal="center" shrinkToFit="0" vertical="center" wrapText="0"/>
    </xf>
    <xf borderId="1" fillId="0" fontId="21" numFmtId="0" xfId="0" applyAlignment="1" applyBorder="1" applyFont="1">
      <alignment horizontal="left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4" xfId="0" applyAlignment="1" applyBorder="1" applyFont="1" applyNumberFormat="1">
      <alignment horizontal="center" shrinkToFit="0" vertical="center" wrapText="0"/>
    </xf>
    <xf borderId="0" fillId="0" fontId="21" numFmtId="0" xfId="0" applyAlignment="1" applyFont="1">
      <alignment horizontal="center" shrinkToFit="0" wrapText="0"/>
    </xf>
    <xf borderId="1" fillId="0" fontId="0" numFmtId="0" xfId="0" applyAlignment="1" applyBorder="1" applyFont="1">
      <alignment horizontal="center" shrinkToFit="0" wrapText="0"/>
    </xf>
    <xf borderId="0" fillId="0" fontId="23" numFmtId="0" xfId="0" applyAlignment="1" applyFont="1">
      <alignment shrinkToFit="0" wrapText="0"/>
    </xf>
    <xf borderId="1" fillId="7" fontId="21" numFmtId="0" xfId="0" applyAlignment="1" applyBorder="1" applyFill="1" applyFont="1">
      <alignment shrinkToFit="0" vertical="center" wrapText="1"/>
    </xf>
    <xf borderId="0" fillId="0" fontId="0" numFmtId="0" xfId="0" applyAlignment="1" applyFont="1">
      <alignment horizontal="center" shrinkToFit="0" wrapText="0"/>
    </xf>
    <xf borderId="0" fillId="0" fontId="0" numFmtId="17" xfId="0" applyAlignment="1" applyFont="1" applyNumberFormat="1">
      <alignment shrinkToFit="0" wrapText="0"/>
    </xf>
    <xf borderId="1" fillId="6" fontId="24" numFmtId="0" xfId="0" applyAlignment="1" applyBorder="1" applyFont="1">
      <alignment horizontal="center" shrinkToFit="0" vertical="center" wrapText="1"/>
    </xf>
    <xf borderId="0" fillId="0" fontId="24" numFmtId="0" xfId="0" applyAlignment="1" applyFont="1">
      <alignment horizontal="center" shrinkToFit="0" vertical="center" wrapText="1"/>
    </xf>
    <xf borderId="0" fillId="0" fontId="25" numFmtId="0" xfId="0" applyAlignment="1" applyFont="1">
      <alignment shrinkToFit="0" wrapText="0"/>
    </xf>
    <xf borderId="1" fillId="0" fontId="26" numFmtId="0" xfId="0" applyAlignment="1" applyBorder="1" applyFont="1">
      <alignment horizontal="center" shrinkToFit="0" vertical="center" wrapText="0"/>
    </xf>
    <xf borderId="1" fillId="0" fontId="21" numFmtId="14" xfId="0" applyAlignment="1" applyBorder="1" applyFont="1" applyNumberFormat="1">
      <alignment horizontal="center" shrinkToFit="0" vertical="center" wrapText="1"/>
    </xf>
    <xf borderId="1" fillId="0" fontId="22" numFmtId="0" xfId="0" applyAlignment="1" applyBorder="1" applyFont="1">
      <alignment shrinkToFit="0" vertical="center" wrapText="0"/>
    </xf>
    <xf borderId="0" fillId="0" fontId="26" numFmtId="0" xfId="0" applyAlignment="1" applyFont="1">
      <alignment shrinkToFit="0" wrapText="0"/>
    </xf>
    <xf borderId="0" fillId="0" fontId="26" numFmtId="14" xfId="0" applyAlignment="1" applyFont="1" applyNumberFormat="1">
      <alignment shrinkToFit="0" wrapText="0"/>
    </xf>
    <xf borderId="0" fillId="0" fontId="21" numFmtId="0" xfId="0" applyAlignment="1" applyFont="1">
      <alignment shrinkToFit="0" wrapText="1"/>
    </xf>
    <xf borderId="1" fillId="0" fontId="22" numFmtId="0" xfId="0" applyAlignment="1" applyBorder="1" applyFont="1">
      <alignment horizontal="center" shrinkToFit="0" vertical="center" wrapText="1"/>
    </xf>
    <xf borderId="1" fillId="0" fontId="22" numFmtId="17" xfId="0" applyAlignment="1" applyBorder="1" applyFont="1" applyNumberFormat="1">
      <alignment horizontal="center" shrinkToFit="0" vertical="center" wrapText="0"/>
    </xf>
    <xf borderId="0" fillId="0" fontId="26" numFmtId="17" xfId="0" applyAlignment="1" applyFont="1" applyNumberFormat="1">
      <alignment shrinkToFit="0" wrapText="0"/>
    </xf>
    <xf borderId="1" fillId="0" fontId="21" numFmtId="0" xfId="0" applyAlignment="1" applyBorder="1" applyFont="1">
      <alignment horizontal="left" shrinkToFit="0" vertical="center" wrapText="1"/>
    </xf>
    <xf borderId="0" fillId="0" fontId="26" numFmtId="16" xfId="0" applyAlignment="1" applyFont="1" applyNumberFormat="1">
      <alignment shrinkToFit="0" wrapText="0"/>
    </xf>
    <xf borderId="1" fillId="0" fontId="21" numFmtId="165" xfId="0" applyAlignment="1" applyBorder="1" applyFont="1" applyNumberFormat="1">
      <alignment shrinkToFit="0" vertical="center" wrapText="1"/>
    </xf>
    <xf borderId="0" fillId="0" fontId="21" numFmtId="14" xfId="0" applyAlignment="1" applyFont="1" applyNumberFormat="1">
      <alignment shrinkToFit="0" wrapText="1"/>
    </xf>
    <xf borderId="0" fillId="0" fontId="1" numFmtId="0" xfId="0" applyAlignment="1" applyFont="1">
      <alignment shrinkToFit="0" vertical="center" wrapText="1"/>
    </xf>
    <xf borderId="1" fillId="6" fontId="20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shrinkToFit="0" vertical="center" wrapText="0"/>
    </xf>
    <xf borderId="1" fillId="0" fontId="21" numFmtId="0" xfId="0" applyAlignment="1" applyBorder="1" applyFont="1">
      <alignment shrinkToFit="0" vertical="center" wrapText="0"/>
    </xf>
    <xf borderId="1" fillId="0" fontId="22" numFmtId="0" xfId="0" applyAlignment="1" applyBorder="1" applyFont="1">
      <alignment horizontal="left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1" numFmtId="12" xfId="0" applyAlignment="1" applyBorder="1" applyFont="1" applyNumberFormat="1">
      <alignment horizontal="center" shrinkToFit="0" vertical="center" wrapText="0"/>
    </xf>
    <xf borderId="0" fillId="0" fontId="22" numFmtId="0" xfId="0" applyAlignment="1" applyFont="1">
      <alignment shrinkToFit="0" wrapText="0"/>
    </xf>
    <xf borderId="1" fillId="0" fontId="0" numFmtId="0" xfId="0" applyAlignment="1" applyBorder="1" applyFont="1">
      <alignment shrinkToFit="0" wrapText="0"/>
    </xf>
    <xf borderId="0" fillId="0" fontId="21" numFmtId="0" xfId="0" applyAlignment="1" applyFont="1">
      <alignment shrinkToFit="0" wrapText="0"/>
    </xf>
    <xf borderId="0" fillId="0" fontId="21" numFmtId="14" xfId="0" applyAlignment="1" applyFont="1" applyNumberFormat="1">
      <alignment horizontal="center" shrinkToFit="0" wrapText="0"/>
    </xf>
    <xf borderId="0" fillId="0" fontId="21" numFmtId="14" xfId="0" applyAlignment="1" applyFont="1" applyNumberFormat="1">
      <alignment horizontal="left" shrinkToFit="0" wrapText="0"/>
    </xf>
    <xf borderId="0" fillId="0" fontId="21" numFmtId="0" xfId="0" applyAlignment="1" applyFont="1">
      <alignment horizontal="left" shrinkToFit="0" wrapText="0"/>
    </xf>
    <xf borderId="1" fillId="4" fontId="13" numFmtId="0" xfId="0" applyAlignment="1" applyBorder="1" applyFont="1">
      <alignment horizontal="left" readingOrder="0" shrinkToFit="0" vertical="center" wrapText="1"/>
    </xf>
    <xf borderId="1" fillId="4" fontId="13" numFmtId="0" xfId="0" applyAlignment="1" applyBorder="1" applyFont="1">
      <alignment horizontal="left" shrinkToFit="0" vertical="center" wrapText="1"/>
    </xf>
    <xf borderId="7" fillId="4" fontId="1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right" shrinkToFit="0" vertical="center" wrapText="0"/>
    </xf>
    <xf borderId="1" fillId="0" fontId="1" numFmtId="0" xfId="0" applyAlignment="1" applyBorder="1" applyFont="1">
      <alignment horizontal="left" shrinkToFit="0" vertical="top" wrapText="0"/>
    </xf>
    <xf borderId="1" fillId="0" fontId="1" numFmtId="14" xfId="0" applyAlignment="1" applyBorder="1" applyFont="1" applyNumberFormat="1">
      <alignment horizontal="center" shrinkToFit="0" vertical="center" wrapText="0"/>
    </xf>
    <xf borderId="8" fillId="0" fontId="21" numFmtId="14" xfId="0" applyAlignment="1" applyBorder="1" applyFont="1" applyNumberFormat="1">
      <alignment horizontal="center" shrinkToFit="0" vertical="center" wrapText="0"/>
    </xf>
    <xf borderId="1" fillId="0" fontId="21" numFmtId="1" xfId="0" applyAlignment="1" applyBorder="1" applyFont="1" applyNumberFormat="1">
      <alignment horizontal="center" shrinkToFit="0" vertical="center" wrapText="0"/>
    </xf>
    <xf borderId="1" fillId="0" fontId="15" numFmtId="0" xfId="0" applyAlignment="1" applyBorder="1" applyFont="1">
      <alignment horizontal="left" readingOrder="0" shrinkToFit="0" vertical="center" wrapText="0"/>
    </xf>
    <xf borderId="1" fillId="0" fontId="15" numFmtId="0" xfId="0" applyAlignment="1" applyBorder="1" applyFont="1">
      <alignment horizontal="left" shrinkToFit="0" vertical="center" wrapText="0"/>
    </xf>
    <xf borderId="1" fillId="0" fontId="15" numFmtId="0" xfId="0" applyAlignment="1" applyBorder="1" applyFont="1">
      <alignment horizontal="left" shrinkToFit="0" vertical="top" wrapText="0"/>
    </xf>
    <xf borderId="1" fillId="0" fontId="15" numFmtId="0" xfId="0" applyAlignment="1" applyBorder="1" applyFont="1">
      <alignment readingOrder="0" shrinkToFit="0" vertical="center" wrapText="0"/>
    </xf>
    <xf borderId="1" fillId="0" fontId="15" numFmtId="0" xfId="0" applyAlignment="1" applyBorder="1" applyFont="1">
      <alignment readingOrder="0" shrinkToFit="0" wrapText="0"/>
    </xf>
    <xf borderId="1" fillId="0" fontId="15" numFmtId="0" xfId="0" applyAlignment="1" applyBorder="1" applyFont="1">
      <alignment shrinkToFit="0" wrapText="0"/>
    </xf>
    <xf borderId="1" fillId="8" fontId="15" numFmtId="0" xfId="0" applyAlignment="1" applyBorder="1" applyFill="1" applyFont="1">
      <alignment shrinkToFit="0" wrapText="0"/>
    </xf>
    <xf borderId="1" fillId="8" fontId="15" numFmtId="0" xfId="0" applyAlignment="1" applyBorder="1" applyFont="1">
      <alignment horizontal="center" shrinkToFit="0" wrapText="0"/>
    </xf>
    <xf borderId="1" fillId="0" fontId="15" numFmtId="0" xfId="0" applyAlignment="1" applyBorder="1" applyFont="1">
      <alignment horizontal="center" shrinkToFit="0" wrapText="0"/>
    </xf>
    <xf borderId="1" fillId="0" fontId="15" numFmtId="0" xfId="0" applyAlignment="1" applyBorder="1" applyFont="1">
      <alignment horizontal="left" shrinkToFit="0" wrapText="0"/>
    </xf>
    <xf borderId="1" fillId="0" fontId="15" numFmtId="14" xfId="0" applyAlignment="1" applyBorder="1" applyFont="1" applyNumberFormat="1">
      <alignment shrinkToFit="0" wrapText="0"/>
    </xf>
    <xf borderId="1" fillId="7" fontId="15" numFmtId="0" xfId="0" applyAlignment="1" applyBorder="1" applyFont="1">
      <alignment shrinkToFit="0" wrapText="0"/>
    </xf>
    <xf borderId="1" fillId="0" fontId="15" numFmtId="0" xfId="0" applyAlignment="1" applyBorder="1" applyFont="1">
      <alignment horizontal="left" shrinkToFit="0" vertical="top" wrapText="1"/>
    </xf>
    <xf borderId="8" fillId="0" fontId="21" numFmtId="0" xfId="0" applyAlignment="1" applyBorder="1" applyFont="1">
      <alignment horizontal="center" shrinkToFit="0" vertical="center" wrapText="0"/>
    </xf>
    <xf borderId="1" fillId="0" fontId="15" numFmtId="0" xfId="0" applyAlignment="1" applyBorder="1" applyFont="1">
      <alignment horizontal="left" readingOrder="0" shrinkToFit="0" wrapText="0"/>
    </xf>
    <xf borderId="1" fillId="0" fontId="15" numFmtId="16" xfId="0" applyAlignment="1" applyBorder="1" applyFont="1" applyNumberFormat="1">
      <alignment shrinkToFit="0" wrapText="0"/>
    </xf>
    <xf borderId="9" fillId="8" fontId="21" numFmtId="14" xfId="0" applyAlignment="1" applyBorder="1" applyFont="1" applyNumberFormat="1">
      <alignment horizontal="center" shrinkToFit="0" vertical="center" wrapText="0"/>
    </xf>
    <xf borderId="1" fillId="0" fontId="15" numFmtId="14" xfId="0" applyAlignment="1" applyBorder="1" applyFont="1" applyNumberFormat="1">
      <alignment readingOrder="0" shrinkToFit="0" wrapText="0"/>
    </xf>
    <xf borderId="1" fillId="0" fontId="18" numFmtId="0" xfId="0" applyAlignment="1" applyBorder="1" applyFont="1">
      <alignment horizontal="left" readingOrder="0" shrinkToFit="0" wrapText="0"/>
    </xf>
    <xf borderId="1" fillId="0" fontId="18" numFmtId="0" xfId="0" applyAlignment="1" applyBorder="1" applyFont="1">
      <alignment horizontal="left" shrinkToFit="0" wrapText="0"/>
    </xf>
    <xf borderId="10" fillId="0" fontId="15" numFmtId="14" xfId="0" applyAlignment="1" applyBorder="1" applyFont="1" applyNumberFormat="1">
      <alignment shrinkToFit="0" wrapText="0"/>
    </xf>
    <xf borderId="10" fillId="0" fontId="15" numFmtId="0" xfId="0" applyAlignment="1" applyBorder="1" applyFont="1">
      <alignment horizontal="left" shrinkToFit="0" wrapText="0"/>
    </xf>
    <xf borderId="2" fillId="0" fontId="15" numFmtId="0" xfId="0" applyAlignment="1" applyBorder="1" applyFont="1">
      <alignment horizontal="left" shrinkToFit="0" wrapText="0"/>
    </xf>
    <xf borderId="8" fillId="0" fontId="15" numFmtId="0" xfId="0" applyAlignment="1" applyBorder="1" applyFont="1">
      <alignment horizontal="left" shrinkToFit="0" wrapText="0"/>
    </xf>
    <xf borderId="8" fillId="0" fontId="15" numFmtId="14" xfId="0" applyAlignment="1" applyBorder="1" applyFont="1" applyNumberFormat="1">
      <alignment shrinkToFit="0" wrapText="0"/>
    </xf>
    <xf borderId="11" fillId="0" fontId="15" numFmtId="14" xfId="0" applyAlignment="1" applyBorder="1" applyFont="1" applyNumberFormat="1">
      <alignment shrinkToFit="0" wrapText="0"/>
    </xf>
    <xf borderId="11" fillId="0" fontId="15" numFmtId="0" xfId="0" applyAlignment="1" applyBorder="1" applyFont="1">
      <alignment horizontal="left" shrinkToFit="0" wrapText="0"/>
    </xf>
    <xf borderId="1" fillId="7" fontId="15" numFmtId="0" xfId="0" applyAlignment="1" applyBorder="1" applyFont="1">
      <alignment horizontal="center" shrinkToFit="0" wrapText="0"/>
    </xf>
    <xf borderId="1" fillId="7" fontId="15" numFmtId="0" xfId="0" applyAlignment="1" applyBorder="1" applyFont="1">
      <alignment horizontal="left" shrinkToFit="0" wrapText="0"/>
    </xf>
    <xf borderId="1" fillId="7" fontId="15" numFmtId="14" xfId="0" applyAlignment="1" applyBorder="1" applyFont="1" applyNumberFormat="1">
      <alignment shrinkToFit="0" wrapText="0"/>
    </xf>
    <xf borderId="12" fillId="7" fontId="15" numFmtId="0" xfId="0" applyAlignment="1" applyBorder="1" applyFont="1">
      <alignment horizontal="left" shrinkToFit="0" wrapText="0"/>
    </xf>
    <xf borderId="1" fillId="0" fontId="15" numFmtId="0" xfId="0" applyAlignment="1" applyBorder="1" applyFont="1">
      <alignment horizontal="left" readingOrder="0" shrinkToFit="0" wrapText="0"/>
    </xf>
    <xf borderId="8" fillId="0" fontId="15" numFmtId="0" xfId="0" applyAlignment="1" applyBorder="1" applyFont="1">
      <alignment shrinkToFit="0" wrapText="0"/>
    </xf>
    <xf borderId="11" fillId="0" fontId="15" numFmtId="0" xfId="0" applyAlignment="1" applyBorder="1" applyFont="1">
      <alignment shrinkToFit="0" wrapText="0"/>
    </xf>
    <xf borderId="13" fillId="0" fontId="15" numFmtId="0" xfId="0" applyAlignment="1" applyBorder="1" applyFont="1">
      <alignment horizontal="center" shrinkToFit="0" wrapText="0"/>
    </xf>
    <xf borderId="0" fillId="0" fontId="15" numFmtId="0" xfId="0" applyAlignment="1" applyFont="1">
      <alignment shrinkToFit="0" wrapText="0"/>
    </xf>
    <xf borderId="0" fillId="0" fontId="15" numFmtId="0" xfId="0" applyAlignment="1" applyFont="1">
      <alignment horizontal="left" shrinkToFit="0" wrapText="0"/>
    </xf>
    <xf borderId="0" fillId="0" fontId="15" numFmtId="0" xfId="0" applyAlignment="1" applyFont="1">
      <alignment horizontal="center" shrinkToFit="0" wrapText="0"/>
    </xf>
    <xf borderId="0" fillId="0" fontId="18" numFmtId="0" xfId="0" applyAlignment="1" applyFont="1">
      <alignment shrinkToFit="0" wrapText="0"/>
    </xf>
    <xf borderId="14" fillId="4" fontId="13" numFmtId="0" xfId="0" applyAlignment="1" applyBorder="1" applyFont="1">
      <alignment horizontal="center" readingOrder="0" shrinkToFit="0" vertical="center" wrapText="1"/>
    </xf>
    <xf borderId="14" fillId="4" fontId="13" numFmtId="0" xfId="0" applyAlignment="1" applyBorder="1" applyFont="1">
      <alignment horizontal="center" shrinkToFit="0" vertical="center" wrapText="1"/>
    </xf>
    <xf borderId="14" fillId="4" fontId="20" numFmtId="0" xfId="0" applyAlignment="1" applyBorder="1" applyFont="1">
      <alignment horizontal="center" shrinkToFit="0" vertical="center" wrapText="1"/>
    </xf>
    <xf borderId="14" fillId="4" fontId="13" numFmtId="0" xfId="0" applyAlignment="1" applyBorder="1" applyFont="1">
      <alignment horizontal="left" shrinkToFit="0" vertical="center" wrapText="1"/>
    </xf>
    <xf borderId="14" fillId="4" fontId="24" numFmtId="166" xfId="0" applyAlignment="1" applyBorder="1" applyFont="1" applyNumberFormat="1">
      <alignment horizontal="center" shrinkToFit="0" vertical="center" wrapText="1"/>
    </xf>
    <xf borderId="14" fillId="4" fontId="1" numFmtId="0" xfId="0" applyAlignment="1" applyBorder="1" applyFont="1">
      <alignment horizontal="center" shrinkToFit="0" vertical="center" wrapText="1"/>
    </xf>
    <xf borderId="11" fillId="4" fontId="13" numFmtId="0" xfId="0" applyAlignment="1" applyBorder="1" applyFont="1">
      <alignment horizontal="center" readingOrder="0" shrinkToFit="0" vertical="center" wrapText="1"/>
    </xf>
    <xf borderId="6" fillId="4" fontId="13" numFmtId="0" xfId="0" applyAlignment="1" applyBorder="1" applyFont="1">
      <alignment horizontal="center" shrinkToFit="0" vertical="center" wrapText="1"/>
    </xf>
    <xf borderId="1" fillId="7" fontId="27" numFmtId="0" xfId="0" applyBorder="1" applyFont="1"/>
    <xf borderId="15" fillId="0" fontId="1" numFmtId="0" xfId="0" applyAlignment="1" applyBorder="1" applyFont="1">
      <alignment horizontal="center" readingOrder="0" shrinkToFit="0" vertical="center" wrapText="0"/>
    </xf>
    <xf borderId="15" fillId="0" fontId="1" numFmtId="0" xfId="0" applyAlignment="1" applyBorder="1" applyFont="1">
      <alignment horizontal="center" shrinkToFit="0" vertical="center" wrapText="0"/>
    </xf>
    <xf borderId="15" fillId="0" fontId="1" numFmtId="0" xfId="0" applyAlignment="1" applyBorder="1" applyFont="1">
      <alignment horizontal="center" readingOrder="0" shrinkToFit="0" vertical="center" wrapText="0"/>
    </xf>
    <xf borderId="15" fillId="0" fontId="1" numFmtId="0" xfId="0" applyAlignment="1" applyBorder="1" applyFont="1">
      <alignment horizontal="center" readingOrder="0" shrinkToFit="0" wrapText="0"/>
    </xf>
    <xf borderId="15" fillId="0" fontId="1" numFmtId="0" xfId="0" applyAlignment="1" applyBorder="1" applyFont="1">
      <alignment horizontal="left" readingOrder="0" shrinkToFit="0" vertical="center" wrapText="0"/>
    </xf>
    <xf borderId="15" fillId="0" fontId="15" numFmtId="166" xfId="0" applyAlignment="1" applyBorder="1" applyFont="1" applyNumberFormat="1">
      <alignment horizontal="center" readingOrder="0" shrinkToFit="0" vertical="center" wrapText="0"/>
    </xf>
    <xf borderId="15" fillId="0" fontId="1" numFmtId="0" xfId="0" applyAlignment="1" applyBorder="1" applyFont="1">
      <alignment horizontal="left" shrinkToFit="0" vertical="center" wrapText="0"/>
    </xf>
    <xf borderId="14" fillId="9" fontId="1" numFmtId="0" xfId="0" applyAlignment="1" applyBorder="1" applyFill="1" applyFont="1">
      <alignment horizontal="left" readingOrder="0" shrinkToFit="0" vertical="center" wrapText="0"/>
    </xf>
    <xf borderId="15" fillId="0" fontId="1" numFmtId="14" xfId="0" applyAlignment="1" applyBorder="1" applyFont="1" applyNumberFormat="1">
      <alignment horizontal="center" shrinkToFit="0" vertical="center" wrapText="0"/>
    </xf>
    <xf borderId="14" fillId="9" fontId="1" numFmtId="0" xfId="0" applyAlignment="1" applyBorder="1" applyFont="1">
      <alignment horizontal="center" readingOrder="0" shrinkToFit="0" vertical="center" wrapText="0"/>
    </xf>
    <xf borderId="14" fillId="9" fontId="1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15" fillId="0" fontId="1" numFmtId="0" xfId="0" applyAlignment="1" applyBorder="1" applyFont="1">
      <alignment horizontal="center" shrinkToFit="0" wrapText="0"/>
    </xf>
    <xf borderId="15" fillId="0" fontId="15" numFmtId="166" xfId="0" applyAlignment="1" applyBorder="1" applyFont="1" applyNumberFormat="1">
      <alignment horizontal="center" shrinkToFit="0" vertical="center" wrapText="0"/>
    </xf>
    <xf borderId="14" fillId="9" fontId="1" numFmtId="0" xfId="0" applyAlignment="1" applyBorder="1" applyFont="1">
      <alignment horizontal="left" shrinkToFit="0" vertical="center" wrapText="0"/>
    </xf>
    <xf borderId="15" fillId="0" fontId="1" numFmtId="166" xfId="0" applyAlignment="1" applyBorder="1" applyFont="1" applyNumberFormat="1">
      <alignment horizontal="center" shrinkToFit="0" vertical="center" wrapText="0"/>
    </xf>
    <xf borderId="15" fillId="0" fontId="13" numFmtId="0" xfId="0" applyAlignment="1" applyBorder="1" applyFont="1">
      <alignment horizontal="center" shrinkToFit="0" vertical="center" wrapText="0"/>
    </xf>
    <xf borderId="15" fillId="0" fontId="18" numFmtId="0" xfId="0" applyAlignment="1" applyBorder="1" applyFont="1">
      <alignment horizontal="center" shrinkToFit="0" wrapText="0"/>
    </xf>
    <xf borderId="15" fillId="0" fontId="18" numFmtId="0" xfId="0" applyAlignment="1" applyBorder="1" applyFont="1">
      <alignment horizontal="center" shrinkToFit="0" vertical="center" wrapText="0"/>
    </xf>
    <xf borderId="14" fillId="7" fontId="1" numFmtId="0" xfId="0" applyAlignment="1" applyBorder="1" applyFont="1">
      <alignment horizontal="center" shrinkToFit="0" vertical="center" wrapText="0"/>
    </xf>
    <xf borderId="14" fillId="7" fontId="18" numFmtId="0" xfId="0" applyAlignment="1" applyBorder="1" applyFont="1">
      <alignment horizontal="center" shrinkToFit="0" vertical="center" wrapText="0"/>
    </xf>
    <xf borderId="15" fillId="0" fontId="1" numFmtId="3" xfId="0" applyAlignment="1" applyBorder="1" applyFont="1" applyNumberFormat="1">
      <alignment horizontal="center" shrinkToFit="0" vertical="center" wrapText="0"/>
    </xf>
    <xf borderId="14" fillId="8" fontId="1" numFmtId="0" xfId="0" applyAlignment="1" applyBorder="1" applyFont="1">
      <alignment horizontal="center" shrinkToFit="0" vertical="center" wrapText="0"/>
    </xf>
    <xf borderId="15" fillId="3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wrapText="0"/>
    </xf>
    <xf borderId="1" fillId="0" fontId="1" numFmtId="0" xfId="0" applyAlignment="1" applyBorder="1" applyFont="1">
      <alignment horizontal="center" readingOrder="0" shrinkToFit="0" wrapText="0"/>
    </xf>
    <xf borderId="15" fillId="0" fontId="18" numFmtId="14" xfId="0" applyAlignment="1" applyBorder="1" applyFont="1" applyNumberFormat="1">
      <alignment horizontal="center" shrinkToFit="0" vertical="center" wrapText="0"/>
    </xf>
    <xf borderId="15" fillId="0" fontId="18" numFmtId="0" xfId="0" applyAlignment="1" applyBorder="1" applyFont="1">
      <alignment horizontal="left" shrinkToFit="0" vertical="center" wrapText="0"/>
    </xf>
    <xf borderId="14" fillId="9" fontId="18" numFmtId="0" xfId="0" applyAlignment="1" applyBorder="1" applyFont="1">
      <alignment horizontal="center" shrinkToFit="0" vertical="center" wrapText="0"/>
    </xf>
    <xf borderId="15" fillId="0" fontId="0" numFmtId="0" xfId="0" applyAlignment="1" applyBorder="1" applyFont="1">
      <alignment shrinkToFit="0" wrapText="0"/>
    </xf>
    <xf borderId="14" fillId="10" fontId="1" numFmtId="0" xfId="0" applyAlignment="1" applyBorder="1" applyFill="1" applyFont="1">
      <alignment horizontal="center" shrinkToFit="0" vertical="center" wrapText="0"/>
    </xf>
    <xf borderId="1" fillId="4" fontId="28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6" fillId="4" fontId="1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0"/>
    </xf>
    <xf borderId="1" fillId="0" fontId="15" numFmtId="164" xfId="0" applyAlignment="1" applyBorder="1" applyFont="1" applyNumberFormat="1">
      <alignment horizontal="center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" fillId="0" fontId="1" numFmtId="164" xfId="0" applyAlignment="1" applyBorder="1" applyFont="1" applyNumberFormat="1">
      <alignment horizontal="center" shrinkToFit="0" vertical="center" wrapText="0"/>
    </xf>
    <xf borderId="1" fillId="9" fontId="1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readingOrder="0" shrinkToFit="0" vertical="center" wrapText="0"/>
    </xf>
    <xf borderId="1" fillId="0" fontId="13" numFmtId="0" xfId="0" applyAlignment="1" applyBorder="1" applyFont="1">
      <alignment horizontal="center" shrinkToFit="0" vertical="center" wrapText="0"/>
    </xf>
    <xf borderId="1" fillId="0" fontId="13" numFmtId="0" xfId="0" applyAlignment="1" applyBorder="1" applyFont="1">
      <alignment horizontal="left" shrinkToFit="0" vertical="center" wrapText="0"/>
    </xf>
    <xf borderId="9" fillId="9" fontId="1" numFmtId="0" xfId="0" applyAlignment="1" applyBorder="1" applyFont="1">
      <alignment horizontal="center" shrinkToFit="0" vertical="center" wrapText="0"/>
    </xf>
    <xf borderId="1" fillId="0" fontId="29" numFmtId="0" xfId="0" applyAlignment="1" applyBorder="1" applyFont="1">
      <alignment horizontal="center" shrinkToFit="0" wrapText="0"/>
    </xf>
    <xf borderId="10" fillId="0" fontId="29" numFmtId="0" xfId="0" applyAlignment="1" applyBorder="1" applyFont="1">
      <alignment shrinkToFit="0" wrapText="0"/>
    </xf>
    <xf borderId="1" fillId="0" fontId="29" numFmtId="0" xfId="0" applyAlignment="1" applyBorder="1" applyFont="1">
      <alignment shrinkToFit="0" wrapText="0"/>
    </xf>
    <xf borderId="10" fillId="0" fontId="1" numFmtId="0" xfId="0" applyAlignment="1" applyBorder="1" applyFont="1">
      <alignment horizontal="left" shrinkToFit="0" vertical="center" wrapText="0"/>
    </xf>
    <xf borderId="10" fillId="0" fontId="15" numFmtId="14" xfId="0" applyAlignment="1" applyBorder="1" applyFont="1" applyNumberFormat="1">
      <alignment horizontal="center" shrinkToFit="0" vertical="center" wrapText="0"/>
    </xf>
    <xf borderId="1" fillId="0" fontId="15" numFmtId="14" xfId="0" applyAlignment="1" applyBorder="1" applyFont="1" applyNumberFormat="1">
      <alignment horizontal="center" shrinkToFit="0" vertical="center" wrapText="0"/>
    </xf>
    <xf borderId="1" fillId="0" fontId="13" numFmtId="0" xfId="0" applyAlignment="1" applyBorder="1" applyFont="1">
      <alignment horizontal="center" shrinkToFit="0" wrapText="0"/>
    </xf>
    <xf borderId="10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29" numFmtId="0" xfId="0" applyAlignment="1" applyFont="1">
      <alignment horizontal="left" shrinkToFit="0" wrapText="0"/>
    </xf>
    <xf borderId="1" fillId="8" fontId="1" numFmtId="0" xfId="0" applyAlignment="1" applyBorder="1" applyFont="1">
      <alignment horizontal="center" shrinkToFit="0" vertical="center" wrapText="0"/>
    </xf>
    <xf borderId="1" fillId="9" fontId="1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" fillId="0" fontId="15" numFmtId="164" xfId="0" applyAlignment="1" applyBorder="1" applyFont="1" applyNumberFormat="1">
      <alignment horizontal="center" readingOrder="0" shrinkToFit="0" vertical="center" wrapText="0"/>
    </xf>
    <xf borderId="1" fillId="0" fontId="1" numFmtId="164" xfId="0" applyAlignment="1" applyBorder="1" applyFont="1" applyNumberFormat="1">
      <alignment horizontal="center" readingOrder="0" shrinkToFit="0" vertical="center" wrapText="0"/>
    </xf>
    <xf borderId="1" fillId="11" fontId="0" numFmtId="0" xfId="0" applyAlignment="1" applyBorder="1" applyFill="1" applyFont="1">
      <alignment horizontal="center" shrinkToFit="0" wrapText="0"/>
    </xf>
    <xf borderId="1" fillId="11" fontId="1" numFmtId="0" xfId="0" applyAlignment="1" applyBorder="1" applyFont="1">
      <alignment horizontal="center" shrinkToFit="0" vertical="center" wrapText="0"/>
    </xf>
    <xf borderId="1" fillId="11" fontId="1" numFmtId="0" xfId="0" applyAlignment="1" applyBorder="1" applyFont="1">
      <alignment horizontal="center" readingOrder="0" shrinkToFit="0" vertical="center" wrapText="0"/>
    </xf>
    <xf borderId="1" fillId="11" fontId="1" numFmtId="0" xfId="0" applyAlignment="1" applyBorder="1" applyFont="1">
      <alignment horizontal="center" readingOrder="0" shrinkToFit="0" wrapText="0"/>
    </xf>
    <xf borderId="1" fillId="11" fontId="15" numFmtId="164" xfId="0" applyAlignment="1" applyBorder="1" applyFont="1" applyNumberFormat="1">
      <alignment horizontal="center" readingOrder="0" shrinkToFit="0" vertical="center" wrapText="0"/>
    </xf>
    <xf borderId="1" fillId="11" fontId="1" numFmtId="0" xfId="0" applyAlignment="1" applyBorder="1" applyFont="1">
      <alignment horizontal="left" shrinkToFit="0" vertical="center" wrapText="0"/>
    </xf>
    <xf borderId="1" fillId="11" fontId="1" numFmtId="0" xfId="0" applyAlignment="1" applyBorder="1" applyFont="1">
      <alignment horizontal="left" readingOrder="0" shrinkToFit="0" vertical="center" wrapText="0"/>
    </xf>
    <xf borderId="10" fillId="11" fontId="1" numFmtId="0" xfId="0" applyAlignment="1" applyBorder="1" applyFont="1">
      <alignment horizontal="center" shrinkToFit="0" vertical="center" wrapText="0"/>
    </xf>
    <xf borderId="1" fillId="11" fontId="1" numFmtId="164" xfId="0" applyAlignment="1" applyBorder="1" applyFont="1" applyNumberFormat="1">
      <alignment horizontal="center" readingOrder="0" shrinkToFit="0" vertical="center" wrapText="0"/>
    </xf>
    <xf borderId="1" fillId="11" fontId="1" numFmtId="0" xfId="0" applyAlignment="1" applyBorder="1" applyFont="1">
      <alignment horizontal="center" shrinkToFit="0" vertical="center" wrapText="0"/>
    </xf>
    <xf borderId="1" fillId="11" fontId="0" numFmtId="0" xfId="0" applyAlignment="1" applyBorder="1" applyFont="1">
      <alignment horizontal="center" shrinkToFit="0" vertical="center" wrapText="0"/>
    </xf>
    <xf borderId="1" fillId="0" fontId="30" numFmtId="0" xfId="0" applyAlignment="1" applyBorder="1" applyFont="1">
      <alignment horizontal="center" readingOrder="0" shrinkToFit="0" wrapText="0"/>
    </xf>
    <xf borderId="8" fillId="0" fontId="30" numFmtId="0" xfId="0" applyAlignment="1" applyBorder="1" applyFont="1">
      <alignment horizontal="left" shrinkToFit="0" wrapText="0"/>
    </xf>
    <xf borderId="8" fillId="0" fontId="31" numFmtId="0" xfId="0" applyAlignment="1" applyBorder="1" applyFont="1">
      <alignment vertical="bottom"/>
    </xf>
    <xf borderId="1" fillId="0" fontId="0" numFmtId="0" xfId="0" applyAlignment="1" applyBorder="1" applyFont="1">
      <alignment horizontal="center" shrinkToFit="0" wrapText="0"/>
    </xf>
    <xf borderId="10" fillId="0" fontId="1" numFmtId="164" xfId="0" applyAlignment="1" applyBorder="1" applyFont="1" applyNumberFormat="1">
      <alignment horizontal="center" shrinkToFit="0" vertical="center" wrapText="0"/>
    </xf>
    <xf borderId="1" fillId="0" fontId="0" numFmtId="0" xfId="0" applyAlignment="1" applyBorder="1" applyFont="1">
      <alignment horizontal="center" readingOrder="0" shrinkToFit="0" wrapText="0"/>
    </xf>
    <xf borderId="1" fillId="0" fontId="1" numFmtId="14" xfId="0" applyAlignment="1" applyBorder="1" applyFont="1" applyNumberFormat="1">
      <alignment horizontal="center" readingOrder="0" shrinkToFit="0" vertical="center" wrapText="0"/>
    </xf>
    <xf borderId="10" fillId="0" fontId="1" numFmtId="14" xfId="0" applyAlignment="1" applyBorder="1" applyFont="1" applyNumberFormat="1">
      <alignment horizontal="center" readingOrder="0" shrinkToFit="0" vertical="center" wrapText="0"/>
    </xf>
    <xf borderId="1" fillId="0" fontId="13" numFmtId="0" xfId="0" applyAlignment="1" applyBorder="1" applyFont="1">
      <alignment horizontal="left" readingOrder="0" shrinkToFit="0" vertical="center" wrapText="0"/>
    </xf>
    <xf borderId="0" fillId="4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0"/>
    </xf>
    <xf borderId="8" fillId="0" fontId="0" numFmtId="0" xfId="0" applyAlignment="1" applyBorder="1" applyFont="1">
      <alignment horizontal="center" readingOrder="0" shrinkToFit="0" vertical="bottom" wrapText="0"/>
    </xf>
    <xf borderId="1" fillId="0" fontId="32" numFmtId="0" xfId="0" applyAlignment="1" applyBorder="1" applyFont="1">
      <alignment horizontal="center" readingOrder="0" shrinkToFit="0" vertical="center" wrapText="0"/>
    </xf>
    <xf borderId="1" fillId="7" fontId="1" numFmtId="0" xfId="0" applyAlignment="1" applyBorder="1" applyFont="1">
      <alignment horizontal="center" readingOrder="0" shrinkToFit="0" vertical="center" wrapText="0"/>
    </xf>
    <xf borderId="1" fillId="7" fontId="1" numFmtId="0" xfId="0" applyAlignment="1" applyBorder="1" applyFont="1">
      <alignment horizontal="center" readingOrder="0" shrinkToFit="0" wrapText="0"/>
    </xf>
    <xf borderId="1" fillId="7" fontId="15" numFmtId="164" xfId="0" applyAlignment="1" applyBorder="1" applyFont="1" applyNumberFormat="1">
      <alignment horizontal="center" readingOrder="0" shrinkToFit="0" vertical="center" wrapText="0"/>
    </xf>
    <xf borderId="1" fillId="7" fontId="1" numFmtId="0" xfId="0" applyAlignment="1" applyBorder="1" applyFont="1">
      <alignment horizontal="left" readingOrder="0" shrinkToFit="0" vertical="center" wrapText="0"/>
    </xf>
    <xf borderId="10" fillId="7" fontId="1" numFmtId="0" xfId="0" applyAlignment="1" applyBorder="1" applyFont="1">
      <alignment horizontal="center" readingOrder="0" shrinkToFit="0" vertical="center" wrapText="0"/>
    </xf>
    <xf borderId="10" fillId="7" fontId="1" numFmtId="0" xfId="0" applyAlignment="1" applyBorder="1" applyFont="1">
      <alignment horizontal="center" shrinkToFit="0" vertical="center" wrapText="0"/>
    </xf>
    <xf borderId="1" fillId="7" fontId="1" numFmtId="164" xfId="0" applyAlignment="1" applyBorder="1" applyFont="1" applyNumberFormat="1">
      <alignment horizontal="center" readingOrder="0" shrinkToFit="0" vertical="center" wrapText="0"/>
    </xf>
    <xf borderId="1" fillId="7" fontId="1" numFmtId="0" xfId="0" applyAlignment="1" applyBorder="1" applyFont="1">
      <alignment horizontal="center" shrinkToFit="0" vertical="center" wrapText="0"/>
    </xf>
    <xf borderId="1" fillId="7" fontId="0" numFmtId="0" xfId="0" applyAlignment="1" applyBorder="1" applyFont="1">
      <alignment horizontal="center" shrinkToFit="0" vertical="center" wrapText="0"/>
    </xf>
    <xf borderId="1" fillId="9" fontId="13" numFmtId="0" xfId="0" applyAlignment="1" applyBorder="1" applyFont="1">
      <alignment horizontal="center" readingOrder="0" shrinkToFit="0" vertical="center" wrapText="0"/>
    </xf>
    <xf borderId="8" fillId="0" fontId="0" numFmtId="0" xfId="0" applyAlignment="1" applyBorder="1" applyFont="1">
      <alignment horizontal="center" readingOrder="0" shrinkToFit="0" wrapText="0"/>
    </xf>
    <xf borderId="10" fillId="12" fontId="1" numFmtId="0" xfId="0" applyAlignment="1" applyBorder="1" applyFill="1" applyFont="1">
      <alignment horizontal="center" shrinkToFit="0" vertical="center" wrapText="0"/>
    </xf>
    <xf borderId="1" fillId="0" fontId="27" numFmtId="0" xfId="0" applyBorder="1" applyFont="1"/>
    <xf borderId="1" fillId="0" fontId="13" numFmtId="0" xfId="0" applyAlignment="1" applyBorder="1" applyFont="1">
      <alignment horizontal="center" shrinkToFit="0" vertical="center" wrapText="0"/>
    </xf>
    <xf borderId="0" fillId="0" fontId="12" numFmtId="0" xfId="0" applyAlignment="1" applyFont="1">
      <alignment readingOrder="0"/>
    </xf>
    <xf borderId="8" fillId="7" fontId="0" numFmtId="0" xfId="0" applyAlignment="1" applyBorder="1" applyFont="1">
      <alignment horizontal="center" readingOrder="0" shrinkToFit="0" vertical="bottom" wrapText="0"/>
    </xf>
    <xf borderId="1" fillId="7" fontId="1" numFmtId="0" xfId="0" applyAlignment="1" applyBorder="1" applyFont="1">
      <alignment horizontal="center" shrinkToFit="0" vertical="center" wrapText="0"/>
    </xf>
    <xf borderId="0" fillId="7" fontId="33" numFmtId="0" xfId="0" applyAlignment="1" applyFont="1">
      <alignment horizontal="center" readingOrder="0"/>
    </xf>
    <xf borderId="1" fillId="0" fontId="15" numFmtId="167" xfId="0" applyAlignment="1" applyBorder="1" applyFont="1" applyNumberFormat="1">
      <alignment horizontal="center" readingOrder="0" shrinkToFit="0" vertical="center" wrapText="0"/>
    </xf>
    <xf borderId="1" fillId="0" fontId="15" numFmtId="168" xfId="0" applyAlignment="1" applyBorder="1" applyFont="1" applyNumberFormat="1">
      <alignment horizontal="center" readingOrder="0" shrinkToFit="0" vertical="center" wrapText="0"/>
    </xf>
    <xf borderId="1" fillId="7" fontId="0" numFmtId="0" xfId="0" applyAlignment="1" applyBorder="1" applyFont="1">
      <alignment horizontal="center" readingOrder="0" shrinkToFit="0" vertical="bottom" wrapText="0"/>
    </xf>
    <xf borderId="1" fillId="0" fontId="0" numFmtId="0" xfId="0" applyAlignment="1" applyBorder="1" applyFont="1">
      <alignment horizontal="center" readingOrder="0" shrinkToFit="0" vertical="bottom" wrapText="0"/>
    </xf>
    <xf borderId="1" fillId="0" fontId="1" numFmtId="167" xfId="0" applyAlignment="1" applyBorder="1" applyFont="1" applyNumberForma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34" numFmtId="0" xfId="0" applyAlignment="1" applyBorder="1" applyFont="1">
      <alignment horizontal="center" readingOrder="0" shrinkToFit="0" vertical="center" wrapText="0"/>
    </xf>
    <xf borderId="1" fillId="0" fontId="34" numFmtId="0" xfId="0" applyAlignment="1" applyBorder="1" applyFont="1">
      <alignment horizontal="center" readingOrder="0" shrinkToFit="0" vertical="center" wrapText="0"/>
    </xf>
    <xf borderId="1" fillId="0" fontId="15" numFmtId="0" xfId="0" applyAlignment="1" applyBorder="1" applyFont="1">
      <alignment horizontal="center" readingOrder="0" shrinkToFit="0" vertical="center" wrapText="0"/>
    </xf>
    <xf borderId="1" fillId="0" fontId="15" numFmtId="0" xfId="0" applyAlignment="1" applyBorder="1" applyFont="1">
      <alignment horizontal="center" shrinkToFit="0" vertical="center" wrapText="0"/>
    </xf>
    <xf borderId="1" fillId="0" fontId="15" numFmtId="0" xfId="0" applyAlignment="1" applyBorder="1" applyFont="1">
      <alignment horizontal="center" readingOrder="0" shrinkToFit="0" wrapText="0"/>
    </xf>
    <xf borderId="1" fillId="8" fontId="1" numFmtId="0" xfId="0" applyAlignment="1" applyBorder="1" applyFont="1">
      <alignment horizontal="left" readingOrder="0" shrinkToFit="0" vertical="center" wrapText="0"/>
    </xf>
    <xf borderId="1" fillId="12" fontId="1" numFmtId="0" xfId="0" applyAlignment="1" applyBorder="1" applyFont="1">
      <alignment horizontal="center" shrinkToFit="0" vertical="center" wrapText="0"/>
    </xf>
    <xf borderId="1" fillId="12" fontId="1" numFmtId="0" xfId="0" applyAlignment="1" applyBorder="1" applyFont="1">
      <alignment horizontal="center" readingOrder="0" shrinkToFit="0" vertical="center" wrapText="0"/>
    </xf>
    <xf borderId="8" fillId="0" fontId="23" numFmtId="0" xfId="0" applyBorder="1" applyFont="1"/>
    <xf borderId="11" fillId="0" fontId="23" numFmtId="0" xfId="0" applyBorder="1" applyFont="1"/>
    <xf borderId="17" fillId="0" fontId="23" numFmtId="0" xfId="0" applyBorder="1" applyFont="1"/>
    <xf borderId="11" fillId="12" fontId="23" numFmtId="0" xfId="0" applyBorder="1" applyFont="1"/>
    <xf borderId="17" fillId="12" fontId="23" numFmtId="0" xfId="0" applyBorder="1" applyFont="1"/>
    <xf borderId="1" fillId="12" fontId="1" numFmtId="0" xfId="0" applyAlignment="1" applyBorder="1" applyFont="1">
      <alignment horizontal="center" readingOrder="0" shrinkToFit="0" wrapText="0"/>
    </xf>
    <xf borderId="1" fillId="12" fontId="15" numFmtId="164" xfId="0" applyAlignment="1" applyBorder="1" applyFont="1" applyNumberFormat="1">
      <alignment horizontal="center" readingOrder="0" shrinkToFit="0" vertical="center" wrapText="0"/>
    </xf>
    <xf borderId="1" fillId="12" fontId="1" numFmtId="0" xfId="0" applyAlignment="1" applyBorder="1" applyFont="1">
      <alignment horizontal="left" readingOrder="0" shrinkToFit="0" vertical="center" wrapText="0"/>
    </xf>
    <xf borderId="1" fillId="12" fontId="1" numFmtId="164" xfId="0" applyAlignment="1" applyBorder="1" applyFont="1" applyNumberFormat="1">
      <alignment horizontal="center" readingOrder="0" shrinkToFit="0" vertical="center" wrapText="0"/>
    </xf>
    <xf borderId="1" fillId="12" fontId="0" numFmtId="0" xfId="0" applyAlignment="1" applyBorder="1" applyFont="1">
      <alignment horizontal="center" shrinkToFit="0" vertical="center" wrapText="0"/>
    </xf>
    <xf borderId="0" fillId="12" fontId="0" numFmtId="0" xfId="0" applyAlignment="1" applyFont="1">
      <alignment horizontal="center" readingOrder="0" shrinkToFit="0" vertical="center" wrapText="0"/>
    </xf>
    <xf borderId="17" fillId="0" fontId="23" numFmtId="0" xfId="0" applyAlignment="1" applyBorder="1" applyFont="1">
      <alignment readingOrder="0"/>
    </xf>
    <xf borderId="0" fillId="0" fontId="23" numFmtId="0" xfId="0" applyFont="1"/>
    <xf borderId="1" fillId="0" fontId="13" numFmtId="0" xfId="0" applyAlignment="1" applyBorder="1" applyFont="1">
      <alignment horizontal="center" readingOrder="0" shrinkToFit="0" vertical="center" wrapText="0"/>
    </xf>
    <xf borderId="0" fillId="13" fontId="35" numFmtId="0" xfId="0" applyAlignment="1" applyFill="1" applyFont="1">
      <alignment horizontal="center" readingOrder="0"/>
    </xf>
    <xf borderId="0" fillId="7" fontId="27" numFmtId="0" xfId="0" applyAlignment="1" applyFont="1">
      <alignment readingOrder="0"/>
    </xf>
    <xf borderId="1" fillId="0" fontId="1" numFmtId="169" xfId="0" applyAlignment="1" applyBorder="1" applyFont="1" applyNumberFormat="1">
      <alignment horizontal="center" readingOrder="0" shrinkToFit="0" vertical="center" wrapText="0"/>
    </xf>
    <xf borderId="1" fillId="0" fontId="1" numFmtId="168" xfId="0" applyAlignment="1" applyBorder="1" applyFont="1" applyNumberFormat="1">
      <alignment horizontal="center" readingOrder="0" shrinkToFit="0" vertical="center" wrapText="0"/>
    </xf>
    <xf borderId="0" fillId="7" fontId="27" numFmtId="0" xfId="0" applyFont="1"/>
    <xf borderId="0" fillId="0" fontId="0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15" numFmtId="164" xfId="0" applyAlignment="1" applyFont="1" applyNumberFormat="1">
      <alignment horizontal="center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horizontal="center" readingOrder="0" shrinkToFit="0" vertical="center" wrapText="0"/>
    </xf>
    <xf borderId="0" fillId="7" fontId="1" numFmtId="0" xfId="0" applyAlignment="1" applyFont="1">
      <alignment horizontal="center" readingOrder="0" shrinkToFit="0" vertical="center" wrapText="0"/>
    </xf>
    <xf borderId="0" fillId="0" fontId="0" numFmtId="0" xfId="0" applyAlignment="1" applyFont="1">
      <alignment horizontal="center" shrinkToFit="0" vertical="center" wrapText="0"/>
    </xf>
    <xf borderId="1" fillId="0" fontId="12" numFmtId="0" xfId="0" applyAlignment="1" applyBorder="1" applyFont="1">
      <alignment readingOrder="0"/>
    </xf>
    <xf borderId="1" fillId="0" fontId="12" numFmtId="167" xfId="0" applyAlignment="1" applyBorder="1" applyFont="1" applyNumberFormat="1">
      <alignment readingOrder="0"/>
    </xf>
    <xf borderId="1" fillId="0" fontId="12" numFmtId="0" xfId="0" applyBorder="1" applyFont="1"/>
    <xf borderId="1" fillId="8" fontId="27" numFmtId="0" xfId="0" applyBorder="1" applyFont="1"/>
    <xf borderId="1" fillId="8" fontId="0" numFmtId="0" xfId="0" applyAlignment="1" applyBorder="1" applyFont="1">
      <alignment horizontal="center" readingOrder="0" shrinkToFit="0" wrapText="0"/>
    </xf>
    <xf borderId="1" fillId="8" fontId="12" numFmtId="0" xfId="0" applyAlignment="1" applyBorder="1" applyFont="1">
      <alignment readingOrder="0"/>
    </xf>
    <xf borderId="1" fillId="8" fontId="1" numFmtId="0" xfId="0" applyAlignment="1" applyBorder="1" applyFont="1">
      <alignment horizontal="center" readingOrder="0" shrinkToFit="0" vertical="center" wrapText="0"/>
    </xf>
    <xf borderId="1" fillId="8" fontId="1" numFmtId="0" xfId="0" applyAlignment="1" applyBorder="1" applyFont="1">
      <alignment horizontal="center" readingOrder="0" shrinkToFit="0" wrapText="0"/>
    </xf>
    <xf borderId="1" fillId="8" fontId="12" numFmtId="167" xfId="0" applyAlignment="1" applyBorder="1" applyFont="1" applyNumberFormat="1">
      <alignment readingOrder="0"/>
    </xf>
    <xf borderId="1" fillId="8" fontId="1" numFmtId="0" xfId="0" applyAlignment="1" applyBorder="1" applyFont="1">
      <alignment readingOrder="0" shrinkToFit="0" vertical="center" wrapText="0"/>
    </xf>
    <xf borderId="10" fillId="8" fontId="1" numFmtId="0" xfId="0" applyAlignment="1" applyBorder="1" applyFont="1">
      <alignment horizontal="center" readingOrder="0" shrinkToFit="0" vertical="center" wrapText="0"/>
    </xf>
    <xf borderId="1" fillId="8" fontId="12" numFmtId="0" xfId="0" applyBorder="1" applyFont="1"/>
    <xf borderId="1" fillId="8" fontId="0" numFmtId="0" xfId="0" applyAlignment="1" applyBorder="1" applyFont="1">
      <alignment horizontal="center" shrinkToFit="0" vertical="center" wrapText="0"/>
    </xf>
    <xf borderId="0" fillId="8" fontId="0" numFmtId="0" xfId="0" applyAlignment="1" applyFont="1">
      <alignment horizontal="center" readingOrder="0" shrinkToFit="0" vertical="center" wrapText="0"/>
    </xf>
    <xf borderId="1" fillId="0" fontId="12" numFmtId="168" xfId="0" applyAlignment="1" applyBorder="1" applyFont="1" applyNumberFormat="1">
      <alignment readingOrder="0"/>
    </xf>
    <xf borderId="1" fillId="0" fontId="11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chartsheet" Target="chartsheets/sheet1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436EA1"/>
            </a:solidFill>
            <a:ln cmpd="sng">
              <a:solidFill>
                <a:srgbClr val="000000"/>
              </a:solidFill>
            </a:ln>
          </c:spPr>
          <c:val>
            <c:numRef>
              <c:f>PROC_2013!$A$17:$A$59</c:f>
              <c:numCache/>
            </c:numRef>
          </c:val>
        </c:ser>
        <c:ser>
          <c:idx val="1"/>
          <c:order val="1"/>
          <c:spPr>
            <a:solidFill>
              <a:srgbClr val="A34441"/>
            </a:solidFill>
            <a:ln cmpd="sng">
              <a:solidFill>
                <a:srgbClr val="000000"/>
              </a:solidFill>
            </a:ln>
          </c:spPr>
          <c:val>
            <c:numRef>
              <c:f>PROC_2013!$B$17:$B$59</c:f>
              <c:numCache/>
            </c:numRef>
          </c:val>
        </c:ser>
        <c:ser>
          <c:idx val="2"/>
          <c:order val="2"/>
          <c:spPr>
            <a:solidFill>
              <a:srgbClr val="849F4C"/>
            </a:solidFill>
            <a:ln cmpd="sng">
              <a:solidFill>
                <a:srgbClr val="000000"/>
              </a:solidFill>
            </a:ln>
          </c:spPr>
          <c:val>
            <c:numRef>
              <c:f>PROC_2013!$C$17:$C$59</c:f>
              <c:numCache/>
            </c:numRef>
          </c:val>
        </c:ser>
        <c:ser>
          <c:idx val="3"/>
          <c:order val="3"/>
          <c:spPr>
            <a:solidFill>
              <a:srgbClr val="6D558A"/>
            </a:solidFill>
            <a:ln cmpd="sng">
              <a:solidFill>
                <a:srgbClr val="000000"/>
              </a:solidFill>
            </a:ln>
          </c:spPr>
          <c:val>
            <c:numRef>
              <c:f>PROC_2013!$D$17:$D$69</c:f>
              <c:numCache/>
            </c:numRef>
          </c:val>
        </c:ser>
        <c:ser>
          <c:idx val="4"/>
          <c:order val="4"/>
          <c:spPr>
            <a:solidFill>
              <a:srgbClr val="4092A8"/>
            </a:solidFill>
            <a:ln cmpd="sng">
              <a:solidFill>
                <a:srgbClr val="000000"/>
              </a:solidFill>
            </a:ln>
          </c:spPr>
          <c:val>
            <c:numRef>
              <c:f>PROC_2013!$F$17:$F$59</c:f>
              <c:numCache/>
            </c:numRef>
          </c:val>
        </c:ser>
        <c:ser>
          <c:idx val="5"/>
          <c:order val="5"/>
          <c:spPr>
            <a:solidFill>
              <a:srgbClr val="D2803C"/>
            </a:solidFill>
            <a:ln cmpd="sng">
              <a:solidFill>
                <a:srgbClr val="000000"/>
              </a:solidFill>
            </a:ln>
          </c:spPr>
          <c:val>
            <c:numRef>
              <c:f>PROC_2013!$G$17:$G$59</c:f>
              <c:numCache/>
            </c:numRef>
          </c:val>
        </c:ser>
        <c:ser>
          <c:idx val="6"/>
          <c:order val="6"/>
          <c:spPr>
            <a:solidFill>
              <a:srgbClr val="618EC4"/>
            </a:solidFill>
            <a:ln cmpd="sng">
              <a:solidFill>
                <a:srgbClr val="000000"/>
              </a:solidFill>
            </a:ln>
          </c:spPr>
          <c:val>
            <c:numRef>
              <c:f>PROC_2013!$H$17:$H$59</c:f>
              <c:numCache/>
            </c:numRef>
          </c:val>
        </c:ser>
        <c:ser>
          <c:idx val="7"/>
          <c:order val="7"/>
          <c:spPr>
            <a:solidFill>
              <a:srgbClr val="C6625F"/>
            </a:solidFill>
            <a:ln cmpd="sng">
              <a:solidFill>
                <a:srgbClr val="000000"/>
              </a:solidFill>
            </a:ln>
          </c:spPr>
          <c:val>
            <c:numRef>
              <c:f>PROC_2013!$I$17:$I$59</c:f>
              <c:numCache/>
            </c:numRef>
          </c:val>
        </c:ser>
        <c:ser>
          <c:idx val="8"/>
          <c:order val="8"/>
          <c:val>
            <c:numRef>
              <c:f>PROC_2013!$J$17:$J$59</c:f>
              <c:numCache/>
            </c:numRef>
          </c:val>
        </c:ser>
        <c:ser>
          <c:idx val="9"/>
          <c:order val="9"/>
          <c:val>
            <c:numRef>
              <c:f>PROC_2013!$K$17:$K$59</c:f>
              <c:numCache/>
            </c:numRef>
          </c:val>
        </c:ser>
        <c:ser>
          <c:idx val="10"/>
          <c:order val="10"/>
          <c:val>
            <c:numRef>
              <c:f>PROC_2013!$L$17:$L$59</c:f>
              <c:numCache/>
            </c:numRef>
          </c:val>
        </c:ser>
        <c:ser>
          <c:idx val="11"/>
          <c:order val="11"/>
          <c:val>
            <c:numRef>
              <c:f>PROC_2013!$M$17:$M$59</c:f>
              <c:numCache/>
            </c:numRef>
          </c:val>
        </c:ser>
        <c:ser>
          <c:idx val="12"/>
          <c:order val="12"/>
          <c:val>
            <c:numRef>
              <c:f>PROC_2013!$N$17:$N$59</c:f>
              <c:numCache/>
            </c:numRef>
          </c:val>
        </c:ser>
        <c:ser>
          <c:idx val="13"/>
          <c:order val="13"/>
          <c:val>
            <c:numRef>
              <c:f>PROC_2013!$O$17:$O$59</c:f>
              <c:numCache/>
            </c:numRef>
          </c:val>
        </c:ser>
        <c:ser>
          <c:idx val="14"/>
          <c:order val="14"/>
          <c:val>
            <c:numRef>
              <c:f>PROC_2013!$P$17:$P$59</c:f>
              <c:numCache/>
            </c:numRef>
          </c:val>
        </c:ser>
        <c:ser>
          <c:idx val="15"/>
          <c:order val="15"/>
          <c:val>
            <c:numRef>
              <c:f>PROC_2013!$R$17:$R$59</c:f>
              <c:numCache/>
            </c:numRef>
          </c:val>
        </c:ser>
        <c:ser>
          <c:idx val="16"/>
          <c:order val="16"/>
          <c:val>
            <c:numRef>
              <c:f>PROC_2013!$S$17:$S$59</c:f>
              <c:numCache/>
            </c:numRef>
          </c:val>
        </c:ser>
        <c:ser>
          <c:idx val="17"/>
          <c:order val="17"/>
          <c:val>
            <c:numRef>
              <c:f>PROC_2013!$T$17:$T$59</c:f>
              <c:numCache/>
            </c:numRef>
          </c:val>
        </c:ser>
        <c:ser>
          <c:idx val="18"/>
          <c:order val="18"/>
          <c:val>
            <c:numRef>
              <c:f>PROC_2013!$U$17:$U$59</c:f>
              <c:numCache/>
            </c:numRef>
          </c:val>
        </c:ser>
        <c:ser>
          <c:idx val="19"/>
          <c:order val="19"/>
          <c:val>
            <c:numRef>
              <c:f>PROC_2013!$V$17:$V$59</c:f>
              <c:numCache/>
            </c:numRef>
          </c:val>
        </c:ser>
        <c:ser>
          <c:idx val="20"/>
          <c:order val="20"/>
          <c:val>
            <c:numRef>
              <c:f>PROC_2013!$W$17:$W$59</c:f>
              <c:numCache/>
            </c:numRef>
          </c:val>
        </c:ser>
        <c:axId val="2145638741"/>
        <c:axId val="1047546352"/>
      </c:barChart>
      <c:catAx>
        <c:axId val="21456387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47546352"/>
      </c:catAx>
      <c:valAx>
        <c:axId val="10475463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45638741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4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5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6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7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8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0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1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2" max="2" width="29.29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  <row r="10">
      <c r="A10" s="2">
        <v>9.0</v>
      </c>
      <c r="B10" s="2" t="s">
        <v>10</v>
      </c>
    </row>
    <row r="11">
      <c r="A11" s="2">
        <v>10.0</v>
      </c>
      <c r="B11" s="2" t="s">
        <v>11</v>
      </c>
    </row>
    <row r="12">
      <c r="A12" s="2">
        <v>11.0</v>
      </c>
      <c r="B12" s="2" t="s">
        <v>12</v>
      </c>
    </row>
    <row r="13">
      <c r="A13" s="2">
        <v>12.0</v>
      </c>
      <c r="B13" s="2" t="s">
        <v>13</v>
      </c>
    </row>
    <row r="14">
      <c r="A14" s="2">
        <v>13.0</v>
      </c>
      <c r="B14" s="2" t="s">
        <v>14</v>
      </c>
    </row>
    <row r="15">
      <c r="A15" s="2">
        <v>14.0</v>
      </c>
      <c r="B15" s="2" t="s">
        <v>15</v>
      </c>
    </row>
    <row r="16">
      <c r="A16" s="2">
        <v>15.0</v>
      </c>
      <c r="B16" s="2" t="s">
        <v>16</v>
      </c>
    </row>
    <row r="17">
      <c r="A17" s="2">
        <v>16.0</v>
      </c>
      <c r="B17" s="2" t="s">
        <v>17</v>
      </c>
    </row>
    <row r="18">
      <c r="A18" s="2">
        <v>17.0</v>
      </c>
      <c r="B18" s="2" t="s">
        <v>18</v>
      </c>
    </row>
    <row r="19">
      <c r="A19" s="2">
        <v>18.0</v>
      </c>
      <c r="B19" s="2" t="s">
        <v>19</v>
      </c>
    </row>
    <row r="20">
      <c r="A20" s="2">
        <v>19.0</v>
      </c>
      <c r="B20" s="2" t="s">
        <v>20</v>
      </c>
    </row>
    <row r="21">
      <c r="A21" s="2">
        <v>21.0</v>
      </c>
      <c r="B21" s="2" t="s">
        <v>21</v>
      </c>
    </row>
    <row r="22">
      <c r="A22" s="2">
        <v>22.0</v>
      </c>
      <c r="B22" s="2" t="s">
        <v>22</v>
      </c>
    </row>
    <row r="23">
      <c r="A23" s="2">
        <v>23.0</v>
      </c>
      <c r="B23" s="2" t="s">
        <v>23</v>
      </c>
    </row>
    <row r="24">
      <c r="A24" s="2">
        <v>24.0</v>
      </c>
      <c r="B24" s="2" t="s">
        <v>24</v>
      </c>
    </row>
    <row r="25">
      <c r="A25" s="2">
        <v>25.0</v>
      </c>
      <c r="B25" s="2" t="s">
        <v>25</v>
      </c>
    </row>
    <row r="26">
      <c r="A26" s="2">
        <v>26.0</v>
      </c>
      <c r="B26" s="2" t="s">
        <v>26</v>
      </c>
    </row>
    <row r="27">
      <c r="A27" s="2">
        <v>27.0</v>
      </c>
      <c r="B27" s="2" t="s">
        <v>27</v>
      </c>
    </row>
    <row r="28">
      <c r="A28" s="2">
        <v>28.0</v>
      </c>
      <c r="B28" s="2" t="s">
        <v>28</v>
      </c>
    </row>
    <row r="29">
      <c r="A29" s="2">
        <v>29.0</v>
      </c>
      <c r="B29" s="2" t="s">
        <v>29</v>
      </c>
    </row>
    <row r="30">
      <c r="A30" s="2">
        <v>30.0</v>
      </c>
      <c r="B30" s="2" t="s">
        <v>30</v>
      </c>
    </row>
    <row r="31">
      <c r="A31" s="2">
        <v>31.0</v>
      </c>
      <c r="B31" s="2" t="s">
        <v>31</v>
      </c>
    </row>
    <row r="32">
      <c r="A32" s="2">
        <v>32.0</v>
      </c>
      <c r="B32" s="2" t="s">
        <v>32</v>
      </c>
    </row>
    <row r="33">
      <c r="A33" s="2">
        <v>33.0</v>
      </c>
      <c r="B33" s="2" t="s">
        <v>33</v>
      </c>
    </row>
    <row r="34">
      <c r="A34" s="2">
        <v>34.0</v>
      </c>
      <c r="B34" s="2" t="s">
        <v>34</v>
      </c>
    </row>
    <row r="35">
      <c r="A35" s="2">
        <v>35.0</v>
      </c>
      <c r="B35" s="2" t="s">
        <v>35</v>
      </c>
    </row>
    <row r="36">
      <c r="A36" s="2">
        <v>36.0</v>
      </c>
      <c r="B36" s="2" t="s">
        <v>36</v>
      </c>
    </row>
    <row r="37">
      <c r="A37" s="2">
        <v>37.0</v>
      </c>
      <c r="B37" s="2" t="s">
        <v>37</v>
      </c>
    </row>
    <row r="38">
      <c r="A38" s="2">
        <v>38.0</v>
      </c>
      <c r="B38" s="2" t="s">
        <v>38</v>
      </c>
    </row>
    <row r="39">
      <c r="A39" s="2">
        <v>39.0</v>
      </c>
      <c r="B39" s="2" t="s">
        <v>39</v>
      </c>
    </row>
    <row r="40">
      <c r="A40" s="2">
        <v>40.0</v>
      </c>
      <c r="B40" s="2" t="s">
        <v>40</v>
      </c>
    </row>
    <row r="41">
      <c r="A41" s="2">
        <v>41.0</v>
      </c>
      <c r="B41" s="2" t="s">
        <v>41</v>
      </c>
    </row>
    <row r="42">
      <c r="A42" s="2">
        <v>42.0</v>
      </c>
      <c r="B42" s="2" t="s">
        <v>42</v>
      </c>
    </row>
    <row r="43">
      <c r="A43" s="2">
        <v>43.0</v>
      </c>
      <c r="B43" s="2" t="s">
        <v>43</v>
      </c>
    </row>
    <row r="44">
      <c r="A44" s="2">
        <v>44.0</v>
      </c>
      <c r="B44" s="2" t="s">
        <v>44</v>
      </c>
    </row>
    <row r="45">
      <c r="A45" s="2">
        <v>45.0</v>
      </c>
      <c r="B45" s="2" t="s">
        <v>45</v>
      </c>
    </row>
    <row r="46">
      <c r="A46" s="2">
        <v>46.0</v>
      </c>
      <c r="B46" s="2" t="s">
        <v>46</v>
      </c>
    </row>
    <row r="47">
      <c r="A47" s="2">
        <v>47.0</v>
      </c>
      <c r="B47" s="2" t="s">
        <v>47</v>
      </c>
    </row>
    <row r="48">
      <c r="A48" s="2">
        <v>48.0</v>
      </c>
      <c r="B48" s="2" t="s">
        <v>48</v>
      </c>
    </row>
    <row r="49">
      <c r="A49" s="2">
        <v>49.0</v>
      </c>
      <c r="B49" s="2" t="s">
        <v>49</v>
      </c>
    </row>
    <row r="50">
      <c r="A50" s="2">
        <v>50.0</v>
      </c>
      <c r="B50" s="2" t="s">
        <v>50</v>
      </c>
    </row>
    <row r="51">
      <c r="A51" s="2">
        <v>51.0</v>
      </c>
      <c r="B51" s="2" t="s">
        <v>51</v>
      </c>
    </row>
    <row r="52">
      <c r="A52" s="2">
        <v>52.0</v>
      </c>
      <c r="B52" s="2" t="s">
        <v>52</v>
      </c>
    </row>
    <row r="53">
      <c r="A53" s="2">
        <v>54.0</v>
      </c>
      <c r="B53" s="2" t="s">
        <v>53</v>
      </c>
    </row>
    <row r="54">
      <c r="A54" s="2">
        <v>55.0</v>
      </c>
      <c r="B54" s="2" t="s">
        <v>54</v>
      </c>
    </row>
    <row r="55">
      <c r="A55" s="2">
        <v>56.0</v>
      </c>
      <c r="B55" s="2" t="s">
        <v>55</v>
      </c>
    </row>
    <row r="56">
      <c r="A56" s="2">
        <v>57.0</v>
      </c>
      <c r="B56" s="2" t="s">
        <v>56</v>
      </c>
    </row>
    <row r="57">
      <c r="A57" s="2">
        <v>58.0</v>
      </c>
      <c r="B57" s="2" t="s">
        <v>57</v>
      </c>
    </row>
    <row r="58">
      <c r="A58" s="2">
        <v>59.0</v>
      </c>
      <c r="B58" s="2" t="s">
        <v>58</v>
      </c>
    </row>
    <row r="59">
      <c r="A59" s="2">
        <v>60.0</v>
      </c>
      <c r="B59" s="2" t="s">
        <v>59</v>
      </c>
    </row>
    <row r="60">
      <c r="A60" s="2">
        <v>61.0</v>
      </c>
      <c r="B60" s="2" t="s">
        <v>60</v>
      </c>
    </row>
    <row r="61">
      <c r="A61" s="2">
        <v>62.0</v>
      </c>
      <c r="B61" s="2" t="s">
        <v>61</v>
      </c>
    </row>
    <row r="62">
      <c r="A62" s="2">
        <v>63.0</v>
      </c>
      <c r="B62" s="2" t="s">
        <v>62</v>
      </c>
    </row>
    <row r="63">
      <c r="A63" s="2">
        <v>64.0</v>
      </c>
      <c r="B63" s="2" t="s">
        <v>63</v>
      </c>
    </row>
    <row r="64">
      <c r="A64" s="2">
        <v>65.0</v>
      </c>
      <c r="B64" s="2" t="s">
        <v>64</v>
      </c>
    </row>
    <row r="65">
      <c r="A65" s="2">
        <v>66.0</v>
      </c>
      <c r="B65" s="2" t="s">
        <v>65</v>
      </c>
    </row>
    <row r="66">
      <c r="A66" s="2">
        <v>67.0</v>
      </c>
      <c r="B66" s="2" t="s">
        <v>66</v>
      </c>
    </row>
    <row r="67">
      <c r="A67" s="2">
        <v>68.0</v>
      </c>
      <c r="B67" s="2" t="s">
        <v>67</v>
      </c>
    </row>
    <row r="68">
      <c r="A68" s="2">
        <v>69.0</v>
      </c>
      <c r="B68" s="2" t="s">
        <v>68</v>
      </c>
    </row>
    <row r="69">
      <c r="A69" s="2">
        <v>70.0</v>
      </c>
      <c r="B69" s="2" t="s">
        <v>69</v>
      </c>
    </row>
    <row r="70">
      <c r="A70" s="2">
        <v>71.0</v>
      </c>
      <c r="B70" s="2" t="s">
        <v>70</v>
      </c>
    </row>
    <row r="71">
      <c r="A71" s="2">
        <v>72.0</v>
      </c>
      <c r="B71" s="2" t="s">
        <v>71</v>
      </c>
    </row>
    <row r="72">
      <c r="A72" s="2">
        <v>73.0</v>
      </c>
      <c r="B72" s="2" t="s">
        <v>72</v>
      </c>
    </row>
    <row r="73">
      <c r="A73" s="2">
        <v>74.0</v>
      </c>
      <c r="B73" s="2" t="s">
        <v>73</v>
      </c>
    </row>
    <row r="74">
      <c r="A74" s="2">
        <v>76.0</v>
      </c>
      <c r="B74" s="2" t="s">
        <v>74</v>
      </c>
    </row>
    <row r="75">
      <c r="A75" s="2">
        <v>77.0</v>
      </c>
      <c r="B75" s="2" t="s">
        <v>75</v>
      </c>
    </row>
    <row r="76">
      <c r="A76" s="2">
        <v>78.0</v>
      </c>
      <c r="B76" s="2" t="s">
        <v>76</v>
      </c>
    </row>
    <row r="77">
      <c r="A77" s="2">
        <v>79.0</v>
      </c>
      <c r="B77" s="2" t="s">
        <v>77</v>
      </c>
    </row>
    <row r="78">
      <c r="A78" s="2">
        <v>81.0</v>
      </c>
      <c r="B78" s="2" t="s">
        <v>78</v>
      </c>
    </row>
    <row r="79">
      <c r="A79" s="2">
        <v>82.0</v>
      </c>
      <c r="B79" s="2" t="s">
        <v>79</v>
      </c>
    </row>
    <row r="80">
      <c r="A80" s="2">
        <v>83.0</v>
      </c>
      <c r="B80" s="2" t="s">
        <v>80</v>
      </c>
    </row>
    <row r="81">
      <c r="A81" s="2">
        <v>84.0</v>
      </c>
      <c r="B81" s="2" t="s">
        <v>81</v>
      </c>
    </row>
    <row r="82">
      <c r="A82" s="2">
        <v>85.0</v>
      </c>
      <c r="B82" s="2" t="s">
        <v>82</v>
      </c>
    </row>
    <row r="83">
      <c r="A83" s="2">
        <v>86.0</v>
      </c>
      <c r="B83" s="2" t="s">
        <v>83</v>
      </c>
    </row>
    <row r="84">
      <c r="A84" s="2">
        <v>87.0</v>
      </c>
      <c r="B84" s="2" t="s">
        <v>84</v>
      </c>
    </row>
    <row r="85">
      <c r="A85" s="2">
        <v>88.0</v>
      </c>
      <c r="B85" s="2" t="s">
        <v>85</v>
      </c>
    </row>
    <row r="86">
      <c r="A86" s="2">
        <v>92.0</v>
      </c>
      <c r="B86" s="2" t="s">
        <v>86</v>
      </c>
    </row>
    <row r="87">
      <c r="A87" s="2">
        <v>93.0</v>
      </c>
      <c r="B87" s="2" t="s">
        <v>87</v>
      </c>
    </row>
    <row r="88">
      <c r="A88" s="2">
        <v>95.0</v>
      </c>
      <c r="B88" s="2" t="s">
        <v>88</v>
      </c>
    </row>
    <row r="89">
      <c r="A89" s="2">
        <v>96.0</v>
      </c>
      <c r="B89" s="2" t="s">
        <v>89</v>
      </c>
    </row>
    <row r="90">
      <c r="A90" s="2">
        <v>97.0</v>
      </c>
      <c r="B90" s="2" t="s">
        <v>90</v>
      </c>
    </row>
    <row r="91">
      <c r="A91" s="2">
        <v>98.0</v>
      </c>
      <c r="B91" s="2" t="s">
        <v>91</v>
      </c>
    </row>
    <row r="92">
      <c r="A92" s="2">
        <v>100.0</v>
      </c>
      <c r="B92" s="2" t="s">
        <v>92</v>
      </c>
    </row>
    <row r="93">
      <c r="A93" s="2">
        <v>101.0</v>
      </c>
      <c r="B93" s="2" t="s">
        <v>93</v>
      </c>
    </row>
    <row r="94">
      <c r="A94" s="2">
        <v>102.0</v>
      </c>
      <c r="B94" s="2" t="s">
        <v>94</v>
      </c>
    </row>
    <row r="95">
      <c r="A95" s="2">
        <v>103.0</v>
      </c>
      <c r="B95" s="2" t="s">
        <v>95</v>
      </c>
    </row>
    <row r="96">
      <c r="A96" s="2">
        <v>104.0</v>
      </c>
      <c r="B96" s="2" t="s">
        <v>96</v>
      </c>
    </row>
    <row r="97">
      <c r="A97" s="2">
        <v>105.0</v>
      </c>
      <c r="B97" s="2" t="s">
        <v>97</v>
      </c>
    </row>
    <row r="98">
      <c r="A98" s="2">
        <v>106.0</v>
      </c>
      <c r="B98" s="2" t="s">
        <v>98</v>
      </c>
    </row>
    <row r="99">
      <c r="A99" s="2">
        <v>107.0</v>
      </c>
      <c r="B99" s="2" t="s">
        <v>99</v>
      </c>
    </row>
    <row r="100">
      <c r="A100" s="2">
        <v>108.0</v>
      </c>
      <c r="B100" s="2" t="s">
        <v>100</v>
      </c>
    </row>
    <row r="101">
      <c r="A101" s="2">
        <v>109.0</v>
      </c>
      <c r="B101" s="2" t="s">
        <v>101</v>
      </c>
    </row>
    <row r="102">
      <c r="A102" s="2">
        <v>110.0</v>
      </c>
      <c r="B102" s="2" t="s">
        <v>102</v>
      </c>
    </row>
    <row r="103">
      <c r="A103" s="2">
        <v>111.0</v>
      </c>
      <c r="B103" s="2" t="s">
        <v>103</v>
      </c>
    </row>
    <row r="104">
      <c r="A104" s="2">
        <v>112.0</v>
      </c>
      <c r="B104" s="2" t="s">
        <v>104</v>
      </c>
    </row>
    <row r="105">
      <c r="A105" s="2">
        <v>113.0</v>
      </c>
      <c r="B105" s="2" t="s">
        <v>105</v>
      </c>
    </row>
    <row r="106">
      <c r="A106" s="2">
        <v>114.0</v>
      </c>
      <c r="B106" s="2" t="s">
        <v>106</v>
      </c>
    </row>
    <row r="107">
      <c r="A107" s="2">
        <v>115.0</v>
      </c>
      <c r="B107" s="2" t="s">
        <v>107</v>
      </c>
    </row>
    <row r="108">
      <c r="A108" s="2">
        <v>116.0</v>
      </c>
      <c r="B108" s="2" t="s">
        <v>108</v>
      </c>
    </row>
    <row r="109">
      <c r="A109" s="2">
        <v>117.0</v>
      </c>
      <c r="B109" s="2" t="s">
        <v>109</v>
      </c>
    </row>
    <row r="110">
      <c r="A110" s="2">
        <v>120.0</v>
      </c>
      <c r="B110" s="2" t="s">
        <v>110</v>
      </c>
    </row>
    <row r="111">
      <c r="A111" s="2">
        <v>130.0</v>
      </c>
      <c r="B111" s="2" t="s">
        <v>111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10.71"/>
  </cols>
  <sheetData>
    <row r="3">
      <c r="F3" s="3" t="b">
        <v>0</v>
      </c>
    </row>
    <row r="6">
      <c r="B6" s="4" t="s">
        <v>112</v>
      </c>
    </row>
    <row r="7">
      <c r="B7" s="4" t="s">
        <v>113</v>
      </c>
      <c r="D7" s="3" t="s">
        <v>114</v>
      </c>
      <c r="F7" s="3" t="s">
        <v>115</v>
      </c>
      <c r="H7" s="3" t="s">
        <v>116</v>
      </c>
      <c r="J7" s="3" t="s">
        <v>117</v>
      </c>
      <c r="L7" s="3" t="s">
        <v>118</v>
      </c>
    </row>
    <row r="8">
      <c r="B8" s="4" t="s">
        <v>119</v>
      </c>
      <c r="D8" s="3" t="s">
        <v>120</v>
      </c>
      <c r="F8" s="3" t="s">
        <v>121</v>
      </c>
      <c r="H8" s="3" t="s">
        <v>122</v>
      </c>
      <c r="J8" s="3" t="s">
        <v>122</v>
      </c>
      <c r="L8" s="3" t="s">
        <v>123</v>
      </c>
    </row>
    <row r="9">
      <c r="B9" s="4" t="s">
        <v>124</v>
      </c>
      <c r="D9" s="3" t="s">
        <v>125</v>
      </c>
    </row>
    <row r="10">
      <c r="B10" s="4" t="s">
        <v>126</v>
      </c>
      <c r="D10" s="3" t="s">
        <v>127</v>
      </c>
    </row>
    <row r="18">
      <c r="F18" s="5"/>
      <c r="G18" s="5"/>
      <c r="H18" s="5"/>
      <c r="I18" s="5"/>
      <c r="J18" s="5"/>
      <c r="K18" s="5"/>
      <c r="L18" s="5"/>
      <c r="M18" s="5"/>
    </row>
    <row r="19">
      <c r="F19" s="5"/>
      <c r="G19" s="5"/>
      <c r="H19" s="5"/>
      <c r="I19" s="5"/>
      <c r="J19" s="5"/>
      <c r="K19" s="5"/>
      <c r="L19" s="5"/>
      <c r="M19" s="5"/>
    </row>
    <row r="20">
      <c r="F20" s="5"/>
      <c r="G20" s="5"/>
      <c r="H20" s="5"/>
      <c r="I20" s="5"/>
      <c r="J20" s="5"/>
      <c r="K20" s="5"/>
      <c r="L20" s="5"/>
      <c r="M20" s="5"/>
      <c r="N20" s="5"/>
    </row>
    <row r="21">
      <c r="F21" s="5"/>
      <c r="G21" s="5"/>
      <c r="H21" s="5"/>
      <c r="I21" s="5"/>
      <c r="J21" s="5"/>
      <c r="K21" s="5"/>
      <c r="L21" s="5"/>
      <c r="M21" s="5"/>
      <c r="N21" s="5"/>
    </row>
    <row r="22">
      <c r="F22" s="5"/>
      <c r="G22" s="6"/>
      <c r="H22" s="7"/>
      <c r="I22" s="5"/>
      <c r="J22" s="5"/>
      <c r="K22" s="5"/>
      <c r="L22" s="5"/>
      <c r="M22" s="5"/>
      <c r="N22" s="5"/>
    </row>
    <row r="23">
      <c r="F23" s="5"/>
      <c r="G23" s="8"/>
      <c r="H23" s="9"/>
      <c r="I23" s="5"/>
      <c r="J23" s="5"/>
      <c r="K23" s="10"/>
      <c r="L23" s="10"/>
      <c r="M23" s="10"/>
      <c r="N23" s="5"/>
    </row>
    <row r="24">
      <c r="F24" s="5"/>
      <c r="G24" s="6"/>
      <c r="H24" s="7"/>
      <c r="I24" s="5"/>
      <c r="J24" s="5"/>
      <c r="K24" s="10"/>
      <c r="L24" s="10"/>
      <c r="M24" s="10"/>
      <c r="N24" s="5"/>
    </row>
    <row r="25">
      <c r="F25" s="5"/>
      <c r="G25" s="6"/>
      <c r="H25" s="7"/>
      <c r="I25" s="5"/>
      <c r="J25" s="5"/>
      <c r="K25" s="10"/>
      <c r="L25" s="10"/>
      <c r="M25" s="10"/>
      <c r="N25" s="5"/>
    </row>
    <row r="26">
      <c r="F26" s="5"/>
      <c r="G26" s="6"/>
      <c r="H26" s="7"/>
      <c r="I26" s="5"/>
      <c r="J26" s="5"/>
      <c r="K26" s="5"/>
      <c r="L26" s="5"/>
      <c r="M26" s="5"/>
      <c r="N26" s="5"/>
    </row>
    <row r="27">
      <c r="F27" s="5"/>
      <c r="G27" s="6"/>
      <c r="H27" s="7"/>
      <c r="I27" s="5"/>
      <c r="J27" s="5"/>
      <c r="K27" s="11"/>
      <c r="L27" s="5"/>
      <c r="M27" s="5"/>
      <c r="N27" s="5"/>
    </row>
    <row r="28">
      <c r="F28" s="5"/>
      <c r="G28" s="6"/>
      <c r="H28" s="7"/>
      <c r="I28" s="5"/>
      <c r="J28" s="5"/>
      <c r="K28" s="5"/>
      <c r="L28" s="5"/>
      <c r="M28" s="5"/>
      <c r="N28" s="5"/>
    </row>
    <row r="29">
      <c r="F29" s="5"/>
      <c r="G29" s="6"/>
      <c r="H29" s="7"/>
      <c r="I29" s="5"/>
      <c r="J29" s="5"/>
      <c r="K29" s="12"/>
      <c r="L29" s="5"/>
      <c r="M29" s="5"/>
      <c r="N29" s="5"/>
    </row>
    <row r="30">
      <c r="F30" s="5"/>
      <c r="G30" s="13"/>
      <c r="H30" s="5"/>
      <c r="I30" s="5"/>
      <c r="J30" s="5"/>
      <c r="K30" s="14"/>
      <c r="L30" s="5"/>
      <c r="M30" s="5"/>
      <c r="N30" s="5"/>
    </row>
    <row r="31">
      <c r="F31" s="5"/>
      <c r="G31" s="15"/>
      <c r="H31" s="16"/>
      <c r="I31" s="17"/>
      <c r="J31" s="5"/>
      <c r="K31" s="5"/>
      <c r="L31" s="5"/>
      <c r="M31" s="5"/>
      <c r="N31" s="5"/>
    </row>
    <row r="32">
      <c r="F32" s="5"/>
      <c r="G32" s="5"/>
      <c r="H32" s="18"/>
      <c r="I32" s="5"/>
      <c r="J32" s="5"/>
      <c r="K32" s="5"/>
      <c r="L32" s="5"/>
      <c r="M32" s="5"/>
      <c r="N32" s="5"/>
    </row>
    <row r="33">
      <c r="F33" s="5"/>
      <c r="G33" s="5"/>
      <c r="H33" s="18"/>
      <c r="I33" s="5"/>
      <c r="J33" s="5"/>
      <c r="K33" s="5"/>
      <c r="L33" s="5"/>
      <c r="M33" s="5"/>
      <c r="N33" s="5"/>
    </row>
    <row r="34">
      <c r="F34" s="5"/>
      <c r="G34" s="5"/>
      <c r="H34" s="5"/>
      <c r="I34" s="5"/>
      <c r="J34" s="5"/>
      <c r="K34" s="5"/>
      <c r="L34" s="5"/>
      <c r="M34" s="5"/>
      <c r="N34" s="5"/>
    </row>
    <row r="35">
      <c r="F35" s="5"/>
      <c r="G35" s="5"/>
      <c r="H35" s="5"/>
      <c r="I35" s="5"/>
      <c r="J35" s="5"/>
      <c r="K35" s="5"/>
      <c r="L35" s="5"/>
      <c r="M35" s="5"/>
      <c r="N35" s="5"/>
    </row>
    <row r="36">
      <c r="F36" s="5"/>
      <c r="G36" s="5"/>
      <c r="H36" s="5"/>
      <c r="I36" s="5"/>
      <c r="J36" s="5"/>
      <c r="K36" s="5"/>
      <c r="L36" s="5"/>
      <c r="M36" s="5"/>
      <c r="N36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40.71"/>
    <col customWidth="1" min="2" max="2" width="33.0"/>
    <col customWidth="1" min="3" max="3" width="7.14"/>
    <col customWidth="1" min="4" max="4" width="38.86"/>
    <col customWidth="1" min="5" max="5" width="12.43"/>
    <col customWidth="1" min="6" max="6" width="47.29"/>
    <col customWidth="1" min="7" max="7" width="47.86"/>
  </cols>
  <sheetData>
    <row r="1">
      <c r="A1" s="19" t="str">
        <f>IFERROR(__xludf.DUMMYFUNCTION("importrange(""https://docs.google.com/spreadsheets/d/1eH8-gftbnAdsw6PdAbtFawwz0L1_m-WtH0v-Bqus9kc/edit#gid=589155845"",""INFO!f1:g2000"")"),"UNIDAD MAYOR (NUEVA_ESTR)")</f>
        <v>UNIDAD MAYOR (NUEVA_ESTR)</v>
      </c>
      <c r="B1" s="19" t="str">
        <f>IFERROR(__xludf.DUMMYFUNCTION("""COMPUTED_VALUE"""),"PRESENTACION (ESPACIO AL FINAL)")</f>
        <v>PRESENTACION (ESPACIO AL FINAL)</v>
      </c>
      <c r="C1" s="20" t="str">
        <f>IFERROR(__xludf.DUMMYFUNCTION("importrange(""https://docs.google.com/spreadsheets/d/1eH8-gftbnAdsw6PdAbtFawwz0L1_m-WtH0v-Bqus9kc/edit#gid=589155845"",""INFO!b1:e2000"")"),"CATEGORIA")</f>
        <v>CATEGORIA</v>
      </c>
      <c r="D1" s="20" t="str">
        <f>IFERROR(__xludf.DUMMYFUNCTION("""COMPUTED_VALUE"""),"Nº C.C.")</f>
        <v>Nº C.C.</v>
      </c>
      <c r="E1" s="19" t="str">
        <f>IFERROR(__xludf.DUMMYFUNCTION("""COMPUTED_VALUE"""),"CENTRO DE COSTOS")</f>
        <v>CENTRO DE COSTOS</v>
      </c>
      <c r="F1" s="19" t="str">
        <f>IFERROR(__xludf.DUMMYFUNCTION("""COMPUTED_VALUE"""),"Nº U.M.  N.E.")</f>
        <v>Nº U.M.  N.E.</v>
      </c>
      <c r="G1" s="19" t="s">
        <v>128</v>
      </c>
      <c r="H1" s="19" t="s">
        <v>129</v>
      </c>
      <c r="I1" s="19" t="s">
        <v>130</v>
      </c>
      <c r="J1" s="19"/>
      <c r="K1" s="19"/>
      <c r="L1" s="19"/>
      <c r="M1" s="19"/>
    </row>
    <row r="2" ht="15.0" customHeight="1">
      <c r="A2" s="21" t="str">
        <f>IFERROR(__xludf.DUMMYFUNCTION("""COMPUTED_VALUE"""),"RECTORIA")</f>
        <v>RECTORIA</v>
      </c>
      <c r="B2" s="22" t="str">
        <f>IFERROR(__xludf.DUMMYFUNCTION("""COMPUTED_VALUE"""),"Abogado(a) Contraloria Universitaria")</f>
        <v>Abogado(a) Contraloria Universitaria</v>
      </c>
      <c r="C2" s="22" t="str">
        <f>IFERROR(__xludf.DUMMYFUNCTION("""COMPUTED_VALUE"""),"Ley de Incentivo al Retiro")</f>
        <v>Ley de Incentivo al Retiro</v>
      </c>
      <c r="D2" s="22">
        <f>IFERROR(__xludf.DUMMYFUNCTION("""COMPUTED_VALUE"""),1.0)</f>
        <v>1</v>
      </c>
      <c r="E2" s="23" t="str">
        <f>IFERROR(__xludf.DUMMYFUNCTION("""COMPUTED_VALUE"""),"RECTORIA")</f>
        <v>RECTORIA</v>
      </c>
      <c r="F2" s="23">
        <f>IFERROR(__xludf.DUMMYFUNCTION("""COMPUTED_VALUE"""),1.0)</f>
        <v>1</v>
      </c>
      <c r="G2" s="23" t="s">
        <v>131</v>
      </c>
      <c r="H2" s="23" t="s">
        <v>132</v>
      </c>
      <c r="I2" s="24"/>
    </row>
    <row r="3">
      <c r="A3" s="21" t="str">
        <f>IFERROR(__xludf.DUMMYFUNCTION("""COMPUTED_VALUE"""),"CONTRALORIA UNIVERSITARIA")</f>
        <v>CONTRALORIA UNIVERSITARIA</v>
      </c>
      <c r="B3" s="22" t="str">
        <f>IFERROR(__xludf.DUMMYFUNCTION("""COMPUTED_VALUE"""),"Abogado(a) Dirección Juridica")</f>
        <v>Abogado(a) Dirección Juridica</v>
      </c>
      <c r="C3" s="22" t="str">
        <f>IFERROR(__xludf.DUMMYFUNCTION("""COMPUTED_VALUE"""),"Reemplazo Simple")</f>
        <v>Reemplazo Simple</v>
      </c>
      <c r="D3" s="22">
        <f>IFERROR(__xludf.DUMMYFUNCTION("""COMPUTED_VALUE"""),2.0)</f>
        <v>2</v>
      </c>
      <c r="E3" s="23" t="str">
        <f>IFERROR(__xludf.DUMMYFUNCTION("""COMPUTED_VALUE"""),"CONTRALORIA UNIVERSITARIA")</f>
        <v>CONTRALORIA UNIVERSITARIA</v>
      </c>
      <c r="F3" s="23">
        <f>IFERROR(__xludf.DUMMYFUNCTION("""COMPUTED_VALUE"""),2.0)</f>
        <v>2</v>
      </c>
      <c r="G3" s="23" t="s">
        <v>133</v>
      </c>
      <c r="H3" s="23" t="s">
        <v>134</v>
      </c>
    </row>
    <row r="4">
      <c r="A4" s="21" t="str">
        <f>IFERROR(__xludf.DUMMYFUNCTION("""COMPUTED_VALUE"""),"PRORRECTORIA")</f>
        <v>PRORRECTORIA</v>
      </c>
      <c r="B4" s="22" t="str">
        <f>IFERROR(__xludf.DUMMYFUNCTION("""COMPUTED_VALUE"""),"Abogado(a) Vicerrectoría de Investigación")</f>
        <v>Abogado(a) Vicerrectoría de Investigación</v>
      </c>
      <c r="C4" s="22" t="str">
        <f>IFERROR(__xludf.DUMMYFUNCTION("""COMPUTED_VALUE"""),"Reconversión Puesto")</f>
        <v>Reconversión Puesto</v>
      </c>
      <c r="D4" s="22">
        <f>IFERROR(__xludf.DUMMYFUNCTION("""COMPUTED_VALUE"""),3.0)</f>
        <v>3</v>
      </c>
      <c r="E4" s="23" t="str">
        <f>IFERROR(__xludf.DUMMYFUNCTION("""COMPUTED_VALUE"""),"PRORRECTORIA")</f>
        <v>PRORRECTORIA</v>
      </c>
      <c r="F4" s="23">
        <f>IFERROR(__xludf.DUMMYFUNCTION("""COMPUTED_VALUE"""),3.0)</f>
        <v>3</v>
      </c>
      <c r="G4" s="23" t="s">
        <v>135</v>
      </c>
      <c r="H4" s="23" t="s">
        <v>136</v>
      </c>
    </row>
    <row r="5">
      <c r="A5" s="21" t="str">
        <f>IFERROR(__xludf.DUMMYFUNCTION("""COMPUTED_VALUE"""),"SECRETARIA GENERAL")</f>
        <v>SECRETARIA GENERAL</v>
      </c>
      <c r="B5" s="22" t="str">
        <f>IFERROR(__xludf.DUMMYFUNCTION("""COMPUTED_VALUE"""),"Académico(a)")</f>
        <v>Académico(a)</v>
      </c>
      <c r="C5" s="22" t="str">
        <f>IFERROR(__xludf.DUMMYFUNCTION("""COMPUTED_VALUE"""),"Nueva Contratación")</f>
        <v>Nueva Contratación</v>
      </c>
      <c r="D5" s="22">
        <f>IFERROR(__xludf.DUMMYFUNCTION("""COMPUTED_VALUE"""),4.0)</f>
        <v>4</v>
      </c>
      <c r="E5" s="23" t="str">
        <f>IFERROR(__xludf.DUMMYFUNCTION("""COMPUTED_VALUE"""),"DIR. DE ASISTENCIA JURIDICA")</f>
        <v>DIR. DE ASISTENCIA JURIDICA</v>
      </c>
      <c r="F5" s="23">
        <f>IFERROR(__xludf.DUMMYFUNCTION("""COMPUTED_VALUE"""),5.0)</f>
        <v>5</v>
      </c>
      <c r="G5" s="23" t="s">
        <v>137</v>
      </c>
      <c r="H5" s="23" t="s">
        <v>138</v>
      </c>
    </row>
    <row r="6">
      <c r="A6" s="21" t="str">
        <f>IFERROR(__xludf.DUMMYFUNCTION("""COMPUTED_VALUE"""),"SECRETARIA GENERAL")</f>
        <v>SECRETARIA GENERAL</v>
      </c>
      <c r="B6" s="22" t="str">
        <f>IFERROR(__xludf.DUMMYFUNCTION("""COMPUTED_VALUE"""),"Administrativo(a) Especializado de Proyecto")</f>
        <v>Administrativo(a) Especializado de Proyecto</v>
      </c>
      <c r="C6" s="22" t="str">
        <f>IFERROR(__xludf.DUMMYFUNCTION("""COMPUTED_VALUE"""),"Regularización Contractual")</f>
        <v>Regularización Contractual</v>
      </c>
      <c r="D6" s="22">
        <f>IFERROR(__xludf.DUMMYFUNCTION("""COMPUTED_VALUE"""),5.0)</f>
        <v>5</v>
      </c>
      <c r="E6" s="23" t="str">
        <f>IFERROR(__xludf.DUMMYFUNCTION("""COMPUTED_VALUE"""),"SECRETARIA GENERAL")</f>
        <v>SECRETARIA GENERAL</v>
      </c>
      <c r="F6" s="23">
        <f>IFERROR(__xludf.DUMMYFUNCTION("""COMPUTED_VALUE"""),5.0)</f>
        <v>5</v>
      </c>
      <c r="G6" s="23" t="s">
        <v>139</v>
      </c>
      <c r="H6" s="23" t="s">
        <v>140</v>
      </c>
    </row>
    <row r="7">
      <c r="A7" s="21" t="str">
        <f>IFERROR(__xludf.DUMMYFUNCTION("""COMPUTED_VALUE"""),"VR. DE VINCULACION CON EL MEDIO")</f>
        <v>VR. DE VINCULACION CON EL MEDIO</v>
      </c>
      <c r="B7" s="22" t="str">
        <f>IFERROR(__xludf.DUMMYFUNCTION("""COMPUTED_VALUE"""),"Administrativo(a) de Registro Curricular")</f>
        <v>Administrativo(a) de Registro Curricular</v>
      </c>
      <c r="C7" s="22"/>
      <c r="D7" s="22">
        <f>IFERROR(__xludf.DUMMYFUNCTION("""COMPUTED_VALUE"""),6.0)</f>
        <v>6</v>
      </c>
      <c r="E7" s="23" t="str">
        <f>IFERROR(__xludf.DUMMYFUNCTION("""COMPUTED_VALUE"""),"DPTO. DE COMUNICACIONES")</f>
        <v>DPTO. DE COMUNICACIONES</v>
      </c>
      <c r="F7" s="23">
        <f>IFERROR(__xludf.DUMMYFUNCTION("""COMPUTED_VALUE"""),120.0)</f>
        <v>120</v>
      </c>
      <c r="G7" s="23" t="s">
        <v>141</v>
      </c>
      <c r="H7" s="23" t="s">
        <v>142</v>
      </c>
    </row>
    <row r="8">
      <c r="A8" s="21" t="str">
        <f>IFERROR(__xludf.DUMMYFUNCTION("""COMPUTED_VALUE"""),"VR. DE VINCULACION CON EL MEDIO")</f>
        <v>VR. DE VINCULACION CON EL MEDIO</v>
      </c>
      <c r="B8" s="22" t="str">
        <f>IFERROR(__xludf.DUMMYFUNCTION("""COMPUTED_VALUE"""),"Administrativo(a) de Activación y Seguimiento")</f>
        <v>Administrativo(a) de Activación y Seguimiento</v>
      </c>
      <c r="C8" s="22"/>
      <c r="D8" s="22">
        <f>IFERROR(__xludf.DUMMYFUNCTION("""COMPUTED_VALUE"""),7.0)</f>
        <v>7</v>
      </c>
      <c r="E8" s="23" t="str">
        <f>IFERROR(__xludf.DUMMYFUNCTION("""COMPUTED_VALUE"""),"UNIDAD DE RADIO")</f>
        <v>UNIDAD DE RADIO</v>
      </c>
      <c r="F8" s="23">
        <f>IFERROR(__xludf.DUMMYFUNCTION("""COMPUTED_VALUE"""),120.0)</f>
        <v>120</v>
      </c>
      <c r="G8" s="23" t="s">
        <v>143</v>
      </c>
      <c r="H8" s="23" t="s">
        <v>144</v>
      </c>
    </row>
    <row r="9">
      <c r="A9" s="21" t="str">
        <f>IFERROR(__xludf.DUMMYFUNCTION("""COMPUTED_VALUE"""),"VR. ACADEMICA")</f>
        <v>VR. ACADEMICA</v>
      </c>
      <c r="B9" s="22" t="str">
        <f>IFERROR(__xludf.DUMMYFUNCTION("""COMPUTED_VALUE"""),"Administrativo(a) de Recursos Humanos")</f>
        <v>Administrativo(a) de Recursos Humanos</v>
      </c>
      <c r="C9" s="22"/>
      <c r="D9" s="22">
        <f>IFERROR(__xludf.DUMMYFUNCTION("""COMPUTED_VALUE"""),8.0)</f>
        <v>8</v>
      </c>
      <c r="E9" s="23" t="str">
        <f>IFERROR(__xludf.DUMMYFUNCTION("""COMPUTED_VALUE"""),"INSTITUTO DE ESTUDIOS AVANZADO")</f>
        <v>INSTITUTO DE ESTUDIOS AVANZADO</v>
      </c>
      <c r="F9" s="23">
        <f>IFERROR(__xludf.DUMMYFUNCTION("""COMPUTED_VALUE"""),15.0)</f>
        <v>15</v>
      </c>
      <c r="G9" s="23" t="s">
        <v>145</v>
      </c>
      <c r="H9" s="23" t="s">
        <v>146</v>
      </c>
    </row>
    <row r="10">
      <c r="A10" s="21" t="str">
        <f>IFERROR(__xludf.DUMMYFUNCTION("""COMPUTED_VALUE"""),"PRORRECTORIA")</f>
        <v>PRORRECTORIA</v>
      </c>
      <c r="B10" s="22" t="str">
        <f>IFERROR(__xludf.DUMMYFUNCTION("""COMPUTED_VALUE"""),"Administrativo(a) de Registro Académico")</f>
        <v>Administrativo(a) de Registro Académico</v>
      </c>
      <c r="C10" s="22"/>
      <c r="D10" s="22">
        <f>IFERROR(__xludf.DUMMYFUNCTION("""COMPUTED_VALUE"""),9.0)</f>
        <v>9</v>
      </c>
      <c r="E10" s="23" t="str">
        <f>IFERROR(__xludf.DUMMYFUNCTION("""COMPUTED_VALUE"""),"ADM.GRAL. FONDO SOLIDARIO CRED")</f>
        <v>ADM.GRAL. FONDO SOLIDARIO CRED</v>
      </c>
      <c r="F10" s="23">
        <f>IFERROR(__xludf.DUMMYFUNCTION("""COMPUTED_VALUE"""),3.0)</f>
        <v>3</v>
      </c>
      <c r="G10" s="23" t="s">
        <v>147</v>
      </c>
      <c r="H10" s="23" t="s">
        <v>148</v>
      </c>
    </row>
    <row r="11">
      <c r="A11" s="21" t="str">
        <f>IFERROR(__xludf.DUMMYFUNCTION("""COMPUTED_VALUE"""),"ADMINISTRACION CENTRALIZADA")</f>
        <v>ADMINISTRACION CENTRALIZADA</v>
      </c>
      <c r="B11" s="22" t="str">
        <f>IFERROR(__xludf.DUMMYFUNCTION("""COMPUTED_VALUE"""),"Administrativo(a) de Registro Académico UNICIT")</f>
        <v>Administrativo(a) de Registro Académico UNICIT</v>
      </c>
      <c r="C11" s="22"/>
      <c r="D11" s="22">
        <f>IFERROR(__xludf.DUMMYFUNCTION("""COMPUTED_VALUE"""),10.0)</f>
        <v>10</v>
      </c>
      <c r="E11" s="23" t="str">
        <f>IFERROR(__xludf.DUMMYFUNCTION("""COMPUTED_VALUE"""),"ADMINISTRACION CENTRALIZADA")</f>
        <v>ADMINISTRACION CENTRALIZADA</v>
      </c>
      <c r="F11" s="23">
        <f>IFERROR(__xludf.DUMMYFUNCTION("""COMPUTED_VALUE"""),10.0)</f>
        <v>10</v>
      </c>
      <c r="G11" s="23" t="s">
        <v>149</v>
      </c>
      <c r="H11" s="23" t="s">
        <v>150</v>
      </c>
    </row>
    <row r="12">
      <c r="A12" s="21" t="str">
        <f>IFERROR(__xludf.DUMMYFUNCTION("""COMPUTED_VALUE"""),"VR. DE INVEST. DESARR E INNOVACION")</f>
        <v>VR. DE INVEST. DESARR E INNOVACION</v>
      </c>
      <c r="B12" s="22" t="str">
        <f>IFERROR(__xludf.DUMMYFUNCTION("""COMPUTED_VALUE"""),"Técnico(a) de Remuneraciones")</f>
        <v>Técnico(a) de Remuneraciones</v>
      </c>
      <c r="C12" s="22"/>
      <c r="D12" s="22">
        <f>IFERROR(__xludf.DUMMYFUNCTION("""COMPUTED_VALUE"""),11.0)</f>
        <v>11</v>
      </c>
      <c r="E12" s="23" t="str">
        <f>IFERROR(__xludf.DUMMYFUNCTION("""COMPUTED_VALUE"""),"VR. DE INVEST. DESARR E INNOVACION")</f>
        <v>VR. DE INVEST. DESARR E INNOVACION</v>
      </c>
      <c r="F12" s="23">
        <f>IFERROR(__xludf.DUMMYFUNCTION("""COMPUTED_VALUE"""),11.0)</f>
        <v>11</v>
      </c>
      <c r="G12" s="23" t="s">
        <v>151</v>
      </c>
      <c r="H12" s="23" t="s">
        <v>152</v>
      </c>
    </row>
    <row r="13">
      <c r="A13" s="21" t="str">
        <f>IFERROR(__xludf.DUMMYFUNCTION("""COMPUTED_VALUE"""),"PRORRECTORIA")</f>
        <v>PRORRECTORIA</v>
      </c>
      <c r="B13" s="22" t="str">
        <f>IFERROR(__xludf.DUMMYFUNCTION("""COMPUTED_VALUE"""),"Técnico(a) de Personal")</f>
        <v>Técnico(a) de Personal</v>
      </c>
      <c r="C13" s="22"/>
      <c r="D13" s="22">
        <f>IFERROR(__xludf.DUMMYFUNCTION("""COMPUTED_VALUE"""),12.0)</f>
        <v>12</v>
      </c>
      <c r="E13" s="23" t="str">
        <f>IFERROR(__xludf.DUMMYFUNCTION("""COMPUTED_VALUE"""),"DPTO. DE ESTUDIOS")</f>
        <v>DPTO. DE ESTUDIOS</v>
      </c>
      <c r="F13" s="23">
        <f>IFERROR(__xludf.DUMMYFUNCTION("""COMPUTED_VALUE"""),3.0)</f>
        <v>3</v>
      </c>
      <c r="G13" s="23" t="s">
        <v>153</v>
      </c>
      <c r="H13" s="23" t="s">
        <v>154</v>
      </c>
    </row>
    <row r="14">
      <c r="A14" s="21" t="str">
        <f>IFERROR(__xludf.DUMMYFUNCTION("""COMPUTED_VALUE"""),"PRORRECTORIA")</f>
        <v>PRORRECTORIA</v>
      </c>
      <c r="B14" s="22" t="str">
        <f>IFERROR(__xludf.DUMMYFUNCTION("""COMPUTED_VALUE"""),"Administrador(a) de Sistemas")</f>
        <v>Administrador(a) de Sistemas</v>
      </c>
      <c r="C14" s="22"/>
      <c r="D14" s="22">
        <f>IFERROR(__xludf.DUMMYFUNCTION("""COMPUTED_VALUE"""),13.0)</f>
        <v>13</v>
      </c>
      <c r="E14" s="23" t="str">
        <f>IFERROR(__xludf.DUMMYFUNCTION("""COMPUTED_VALUE"""),"DPTO. DE CALIDAD Y ACREDITACION")</f>
        <v>DPTO. DE CALIDAD Y ACREDITACION</v>
      </c>
      <c r="F14" s="23">
        <f>IFERROR(__xludf.DUMMYFUNCTION("""COMPUTED_VALUE"""),3.0)</f>
        <v>3</v>
      </c>
      <c r="G14" s="23" t="s">
        <v>155</v>
      </c>
      <c r="H14" s="23" t="s">
        <v>156</v>
      </c>
    </row>
    <row r="15">
      <c r="A15" s="21" t="str">
        <f>IFERROR(__xludf.DUMMYFUNCTION("""COMPUTED_VALUE"""),"VR. DE INVEST. DESARR E INNOVACION")</f>
        <v>VR. DE INVEST. DESARR E INNOVACION</v>
      </c>
      <c r="B15" s="22" t="str">
        <f>IFERROR(__xludf.DUMMYFUNCTION("""COMPUTED_VALUE"""),"Administrador(a) de Sistemas UNICIT")</f>
        <v>Administrador(a) de Sistemas UNICIT</v>
      </c>
      <c r="C15" s="22"/>
      <c r="D15" s="22">
        <f>IFERROR(__xludf.DUMMYFUNCTION("""COMPUTED_VALUE"""),14.0)</f>
        <v>14</v>
      </c>
      <c r="E15" s="23" t="str">
        <f>IFERROR(__xludf.DUMMYFUNCTION("""COMPUTED_VALUE"""),"CECTA")</f>
        <v>CECTA</v>
      </c>
      <c r="F15" s="23">
        <f>IFERROR(__xludf.DUMMYFUNCTION("""COMPUTED_VALUE"""),11.0)</f>
        <v>11</v>
      </c>
      <c r="G15" s="23" t="s">
        <v>157</v>
      </c>
      <c r="H15" s="23" t="s">
        <v>158</v>
      </c>
    </row>
    <row r="16">
      <c r="A16" s="21" t="str">
        <f>IFERROR(__xludf.DUMMYFUNCTION("""COMPUTED_VALUE"""),"VR. ACADEMICA")</f>
        <v>VR. ACADEMICA</v>
      </c>
      <c r="B16" s="22" t="str">
        <f>IFERROR(__xludf.DUMMYFUNCTION("""COMPUTED_VALUE"""),"Administrativo(a) Especializado PeopleSoft")</f>
        <v>Administrativo(a) Especializado PeopleSoft</v>
      </c>
      <c r="C16" s="22"/>
      <c r="D16" s="22">
        <f>IFERROR(__xludf.DUMMYFUNCTION("""COMPUTED_VALUE"""),15.0)</f>
        <v>15</v>
      </c>
      <c r="E16" s="23" t="str">
        <f>IFERROR(__xludf.DUMMYFUNCTION("""COMPUTED_VALUE"""),"VR. ACADEMICA")</f>
        <v>VR. ACADEMICA</v>
      </c>
      <c r="F16" s="23">
        <f>IFERROR(__xludf.DUMMYFUNCTION("""COMPUTED_VALUE"""),15.0)</f>
        <v>15</v>
      </c>
      <c r="G16" s="23" t="s">
        <v>159</v>
      </c>
      <c r="H16" s="23" t="s">
        <v>160</v>
      </c>
    </row>
    <row r="17">
      <c r="A17" s="21" t="str">
        <f>IFERROR(__xludf.DUMMYFUNCTION("""COMPUTED_VALUE"""),"VR. DE INVEST. DESARR E INNOVACION")</f>
        <v>VR. DE INVEST. DESARR E INNOVACION</v>
      </c>
      <c r="B17" s="22" t="str">
        <f>IFERROR(__xludf.DUMMYFUNCTION("""COMPUTED_VALUE"""),"Administrativo(a) Gestión de Proyectos")</f>
        <v>Administrativo(a) Gestión de Proyectos</v>
      </c>
      <c r="C17" s="22"/>
      <c r="D17" s="22">
        <f>IFERROR(__xludf.DUMMYFUNCTION("""COMPUTED_VALUE"""),16.0)</f>
        <v>16</v>
      </c>
      <c r="E17" s="23" t="str">
        <f>IFERROR(__xludf.DUMMYFUNCTION("""COMPUTED_VALUE"""),"DPTO. DE INVEST. CIENTIFICA")</f>
        <v>DPTO. DE INVEST. CIENTIFICA</v>
      </c>
      <c r="F17" s="23">
        <f>IFERROR(__xludf.DUMMYFUNCTION("""COMPUTED_VALUE"""),11.0)</f>
        <v>11</v>
      </c>
      <c r="G17" s="23" t="s">
        <v>161</v>
      </c>
      <c r="H17" s="23" t="s">
        <v>162</v>
      </c>
    </row>
    <row r="18">
      <c r="A18" s="21" t="str">
        <f>IFERROR(__xludf.DUMMYFUNCTION("""COMPUTED_VALUE"""),"VR. ACADEMICA")</f>
        <v>VR. ACADEMICA</v>
      </c>
      <c r="B18" s="22" t="str">
        <f>IFERROR(__xludf.DUMMYFUNCTION("""COMPUTED_VALUE"""),"Administrativo(a) Contable")</f>
        <v>Administrativo(a) Contable</v>
      </c>
      <c r="C18" s="22"/>
      <c r="D18" s="22">
        <f>IFERROR(__xludf.DUMMYFUNCTION("""COMPUTED_VALUE"""),17.0)</f>
        <v>17</v>
      </c>
      <c r="E18" s="23" t="str">
        <f>IFERROR(__xludf.DUMMYFUNCTION("""COMPUTED_VALUE"""),"UNIDAD DE BIBLIOTECAS")</f>
        <v>UNIDAD DE BIBLIOTECAS</v>
      </c>
      <c r="F18" s="23">
        <f>IFERROR(__xludf.DUMMYFUNCTION("""COMPUTED_VALUE"""),15.0)</f>
        <v>15</v>
      </c>
      <c r="G18" s="23" t="s">
        <v>163</v>
      </c>
      <c r="H18" s="23" t="s">
        <v>164</v>
      </c>
    </row>
    <row r="19">
      <c r="A19" s="21" t="str">
        <f>IFERROR(__xludf.DUMMYFUNCTION("""COMPUTED_VALUE"""),"VR. ACADEMICA")</f>
        <v>VR. ACADEMICA</v>
      </c>
      <c r="B19" s="22" t="str">
        <f>IFERROR(__xludf.DUMMYFUNCTION("""COMPUTED_VALUE"""),"Administrativo(a) de Apoyo")</f>
        <v>Administrativo(a) de Apoyo</v>
      </c>
      <c r="C19" s="22"/>
      <c r="D19" s="22">
        <f>IFERROR(__xludf.DUMMYFUNCTION("""COMPUTED_VALUE"""),18.0)</f>
        <v>18</v>
      </c>
      <c r="E19" s="23" t="str">
        <f>IFERROR(__xludf.DUMMYFUNCTION("""COMPUTED_VALUE"""),"UNIDAD DE REGISTRO ACADEMICO Y CURRICULAR")</f>
        <v>UNIDAD DE REGISTRO ACADEMICO Y CURRICULAR</v>
      </c>
      <c r="F19" s="23">
        <f>IFERROR(__xludf.DUMMYFUNCTION("""COMPUTED_VALUE"""),15.0)</f>
        <v>15</v>
      </c>
      <c r="G19" s="23" t="s">
        <v>165</v>
      </c>
      <c r="H19" s="23" t="s">
        <v>166</v>
      </c>
    </row>
    <row r="20">
      <c r="A20" s="21" t="str">
        <f>IFERROR(__xludf.DUMMYFUNCTION("""COMPUTED_VALUE"""),"PRORRECTORIA")</f>
        <v>PRORRECTORIA</v>
      </c>
      <c r="B20" s="22" t="str">
        <f>IFERROR(__xludf.DUMMYFUNCTION("""COMPUTED_VALUE"""),"Administrativo(a) de Apoyo UNICIT")</f>
        <v>Administrativo(a) de Apoyo UNICIT</v>
      </c>
      <c r="C20" s="22"/>
      <c r="D20" s="22">
        <f>IFERROR(__xludf.DUMMYFUNCTION("""COMPUTED_VALUE"""),21.0)</f>
        <v>21</v>
      </c>
      <c r="E20" s="23" t="str">
        <f>IFERROR(__xludf.DUMMYFUNCTION("""COMPUTED_VALUE"""),"DPTO. DE PLANFIC PRESUPUESTARIA")</f>
        <v>DPTO. DE PLANFIC PRESUPUESTARIA</v>
      </c>
      <c r="F20" s="23">
        <f>IFERROR(__xludf.DUMMYFUNCTION("""COMPUTED_VALUE"""),3.0)</f>
        <v>3</v>
      </c>
      <c r="G20" s="23" t="s">
        <v>167</v>
      </c>
      <c r="H20" s="23" t="s">
        <v>168</v>
      </c>
    </row>
    <row r="21">
      <c r="A21" s="21" t="str">
        <f>IFERROR(__xludf.DUMMYFUNCTION("""COMPUTED_VALUE"""),"VR. DE APOYO AL ESTUDIANTE")</f>
        <v>VR. DE APOYO AL ESTUDIANTE</v>
      </c>
      <c r="B21" s="22" t="str">
        <f>IFERROR(__xludf.DUMMYFUNCTION("""COMPUTED_VALUE"""),"Administrativo(a) de Cobranzas")</f>
        <v>Administrativo(a) de Cobranzas</v>
      </c>
      <c r="C21" s="22"/>
      <c r="D21" s="22">
        <f>IFERROR(__xludf.DUMMYFUNCTION("""COMPUTED_VALUE"""),22.0)</f>
        <v>22</v>
      </c>
      <c r="E21" s="23" t="str">
        <f>IFERROR(__xludf.DUMMYFUNCTION("""COMPUTED_VALUE"""),"VR. DE APOYO AL ESTUDIANTE")</f>
        <v>VR. DE APOYO AL ESTUDIANTE</v>
      </c>
      <c r="F21" s="23">
        <f>IFERROR(__xludf.DUMMYFUNCTION("""COMPUTED_VALUE"""),22.0)</f>
        <v>22</v>
      </c>
      <c r="G21" s="23" t="s">
        <v>169</v>
      </c>
      <c r="H21" s="23" t="s">
        <v>170</v>
      </c>
    </row>
    <row r="22">
      <c r="A22" s="21" t="str">
        <f>IFERROR(__xludf.DUMMYFUNCTION("""COMPUTED_VALUE"""),"VR. DE APOYO AL ESTUDIANTE")</f>
        <v>VR. DE APOYO AL ESTUDIANTE</v>
      </c>
      <c r="B22" s="22" t="str">
        <f>IFERROR(__xludf.DUMMYFUNCTION("""COMPUTED_VALUE"""),"Administrativo(a) de Compras")</f>
        <v>Administrativo(a) de Compras</v>
      </c>
      <c r="C22" s="22"/>
      <c r="D22" s="22">
        <f>IFERROR(__xludf.DUMMYFUNCTION("""COMPUTED_VALUE"""),23.0)</f>
        <v>23</v>
      </c>
      <c r="E22" s="23" t="str">
        <f>IFERROR(__xludf.DUMMYFUNCTION("""COMPUTED_VALUE"""),"UNIDAD DE VOCACION ARTISTICA")</f>
        <v>UNIDAD DE VOCACION ARTISTICA</v>
      </c>
      <c r="F22" s="23">
        <f>IFERROR(__xludf.DUMMYFUNCTION("""COMPUTED_VALUE"""),22.0)</f>
        <v>22</v>
      </c>
      <c r="G22" s="23" t="s">
        <v>171</v>
      </c>
      <c r="H22" s="23" t="s">
        <v>172</v>
      </c>
    </row>
    <row r="23">
      <c r="A23" s="21" t="str">
        <f>IFERROR(__xludf.DUMMYFUNCTION("""COMPUTED_VALUE"""),"VR. DE APOYO AL ESTUDIANTE")</f>
        <v>VR. DE APOYO AL ESTUDIANTE</v>
      </c>
      <c r="B23" s="22" t="str">
        <f>IFERROR(__xludf.DUMMYFUNCTION("""COMPUTED_VALUE"""),"Administrativo(a) de Proceso")</f>
        <v>Administrativo(a) de Proceso</v>
      </c>
      <c r="C23" s="22"/>
      <c r="D23" s="22">
        <f>IFERROR(__xludf.DUMMYFUNCTION("""COMPUTED_VALUE"""),24.0)</f>
        <v>24</v>
      </c>
      <c r="E23" s="23" t="str">
        <f>IFERROR(__xludf.DUMMYFUNCTION("""COMPUTED_VALUE"""),"DPTO. DE BENEFICIOS ESTUDIANTILE")</f>
        <v>DPTO. DE BENEFICIOS ESTUDIANTILE</v>
      </c>
      <c r="F23" s="23">
        <f>IFERROR(__xludf.DUMMYFUNCTION("""COMPUTED_VALUE"""),22.0)</f>
        <v>22</v>
      </c>
      <c r="G23" s="23" t="s">
        <v>173</v>
      </c>
      <c r="H23" s="23" t="s">
        <v>174</v>
      </c>
    </row>
    <row r="24">
      <c r="A24" s="21" t="str">
        <f>IFERROR(__xludf.DUMMYFUNCTION("""COMPUTED_VALUE"""),"VR. DE VINCULACION CON EL MEDIO")</f>
        <v>VR. DE VINCULACION CON EL MEDIO</v>
      </c>
      <c r="B24" s="22" t="str">
        <f>IFERROR(__xludf.DUMMYFUNCTION("""COMPUTED_VALUE"""),"Administrativo(a) Especializado")</f>
        <v>Administrativo(a) Especializado</v>
      </c>
      <c r="C24" s="22"/>
      <c r="D24" s="22">
        <f>IFERROR(__xludf.DUMMYFUNCTION("""COMPUTED_VALUE"""),25.0)</f>
        <v>25</v>
      </c>
      <c r="E24" s="23" t="str">
        <f>IFERROR(__xludf.DUMMYFUNCTION("""COMPUTED_VALUE"""),"DPTO. DE EXTENSION")</f>
        <v>DPTO. DE EXTENSION</v>
      </c>
      <c r="F24" s="23">
        <f>IFERROR(__xludf.DUMMYFUNCTION("""COMPUTED_VALUE"""),120.0)</f>
        <v>120</v>
      </c>
      <c r="G24" s="23" t="s">
        <v>175</v>
      </c>
      <c r="H24" s="23" t="s">
        <v>176</v>
      </c>
    </row>
    <row r="25">
      <c r="A25" s="21" t="str">
        <f>IFERROR(__xludf.DUMMYFUNCTION("""COMPUTED_VALUE"""),"VR. DE APOYO AL ESTUDIANTE")</f>
        <v>VR. DE APOYO AL ESTUDIANTE</v>
      </c>
      <c r="B25" s="22" t="str">
        <f>IFERROR(__xludf.DUMMYFUNCTION("""COMPUTED_VALUE"""),"Administrativo(a) Especializado UNICIT")</f>
        <v>Administrativo(a) Especializado UNICIT</v>
      </c>
      <c r="C25" s="22"/>
      <c r="D25" s="22">
        <f>IFERROR(__xludf.DUMMYFUNCTION("""COMPUTED_VALUE"""),26.0)</f>
        <v>26</v>
      </c>
      <c r="E25" s="23" t="str">
        <f>IFERROR(__xludf.DUMMYFUNCTION("""COMPUTED_VALUE"""),"DPTO. DE DEPORTES")</f>
        <v>DPTO. DE DEPORTES</v>
      </c>
      <c r="F25" s="23">
        <f>IFERROR(__xludf.DUMMYFUNCTION("""COMPUTED_VALUE"""),22.0)</f>
        <v>22</v>
      </c>
      <c r="G25" s="23" t="s">
        <v>177</v>
      </c>
      <c r="H25" s="23"/>
    </row>
    <row r="26">
      <c r="A26" s="21" t="str">
        <f>IFERROR(__xludf.DUMMYFUNCTION("""COMPUTED_VALUE"""),"VR. DE APOYO AL ESTUDIANTE")</f>
        <v>VR. DE APOYO AL ESTUDIANTE</v>
      </c>
      <c r="B26" s="22" t="str">
        <f>IFERROR(__xludf.DUMMYFUNCTION("""COMPUTED_VALUE"""),"Administrativo(a) OIRS")</f>
        <v>Administrativo(a) OIRS</v>
      </c>
      <c r="C26" s="22"/>
      <c r="D26" s="22">
        <f>IFERROR(__xludf.DUMMYFUNCTION("""COMPUTED_VALUE"""),27.0)</f>
        <v>27</v>
      </c>
      <c r="E26" s="23" t="str">
        <f>IFERROR(__xludf.DUMMYFUNCTION("""COMPUTED_VALUE"""),"UNIDAD DE ATENCION DE SALUD")</f>
        <v>UNIDAD DE ATENCION DE SALUD</v>
      </c>
      <c r="F26" s="23">
        <f>IFERROR(__xludf.DUMMYFUNCTION("""COMPUTED_VALUE"""),22.0)</f>
        <v>22</v>
      </c>
      <c r="G26" s="23" t="s">
        <v>178</v>
      </c>
      <c r="H26" s="23"/>
    </row>
    <row r="27">
      <c r="A27" s="21" t="str">
        <f>IFERROR(__xludf.DUMMYFUNCTION("""COMPUTED_VALUE"""),"VR. DE APOYO AL ESTUDIANTE")</f>
        <v>VR. DE APOYO AL ESTUDIANTE</v>
      </c>
      <c r="B27" s="22" t="str">
        <f>IFERROR(__xludf.DUMMYFUNCTION("""COMPUTED_VALUE"""),"Analista de Apoyo a la Docencia")</f>
        <v>Analista de Apoyo a la Docencia</v>
      </c>
      <c r="C27" s="22"/>
      <c r="D27" s="22">
        <f>IFERROR(__xludf.DUMMYFUNCTION("""COMPUTED_VALUE"""),28.0)</f>
        <v>28</v>
      </c>
      <c r="E27" s="23" t="str">
        <f>IFERROR(__xludf.DUMMYFUNCTION("""COMPUTED_VALUE"""),"FEDERACION DE ESTUDIANTES")</f>
        <v>FEDERACION DE ESTUDIANTES</v>
      </c>
      <c r="F27" s="23">
        <f>IFERROR(__xludf.DUMMYFUNCTION("""COMPUTED_VALUE"""),22.0)</f>
        <v>22</v>
      </c>
      <c r="G27" s="23" t="s">
        <v>179</v>
      </c>
      <c r="H27" s="23"/>
    </row>
    <row r="28">
      <c r="A28" s="21" t="str">
        <f>IFERROR(__xludf.DUMMYFUNCTION("""COMPUTED_VALUE"""),"VR. ACADEMICA")</f>
        <v>VR. ACADEMICA</v>
      </c>
      <c r="B28" s="22" t="str">
        <f>IFERROR(__xludf.DUMMYFUNCTION("""COMPUTED_VALUE"""),"Analista de Base de Datos")</f>
        <v>Analista de Base de Datos</v>
      </c>
      <c r="C28" s="22"/>
      <c r="D28" s="22">
        <f>IFERROR(__xludf.DUMMYFUNCTION("""COMPUTED_VALUE"""),29.0)</f>
        <v>29</v>
      </c>
      <c r="E28" s="23" t="str">
        <f>IFERROR(__xludf.DUMMYFUNCTION("""COMPUTED_VALUE"""),"CITECAMP")</f>
        <v>CITECAMP</v>
      </c>
      <c r="F28" s="23">
        <f>IFERROR(__xludf.DUMMYFUNCTION("""COMPUTED_VALUE"""),15.0)</f>
        <v>15</v>
      </c>
      <c r="G28" s="23" t="s">
        <v>180</v>
      </c>
      <c r="H28" s="23"/>
    </row>
    <row r="29">
      <c r="A29" s="21" t="str">
        <f>IFERROR(__xludf.DUMMYFUNCTION("""COMPUTED_VALUE"""),"PRORRECTORIA")</f>
        <v>PRORRECTORIA</v>
      </c>
      <c r="B29" s="22" t="str">
        <f>IFERROR(__xludf.DUMMYFUNCTION("""COMPUTED_VALUE"""),"Analista Contable I")</f>
        <v>Analista Contable I</v>
      </c>
      <c r="C29" s="22"/>
      <c r="D29" s="22">
        <f>IFERROR(__xludf.DUMMYFUNCTION("""COMPUTED_VALUE"""),30.0)</f>
        <v>30</v>
      </c>
      <c r="E29" s="23" t="str">
        <f>IFERROR(__xludf.DUMMYFUNCTION("""COMPUTED_VALUE"""),"DIR. DE ADM. Y FINANZAS")</f>
        <v>DIR. DE ADM. Y FINANZAS</v>
      </c>
      <c r="F29" s="23">
        <f>IFERROR(__xludf.DUMMYFUNCTION("""COMPUTED_VALUE"""),3.0)</f>
        <v>3</v>
      </c>
      <c r="G29" s="23" t="s">
        <v>181</v>
      </c>
      <c r="H29" s="23"/>
    </row>
    <row r="30">
      <c r="A30" s="21" t="str">
        <f>IFERROR(__xludf.DUMMYFUNCTION("""COMPUTED_VALUE"""),"PRORRECTORIA")</f>
        <v>PRORRECTORIA</v>
      </c>
      <c r="B30" s="22" t="str">
        <f>IFERROR(__xludf.DUMMYFUNCTION("""COMPUTED_VALUE"""),"Analista Contable II")</f>
        <v>Analista Contable II</v>
      </c>
      <c r="C30" s="22"/>
      <c r="D30" s="22">
        <f>IFERROR(__xludf.DUMMYFUNCTION("""COMPUTED_VALUE"""),31.0)</f>
        <v>31</v>
      </c>
      <c r="E30" s="23" t="str">
        <f>IFERROR(__xludf.DUMMYFUNCTION("""COMPUTED_VALUE"""),"DPTO. DE FINANZAS Y TESORERIA")</f>
        <v>DPTO. DE FINANZAS Y TESORERIA</v>
      </c>
      <c r="F30" s="23">
        <f>IFERROR(__xludf.DUMMYFUNCTION("""COMPUTED_VALUE"""),3.0)</f>
        <v>3</v>
      </c>
      <c r="G30" s="23" t="s">
        <v>182</v>
      </c>
      <c r="H30" s="23"/>
    </row>
    <row r="31">
      <c r="A31" s="21" t="str">
        <f>IFERROR(__xludf.DUMMYFUNCTION("""COMPUTED_VALUE"""),"PRORRECTORIA")</f>
        <v>PRORRECTORIA</v>
      </c>
      <c r="B31" s="22" t="str">
        <f>IFERROR(__xludf.DUMMYFUNCTION("""COMPUTED_VALUE"""),"Analista de Acreditación")</f>
        <v>Analista de Acreditación</v>
      </c>
      <c r="C31" s="22"/>
      <c r="D31" s="22">
        <f>IFERROR(__xludf.DUMMYFUNCTION("""COMPUTED_VALUE"""),32.0)</f>
        <v>32</v>
      </c>
      <c r="E31" s="23" t="str">
        <f>IFERROR(__xludf.DUMMYFUNCTION("""COMPUTED_VALUE"""),"DPTO. DE DESARROLLO DE PERSONAS")</f>
        <v>DPTO. DE DESARROLLO DE PERSONAS</v>
      </c>
      <c r="F31" s="23">
        <f>IFERROR(__xludf.DUMMYFUNCTION("""COMPUTED_VALUE"""),3.0)</f>
        <v>3</v>
      </c>
      <c r="G31" s="23" t="s">
        <v>183</v>
      </c>
      <c r="H31" s="23"/>
    </row>
    <row r="32">
      <c r="A32" s="21" t="str">
        <f>IFERROR(__xludf.DUMMYFUNCTION("""COMPUTED_VALUE"""),"PRORRECTORIA")</f>
        <v>PRORRECTORIA</v>
      </c>
      <c r="B32" s="22" t="str">
        <f>IFERROR(__xludf.DUMMYFUNCTION("""COMPUTED_VALUE"""),"Analista de Calidad")</f>
        <v>Analista de Calidad</v>
      </c>
      <c r="C32" s="22"/>
      <c r="D32" s="22">
        <f>IFERROR(__xludf.DUMMYFUNCTION("""COMPUTED_VALUE"""),33.0)</f>
        <v>33</v>
      </c>
      <c r="E32" s="23" t="str">
        <f>IFERROR(__xludf.DUMMYFUNCTION("""COMPUTED_VALUE"""),"DPTO. DE RECURSOS HUMANOS")</f>
        <v>DPTO. DE RECURSOS HUMANOS</v>
      </c>
      <c r="F32" s="23">
        <f>IFERROR(__xludf.DUMMYFUNCTION("""COMPUTED_VALUE"""),3.0)</f>
        <v>3</v>
      </c>
      <c r="G32" s="23" t="s">
        <v>184</v>
      </c>
      <c r="H32" s="23"/>
    </row>
    <row r="33">
      <c r="A33" s="21" t="str">
        <f>IFERROR(__xludf.DUMMYFUNCTION("""COMPUTED_VALUE"""),"PRORRECTORIA")</f>
        <v>PRORRECTORIA</v>
      </c>
      <c r="B33" s="22" t="str">
        <f>IFERROR(__xludf.DUMMYFUNCTION("""COMPUTED_VALUE"""),"Analista de Educación Continua")</f>
        <v>Analista de Educación Continua</v>
      </c>
      <c r="C33" s="22"/>
      <c r="D33" s="22">
        <f>IFERROR(__xludf.DUMMYFUNCTION("""COMPUTED_VALUE"""),34.0)</f>
        <v>34</v>
      </c>
      <c r="E33" s="23" t="str">
        <f>IFERROR(__xludf.DUMMYFUNCTION("""COMPUTED_VALUE"""),"UNIDAD DE GESTION DEL CAMPUS")</f>
        <v>UNIDAD DE GESTION DEL CAMPUS</v>
      </c>
      <c r="F33" s="23">
        <f>IFERROR(__xludf.DUMMYFUNCTION("""COMPUTED_VALUE"""),3.0)</f>
        <v>3</v>
      </c>
      <c r="G33" s="23" t="s">
        <v>185</v>
      </c>
      <c r="H33" s="23"/>
    </row>
    <row r="34">
      <c r="A34" s="21" t="str">
        <f>IFERROR(__xludf.DUMMYFUNCTION("""COMPUTED_VALUE"""),"VR. DE APOYO AL ESTUDIANTE")</f>
        <v>VR. DE APOYO AL ESTUDIANTE</v>
      </c>
      <c r="B34" s="22" t="str">
        <f>IFERROR(__xludf.DUMMYFUNCTION("""COMPUTED_VALUE"""),"Analista de Estudios")</f>
        <v>Analista de Estudios</v>
      </c>
      <c r="C34" s="22"/>
      <c r="D34" s="22">
        <f>IFERROR(__xludf.DUMMYFUNCTION("""COMPUTED_VALUE"""),35.0)</f>
        <v>35</v>
      </c>
      <c r="E34" s="23" t="str">
        <f>IFERROR(__xludf.DUMMYFUNCTION("""COMPUTED_VALUE"""),"UNIDAD DE ADM. SERV. ALIMENTARIOS")</f>
        <v>UNIDAD DE ADM. SERV. ALIMENTARIOS</v>
      </c>
      <c r="F34" s="23">
        <f>IFERROR(__xludf.DUMMYFUNCTION("""COMPUTED_VALUE"""),22.0)</f>
        <v>22</v>
      </c>
      <c r="G34" s="23" t="s">
        <v>186</v>
      </c>
      <c r="H34" s="23"/>
    </row>
    <row r="35">
      <c r="A35" s="21" t="str">
        <f>IFERROR(__xludf.DUMMYFUNCTION("""COMPUTED_VALUE"""),"PRORRECTORIA")</f>
        <v>PRORRECTORIA</v>
      </c>
      <c r="B35" s="22" t="str">
        <f>IFERROR(__xludf.DUMMYFUNCTION("""COMPUTED_VALUE"""),"Analista de Gestión Administrativa")</f>
        <v>Analista de Gestión Administrativa</v>
      </c>
      <c r="C35" s="22"/>
      <c r="D35" s="22">
        <f>IFERROR(__xludf.DUMMYFUNCTION("""COMPUTED_VALUE"""),36.0)</f>
        <v>36</v>
      </c>
      <c r="E35" s="23" t="str">
        <f>IFERROR(__xludf.DUMMYFUNCTION("""COMPUTED_VALUE"""),"UNIDAD DE BIENESTAR DEL PERSONAL")</f>
        <v>UNIDAD DE BIENESTAR DEL PERSONAL</v>
      </c>
      <c r="F35" s="23">
        <f>IFERROR(__xludf.DUMMYFUNCTION("""COMPUTED_VALUE"""),3.0)</f>
        <v>3</v>
      </c>
      <c r="G35" s="23" t="s">
        <v>187</v>
      </c>
      <c r="H35" s="23"/>
    </row>
    <row r="36">
      <c r="A36" s="21" t="str">
        <f>IFERROR(__xludf.DUMMYFUNCTION("""COMPUTED_VALUE"""),"PRORRECTORIA")</f>
        <v>PRORRECTORIA</v>
      </c>
      <c r="B36" s="22" t="str">
        <f>IFERROR(__xludf.DUMMYFUNCTION("""COMPUTED_VALUE"""),"Analista de Gestión Administrativa UNICIT")</f>
        <v>Analista de Gestión Administrativa UNICIT</v>
      </c>
      <c r="C36" s="22"/>
      <c r="D36" s="22">
        <f>IFERROR(__xludf.DUMMYFUNCTION("""COMPUTED_VALUE"""),37.0)</f>
        <v>37</v>
      </c>
      <c r="E36" s="23" t="str">
        <f>IFERROR(__xludf.DUMMYFUNCTION("""COMPUTED_VALUE"""),"UNIDAD DE ADQUISICIONES")</f>
        <v>UNIDAD DE ADQUISICIONES</v>
      </c>
      <c r="F36" s="23">
        <f>IFERROR(__xludf.DUMMYFUNCTION("""COMPUTED_VALUE"""),3.0)</f>
        <v>3</v>
      </c>
      <c r="G36" s="23" t="s">
        <v>188</v>
      </c>
      <c r="H36" s="23"/>
    </row>
    <row r="37">
      <c r="A37" s="21" t="str">
        <f>IFERROR(__xludf.DUMMYFUNCTION("""COMPUTED_VALUE"""),"PRORRECTORIA")</f>
        <v>PRORRECTORIA</v>
      </c>
      <c r="B37" s="22" t="str">
        <f>IFERROR(__xludf.DUMMYFUNCTION("""COMPUTED_VALUE"""),"Analista de Gestión I")</f>
        <v>Analista de Gestión I</v>
      </c>
      <c r="C37" s="22"/>
      <c r="D37" s="22">
        <f>IFERROR(__xludf.DUMMYFUNCTION("""COMPUTED_VALUE"""),38.0)</f>
        <v>38</v>
      </c>
      <c r="E37" s="23" t="str">
        <f>IFERROR(__xludf.DUMMYFUNCTION("""COMPUTED_VALUE"""),"UNIDAD DE CONSTRUCCION")</f>
        <v>UNIDAD DE CONSTRUCCION</v>
      </c>
      <c r="F37" s="23">
        <f>IFERROR(__xludf.DUMMYFUNCTION("""COMPUTED_VALUE"""),3.0)</f>
        <v>3</v>
      </c>
      <c r="G37" s="23" t="s">
        <v>189</v>
      </c>
      <c r="H37" s="23"/>
    </row>
    <row r="38">
      <c r="A38" s="21" t="str">
        <f>IFERROR(__xludf.DUMMYFUNCTION("""COMPUTED_VALUE"""),"FACULTAD DE INGENIERIA")</f>
        <v>FACULTAD DE INGENIERIA</v>
      </c>
      <c r="B38" s="22" t="str">
        <f>IFERROR(__xludf.DUMMYFUNCTION("""COMPUTED_VALUE"""),"Analista de Gestión I UNICIT")</f>
        <v>Analista de Gestión I UNICIT</v>
      </c>
      <c r="C38" s="22"/>
      <c r="D38" s="22">
        <f>IFERROR(__xludf.DUMMYFUNCTION("""COMPUTED_VALUE"""),40.0)</f>
        <v>40</v>
      </c>
      <c r="E38" s="23" t="str">
        <f>IFERROR(__xludf.DUMMYFUNCTION("""COMPUTED_VALUE"""),"FACULTAD DE INGENIERIA")</f>
        <v>FACULTAD DE INGENIERIA</v>
      </c>
      <c r="F38" s="23">
        <f>IFERROR(__xludf.DUMMYFUNCTION("""COMPUTED_VALUE"""),40.0)</f>
        <v>40</v>
      </c>
      <c r="G38" s="23" t="s">
        <v>190</v>
      </c>
      <c r="H38" s="23"/>
    </row>
    <row r="39">
      <c r="A39" s="21" t="str">
        <f>IFERROR(__xludf.DUMMYFUNCTION("""COMPUTED_VALUE"""),"FACULTAD DE INGENIERIA")</f>
        <v>FACULTAD DE INGENIERIA</v>
      </c>
      <c r="B39" s="22" t="str">
        <f>IFERROR(__xludf.DUMMYFUNCTION("""COMPUTED_VALUE"""),"Analista de Gestión II")</f>
        <v>Analista de Gestión II</v>
      </c>
      <c r="C39" s="22"/>
      <c r="D39" s="22">
        <f>IFERROR(__xludf.DUMMYFUNCTION("""COMPUTED_VALUE"""),41.0)</f>
        <v>41</v>
      </c>
      <c r="E39" s="23" t="str">
        <f>IFERROR(__xludf.DUMMYFUNCTION("""COMPUTED_VALUE"""),"DPTO. DE INGENIERIA ELECTRICA")</f>
        <v>DPTO. DE INGENIERIA ELECTRICA</v>
      </c>
      <c r="F39" s="23">
        <f>IFERROR(__xludf.DUMMYFUNCTION("""COMPUTED_VALUE"""),40.0)</f>
        <v>40</v>
      </c>
      <c r="G39" s="23" t="s">
        <v>191</v>
      </c>
      <c r="H39" s="23"/>
    </row>
    <row r="40">
      <c r="A40" s="21" t="str">
        <f>IFERROR(__xludf.DUMMYFUNCTION("""COMPUTED_VALUE"""),"FACULTAD DE INGENIERIA")</f>
        <v>FACULTAD DE INGENIERIA</v>
      </c>
      <c r="B40" s="22" t="str">
        <f>IFERROR(__xludf.DUMMYFUNCTION("""COMPUTED_VALUE"""),"Analista de Gestión II UNICIT")</f>
        <v>Analista de Gestión II UNICIT</v>
      </c>
      <c r="C40" s="22"/>
      <c r="D40" s="22">
        <f>IFERROR(__xludf.DUMMYFUNCTION("""COMPUTED_VALUE"""),42.0)</f>
        <v>42</v>
      </c>
      <c r="E40" s="23" t="str">
        <f>IFERROR(__xludf.DUMMYFUNCTION("""COMPUTED_VALUE"""),"DPTO. DE INGENIERIA METALURGICA")</f>
        <v>DPTO. DE INGENIERIA METALURGICA</v>
      </c>
      <c r="F40" s="23">
        <f>IFERROR(__xludf.DUMMYFUNCTION("""COMPUTED_VALUE"""),40.0)</f>
        <v>40</v>
      </c>
      <c r="G40" s="23" t="s">
        <v>192</v>
      </c>
      <c r="H40" s="23"/>
    </row>
    <row r="41">
      <c r="A41" s="21" t="str">
        <f>IFERROR(__xludf.DUMMYFUNCTION("""COMPUTED_VALUE"""),"FACULTAD DE INGENIERIA")</f>
        <v>FACULTAD DE INGENIERIA</v>
      </c>
      <c r="B41" s="22" t="str">
        <f>IFERROR(__xludf.DUMMYFUNCTION("""COMPUTED_VALUE"""),"Analista de Gestión III UNICIT")</f>
        <v>Analista de Gestión III UNICIT</v>
      </c>
      <c r="C41" s="22"/>
      <c r="D41" s="22">
        <f>IFERROR(__xludf.DUMMYFUNCTION("""COMPUTED_VALUE"""),43.0)</f>
        <v>43</v>
      </c>
      <c r="E41" s="23" t="str">
        <f>IFERROR(__xludf.DUMMYFUNCTION("""COMPUTED_VALUE"""),"DPTO. DE INGENIERIA GEOGRAFICA")</f>
        <v>DPTO. DE INGENIERIA GEOGRAFICA</v>
      </c>
      <c r="F41" s="23">
        <f>IFERROR(__xludf.DUMMYFUNCTION("""COMPUTED_VALUE"""),40.0)</f>
        <v>40</v>
      </c>
      <c r="G41" s="23" t="s">
        <v>193</v>
      </c>
      <c r="H41" s="23"/>
    </row>
    <row r="42">
      <c r="A42" s="21" t="str">
        <f>IFERROR(__xludf.DUMMYFUNCTION("""COMPUTED_VALUE"""),"FACULTAD DE INGENIERIA")</f>
        <v>FACULTAD DE INGENIERIA</v>
      </c>
      <c r="B42" s="22" t="str">
        <f>IFERROR(__xludf.DUMMYFUNCTION("""COMPUTED_VALUE"""),"Analista de Gestión III")</f>
        <v>Analista de Gestión III</v>
      </c>
      <c r="C42" s="22"/>
      <c r="D42" s="22">
        <f>IFERROR(__xludf.DUMMYFUNCTION("""COMPUTED_VALUE"""),44.0)</f>
        <v>44</v>
      </c>
      <c r="E42" s="23" t="str">
        <f>IFERROR(__xludf.DUMMYFUNCTION("""COMPUTED_VALUE"""),"DPTO. DE INGENIERIA MECANICA")</f>
        <v>DPTO. DE INGENIERIA MECANICA</v>
      </c>
      <c r="F42" s="23">
        <f>IFERROR(__xludf.DUMMYFUNCTION("""COMPUTED_VALUE"""),40.0)</f>
        <v>40</v>
      </c>
      <c r="G42" s="23" t="s">
        <v>194</v>
      </c>
      <c r="H42" s="23"/>
    </row>
    <row r="43">
      <c r="A43" s="21" t="str">
        <f>IFERROR(__xludf.DUMMYFUNCTION("""COMPUTED_VALUE"""),"FACULTAD DE INGENIERIA")</f>
        <v>FACULTAD DE INGENIERIA</v>
      </c>
      <c r="B43" s="22" t="str">
        <f>IFERROR(__xludf.DUMMYFUNCTION("""COMPUTED_VALUE"""),"Analista de Proyectos I")</f>
        <v>Analista de Proyectos I</v>
      </c>
      <c r="C43" s="22"/>
      <c r="D43" s="22">
        <f>IFERROR(__xludf.DUMMYFUNCTION("""COMPUTED_VALUE"""),45.0)</f>
        <v>45</v>
      </c>
      <c r="E43" s="23" t="str">
        <f>IFERROR(__xludf.DUMMYFUNCTION("""COMPUTED_VALUE"""),"DPTO. DE INGENIERIA INFORMATICA")</f>
        <v>DPTO. DE INGENIERIA INFORMATICA</v>
      </c>
      <c r="F43" s="23">
        <f>IFERROR(__xludf.DUMMYFUNCTION("""COMPUTED_VALUE"""),40.0)</f>
        <v>40</v>
      </c>
      <c r="G43" s="23" t="s">
        <v>195</v>
      </c>
      <c r="H43" s="23"/>
    </row>
    <row r="44">
      <c r="A44" s="21" t="str">
        <f>IFERROR(__xludf.DUMMYFUNCTION("""COMPUTED_VALUE"""),"FACULTAD DE INGENIERIA")</f>
        <v>FACULTAD DE INGENIERIA</v>
      </c>
      <c r="B44" s="22" t="str">
        <f>IFERROR(__xludf.DUMMYFUNCTION("""COMPUTED_VALUE"""),"Analista de Proyectos II")</f>
        <v>Analista de Proyectos II</v>
      </c>
      <c r="C44" s="22"/>
      <c r="D44" s="22">
        <f>IFERROR(__xludf.DUMMYFUNCTION("""COMPUTED_VALUE"""),46.0)</f>
        <v>46</v>
      </c>
      <c r="E44" s="23" t="str">
        <f>IFERROR(__xludf.DUMMYFUNCTION("""COMPUTED_VALUE"""),"DPTO. DE INGENIERIA INDUSTRIAL")</f>
        <v>DPTO. DE INGENIERIA INDUSTRIAL</v>
      </c>
      <c r="F44" s="23">
        <f>IFERROR(__xludf.DUMMYFUNCTION("""COMPUTED_VALUE"""),40.0)</f>
        <v>40</v>
      </c>
      <c r="G44" s="23" t="s">
        <v>196</v>
      </c>
      <c r="H44" s="23"/>
    </row>
    <row r="45">
      <c r="A45" s="21" t="str">
        <f>IFERROR(__xludf.DUMMYFUNCTION("""COMPUTED_VALUE"""),"FACULTAD DE INGENIERIA")</f>
        <v>FACULTAD DE INGENIERIA</v>
      </c>
      <c r="B45" s="22" t="str">
        <f>IFERROR(__xludf.DUMMYFUNCTION("""COMPUTED_VALUE"""),"Analista de Relaciones Internacionales e Interuniversitarias")</f>
        <v>Analista de Relaciones Internacionales e Interuniversitarias</v>
      </c>
      <c r="C45" s="22"/>
      <c r="D45" s="22">
        <f>IFERROR(__xludf.DUMMYFUNCTION("""COMPUTED_VALUE"""),47.0)</f>
        <v>47</v>
      </c>
      <c r="E45" s="23" t="str">
        <f>IFERROR(__xludf.DUMMYFUNCTION("""COMPUTED_VALUE"""),"DPTO. DE INGENIERIA QUIMICA")</f>
        <v>DPTO. DE INGENIERIA QUIMICA</v>
      </c>
      <c r="F45" s="23">
        <f>IFERROR(__xludf.DUMMYFUNCTION("""COMPUTED_VALUE"""),40.0)</f>
        <v>40</v>
      </c>
      <c r="G45" s="23" t="s">
        <v>197</v>
      </c>
      <c r="H45" s="23"/>
    </row>
    <row r="46">
      <c r="A46" s="21" t="str">
        <f>IFERROR(__xludf.DUMMYFUNCTION("""COMPUTED_VALUE"""),"FACULTAD DE INGENIERIA")</f>
        <v>FACULTAD DE INGENIERIA</v>
      </c>
      <c r="B46" s="22" t="str">
        <f>IFERROR(__xludf.DUMMYFUNCTION("""COMPUTED_VALUE"""),"Analista Financiero y Control de Gestión")</f>
        <v>Analista Financiero y Control de Gestión</v>
      </c>
      <c r="C46" s="22"/>
      <c r="D46" s="22">
        <f>IFERROR(__xludf.DUMMYFUNCTION("""COMPUTED_VALUE"""),48.0)</f>
        <v>48</v>
      </c>
      <c r="E46" s="23" t="str">
        <f>IFERROR(__xludf.DUMMYFUNCTION("""COMPUTED_VALUE"""),"DPTO. DE INGENIERIA EN MINAS")</f>
        <v>DPTO. DE INGENIERIA EN MINAS</v>
      </c>
      <c r="F46" s="23">
        <f>IFERROR(__xludf.DUMMYFUNCTION("""COMPUTED_VALUE"""),40.0)</f>
        <v>40</v>
      </c>
      <c r="G46" s="23" t="s">
        <v>198</v>
      </c>
      <c r="H46" s="23"/>
    </row>
    <row r="47">
      <c r="A47" s="21" t="str">
        <f>IFERROR(__xludf.DUMMYFUNCTION("""COMPUTED_VALUE"""),"FACULTAD DE INGENIERIA")</f>
        <v>FACULTAD DE INGENIERIA</v>
      </c>
      <c r="B47" s="22" t="str">
        <f>IFERROR(__xludf.DUMMYFUNCTION("""COMPUTED_VALUE"""),"Analista de Gestión de Personas")</f>
        <v>Analista de Gestión de Personas</v>
      </c>
      <c r="C47" s="22"/>
      <c r="D47" s="22">
        <f>IFERROR(__xludf.DUMMYFUNCTION("""COMPUTED_VALUE"""),49.0)</f>
        <v>49</v>
      </c>
      <c r="E47" s="23" t="str">
        <f>IFERROR(__xludf.DUMMYFUNCTION("""COMPUTED_VALUE"""),"DPTO. DE INGENIERIA OBRAS CIVILES")</f>
        <v>DPTO. DE INGENIERIA OBRAS CIVILES</v>
      </c>
      <c r="F47" s="23">
        <f>IFERROR(__xludf.DUMMYFUNCTION("""COMPUTED_VALUE"""),40.0)</f>
        <v>40</v>
      </c>
      <c r="G47" s="23" t="s">
        <v>199</v>
      </c>
      <c r="H47" s="23"/>
    </row>
    <row r="48">
      <c r="A48" s="21" t="str">
        <f>IFERROR(__xludf.DUMMYFUNCTION("""COMPUTED_VALUE"""),"FACULTAD DE CIENCIA")</f>
        <v>FACULTAD DE CIENCIA</v>
      </c>
      <c r="B48" s="22" t="str">
        <f>IFERROR(__xludf.DUMMYFUNCTION("""COMPUTED_VALUE"""),"Analista de Gestión Estratégica")</f>
        <v>Analista de Gestión Estratégica</v>
      </c>
      <c r="C48" s="22"/>
      <c r="D48" s="22">
        <f>IFERROR(__xludf.DUMMYFUNCTION("""COMPUTED_VALUE"""),50.0)</f>
        <v>50</v>
      </c>
      <c r="E48" s="23" t="str">
        <f>IFERROR(__xludf.DUMMYFUNCTION("""COMPUTED_VALUE"""),"FACULTAD DE CIENCIA")</f>
        <v>FACULTAD DE CIENCIA</v>
      </c>
      <c r="F48" s="23">
        <f>IFERROR(__xludf.DUMMYFUNCTION("""COMPUTED_VALUE"""),50.0)</f>
        <v>50</v>
      </c>
      <c r="G48" s="23" t="s">
        <v>200</v>
      </c>
      <c r="H48" s="23"/>
    </row>
    <row r="49">
      <c r="A49" s="21" t="str">
        <f>IFERROR(__xludf.DUMMYFUNCTION("""COMPUTED_VALUE"""),"FACULTAD DE CIENCIA")</f>
        <v>FACULTAD DE CIENCIA</v>
      </c>
      <c r="B49" s="22" t="str">
        <f>IFERROR(__xludf.DUMMYFUNCTION("""COMPUTED_VALUE"""),"Analista Informático")</f>
        <v>Analista Informático</v>
      </c>
      <c r="C49" s="22"/>
      <c r="D49" s="22">
        <f>IFERROR(__xludf.DUMMYFUNCTION("""COMPUTED_VALUE"""),51.0)</f>
        <v>51</v>
      </c>
      <c r="E49" s="23" t="str">
        <f>IFERROR(__xludf.DUMMYFUNCTION("""COMPUTED_VALUE"""),"DPTO. DE MAT. Y CS. DE LA COMP.")</f>
        <v>DPTO. DE MAT. Y CS. DE LA COMP.</v>
      </c>
      <c r="F49" s="23">
        <f>IFERROR(__xludf.DUMMYFUNCTION("""COMPUTED_VALUE"""),50.0)</f>
        <v>50</v>
      </c>
      <c r="G49" s="23" t="s">
        <v>201</v>
      </c>
      <c r="H49" s="23"/>
    </row>
    <row r="50">
      <c r="A50" s="21" t="str">
        <f>IFERROR(__xludf.DUMMYFUNCTION("""COMPUTED_VALUE"""),"FACULTAD DE CIENCIA")</f>
        <v>FACULTAD DE CIENCIA</v>
      </c>
      <c r="B50" s="22" t="str">
        <f>IFERROR(__xludf.DUMMYFUNCTION("""COMPUTED_VALUE"""),"Analista Instruccional de Virtualización Docente")</f>
        <v>Analista Instruccional de Virtualización Docente</v>
      </c>
      <c r="C50" s="22"/>
      <c r="D50" s="22">
        <f>IFERROR(__xludf.DUMMYFUNCTION("""COMPUTED_VALUE"""),52.0)</f>
        <v>52</v>
      </c>
      <c r="E50" s="23" t="str">
        <f>IFERROR(__xludf.DUMMYFUNCTION("""COMPUTED_VALUE"""),"DPTO. DE FISICA")</f>
        <v>DPTO. DE FISICA</v>
      </c>
      <c r="F50" s="23">
        <f>IFERROR(__xludf.DUMMYFUNCTION("""COMPUTED_VALUE"""),50.0)</f>
        <v>50</v>
      </c>
      <c r="G50" s="23" t="s">
        <v>202</v>
      </c>
      <c r="H50" s="23"/>
    </row>
    <row r="51">
      <c r="A51" s="21" t="str">
        <f>IFERROR(__xludf.DUMMYFUNCTION("""COMPUTED_VALUE"""),"VR. ACADEMICA")</f>
        <v>VR. ACADEMICA</v>
      </c>
      <c r="B51" s="22" t="str">
        <f>IFERROR(__xludf.DUMMYFUNCTION("""COMPUTED_VALUE"""),"Analista de Planificación y Análisis")</f>
        <v>Analista de Planificación y Análisis</v>
      </c>
      <c r="C51" s="22"/>
      <c r="D51" s="22">
        <f>IFERROR(__xludf.DUMMYFUNCTION("""COMPUTED_VALUE"""),54.0)</f>
        <v>54</v>
      </c>
      <c r="E51" s="23" t="str">
        <f>IFERROR(__xludf.DUMMYFUNCTION("""COMPUTED_VALUE"""),"PROGRAMA BACHILLERATO")</f>
        <v>PROGRAMA BACHILLERATO</v>
      </c>
      <c r="F51" s="23">
        <f>IFERROR(__xludf.DUMMYFUNCTION("""COMPUTED_VALUE"""),15.0)</f>
        <v>15</v>
      </c>
      <c r="G51" s="23" t="s">
        <v>203</v>
      </c>
      <c r="H51" s="23"/>
    </row>
    <row r="52">
      <c r="A52" s="21" t="str">
        <f>IFERROR(__xludf.DUMMYFUNCTION("""COMPUTED_VALUE"""),"FACULTAD DE HUMANIDADES")</f>
        <v>FACULTAD DE HUMANIDADES</v>
      </c>
      <c r="B52" s="22" t="str">
        <f>IFERROR(__xludf.DUMMYFUNCTION("""COMPUTED_VALUE"""),"Analista Presupuestario")</f>
        <v>Analista Presupuestario</v>
      </c>
      <c r="C52" s="22"/>
      <c r="D52" s="22">
        <f>IFERROR(__xludf.DUMMYFUNCTION("""COMPUTED_VALUE"""),55.0)</f>
        <v>55</v>
      </c>
      <c r="E52" s="23" t="str">
        <f>IFERROR(__xludf.DUMMYFUNCTION("""COMPUTED_VALUE"""),"FACULTAD DE HUMANIDADES")</f>
        <v>FACULTAD DE HUMANIDADES</v>
      </c>
      <c r="F52" s="23">
        <f>IFERROR(__xludf.DUMMYFUNCTION("""COMPUTED_VALUE"""),55.0)</f>
        <v>55</v>
      </c>
      <c r="G52" s="23" t="s">
        <v>204</v>
      </c>
      <c r="H52" s="23"/>
    </row>
    <row r="53">
      <c r="A53" s="21" t="str">
        <f>IFERROR(__xludf.DUMMYFUNCTION("""COMPUTED_VALUE"""),"FACULTAD DE HUMANIDADES")</f>
        <v>FACULTAD DE HUMANIDADES</v>
      </c>
      <c r="B53" s="22" t="str">
        <f>IFERROR(__xludf.DUMMYFUNCTION("""COMPUTED_VALUE"""),"Analista Funcional PeopleSoft")</f>
        <v>Analista Funcional PeopleSoft</v>
      </c>
      <c r="C53" s="22"/>
      <c r="D53" s="22">
        <f>IFERROR(__xludf.DUMMYFUNCTION("""COMPUTED_VALUE"""),56.0)</f>
        <v>56</v>
      </c>
      <c r="E53" s="23" t="str">
        <f>IFERROR(__xludf.DUMMYFUNCTION("""COMPUTED_VALUE"""),"DPTO. DE LINGUISTICA Y LITERATURA")</f>
        <v>DPTO. DE LINGUISTICA Y LITERATURA</v>
      </c>
      <c r="F53" s="23">
        <f>IFERROR(__xludf.DUMMYFUNCTION("""COMPUTED_VALUE"""),55.0)</f>
        <v>55</v>
      </c>
      <c r="G53" s="23" t="s">
        <v>205</v>
      </c>
      <c r="H53" s="23"/>
    </row>
    <row r="54">
      <c r="A54" s="21" t="str">
        <f>IFERROR(__xludf.DUMMYFUNCTION("""COMPUTED_VALUE"""),"FACULTAD DE HUMANIDADES")</f>
        <v>FACULTAD DE HUMANIDADES</v>
      </c>
      <c r="B54" s="22" t="str">
        <f>IFERROR(__xludf.DUMMYFUNCTION("""COMPUTED_VALUE"""),"Arquitecto(a)")</f>
        <v>Arquitecto(a)</v>
      </c>
      <c r="C54" s="22"/>
      <c r="D54" s="22">
        <f>IFERROR(__xludf.DUMMYFUNCTION("""COMPUTED_VALUE"""),57.0)</f>
        <v>57</v>
      </c>
      <c r="E54" s="23" t="str">
        <f>IFERROR(__xludf.DUMMYFUNCTION("""COMPUTED_VALUE"""),"DPTO. DE FILOSOFIA")</f>
        <v>DPTO. DE FILOSOFIA</v>
      </c>
      <c r="F54" s="23">
        <f>IFERROR(__xludf.DUMMYFUNCTION("""COMPUTED_VALUE"""),55.0)</f>
        <v>55</v>
      </c>
      <c r="G54" s="23" t="s">
        <v>206</v>
      </c>
      <c r="H54" s="23"/>
    </row>
    <row r="55">
      <c r="A55" s="21" t="str">
        <f>IFERROR(__xludf.DUMMYFUNCTION("""COMPUTED_VALUE"""),"FACULTAD DE HUMANIDADES")</f>
        <v>FACULTAD DE HUMANIDADES</v>
      </c>
      <c r="B55" s="22" t="str">
        <f>IFERROR(__xludf.DUMMYFUNCTION("""COMPUTED_VALUE"""),"Asesor(a) de Dirección Ejecutiva UNICIT")</f>
        <v>Asesor(a) de Dirección Ejecutiva UNICIT</v>
      </c>
      <c r="C55" s="22"/>
      <c r="D55" s="22">
        <f>IFERROR(__xludf.DUMMYFUNCTION("""COMPUTED_VALUE"""),58.0)</f>
        <v>58</v>
      </c>
      <c r="E55" s="23" t="str">
        <f>IFERROR(__xludf.DUMMYFUNCTION("""COMPUTED_VALUE"""),"DPTO. DE HISTORIA")</f>
        <v>DPTO. DE HISTORIA</v>
      </c>
      <c r="F55" s="23">
        <f>IFERROR(__xludf.DUMMYFUNCTION("""COMPUTED_VALUE"""),55.0)</f>
        <v>55</v>
      </c>
      <c r="G55" s="23" t="s">
        <v>207</v>
      </c>
      <c r="H55" s="23"/>
    </row>
    <row r="56">
      <c r="A56" s="21" t="str">
        <f>IFERROR(__xludf.DUMMYFUNCTION("""COMPUTED_VALUE"""),"FACULTAD DE HUMANIDADES")</f>
        <v>FACULTAD DE HUMANIDADES</v>
      </c>
      <c r="B56" s="22" t="str">
        <f>IFERROR(__xludf.DUMMYFUNCTION("""COMPUTED_VALUE"""),"Asistente de Biblioteca")</f>
        <v>Asistente de Biblioteca</v>
      </c>
      <c r="C56" s="22"/>
      <c r="D56" s="22">
        <f>IFERROR(__xludf.DUMMYFUNCTION("""COMPUTED_VALUE"""),59.0)</f>
        <v>59</v>
      </c>
      <c r="E56" s="23" t="str">
        <f>IFERROR(__xludf.DUMMYFUNCTION("""COMPUTED_VALUE"""),"DPTO. DE EDUCACION")</f>
        <v>DPTO. DE EDUCACION</v>
      </c>
      <c r="F56" s="23">
        <f>IFERROR(__xludf.DUMMYFUNCTION("""COMPUTED_VALUE"""),55.0)</f>
        <v>55</v>
      </c>
      <c r="G56" s="23" t="s">
        <v>208</v>
      </c>
      <c r="H56" s="23"/>
    </row>
    <row r="57">
      <c r="A57" s="21" t="str">
        <f>IFERROR(__xludf.DUMMYFUNCTION("""COMPUTED_VALUE"""),"FACULTAD DE ADMINIST Y ECONOMI")</f>
        <v>FACULTAD DE ADMINIST Y ECONOMI</v>
      </c>
      <c r="B57" s="22" t="str">
        <f>IFERROR(__xludf.DUMMYFUNCTION("""COMPUTED_VALUE"""),"Asistente de Biblioteca UNICIT")</f>
        <v>Asistente de Biblioteca UNICIT</v>
      </c>
      <c r="C57" s="22"/>
      <c r="D57" s="22">
        <f>IFERROR(__xludf.DUMMYFUNCTION("""COMPUTED_VALUE"""),60.0)</f>
        <v>60</v>
      </c>
      <c r="E57" s="23" t="str">
        <f>IFERROR(__xludf.DUMMYFUNCTION("""COMPUTED_VALUE"""),"FACULTAD DE ADMINIST Y ECONOMI")</f>
        <v>FACULTAD DE ADMINIST Y ECONOMI</v>
      </c>
      <c r="F57" s="23">
        <f>IFERROR(__xludf.DUMMYFUNCTION("""COMPUTED_VALUE"""),60.0)</f>
        <v>60</v>
      </c>
      <c r="G57" s="23" t="s">
        <v>209</v>
      </c>
      <c r="H57" s="23"/>
    </row>
    <row r="58">
      <c r="A58" s="21" t="str">
        <f>IFERROR(__xludf.DUMMYFUNCTION("""COMPUTED_VALUE"""),"FACULTAD DE ADMINIST Y ECONOMI")</f>
        <v>FACULTAD DE ADMINIST Y ECONOMI</v>
      </c>
      <c r="B58" s="22" t="str">
        <f>IFERROR(__xludf.DUMMYFUNCTION("""COMPUTED_VALUE"""),"Asistente de Grupo Artistico")</f>
        <v>Asistente de Grupo Artistico</v>
      </c>
      <c r="C58" s="22"/>
      <c r="D58" s="22">
        <f>IFERROR(__xludf.DUMMYFUNCTION("""COMPUTED_VALUE"""),61.0)</f>
        <v>61</v>
      </c>
      <c r="E58" s="23" t="str">
        <f>IFERROR(__xludf.DUMMYFUNCTION("""COMPUTED_VALUE"""),"DPTO. DE ADMINISTRACION")</f>
        <v>DPTO. DE ADMINISTRACION</v>
      </c>
      <c r="F58" s="23">
        <f>IFERROR(__xludf.DUMMYFUNCTION("""COMPUTED_VALUE"""),60.0)</f>
        <v>60</v>
      </c>
      <c r="G58" s="23" t="s">
        <v>210</v>
      </c>
      <c r="H58" s="23"/>
    </row>
    <row r="59">
      <c r="A59" s="21" t="str">
        <f>IFERROR(__xludf.DUMMYFUNCTION("""COMPUTED_VALUE"""),"FACULTAD DE ADMINIST Y ECONOMI")</f>
        <v>FACULTAD DE ADMINIST Y ECONOMI</v>
      </c>
      <c r="B59" s="22" t="str">
        <f>IFERROR(__xludf.DUMMYFUNCTION("""COMPUTED_VALUE"""),"Asistente de Laboratorio")</f>
        <v>Asistente de Laboratorio</v>
      </c>
      <c r="C59" s="22"/>
      <c r="D59" s="22">
        <f>IFERROR(__xludf.DUMMYFUNCTION("""COMPUTED_VALUE"""),62.0)</f>
        <v>62</v>
      </c>
      <c r="E59" s="23" t="str">
        <f>IFERROR(__xludf.DUMMYFUNCTION("""COMPUTED_VALUE"""),"DPTO. DE ECONOMIA")</f>
        <v>DPTO. DE ECONOMIA</v>
      </c>
      <c r="F59" s="23">
        <f>IFERROR(__xludf.DUMMYFUNCTION("""COMPUTED_VALUE"""),60.0)</f>
        <v>60</v>
      </c>
      <c r="G59" s="23" t="s">
        <v>211</v>
      </c>
      <c r="H59" s="23"/>
    </row>
    <row r="60">
      <c r="A60" s="21" t="str">
        <f>IFERROR(__xludf.DUMMYFUNCTION("""COMPUTED_VALUE"""),"FACULTAD DE ADMINIST Y ECONOMI")</f>
        <v>FACULTAD DE ADMINIST Y ECONOMI</v>
      </c>
      <c r="B60" s="22" t="str">
        <f>IFERROR(__xludf.DUMMYFUNCTION("""COMPUTED_VALUE"""),"Asistente de Mantención")</f>
        <v>Asistente de Mantención</v>
      </c>
      <c r="C60" s="22"/>
      <c r="D60" s="22">
        <f>IFERROR(__xludf.DUMMYFUNCTION("""COMPUTED_VALUE"""),63.0)</f>
        <v>63</v>
      </c>
      <c r="E60" s="23" t="str">
        <f>IFERROR(__xludf.DUMMYFUNCTION("""COMPUTED_VALUE"""),"DPTO. DE CONTABILIDAD Y AUDITOR")</f>
        <v>DPTO. DE CONTABILIDAD Y AUDITOR</v>
      </c>
      <c r="F60" s="23">
        <f>IFERROR(__xludf.DUMMYFUNCTION("""COMPUTED_VALUE"""),60.0)</f>
        <v>60</v>
      </c>
      <c r="G60" s="23" t="s">
        <v>212</v>
      </c>
      <c r="H60" s="23"/>
    </row>
    <row r="61">
      <c r="A61" s="21" t="str">
        <f>IFERROR(__xludf.DUMMYFUNCTION("""COMPUTED_VALUE"""),"FACULTAD DE ADMINIST Y ECONOMI")</f>
        <v>FACULTAD DE ADMINIST Y ECONOMI</v>
      </c>
      <c r="B61" s="22" t="str">
        <f>IFERROR(__xludf.DUMMYFUNCTION("""COMPUTED_VALUE"""),"Asistente Proyectos/Investigación")</f>
        <v>Asistente Proyectos/Investigación</v>
      </c>
      <c r="C61" s="22"/>
      <c r="D61" s="22">
        <f>IFERROR(__xludf.DUMMYFUNCTION("""COMPUTED_VALUE"""),64.0)</f>
        <v>64</v>
      </c>
      <c r="E61" s="23" t="str">
        <f>IFERROR(__xludf.DUMMYFUNCTION("""COMPUTED_VALUE"""),"DPTO. DE GESTION Y POLITICAS PUBLICAS")</f>
        <v>DPTO. DE GESTION Y POLITICAS PUBLICAS</v>
      </c>
      <c r="F61" s="23">
        <f>IFERROR(__xludf.DUMMYFUNCTION("""COMPUTED_VALUE"""),60.0)</f>
        <v>60</v>
      </c>
      <c r="G61" s="23" t="s">
        <v>213</v>
      </c>
      <c r="H61" s="23"/>
    </row>
    <row r="62">
      <c r="A62" s="21" t="str">
        <f>IFERROR(__xludf.DUMMYFUNCTION("""COMPUTED_VALUE"""),"FACULTAD TECNOLOGICA")</f>
        <v>FACULTAD TECNOLOGICA</v>
      </c>
      <c r="B62" s="22" t="str">
        <f>IFERROR(__xludf.DUMMYFUNCTION("""COMPUTED_VALUE"""),"Asistente Social Estudiantil")</f>
        <v>Asistente Social Estudiantil</v>
      </c>
      <c r="C62" s="22"/>
      <c r="D62" s="22">
        <f>IFERROR(__xludf.DUMMYFUNCTION("""COMPUTED_VALUE"""),65.0)</f>
        <v>65</v>
      </c>
      <c r="E62" s="23" t="str">
        <f>IFERROR(__xludf.DUMMYFUNCTION("""COMPUTED_VALUE"""),"FACULTAD TECNOLOGICA")</f>
        <v>FACULTAD TECNOLOGICA</v>
      </c>
      <c r="F62" s="23">
        <f>IFERROR(__xludf.DUMMYFUNCTION("""COMPUTED_VALUE"""),65.0)</f>
        <v>65</v>
      </c>
      <c r="G62" s="23" t="s">
        <v>214</v>
      </c>
      <c r="H62" s="23"/>
    </row>
    <row r="63">
      <c r="A63" s="21" t="str">
        <f>IFERROR(__xludf.DUMMYFUNCTION("""COMPUTED_VALUE"""),"FACULTAD TECNOLOGICA")</f>
        <v>FACULTAD TECNOLOGICA</v>
      </c>
      <c r="B63" s="22" t="str">
        <f>IFERROR(__xludf.DUMMYFUNCTION("""COMPUTED_VALUE"""),"Asistente Social Personal")</f>
        <v>Asistente Social Personal</v>
      </c>
      <c r="C63" s="22"/>
      <c r="D63" s="22">
        <f>IFERROR(__xludf.DUMMYFUNCTION("""COMPUTED_VALUE"""),66.0)</f>
        <v>66</v>
      </c>
      <c r="E63" s="23" t="str">
        <f>IFERROR(__xludf.DUMMYFUNCTION("""COMPUTED_VALUE"""),"DPTO. DE CIENCIA Y TEC.DE LOS ALIM")</f>
        <v>DPTO. DE CIENCIA Y TEC.DE LOS ALIM</v>
      </c>
      <c r="F63" s="23">
        <f>IFERROR(__xludf.DUMMYFUNCTION("""COMPUTED_VALUE"""),65.0)</f>
        <v>65</v>
      </c>
      <c r="G63" s="23" t="s">
        <v>215</v>
      </c>
      <c r="H63" s="23"/>
    </row>
    <row r="64">
      <c r="A64" s="21" t="str">
        <f>IFERROR(__xludf.DUMMYFUNCTION("""COMPUTED_VALUE"""),"FACULTAD TECNOLOGICA")</f>
        <v>FACULTAD TECNOLOGICA</v>
      </c>
      <c r="B64" s="22" t="str">
        <f>IFERROR(__xludf.DUMMYFUNCTION("""COMPUTED_VALUE"""),"Auditor(a) I")</f>
        <v>Auditor(a) I</v>
      </c>
      <c r="C64" s="22"/>
      <c r="D64" s="22">
        <f>IFERROR(__xludf.DUMMYFUNCTION("""COMPUTED_VALUE"""),67.0)</f>
        <v>67</v>
      </c>
      <c r="E64" s="23" t="str">
        <f>IFERROR(__xludf.DUMMYFUNCTION("""COMPUTED_VALUE"""),"DPTO. DE TECNOLOGIAS GENERALES")</f>
        <v>DPTO. DE TECNOLOGIAS GENERALES</v>
      </c>
      <c r="F64" s="23">
        <f>IFERROR(__xludf.DUMMYFUNCTION("""COMPUTED_VALUE"""),65.0)</f>
        <v>65</v>
      </c>
      <c r="G64" s="23" t="s">
        <v>216</v>
      </c>
      <c r="H64" s="23"/>
    </row>
    <row r="65">
      <c r="A65" s="21" t="str">
        <f>IFERROR(__xludf.DUMMYFUNCTION("""COMPUTED_VALUE"""),"FACULTAD TECNOLOGICA")</f>
        <v>FACULTAD TECNOLOGICA</v>
      </c>
      <c r="B65" s="22" t="str">
        <f>IFERROR(__xludf.DUMMYFUNCTION("""COMPUTED_VALUE"""),"Auxiliar de Aseo")</f>
        <v>Auxiliar de Aseo</v>
      </c>
      <c r="C65" s="22"/>
      <c r="D65" s="22">
        <f>IFERROR(__xludf.DUMMYFUNCTION("""COMPUTED_VALUE"""),68.0)</f>
        <v>68</v>
      </c>
      <c r="E65" s="23" t="str">
        <f>IFERROR(__xludf.DUMMYFUNCTION("""COMPUTED_VALUE"""),"DPTO. DE TECNOLOGIAS INDUSTRIALES")</f>
        <v>DPTO. DE TECNOLOGIAS INDUSTRIALES</v>
      </c>
      <c r="F65" s="23">
        <f>IFERROR(__xludf.DUMMYFUNCTION("""COMPUTED_VALUE"""),65.0)</f>
        <v>65</v>
      </c>
      <c r="G65" s="23" t="s">
        <v>217</v>
      </c>
      <c r="H65" s="23"/>
    </row>
    <row r="66">
      <c r="A66" s="21" t="str">
        <f>IFERROR(__xludf.DUMMYFUNCTION("""COMPUTED_VALUE"""),"FACULTAD TECNOLOGICA")</f>
        <v>FACULTAD TECNOLOGICA</v>
      </c>
      <c r="B66" s="22" t="str">
        <f>IFERROR(__xludf.DUMMYFUNCTION("""COMPUTED_VALUE"""),"Auxiliar de Enfermería")</f>
        <v>Auxiliar de Enfermería</v>
      </c>
      <c r="C66" s="22"/>
      <c r="D66" s="22">
        <f>IFERROR(__xludf.DUMMYFUNCTION("""COMPUTED_VALUE"""),69.0)</f>
        <v>69</v>
      </c>
      <c r="E66" s="23" t="str">
        <f>IFERROR(__xludf.DUMMYFUNCTION("""COMPUTED_VALUE"""),"DPTO. DE GESTION AGRARIA")</f>
        <v>DPTO. DE GESTION AGRARIA</v>
      </c>
      <c r="F66" s="23">
        <f>IFERROR(__xludf.DUMMYFUNCTION("""COMPUTED_VALUE"""),65.0)</f>
        <v>65</v>
      </c>
      <c r="G66" s="23" t="s">
        <v>218</v>
      </c>
      <c r="H66" s="23"/>
    </row>
    <row r="67">
      <c r="A67" s="21" t="str">
        <f>IFERROR(__xludf.DUMMYFUNCTION("""COMPUTED_VALUE"""),"PRORRECTORIA")</f>
        <v>PRORRECTORIA</v>
      </c>
      <c r="B67" s="22" t="str">
        <f>IFERROR(__xludf.DUMMYFUNCTION("""COMPUTED_VALUE"""),"Auxiliar de Odontología")</f>
        <v>Auxiliar de Odontología</v>
      </c>
      <c r="C67" s="22"/>
      <c r="D67" s="22">
        <f>IFERROR(__xludf.DUMMYFUNCTION("""COMPUTED_VALUE"""),70.0)</f>
        <v>70</v>
      </c>
      <c r="E67" s="23" t="str">
        <f>IFERROR(__xludf.DUMMYFUNCTION("""COMPUTED_VALUE"""),"DIR. DE DESARROLLO INSTITUCIONAL")</f>
        <v>DIR. DE DESARROLLO INSTITUCIONAL</v>
      </c>
      <c r="F67" s="23">
        <f>IFERROR(__xludf.DUMMYFUNCTION("""COMPUTED_VALUE"""),3.0)</f>
        <v>3</v>
      </c>
      <c r="G67" s="23" t="s">
        <v>219</v>
      </c>
      <c r="H67" s="23"/>
    </row>
    <row r="68">
      <c r="A68" s="21" t="str">
        <f>IFERROR(__xludf.DUMMYFUNCTION("""COMPUTED_VALUE"""),"FACULTAD DE HUMANIDADES")</f>
        <v>FACULTAD DE HUMANIDADES</v>
      </c>
      <c r="B68" s="22" t="str">
        <f>IFERROR(__xludf.DUMMYFUNCTION("""COMPUTED_VALUE"""),"Auxiliar de Seguridad")</f>
        <v>Auxiliar de Seguridad</v>
      </c>
      <c r="C68" s="22"/>
      <c r="D68" s="22">
        <f>IFERROR(__xludf.DUMMYFUNCTION("""COMPUTED_VALUE"""),71.0)</f>
        <v>71</v>
      </c>
      <c r="E68" s="23" t="str">
        <f>IFERROR(__xludf.DUMMYFUNCTION("""COMPUTED_VALUE"""),"ESCUELA DE PERIODISMO")</f>
        <v>ESCUELA DE PERIODISMO</v>
      </c>
      <c r="F68" s="23">
        <f>IFERROR(__xludf.DUMMYFUNCTION("""COMPUTED_VALUE"""),55.0)</f>
        <v>55</v>
      </c>
      <c r="G68" s="23" t="s">
        <v>220</v>
      </c>
      <c r="H68" s="23"/>
    </row>
    <row r="69">
      <c r="A69" s="21" t="str">
        <f>IFERROR(__xludf.DUMMYFUNCTION("""COMPUTED_VALUE"""),"PRORRECTORIA")</f>
        <v>PRORRECTORIA</v>
      </c>
      <c r="B69" s="22" t="str">
        <f>IFERROR(__xludf.DUMMYFUNCTION("""COMPUTED_VALUE"""),"Auxiliar de Servicios")</f>
        <v>Auxiliar de Servicios</v>
      </c>
      <c r="C69" s="22"/>
      <c r="D69" s="22">
        <f>IFERROR(__xludf.DUMMYFUNCTION("""COMPUTED_VALUE"""),72.0)</f>
        <v>72</v>
      </c>
      <c r="E69" s="23" t="str">
        <f>IFERROR(__xludf.DUMMYFUNCTION("""COMPUTED_VALUE"""),"DPTO. DE GESTION ESTRATEGICA")</f>
        <v>DPTO. DE GESTION ESTRATEGICA</v>
      </c>
      <c r="F69" s="23">
        <f>IFERROR(__xludf.DUMMYFUNCTION("""COMPUTED_VALUE"""),3.0)</f>
        <v>3</v>
      </c>
      <c r="G69" s="23" t="s">
        <v>221</v>
      </c>
      <c r="H69" s="23"/>
    </row>
    <row r="70">
      <c r="A70" s="21" t="str">
        <f>IFERROR(__xludf.DUMMYFUNCTION("""COMPUTED_VALUE"""),"VR. DE APOYO AL ESTUDIANTE")</f>
        <v>VR. DE APOYO AL ESTUDIANTE</v>
      </c>
      <c r="B70" s="22" t="str">
        <f>IFERROR(__xludf.DUMMYFUNCTION("""COMPUTED_VALUE"""),"Auxiliar de Servicios UNICIT")</f>
        <v>Auxiliar de Servicios UNICIT</v>
      </c>
      <c r="C70" s="22"/>
      <c r="D70" s="22">
        <f>IFERROR(__xludf.DUMMYFUNCTION("""COMPUTED_VALUE"""),73.0)</f>
        <v>73</v>
      </c>
      <c r="E70" s="23" t="str">
        <f>IFERROR(__xludf.DUMMYFUNCTION("""COMPUTED_VALUE"""),"UNIDAD DE PROMOCION DE LA SALUD")</f>
        <v>UNIDAD DE PROMOCION DE LA SALUD</v>
      </c>
      <c r="F70" s="23">
        <f>IFERROR(__xludf.DUMMYFUNCTION("""COMPUTED_VALUE"""),22.0)</f>
        <v>22</v>
      </c>
      <c r="G70" s="23" t="s">
        <v>222</v>
      </c>
      <c r="H70" s="23"/>
    </row>
    <row r="71">
      <c r="A71" s="21" t="str">
        <f>IFERROR(__xludf.DUMMYFUNCTION("""COMPUTED_VALUE"""),"PRORRECTORIA")</f>
        <v>PRORRECTORIA</v>
      </c>
      <c r="B71" s="22" t="str">
        <f>IFERROR(__xludf.DUMMYFUNCTION("""COMPUTED_VALUE"""),"Ayudante Maestro(a) de Cocina")</f>
        <v>Ayudante Maestro(a) de Cocina</v>
      </c>
      <c r="C71" s="22"/>
      <c r="D71" s="22">
        <f>IFERROR(__xludf.DUMMYFUNCTION("""COMPUTED_VALUE"""),74.0)</f>
        <v>74</v>
      </c>
      <c r="E71" s="23" t="str">
        <f>IFERROR(__xludf.DUMMYFUNCTION("""COMPUTED_VALUE"""),"DPTO. DE GESTION DE LA INFRAESTRUCTURA")</f>
        <v>DPTO. DE GESTION DE LA INFRAESTRUCTURA</v>
      </c>
      <c r="F71" s="23">
        <f>IFERROR(__xludf.DUMMYFUNCTION("""COMPUTED_VALUE"""),3.0)</f>
        <v>3</v>
      </c>
      <c r="G71" s="23" t="s">
        <v>223</v>
      </c>
      <c r="H71" s="23"/>
    </row>
    <row r="72">
      <c r="A72" s="21" t="str">
        <f>IFERROR(__xludf.DUMMYFUNCTION("""COMPUTED_VALUE"""),"VR. ACADEMICA")</f>
        <v>VR. ACADEMICA</v>
      </c>
      <c r="B72" s="22" t="str">
        <f>IFERROR(__xludf.DUMMYFUNCTION("""COMPUTED_VALUE"""),"Bibliotecario(a)")</f>
        <v>Bibliotecario(a)</v>
      </c>
      <c r="C72" s="22"/>
      <c r="D72" s="22">
        <f>IFERROR(__xludf.DUMMYFUNCTION("""COMPUTED_VALUE"""),76.0)</f>
        <v>76</v>
      </c>
      <c r="E72" s="23" t="str">
        <f>IFERROR(__xludf.DUMMYFUNCTION("""COMPUTED_VALUE"""),"DPTO. DE FORMACION INTEGRAL")</f>
        <v>DPTO. DE FORMACION INTEGRAL</v>
      </c>
      <c r="F72" s="23">
        <f>IFERROR(__xludf.DUMMYFUNCTION("""COMPUTED_VALUE"""),15.0)</f>
        <v>15</v>
      </c>
      <c r="G72" s="23" t="s">
        <v>224</v>
      </c>
      <c r="H72" s="23"/>
    </row>
    <row r="73">
      <c r="A73" s="21" t="str">
        <f>IFERROR(__xludf.DUMMYFUNCTION("""COMPUTED_VALUE"""),"VR. DE INVEST. DESARR E INNOVACION")</f>
        <v>VR. DE INVEST. DESARR E INNOVACION</v>
      </c>
      <c r="B73" s="22" t="str">
        <f>IFERROR(__xludf.DUMMYFUNCTION("""COMPUTED_VALUE"""),"Bibliotecario(a) UNICIT")</f>
        <v>Bibliotecario(a) UNICIT</v>
      </c>
      <c r="C73" s="22"/>
      <c r="D73" s="22">
        <f>IFERROR(__xludf.DUMMYFUNCTION("""COMPUTED_VALUE"""),77.0)</f>
        <v>77</v>
      </c>
      <c r="E73" s="23" t="str">
        <f>IFERROR(__xludf.DUMMYFUNCTION("""COMPUTED_VALUE"""),"CICES")</f>
        <v>CICES</v>
      </c>
      <c r="F73" s="23">
        <f>IFERROR(__xludf.DUMMYFUNCTION("""COMPUTED_VALUE"""),11.0)</f>
        <v>11</v>
      </c>
      <c r="G73" s="23" t="s">
        <v>225</v>
      </c>
      <c r="H73" s="23"/>
    </row>
    <row r="74">
      <c r="A74" s="21" t="str">
        <f>IFERROR(__xludf.DUMMYFUNCTION("""COMPUTED_VALUE"""),"VR. DE VINCULACION CON EL MEDIO")</f>
        <v>VR. DE VINCULACION CON EL MEDIO</v>
      </c>
      <c r="B74" s="22" t="str">
        <f>IFERROR(__xludf.DUMMYFUNCTION("""COMPUTED_VALUE"""),"Cajero(a) A 1º categoria")</f>
        <v>Cajero(a) A 1º categoria</v>
      </c>
      <c r="C74" s="22"/>
      <c r="D74" s="22">
        <f>IFERROR(__xludf.DUMMYFUNCTION("""COMPUTED_VALUE"""),78.0)</f>
        <v>78</v>
      </c>
      <c r="E74" s="23" t="str">
        <f>IFERROR(__xludf.DUMMYFUNCTION("""COMPUTED_VALUE"""),"DPTO. DE RELAC. INTERUNIV E INTERN")</f>
        <v>DPTO. DE RELAC. INTERUNIV E INTERN</v>
      </c>
      <c r="F74" s="23">
        <f>IFERROR(__xludf.DUMMYFUNCTION("""COMPUTED_VALUE"""),120.0)</f>
        <v>120</v>
      </c>
      <c r="G74" s="23" t="s">
        <v>226</v>
      </c>
      <c r="H74" s="23"/>
    </row>
    <row r="75">
      <c r="A75" s="21" t="str">
        <f>IFERROR(__xludf.DUMMYFUNCTION("""COMPUTED_VALUE"""),"CENTRO DE INSTITUTOS Y PROGRAMAS")</f>
        <v>CENTRO DE INSTITUTOS Y PROGRAMAS</v>
      </c>
      <c r="B75" s="22" t="str">
        <f>IFERROR(__xludf.DUMMYFUNCTION("""COMPUTED_VALUE"""),"Cajero(a) B 1º categoria")</f>
        <v>Cajero(a) B 1º categoria</v>
      </c>
      <c r="C75" s="22"/>
      <c r="D75" s="22">
        <f>IFERROR(__xludf.DUMMYFUNCTION("""COMPUTED_VALUE"""),79.0)</f>
        <v>79</v>
      </c>
      <c r="E75" s="23" t="str">
        <f>IFERROR(__xludf.DUMMYFUNCTION("""COMPUTED_VALUE"""),"COMENIUS")</f>
        <v>COMENIUS</v>
      </c>
      <c r="F75" s="23">
        <f>IFERROR(__xludf.DUMMYFUNCTION("""COMPUTED_VALUE"""),300.0)</f>
        <v>300</v>
      </c>
      <c r="G75" s="23" t="s">
        <v>227</v>
      </c>
      <c r="H75" s="23"/>
    </row>
    <row r="76">
      <c r="A76" s="21" t="str">
        <f>IFERROR(__xludf.DUMMYFUNCTION("""COMPUTED_VALUE"""),"VR. ACADEMICA")</f>
        <v>VR. ACADEMICA</v>
      </c>
      <c r="B76" s="22" t="str">
        <f>IFERROR(__xludf.DUMMYFUNCTION("""COMPUTED_VALUE"""),"Cajero(a) B 2º categoria")</f>
        <v>Cajero(a) B 2º categoria</v>
      </c>
      <c r="C76" s="22"/>
      <c r="D76" s="22">
        <f>IFERROR(__xludf.DUMMYFUNCTION("""COMPUTED_VALUE"""),81.0)</f>
        <v>81</v>
      </c>
      <c r="E76" s="23" t="str">
        <f>IFERROR(__xludf.DUMMYFUNCTION("""COMPUTED_VALUE"""),"ESCUELA DE ARQUITECTURA")</f>
        <v>ESCUELA DE ARQUITECTURA</v>
      </c>
      <c r="F76" s="23">
        <f>IFERROR(__xludf.DUMMYFUNCTION("""COMPUTED_VALUE"""),15.0)</f>
        <v>15</v>
      </c>
      <c r="G76" s="23" t="s">
        <v>228</v>
      </c>
      <c r="H76" s="23"/>
    </row>
    <row r="77">
      <c r="A77" s="21" t="str">
        <f>IFERROR(__xludf.DUMMYFUNCTION("""COMPUTED_VALUE"""),"FACULTAD DE HUMANIDADES")</f>
        <v>FACULTAD DE HUMANIDADES</v>
      </c>
      <c r="B77" s="22" t="str">
        <f>IFERROR(__xludf.DUMMYFUNCTION("""COMPUTED_VALUE"""),"Camarógrafo(a)")</f>
        <v>Camarógrafo(a)</v>
      </c>
      <c r="C77" s="22"/>
      <c r="D77" s="22">
        <f>IFERROR(__xludf.DUMMYFUNCTION("""COMPUTED_VALUE"""),82.0)</f>
        <v>82</v>
      </c>
      <c r="E77" s="23" t="str">
        <f>IFERROR(__xludf.DUMMYFUNCTION("""COMPUTED_VALUE"""),"ESCUELA DE PSICOLOGIA")</f>
        <v>ESCUELA DE PSICOLOGIA</v>
      </c>
      <c r="F77" s="23">
        <f>IFERROR(__xludf.DUMMYFUNCTION("""COMPUTED_VALUE"""),55.0)</f>
        <v>55</v>
      </c>
      <c r="G77" s="23" t="s">
        <v>229</v>
      </c>
      <c r="H77" s="23"/>
    </row>
    <row r="78">
      <c r="A78" s="21" t="str">
        <f>IFERROR(__xludf.DUMMYFUNCTION("""COMPUTED_VALUE"""),"FACULTAD DE CIENCIAS MEDICAS")</f>
        <v>FACULTAD DE CIENCIAS MEDICAS</v>
      </c>
      <c r="B78" s="22" t="str">
        <f>IFERROR(__xludf.DUMMYFUNCTION("""COMPUTED_VALUE"""),"Chofer")</f>
        <v>Chofer</v>
      </c>
      <c r="C78" s="22"/>
      <c r="D78" s="22">
        <f>IFERROR(__xludf.DUMMYFUNCTION("""COMPUTED_VALUE"""),83.0)</f>
        <v>83</v>
      </c>
      <c r="E78" s="23" t="str">
        <f>IFERROR(__xludf.DUMMYFUNCTION("""COMPUTED_VALUE"""),"FACULTAD DE CIENCIAS MEDICAS")</f>
        <v>FACULTAD DE CIENCIAS MEDICAS</v>
      </c>
      <c r="F78" s="23">
        <f>IFERROR(__xludf.DUMMYFUNCTION("""COMPUTED_VALUE"""),83.0)</f>
        <v>83</v>
      </c>
      <c r="G78" s="23" t="s">
        <v>230</v>
      </c>
      <c r="H78" s="23"/>
    </row>
    <row r="79">
      <c r="A79" s="21" t="str">
        <f>IFERROR(__xludf.DUMMYFUNCTION("""COMPUTED_VALUE"""),"FACULTAD DE CIENCIAS MEDICAS")</f>
        <v>FACULTAD DE CIENCIAS MEDICAS</v>
      </c>
      <c r="B79" s="22" t="str">
        <f>IFERROR(__xludf.DUMMYFUNCTION("""COMPUTED_VALUE"""),"Consejero(a) Académico(a)")</f>
        <v>Consejero(a) Académico(a)</v>
      </c>
      <c r="C79" s="22"/>
      <c r="D79" s="22">
        <f>IFERROR(__xludf.DUMMYFUNCTION("""COMPUTED_VALUE"""),84.0)</f>
        <v>84</v>
      </c>
      <c r="E79" s="23" t="str">
        <f>IFERROR(__xludf.DUMMYFUNCTION("""COMPUTED_VALUE"""),"ESCUELA DE MEDICINA")</f>
        <v>ESCUELA DE MEDICINA</v>
      </c>
      <c r="F79" s="23">
        <f>IFERROR(__xludf.DUMMYFUNCTION("""COMPUTED_VALUE"""),83.0)</f>
        <v>83</v>
      </c>
      <c r="G79" s="23" t="s">
        <v>231</v>
      </c>
      <c r="H79" s="23"/>
    </row>
    <row r="80">
      <c r="A80" s="21" t="str">
        <f>IFERROR(__xludf.DUMMYFUNCTION("""COMPUTED_VALUE"""),"FACULTAD DE CIENCIAS MEDICAS")</f>
        <v>FACULTAD DE CIENCIAS MEDICAS</v>
      </c>
      <c r="B80" s="22" t="str">
        <f>IFERROR(__xludf.DUMMYFUNCTION("""COMPUTED_VALUE"""),"Constructor(a) Civil")</f>
        <v>Constructor(a) Civil</v>
      </c>
      <c r="C80" s="22"/>
      <c r="D80" s="22">
        <f>IFERROR(__xludf.DUMMYFUNCTION("""COMPUTED_VALUE"""),85.0)</f>
        <v>85</v>
      </c>
      <c r="E80" s="23" t="str">
        <f>IFERROR(__xludf.DUMMYFUNCTION("""COMPUTED_VALUE"""),"ESCUELA DE ENFERMERIA")</f>
        <v>ESCUELA DE ENFERMERIA</v>
      </c>
      <c r="F80" s="23">
        <f>IFERROR(__xludf.DUMMYFUNCTION("""COMPUTED_VALUE"""),83.0)</f>
        <v>83</v>
      </c>
      <c r="G80" s="23" t="s">
        <v>232</v>
      </c>
      <c r="H80" s="23"/>
    </row>
    <row r="81">
      <c r="A81" s="21" t="str">
        <f>IFERROR(__xludf.DUMMYFUNCTION("""COMPUTED_VALUE"""),"FACULTAD DE CIENCIAS MEDICAS")</f>
        <v>FACULTAD DE CIENCIAS MEDICAS</v>
      </c>
      <c r="B81" s="22" t="str">
        <f>IFERROR(__xludf.DUMMYFUNCTION("""COMPUTED_VALUE"""),"Desarrollador(a) Técnico(a) TI")</f>
        <v>Desarrollador(a) Técnico(a) TI</v>
      </c>
      <c r="C81" s="22"/>
      <c r="D81" s="22">
        <f>IFERROR(__xludf.DUMMYFUNCTION("""COMPUTED_VALUE"""),86.0)</f>
        <v>86</v>
      </c>
      <c r="E81" s="23" t="str">
        <f>IFERROR(__xludf.DUMMYFUNCTION("""COMPUTED_VALUE"""),"ESCUELA DE OBST Y PUERICULTURA")</f>
        <v>ESCUELA DE OBST Y PUERICULTURA</v>
      </c>
      <c r="F81" s="23">
        <f>IFERROR(__xludf.DUMMYFUNCTION("""COMPUTED_VALUE"""),83.0)</f>
        <v>83</v>
      </c>
      <c r="G81" s="23" t="s">
        <v>233</v>
      </c>
      <c r="H81" s="23"/>
    </row>
    <row r="82">
      <c r="A82" s="21" t="str">
        <f>IFERROR(__xludf.DUMMYFUNCTION("""COMPUTED_VALUE"""),"FACULTAD DE CIENCIAS MEDICAS")</f>
        <v>FACULTAD DE CIENCIAS MEDICAS</v>
      </c>
      <c r="B82" s="22" t="str">
        <f>IFERROR(__xludf.DUMMYFUNCTION("""COMPUTED_VALUE"""),"Dibujante Proyectista")</f>
        <v>Dibujante Proyectista</v>
      </c>
      <c r="C82" s="22"/>
      <c r="D82" s="22">
        <f>IFERROR(__xludf.DUMMYFUNCTION("""COMPUTED_VALUE"""),87.0)</f>
        <v>87</v>
      </c>
      <c r="E82" s="23" t="str">
        <f>IFERROR(__xludf.DUMMYFUNCTION("""COMPUTED_VALUE"""),"CARRERA LICEN CS. ACTIV. FISIC")</f>
        <v>CARRERA LICEN CS. ACTIV. FISIC</v>
      </c>
      <c r="F82" s="23">
        <f>IFERROR(__xludf.DUMMYFUNCTION("""COMPUTED_VALUE"""),83.0)</f>
        <v>83</v>
      </c>
      <c r="G82" s="23" t="s">
        <v>234</v>
      </c>
      <c r="H82" s="23"/>
    </row>
    <row r="83">
      <c r="A83" s="21" t="str">
        <f>IFERROR(__xludf.DUMMYFUNCTION("""COMPUTED_VALUE"""),"FACULTAD DE CIENCIAS MEDICAS")</f>
        <v>FACULTAD DE CIENCIAS MEDICAS</v>
      </c>
      <c r="B83" s="22" t="str">
        <f>IFERROR(__xludf.DUMMYFUNCTION("""COMPUTED_VALUE"""),"Directivo(a) Superior")</f>
        <v>Directivo(a) Superior</v>
      </c>
      <c r="C83" s="22"/>
      <c r="D83" s="22">
        <f>IFERROR(__xludf.DUMMYFUNCTION("""COMPUTED_VALUE"""),88.0)</f>
        <v>88</v>
      </c>
      <c r="E83" s="23" t="str">
        <f>IFERROR(__xludf.DUMMYFUNCTION("""COMPUTED_VALUE"""),"CLINICA DOCENTE ASISTENCIAL")</f>
        <v>CLINICA DOCENTE ASISTENCIAL</v>
      </c>
      <c r="F83" s="23">
        <f>IFERROR(__xludf.DUMMYFUNCTION("""COMPUTED_VALUE"""),83.0)</f>
        <v>83</v>
      </c>
      <c r="G83" s="23" t="s">
        <v>235</v>
      </c>
      <c r="H83" s="23"/>
    </row>
    <row r="84">
      <c r="A84" s="21" t="str">
        <f>IFERROR(__xludf.DUMMYFUNCTION("""COMPUTED_VALUE"""),"VR. DE VINCULACION CON EL MEDIO")</f>
        <v>VR. DE VINCULACION CON EL MEDIO</v>
      </c>
      <c r="B84" s="22" t="str">
        <f>IFERROR(__xludf.DUMMYFUNCTION("""COMPUTED_VALUE"""),"Director Ejecutivo de Unidad UNICIT")</f>
        <v>Director Ejecutivo de Unidad UNICIT</v>
      </c>
      <c r="C84" s="22"/>
      <c r="D84" s="22">
        <f>IFERROR(__xludf.DUMMYFUNCTION("""COMPUTED_VALUE"""),92.0)</f>
        <v>92</v>
      </c>
      <c r="E84" s="23" t="str">
        <f>IFERROR(__xludf.DUMMYFUNCTION("""COMPUTED_VALUE"""),"SELLO EDITORIAL")</f>
        <v>SELLO EDITORIAL</v>
      </c>
      <c r="F84" s="23">
        <f>IFERROR(__xludf.DUMMYFUNCTION("""COMPUTED_VALUE"""),120.0)</f>
        <v>120</v>
      </c>
      <c r="G84" s="23" t="s">
        <v>236</v>
      </c>
      <c r="H84" s="23"/>
    </row>
    <row r="85">
      <c r="A85" s="21" t="str">
        <f>IFERROR(__xludf.DUMMYFUNCTION("""COMPUTED_VALUE"""),"FACULTAD DE QUIMICA Y BIOLOGIA")</f>
        <v>FACULTAD DE QUIMICA Y BIOLOGIA</v>
      </c>
      <c r="B85" s="22" t="str">
        <f>IFERROR(__xludf.DUMMYFUNCTION("""COMPUTED_VALUE"""),"Director(a) Unidad Académica")</f>
        <v>Director(a) Unidad Académica</v>
      </c>
      <c r="C85" s="22"/>
      <c r="D85" s="22">
        <f>IFERROR(__xludf.DUMMYFUNCTION("""COMPUTED_VALUE"""),95.0)</f>
        <v>95</v>
      </c>
      <c r="E85" s="23" t="str">
        <f>IFERROR(__xludf.DUMMYFUNCTION("""COMPUTED_VALUE"""),"FACULTAD DE QUIMICA Y BIOLOGIA")</f>
        <v>FACULTAD DE QUIMICA Y BIOLOGIA</v>
      </c>
      <c r="F85" s="23">
        <f>IFERROR(__xludf.DUMMYFUNCTION("""COMPUTED_VALUE"""),95.0)</f>
        <v>95</v>
      </c>
      <c r="G85" s="23" t="s">
        <v>237</v>
      </c>
      <c r="H85" s="23"/>
    </row>
    <row r="86">
      <c r="A86" s="21" t="str">
        <f>IFERROR(__xludf.DUMMYFUNCTION("""COMPUTED_VALUE"""),"FACULTAD DE QUIMICA Y BIOLOGIA")</f>
        <v>FACULTAD DE QUIMICA Y BIOLOGIA</v>
      </c>
      <c r="B86" s="22" t="str">
        <f>IFERROR(__xludf.DUMMYFUNCTION("""COMPUTED_VALUE"""),"Diseñador(a) Gráfico(a)")</f>
        <v>Diseñador(a) Gráfico(a)</v>
      </c>
      <c r="C86" s="22"/>
      <c r="D86" s="22">
        <f>IFERROR(__xludf.DUMMYFUNCTION("""COMPUTED_VALUE"""),96.0)</f>
        <v>96</v>
      </c>
      <c r="E86" s="23" t="str">
        <f>IFERROR(__xludf.DUMMYFUNCTION("""COMPUTED_VALUE"""),"DPTO. DE QUIMICA DE LOS MATERIALE")</f>
        <v>DPTO. DE QUIMICA DE LOS MATERIALE</v>
      </c>
      <c r="F86" s="23">
        <f>IFERROR(__xludf.DUMMYFUNCTION("""COMPUTED_VALUE"""),95.0)</f>
        <v>95</v>
      </c>
      <c r="G86" s="23" t="s">
        <v>238</v>
      </c>
      <c r="H86" s="23"/>
    </row>
    <row r="87">
      <c r="A87" s="21" t="str">
        <f>IFERROR(__xludf.DUMMYFUNCTION("""COMPUTED_VALUE"""),"FACULTAD DE QUIMICA Y BIOLOGIA")</f>
        <v>FACULTAD DE QUIMICA Y BIOLOGIA</v>
      </c>
      <c r="B87" s="22" t="str">
        <f>IFERROR(__xludf.DUMMYFUNCTION("""COMPUTED_VALUE"""),"Editor(a)")</f>
        <v>Editor(a)</v>
      </c>
      <c r="C87" s="22"/>
      <c r="D87" s="22">
        <f>IFERROR(__xludf.DUMMYFUNCTION("""COMPUTED_VALUE"""),97.0)</f>
        <v>97</v>
      </c>
      <c r="E87" s="23" t="str">
        <f>IFERROR(__xludf.DUMMYFUNCTION("""COMPUTED_VALUE"""),"DPTO. DE BIOLOGIA")</f>
        <v>DPTO. DE BIOLOGIA</v>
      </c>
      <c r="F87" s="23">
        <f>IFERROR(__xludf.DUMMYFUNCTION("""COMPUTED_VALUE"""),95.0)</f>
        <v>95</v>
      </c>
      <c r="G87" s="23" t="s">
        <v>239</v>
      </c>
      <c r="H87" s="23"/>
    </row>
    <row r="88">
      <c r="A88" s="21" t="str">
        <f>IFERROR(__xludf.DUMMYFUNCTION("""COMPUTED_VALUE"""),"FACULTAD DE QUIMICA Y BIOLOGIA")</f>
        <v>FACULTAD DE QUIMICA Y BIOLOGIA</v>
      </c>
      <c r="B88" s="22" t="str">
        <f>IFERROR(__xludf.DUMMYFUNCTION("""COMPUTED_VALUE"""),"Educador(a) de Párvulos")</f>
        <v>Educador(a) de Párvulos</v>
      </c>
      <c r="C88" s="22"/>
      <c r="D88" s="22">
        <f>IFERROR(__xludf.DUMMYFUNCTION("""COMPUTED_VALUE"""),98.0)</f>
        <v>98</v>
      </c>
      <c r="E88" s="23" t="str">
        <f>IFERROR(__xludf.DUMMYFUNCTION("""COMPUTED_VALUE"""),"DPTO. DE CIENCIAS DEL AMBIENTE")</f>
        <v>DPTO. DE CIENCIAS DEL AMBIENTE</v>
      </c>
      <c r="F88" s="23">
        <f>IFERROR(__xludf.DUMMYFUNCTION("""COMPUTED_VALUE"""),95.0)</f>
        <v>95</v>
      </c>
      <c r="G88" s="23" t="s">
        <v>240</v>
      </c>
      <c r="H88" s="23"/>
    </row>
    <row r="89">
      <c r="A89" s="21" t="str">
        <f>IFERROR(__xludf.DUMMYFUNCTION("""COMPUTED_VALUE"""),"FACULTAD DE QUIMICA Y BIOLOGIA")</f>
        <v>FACULTAD DE QUIMICA Y BIOLOGIA</v>
      </c>
      <c r="B89" s="22" t="str">
        <f>IFERROR(__xludf.DUMMYFUNCTION("""COMPUTED_VALUE"""),"Encargado(a) de Ceremonial y Protocolo")</f>
        <v>Encargado(a) de Ceremonial y Protocolo</v>
      </c>
      <c r="C89" s="22"/>
      <c r="D89" s="22">
        <f>IFERROR(__xludf.DUMMYFUNCTION("""COMPUTED_VALUE"""),99.0)</f>
        <v>99</v>
      </c>
      <c r="E89" s="23" t="str">
        <f>IFERROR(__xludf.DUMMYFUNCTION("""COMPUTED_VALUE"""),"DETECCION CLINICA COVID-19")</f>
        <v>DETECCION CLINICA COVID-19</v>
      </c>
      <c r="F89" s="23">
        <f>IFERROR(__xludf.DUMMYFUNCTION("""COMPUTED_VALUE"""),95.0)</f>
        <v>95</v>
      </c>
      <c r="G89" s="23" t="s">
        <v>241</v>
      </c>
      <c r="H89" s="23"/>
    </row>
    <row r="90">
      <c r="A90" s="21" t="str">
        <f>IFERROR(__xludf.DUMMYFUNCTION("""COMPUTED_VALUE"""),"SDT")</f>
        <v>SDT</v>
      </c>
      <c r="B90" s="22" t="str">
        <f>IFERROR(__xludf.DUMMYFUNCTION("""COMPUTED_VALUE"""),"Encargado(a) Técnico(a) de Laboratorio")</f>
        <v>Encargado(a) Técnico(a) de Laboratorio</v>
      </c>
      <c r="C90" s="22"/>
      <c r="D90" s="22">
        <f>IFERROR(__xludf.DUMMYFUNCTION("""COMPUTED_VALUE"""),100.0)</f>
        <v>100</v>
      </c>
      <c r="E90" s="23" t="str">
        <f>IFERROR(__xludf.DUMMYFUNCTION("""COMPUTED_VALUE"""),"SDT")</f>
        <v>SDT</v>
      </c>
      <c r="F90" s="23">
        <f>IFERROR(__xludf.DUMMYFUNCTION("""COMPUTED_VALUE"""),100.0)</f>
        <v>100</v>
      </c>
      <c r="G90" s="23" t="s">
        <v>242</v>
      </c>
      <c r="H90" s="23"/>
    </row>
    <row r="91">
      <c r="A91" s="21" t="str">
        <f>IFERROR(__xludf.DUMMYFUNCTION("""COMPUTED_VALUE"""),"VR. DE INVEST. DESARR E INNOVACION")</f>
        <v>VR. DE INVEST. DESARR E INNOVACION</v>
      </c>
      <c r="B91" s="22" t="str">
        <f>IFERROR(__xludf.DUMMYFUNCTION("""COMPUTED_VALUE"""),"Encargado(a) de Bodega, Bienes y Servicios")</f>
        <v>Encargado(a) de Bodega, Bienes y Servicios</v>
      </c>
      <c r="C91" s="22"/>
      <c r="D91" s="22">
        <f>IFERROR(__xludf.DUMMYFUNCTION("""COMPUTED_VALUE"""),101.0)</f>
        <v>101</v>
      </c>
      <c r="E91" s="23" t="str">
        <f>IFERROR(__xludf.DUMMYFUNCTION("""COMPUTED_VALUE"""),"CENTRO DE INNOV. Y TRANSFER.TECN")</f>
        <v>CENTRO DE INNOV. Y TRANSFER.TECN</v>
      </c>
      <c r="F91" s="23">
        <f>IFERROR(__xludf.DUMMYFUNCTION("""COMPUTED_VALUE"""),11.0)</f>
        <v>11</v>
      </c>
      <c r="G91" s="23" t="s">
        <v>243</v>
      </c>
      <c r="H91" s="23"/>
    </row>
    <row r="92">
      <c r="A92" s="21" t="str">
        <f>IFERROR(__xludf.DUMMYFUNCTION("""COMPUTED_VALUE"""),"PRORRECTORIA")</f>
        <v>PRORRECTORIA</v>
      </c>
      <c r="B92" s="22" t="str">
        <f>IFERROR(__xludf.DUMMYFUNCTION("""COMPUTED_VALUE"""),"Encargado(a) de Bodega, Bienes y Servicios Especializados")</f>
        <v>Encargado(a) de Bodega, Bienes y Servicios Especializados</v>
      </c>
      <c r="C92" s="22"/>
      <c r="D92" s="22">
        <f>IFERROR(__xludf.DUMMYFUNCTION("""COMPUTED_VALUE"""),102.0)</f>
        <v>102</v>
      </c>
      <c r="E92" s="23" t="str">
        <f>IFERROR(__xludf.DUMMYFUNCTION("""COMPUTED_VALUE"""),"UNIDAD DE COORDINACION INSTIT.")</f>
        <v>UNIDAD DE COORDINACION INSTIT.</v>
      </c>
      <c r="F92" s="23">
        <f>IFERROR(__xludf.DUMMYFUNCTION("""COMPUTED_VALUE"""),3.0)</f>
        <v>3</v>
      </c>
      <c r="G92" s="23" t="s">
        <v>244</v>
      </c>
      <c r="H92" s="23"/>
    </row>
    <row r="93">
      <c r="A93" s="21" t="str">
        <f>IFERROR(__xludf.DUMMYFUNCTION("""COMPUTED_VALUE"""),"LICEOS PRIORITARIOS")</f>
        <v>LICEOS PRIORITARIOS</v>
      </c>
      <c r="B93" s="22" t="str">
        <f>IFERROR(__xludf.DUMMYFUNCTION("""COMPUTED_VALUE"""),"Encargado(a) Administrativo(a) de Centro de Costo")</f>
        <v>Encargado(a) Administrativo(a) de Centro de Costo</v>
      </c>
      <c r="C93" s="22"/>
      <c r="D93" s="22">
        <f>IFERROR(__xludf.DUMMYFUNCTION("""COMPUTED_VALUE"""),103.0)</f>
        <v>103</v>
      </c>
      <c r="E93" s="23" t="str">
        <f>IFERROR(__xludf.DUMMYFUNCTION("""COMPUTED_VALUE"""),"LICEOS PRIORITARIOS")</f>
        <v>LICEOS PRIORITARIOS</v>
      </c>
      <c r="F93" s="23">
        <f>IFERROR(__xludf.DUMMYFUNCTION("""COMPUTED_VALUE"""),103.0)</f>
        <v>103</v>
      </c>
      <c r="G93" s="23" t="s">
        <v>245</v>
      </c>
      <c r="H93" s="23"/>
    </row>
    <row r="94">
      <c r="A94" s="21" t="str">
        <f>IFERROR(__xludf.DUMMYFUNCTION("""COMPUTED_VALUE"""),"CENTRO DE INSTITUTOS Y PROGRAMAS")</f>
        <v>CENTRO DE INSTITUTOS Y PROGRAMAS</v>
      </c>
      <c r="B94" s="22" t="str">
        <f>IFERROR(__xludf.DUMMYFUNCTION("""COMPUTED_VALUE"""),"Encargado(a) Administrativo(a) de Unidad")</f>
        <v>Encargado(a) Administrativo(a) de Unidad</v>
      </c>
      <c r="C94" s="22"/>
      <c r="D94" s="22">
        <f>IFERROR(__xludf.DUMMYFUNCTION("""COMPUTED_VALUE"""),104.0)</f>
        <v>104</v>
      </c>
      <c r="E94" s="23" t="str">
        <f>IFERROR(__xludf.DUMMYFUNCTION("""COMPUTED_VALUE"""),"PREUSACH")</f>
        <v>PREUSACH</v>
      </c>
      <c r="F94" s="23">
        <f>IFERROR(__xludf.DUMMYFUNCTION("""COMPUTED_VALUE"""),300.0)</f>
        <v>300</v>
      </c>
      <c r="G94" s="23" t="s">
        <v>246</v>
      </c>
      <c r="H94" s="23"/>
    </row>
    <row r="95">
      <c r="A95" s="21" t="str">
        <f>IFERROR(__xludf.DUMMYFUNCTION("""COMPUTED_VALUE"""),"VR. DE INVEST. DESARR E INNOVACION")</f>
        <v>VR. DE INVEST. DESARR E INNOVACION</v>
      </c>
      <c r="B95" s="22" t="str">
        <f>IFERROR(__xludf.DUMMYFUNCTION("""COMPUTED_VALUE"""),"Encargado(a) de Laboratorio")</f>
        <v>Encargado(a) de Laboratorio</v>
      </c>
      <c r="C95" s="22"/>
      <c r="D95" s="22">
        <f>IFERROR(__xludf.DUMMYFUNCTION("""COMPUTED_VALUE"""),105.0)</f>
        <v>105</v>
      </c>
      <c r="E95" s="23" t="str">
        <f>IFERROR(__xludf.DUMMYFUNCTION("""COMPUTED_VALUE"""),"CEUS LLANQUIHUE USACH")</f>
        <v>CEUS LLANQUIHUE USACH</v>
      </c>
      <c r="F95" s="23">
        <f>IFERROR(__xludf.DUMMYFUNCTION("""COMPUTED_VALUE"""),11.0)</f>
        <v>11</v>
      </c>
      <c r="G95" s="23" t="s">
        <v>247</v>
      </c>
      <c r="H95" s="23"/>
    </row>
    <row r="96">
      <c r="A96" s="21" t="str">
        <f>IFERROR(__xludf.DUMMYFUNCTION("""COMPUTED_VALUE"""),"FACULTAD DE INGENIERIA")</f>
        <v>FACULTAD DE INGENIERIA</v>
      </c>
      <c r="B96" s="22" t="str">
        <f>IFERROR(__xludf.DUMMYFUNCTION("""COMPUTED_VALUE"""),"Encargado(a) de Laboratorio UNICIT")</f>
        <v>Encargado(a) de Laboratorio UNICIT</v>
      </c>
      <c r="C96" s="22"/>
      <c r="D96" s="22">
        <f>IFERROR(__xludf.DUMMYFUNCTION("""COMPUTED_VALUE"""),106.0)</f>
        <v>106</v>
      </c>
      <c r="E96" s="23" t="str">
        <f>IFERROR(__xludf.DUMMYFUNCTION("""COMPUTED_VALUE"""),"CENTRO DE INTEGR ING SOCIEDAD")</f>
        <v>CENTRO DE INTEGR ING SOCIEDAD</v>
      </c>
      <c r="F96" s="23">
        <f>IFERROR(__xludf.DUMMYFUNCTION("""COMPUTED_VALUE"""),40.0)</f>
        <v>40</v>
      </c>
      <c r="G96" s="23" t="s">
        <v>248</v>
      </c>
      <c r="H96" s="23"/>
    </row>
    <row r="97">
      <c r="A97" s="21" t="str">
        <f>IFERROR(__xludf.DUMMYFUNCTION("""COMPUTED_VALUE"""),"SDT")</f>
        <v>SDT</v>
      </c>
      <c r="B97" s="22" t="str">
        <f>IFERROR(__xludf.DUMMYFUNCTION("""COMPUTED_VALUE"""),"Encargado(a) de Sala")</f>
        <v>Encargado(a) de Sala</v>
      </c>
      <c r="C97" s="22"/>
      <c r="D97" s="22">
        <f>IFERROR(__xludf.DUMMYFUNCTION("""COMPUTED_VALUE"""),107.0)</f>
        <v>107</v>
      </c>
      <c r="E97" s="23" t="str">
        <f>IFERROR(__xludf.DUMMYFUNCTION("""COMPUTED_VALUE"""),"FUNDACION UNIVERSIT EMPRESA")</f>
        <v>FUNDACION UNIVERSIT EMPRESA</v>
      </c>
      <c r="F97" s="23">
        <f>IFERROR(__xludf.DUMMYFUNCTION("""COMPUTED_VALUE"""),100.0)</f>
        <v>100</v>
      </c>
      <c r="G97" s="23" t="s">
        <v>249</v>
      </c>
      <c r="H97" s="23"/>
    </row>
    <row r="98">
      <c r="A98" s="21" t="str">
        <f>IFERROR(__xludf.DUMMYFUNCTION("""COMPUTED_VALUE"""),"VR. DE VINCULACION CON EL MEDIO")</f>
        <v>VR. DE VINCULACION CON EL MEDIO</v>
      </c>
      <c r="B98" s="22" t="str">
        <f>IFERROR(__xludf.DUMMYFUNCTION("""COMPUTED_VALUE"""),"Encargado(a) de Turno")</f>
        <v>Encargado(a) de Turno</v>
      </c>
      <c r="C98" s="22"/>
      <c r="D98" s="22">
        <f>IFERROR(__xludf.DUMMYFUNCTION("""COMPUTED_VALUE"""),108.0)</f>
        <v>108</v>
      </c>
      <c r="E98" s="23" t="str">
        <f>IFERROR(__xludf.DUMMYFUNCTION("""COMPUTED_VALUE"""),"DPTO. DE EDUCACION CONTINUA")</f>
        <v>DPTO. DE EDUCACION CONTINUA</v>
      </c>
      <c r="F98" s="23">
        <f>IFERROR(__xludf.DUMMYFUNCTION("""COMPUTED_VALUE"""),120.0)</f>
        <v>120</v>
      </c>
      <c r="G98" s="23" t="s">
        <v>250</v>
      </c>
      <c r="H98" s="23"/>
    </row>
    <row r="99">
      <c r="A99" s="21" t="str">
        <f>IFERROR(__xludf.DUMMYFUNCTION("""COMPUTED_VALUE"""),"SDT")</f>
        <v>SDT</v>
      </c>
      <c r="B99" s="22" t="str">
        <f>IFERROR(__xludf.DUMMYFUNCTION("""COMPUTED_VALUE"""),"Encargado(a) de Unidad Menor")</f>
        <v>Encargado(a) de Unidad Menor</v>
      </c>
      <c r="C99" s="22"/>
      <c r="D99" s="22">
        <f>IFERROR(__xludf.DUMMYFUNCTION("""COMPUTED_VALUE"""),109.0)</f>
        <v>109</v>
      </c>
      <c r="E99" s="23" t="str">
        <f>IFERROR(__xludf.DUMMYFUNCTION("""COMPUTED_VALUE"""),"CAPACITACION USACH LMTDA")</f>
        <v>CAPACITACION USACH LMTDA</v>
      </c>
      <c r="F99" s="23">
        <f>IFERROR(__xludf.DUMMYFUNCTION("""COMPUTED_VALUE"""),100.0)</f>
        <v>100</v>
      </c>
      <c r="G99" s="23" t="s">
        <v>251</v>
      </c>
      <c r="H99" s="23"/>
    </row>
    <row r="100">
      <c r="A100" s="21" t="str">
        <f>IFERROR(__xludf.DUMMYFUNCTION("""COMPUTED_VALUE"""),"VR. DE POSTGRADO")</f>
        <v>VR. DE POSTGRADO</v>
      </c>
      <c r="B100" s="22" t="str">
        <f>IFERROR(__xludf.DUMMYFUNCTION("""COMPUTED_VALUE"""),"Encargado(a) de Vinculación con el Medio")</f>
        <v>Encargado(a) de Vinculación con el Medio</v>
      </c>
      <c r="C100" s="22"/>
      <c r="D100" s="22">
        <f>IFERROR(__xludf.DUMMYFUNCTION("""COMPUTED_VALUE"""),110.0)</f>
        <v>110</v>
      </c>
      <c r="E100" s="23" t="str">
        <f>IFERROR(__xludf.DUMMYFUNCTION("""COMPUTED_VALUE"""),"VR. DE POSTGRADO")</f>
        <v>VR. DE POSTGRADO</v>
      </c>
      <c r="F100" s="23">
        <f>IFERROR(__xludf.DUMMYFUNCTION("""COMPUTED_VALUE"""),110.0)</f>
        <v>110</v>
      </c>
      <c r="G100" s="23" t="s">
        <v>252</v>
      </c>
    </row>
    <row r="101">
      <c r="A101" s="21" t="str">
        <f>IFERROR(__xludf.DUMMYFUNCTION("""COMPUTED_VALUE"""),"VR. ACADEMICA")</f>
        <v>VR. ACADEMICA</v>
      </c>
      <c r="B101" s="22" t="str">
        <f>IFERROR(__xludf.DUMMYFUNCTION("""COMPUTED_VALUE"""),"Enfermero(a)")</f>
        <v>Enfermero(a)</v>
      </c>
      <c r="C101" s="22"/>
      <c r="D101" s="22">
        <f>IFERROR(__xludf.DUMMYFUNCTION("""COMPUTED_VALUE"""),111.0)</f>
        <v>111</v>
      </c>
      <c r="E101" s="23" t="str">
        <f>IFERROR(__xludf.DUMMYFUNCTION("""COMPUTED_VALUE"""),"UNIDAD DE ADMISION")</f>
        <v>UNIDAD DE ADMISION</v>
      </c>
      <c r="F101" s="23">
        <f>IFERROR(__xludf.DUMMYFUNCTION("""COMPUTED_VALUE"""),15.0)</f>
        <v>15</v>
      </c>
      <c r="G101" s="23" t="s">
        <v>253</v>
      </c>
    </row>
    <row r="102">
      <c r="A102" s="21" t="str">
        <f>IFERROR(__xludf.DUMMYFUNCTION("""COMPUTED_VALUE"""),"VR. DE INVEST. DESARR E INNOVACION")</f>
        <v>VR. DE INVEST. DESARR E INNOVACION</v>
      </c>
      <c r="B102" s="22" t="str">
        <f>IFERROR(__xludf.DUMMYFUNCTION("""COMPUTED_VALUE"""),"Entrenador(a) Deportivo(a)")</f>
        <v>Entrenador(a) Deportivo(a)</v>
      </c>
      <c r="C102" s="22"/>
      <c r="D102" s="22">
        <f>IFERROR(__xludf.DUMMYFUNCTION("""COMPUTED_VALUE"""),112.0)</f>
        <v>112</v>
      </c>
      <c r="E102" s="23" t="str">
        <f>IFERROR(__xludf.DUMMYFUNCTION("""COMPUTED_VALUE"""),"DPTO. DE TRANSFERENCIA TECNOLOGICA")</f>
        <v>DPTO. DE TRANSFERENCIA TECNOLOGICA</v>
      </c>
      <c r="F102" s="23">
        <f>IFERROR(__xludf.DUMMYFUNCTION("""COMPUTED_VALUE"""),11.0)</f>
        <v>11</v>
      </c>
      <c r="G102" s="23" t="s">
        <v>254</v>
      </c>
    </row>
    <row r="103">
      <c r="A103" s="21" t="str">
        <f>IFERROR(__xludf.DUMMYFUNCTION("""COMPUTED_VALUE"""),"VR. DE INVEST. DESARR E INNOVACION")</f>
        <v>VR. DE INVEST. DESARR E INNOVACION</v>
      </c>
      <c r="B103" s="22" t="str">
        <f>IFERROR(__xludf.DUMMYFUNCTION("""COMPUTED_VALUE"""),"Estafeta")</f>
        <v>Estafeta</v>
      </c>
      <c r="C103" s="22"/>
      <c r="D103" s="22">
        <f>IFERROR(__xludf.DUMMYFUNCTION("""COMPUTED_VALUE"""),113.0)</f>
        <v>113</v>
      </c>
      <c r="E103" s="23" t="str">
        <f>IFERROR(__xludf.DUMMYFUNCTION("""COMPUTED_VALUE"""),"UNIDAD DE COORDINACION DE CENTROS")</f>
        <v>UNIDAD DE COORDINACION DE CENTROS</v>
      </c>
      <c r="F103" s="23">
        <f>IFERROR(__xludf.DUMMYFUNCTION("""COMPUTED_VALUE"""),11.0)</f>
        <v>11</v>
      </c>
      <c r="G103" s="23" t="s">
        <v>255</v>
      </c>
    </row>
    <row r="104">
      <c r="A104" s="21" t="str">
        <f>IFERROR(__xludf.DUMMYFUNCTION("""COMPUTED_VALUE"""),"VR. DE APOYO AL ESTUDIANTE")</f>
        <v>VR. DE APOYO AL ESTUDIANTE</v>
      </c>
      <c r="B104" s="22" t="str">
        <f>IFERROR(__xludf.DUMMYFUNCTION("""COMPUTED_VALUE"""),"Fotógrafo(a)")</f>
        <v>Fotógrafo(a)</v>
      </c>
      <c r="C104" s="22"/>
      <c r="D104" s="22">
        <f>IFERROR(__xludf.DUMMYFUNCTION("""COMPUTED_VALUE"""),114.0)</f>
        <v>114</v>
      </c>
      <c r="E104" s="23" t="str">
        <f>IFERROR(__xludf.DUMMYFUNCTION("""COMPUTED_VALUE"""),"DPTO. DE CALIDAD VIDA ESTUDIAN")</f>
        <v>DPTO. DE CALIDAD VIDA ESTUDIAN</v>
      </c>
      <c r="F104" s="23">
        <f>IFERROR(__xludf.DUMMYFUNCTION("""COMPUTED_VALUE"""),22.0)</f>
        <v>22</v>
      </c>
      <c r="G104" s="23" t="s">
        <v>256</v>
      </c>
    </row>
    <row r="105">
      <c r="A105" s="21" t="str">
        <f>IFERROR(__xludf.DUMMYFUNCTION("""COMPUTED_VALUE"""),"VR. ACADEMICA")</f>
        <v>VR. ACADEMICA</v>
      </c>
      <c r="B105" s="22" t="str">
        <f>IFERROR(__xludf.DUMMYFUNCTION("""COMPUTED_VALUE"""),"Ingeniero(a) Eléctrico(a)")</f>
        <v>Ingeniero(a) Eléctrico(a)</v>
      </c>
      <c r="C105" s="22"/>
      <c r="D105" s="22">
        <f>IFERROR(__xludf.DUMMYFUNCTION("""COMPUTED_VALUE"""),115.0)</f>
        <v>115</v>
      </c>
      <c r="E105" s="23" t="str">
        <f>IFERROR(__xludf.DUMMYFUNCTION("""COMPUTED_VALUE"""),"DIR. DE PREGRADO")</f>
        <v>DIR. DE PREGRADO</v>
      </c>
      <c r="F105" s="23">
        <f>IFERROR(__xludf.DUMMYFUNCTION("""COMPUTED_VALUE"""),15.0)</f>
        <v>15</v>
      </c>
      <c r="G105" s="23" t="s">
        <v>257</v>
      </c>
    </row>
    <row r="106">
      <c r="A106" s="21" t="str">
        <f>IFERROR(__xludf.DUMMYFUNCTION("""COMPUTED_VALUE"""),"FACULTAD TECNOLOGICA")</f>
        <v>FACULTAD TECNOLOGICA</v>
      </c>
      <c r="B106" s="22" t="str">
        <f>IFERROR(__xludf.DUMMYFUNCTION("""COMPUTED_VALUE"""),"Jefatura Superior")</f>
        <v>Jefatura Superior</v>
      </c>
      <c r="C106" s="22"/>
      <c r="D106" s="22">
        <f>IFERROR(__xludf.DUMMYFUNCTION("""COMPUTED_VALUE"""),116.0)</f>
        <v>116</v>
      </c>
      <c r="E106" s="23" t="str">
        <f>IFERROR(__xludf.DUMMYFUNCTION("""COMPUTED_VALUE"""),"DPTO. DE PUBLICIDAD E IMAGEN")</f>
        <v>DPTO. DE PUBLICIDAD E IMAGEN</v>
      </c>
      <c r="F106" s="23">
        <f>IFERROR(__xludf.DUMMYFUNCTION("""COMPUTED_VALUE"""),65.0)</f>
        <v>65</v>
      </c>
      <c r="G106" s="23" t="s">
        <v>258</v>
      </c>
    </row>
    <row r="107">
      <c r="A107" s="21" t="str">
        <f>IFERROR(__xludf.DUMMYFUNCTION("""COMPUTED_VALUE"""),"PRORRECTORIA")</f>
        <v>PRORRECTORIA</v>
      </c>
      <c r="B107" s="22" t="str">
        <f>IFERROR(__xludf.DUMMYFUNCTION("""COMPUTED_VALUE"""),"Jefe(a) de Administración y Finanzas")</f>
        <v>Jefe(a) de Administración y Finanzas</v>
      </c>
      <c r="C107" s="22"/>
      <c r="D107" s="22">
        <f>IFERROR(__xludf.DUMMYFUNCTION("""COMPUTED_VALUE"""),117.0)</f>
        <v>117</v>
      </c>
      <c r="E107" s="23" t="str">
        <f>IFERROR(__xludf.DUMMYFUNCTION("""COMPUTED_VALUE"""),"UNIDAD DE DESARR. PROYECTOS TECN.")</f>
        <v>UNIDAD DE DESARR. PROYECTOS TECN.</v>
      </c>
      <c r="F107" s="23">
        <f>IFERROR(__xludf.DUMMYFUNCTION("""COMPUTED_VALUE"""),3.0)</f>
        <v>3</v>
      </c>
      <c r="G107" s="23" t="s">
        <v>259</v>
      </c>
    </row>
    <row r="108">
      <c r="A108" s="21" t="str">
        <f>IFERROR(__xludf.DUMMYFUNCTION("""COMPUTED_VALUE"""),"VR. DE INVEST. DESARR E INNOVACION")</f>
        <v>VR. DE INVEST. DESARR E INNOVACION</v>
      </c>
      <c r="B108" s="22" t="str">
        <f>IFERROR(__xludf.DUMMYFUNCTION("""COMPUTED_VALUE"""),"Jefe(a) de Carrera")</f>
        <v>Jefe(a) de Carrera</v>
      </c>
      <c r="C108" s="22"/>
      <c r="D108" s="22">
        <f>IFERROR(__xludf.DUMMYFUNCTION("""COMPUTED_VALUE"""),118.0)</f>
        <v>118</v>
      </c>
      <c r="E108" s="23" t="str">
        <f>IFERROR(__xludf.DUMMYFUNCTION("""COMPUTED_VALUE"""),"CENTRO INNOVO ENVASES EMBALAJE")</f>
        <v>CENTRO INNOVO ENVASES EMBALAJE</v>
      </c>
      <c r="F108" s="23">
        <f>IFERROR(__xludf.DUMMYFUNCTION("""COMPUTED_VALUE"""),11.0)</f>
        <v>11</v>
      </c>
      <c r="G108" s="23" t="s">
        <v>260</v>
      </c>
    </row>
    <row r="109">
      <c r="A109" s="21" t="str">
        <f>IFERROR(__xludf.DUMMYFUNCTION("""COMPUTED_VALUE"""),"VR. DE VINCULACION CON EL MEDIO")</f>
        <v>VR. DE VINCULACION CON EL MEDIO</v>
      </c>
      <c r="B109" s="25" t="str">
        <f>IFERROR(__xludf.DUMMYFUNCTION("""COMPUTED_VALUE"""),"Jefe(a) de Área")</f>
        <v>Jefe(a) de Área</v>
      </c>
      <c r="C109" s="22"/>
      <c r="D109" s="22">
        <f>IFERROR(__xludf.DUMMYFUNCTION("""COMPUTED_VALUE"""),120.0)</f>
        <v>120</v>
      </c>
      <c r="E109" s="23" t="str">
        <f>IFERROR(__xludf.DUMMYFUNCTION("""COMPUTED_VALUE"""),"VR. DE VINCULACION CON EL MEDIO")</f>
        <v>VR. DE VINCULACION CON EL MEDIO</v>
      </c>
      <c r="F109" s="23">
        <f>IFERROR(__xludf.DUMMYFUNCTION("""COMPUTED_VALUE"""),120.0)</f>
        <v>120</v>
      </c>
      <c r="G109" s="23" t="s">
        <v>261</v>
      </c>
    </row>
    <row r="110">
      <c r="A110" s="21" t="str">
        <f>IFERROR(__xludf.DUMMYFUNCTION("""COMPUTED_VALUE"""),"FACULTAD DE DERECHO")</f>
        <v>FACULTAD DE DERECHO</v>
      </c>
      <c r="B110" s="22" t="str">
        <f>IFERROR(__xludf.DUMMYFUNCTION("""COMPUTED_VALUE"""),"Jefe(a) de Área UNICIT")</f>
        <v>Jefe(a) de Área UNICIT</v>
      </c>
      <c r="D110">
        <f>IFERROR(__xludf.DUMMYFUNCTION("""COMPUTED_VALUE"""),125.0)</f>
        <v>125</v>
      </c>
      <c r="E110" t="str">
        <f>IFERROR(__xludf.DUMMYFUNCTION("""COMPUTED_VALUE"""),"FACULTAD DE DERECHO")</f>
        <v>FACULTAD DE DERECHO</v>
      </c>
      <c r="F110" s="23">
        <f>IFERROR(__xludf.DUMMYFUNCTION("""COMPUTED_VALUE"""),125.0)</f>
        <v>125</v>
      </c>
      <c r="G110" s="23" t="s">
        <v>262</v>
      </c>
    </row>
    <row r="111">
      <c r="A111" s="21" t="str">
        <f>IFERROR(__xludf.DUMMYFUNCTION("""COMPUTED_VALUE"""),"VR. ACADEMICA")</f>
        <v>VR. ACADEMICA</v>
      </c>
      <c r="B111" s="22" t="str">
        <f>IFERROR(__xludf.DUMMYFUNCTION("""COMPUTED_VALUE"""),"Jefe(a) de Finanzas")</f>
        <v>Jefe(a) de Finanzas</v>
      </c>
      <c r="D111">
        <f>IFERROR(__xludf.DUMMYFUNCTION("""COMPUTED_VALUE"""),130.0)</f>
        <v>130</v>
      </c>
      <c r="E111" t="str">
        <f>IFERROR(__xludf.DUMMYFUNCTION("""COMPUTED_VALUE"""),"EDIFICIO DOCENTE APOQUINDO")</f>
        <v>EDIFICIO DOCENTE APOQUINDO</v>
      </c>
      <c r="F111" s="23">
        <f>IFERROR(__xludf.DUMMYFUNCTION("""COMPUTED_VALUE"""),110.0)</f>
        <v>110</v>
      </c>
      <c r="G111" s="23" t="s">
        <v>263</v>
      </c>
    </row>
    <row r="112">
      <c r="A112" s="21" t="str">
        <f>IFERROR(__xludf.DUMMYFUNCTION("""COMPUTED_VALUE"""),"PRORRECTORIA")</f>
        <v>PRORRECTORIA</v>
      </c>
      <c r="B112" s="22" t="str">
        <f>IFERROR(__xludf.DUMMYFUNCTION("""COMPUTED_VALUE"""),"Jefe(a) de Laboratorio")</f>
        <v>Jefe(a) de Laboratorio</v>
      </c>
      <c r="D112">
        <f>IFERROR(__xludf.DUMMYFUNCTION("""COMPUTED_VALUE"""),141.0)</f>
        <v>141</v>
      </c>
      <c r="E112" t="str">
        <f>IFERROR(__xludf.DUMMYFUNCTION("""COMPUTED_VALUE"""),"USA 1855 CONVENIO MARCO AÑO 3")</f>
        <v>USA 1855 CONVENIO MARCO AÑO 3</v>
      </c>
      <c r="F112" s="23">
        <f>IFERROR(__xludf.DUMMYFUNCTION("""COMPUTED_VALUE"""),3.0)</f>
        <v>3</v>
      </c>
      <c r="G112" s="23" t="s">
        <v>264</v>
      </c>
    </row>
    <row r="113">
      <c r="A113" s="21" t="str">
        <f>IFERROR(__xludf.DUMMYFUNCTION("""COMPUTED_VALUE"""),"PRORRECTORIA")</f>
        <v>PRORRECTORIA</v>
      </c>
      <c r="B113" s="22" t="str">
        <f>IFERROR(__xludf.DUMMYFUNCTION("""COMPUTED_VALUE"""),"Jefe(a) de Oficina")</f>
        <v>Jefe(a) de Oficina</v>
      </c>
      <c r="D113">
        <f>IFERROR(__xludf.DUMMYFUNCTION("""COMPUTED_VALUE"""),142.0)</f>
        <v>142</v>
      </c>
      <c r="E113" t="str">
        <f>IFERROR(__xludf.DUMMYFUNCTION("""COMPUTED_VALUE"""),"USA 1955 APORTE INSTITUCIONAL")</f>
        <v>USA 1955 APORTE INSTITUCIONAL</v>
      </c>
      <c r="F113" s="23">
        <f>IFERROR(__xludf.DUMMYFUNCTION("""COMPUTED_VALUE"""),3.0)</f>
        <v>3</v>
      </c>
      <c r="G113" s="23" t="s">
        <v>265</v>
      </c>
    </row>
    <row r="114">
      <c r="A114" s="21" t="str">
        <f>IFERROR(__xludf.DUMMYFUNCTION("""COMPUTED_VALUE"""),"PRORRECTORIA")</f>
        <v>PRORRECTORIA</v>
      </c>
      <c r="B114" s="22" t="str">
        <f>IFERROR(__xludf.DUMMYFUNCTION("""COMPUTED_VALUE"""),"Jefe(a) de Sección")</f>
        <v>Jefe(a) de Sección</v>
      </c>
      <c r="D114">
        <f>IFERROR(__xludf.DUMMYFUNCTION("""COMPUTED_VALUE"""),143.0)</f>
        <v>143</v>
      </c>
      <c r="E114" t="str">
        <f>IFERROR(__xludf.DUMMYFUNCTION("""COMPUTED_VALUE"""),"USA 1956 APORTE INSTITUCIONAL")</f>
        <v>USA 1956 APORTE INSTITUCIONAL</v>
      </c>
      <c r="F114" s="23">
        <f>IFERROR(__xludf.DUMMYFUNCTION("""COMPUTED_VALUE"""),3.0)</f>
        <v>3</v>
      </c>
      <c r="G114" s="23" t="s">
        <v>266</v>
      </c>
    </row>
    <row r="115">
      <c r="A115" s="21" t="str">
        <f>IFERROR(__xludf.DUMMYFUNCTION("""COMPUTED_VALUE"""),"PRORRECTORIA")</f>
        <v>PRORRECTORIA</v>
      </c>
      <c r="B115" s="22" t="str">
        <f>IFERROR(__xludf.DUMMYFUNCTION("""COMPUTED_VALUE"""),"Jefe(a) de Sección UNICIT")</f>
        <v>Jefe(a) de Sección UNICIT</v>
      </c>
      <c r="D115">
        <f>IFERROR(__xludf.DUMMYFUNCTION("""COMPUTED_VALUE"""),146.0)</f>
        <v>146</v>
      </c>
      <c r="E115" t="str">
        <f>IFERROR(__xludf.DUMMYFUNCTION("""COMPUTED_VALUE"""),"USA 1977 PROG DE ACOMPAÑA")</f>
        <v>USA 1977 PROG DE ACOMPAÑA</v>
      </c>
      <c r="F115" s="23">
        <f>IFERROR(__xludf.DUMMYFUNCTION("""COMPUTED_VALUE"""),3.0)</f>
        <v>3</v>
      </c>
      <c r="G115" s="23" t="s">
        <v>267</v>
      </c>
    </row>
    <row r="116">
      <c r="A116" s="21" t="str">
        <f>IFERROR(__xludf.DUMMYFUNCTION("""COMPUTED_VALUE"""),"PRORRECTORIA")</f>
        <v>PRORRECTORIA</v>
      </c>
      <c r="B116" s="22" t="str">
        <f>IFERROR(__xludf.DUMMYFUNCTION("""COMPUTED_VALUE"""),"Jefe(a) de Unidad Funcional")</f>
        <v>Jefe(a) de Unidad Funcional</v>
      </c>
      <c r="D116">
        <f>IFERROR(__xludf.DUMMYFUNCTION("""COMPUTED_VALUE"""),147.0)</f>
        <v>147</v>
      </c>
      <c r="E116" t="str">
        <f>IFERROR(__xludf.DUMMYFUNCTION("""COMPUTED_VALUE"""),"DIR GENERO DIVERSIDAD Y EQUIDA")</f>
        <v>DIR GENERO DIVERSIDAD Y EQUIDA</v>
      </c>
      <c r="F116" s="23">
        <f>IFERROR(__xludf.DUMMYFUNCTION("""COMPUTED_VALUE"""),3.0)</f>
        <v>3</v>
      </c>
      <c r="G116" s="23" t="s">
        <v>268</v>
      </c>
    </row>
    <row r="117">
      <c r="A117" s="21" t="str">
        <f>IFERROR(__xludf.DUMMYFUNCTION("""COMPUTED_VALUE"""),"PRORRECTORIA")</f>
        <v>PRORRECTORIA</v>
      </c>
      <c r="B117" s="22" t="str">
        <f>IFERROR(__xludf.DUMMYFUNCTION("""COMPUTED_VALUE"""),"Kinesiólogo(a)")</f>
        <v>Kinesiólogo(a)</v>
      </c>
      <c r="D117">
        <f>IFERROR(__xludf.DUMMYFUNCTION("""COMPUTED_VALUE"""),150.0)</f>
        <v>150</v>
      </c>
      <c r="E117" t="str">
        <f>IFERROR(__xludf.DUMMYFUNCTION("""COMPUTED_VALUE"""),"UNIDAD DE PROYECTO UNICYT")</f>
        <v>UNIDAD DE PROYECTO UNICYT</v>
      </c>
      <c r="F117" s="23">
        <f>IFERROR(__xludf.DUMMYFUNCTION("""COMPUTED_VALUE"""),3.0)</f>
        <v>3</v>
      </c>
      <c r="G117" s="23" t="s">
        <v>269</v>
      </c>
    </row>
    <row r="118">
      <c r="A118" s="21" t="str">
        <f>IFERROR(__xludf.DUMMYFUNCTION("""COMPUTED_VALUE"""),"FACULTAD DE HUMANIDADES")</f>
        <v>FACULTAD DE HUMANIDADES</v>
      </c>
      <c r="B118" s="22" t="str">
        <f>IFERROR(__xludf.DUMMYFUNCTION("""COMPUTED_VALUE"""),"Locutor(a)")</f>
        <v>Locutor(a)</v>
      </c>
      <c r="D118">
        <f>IFERROR(__xludf.DUMMYFUNCTION("""COMPUTED_VALUE"""),155.0)</f>
        <v>155</v>
      </c>
      <c r="E118" t="str">
        <f>IFERROR(__xludf.DUMMYFUNCTION("""COMPUTED_VALUE"""),"DEPTO. ESTUDIOS POLITICOS")</f>
        <v>DEPTO. ESTUDIOS POLITICOS</v>
      </c>
      <c r="F118" s="23">
        <f>IFERROR(__xludf.DUMMYFUNCTION("""COMPUTED_VALUE"""),55.0)</f>
        <v>55</v>
      </c>
      <c r="G118" s="23" t="s">
        <v>270</v>
      </c>
    </row>
    <row r="119">
      <c r="A119" s="21"/>
      <c r="B119" s="22" t="str">
        <f>IFERROR(__xludf.DUMMYFUNCTION("""COMPUTED_VALUE"""),"Maestro(a) de Cocina")</f>
        <v>Maestro(a) de Cocina</v>
      </c>
      <c r="F119" s="23"/>
      <c r="G119" s="23" t="s">
        <v>271</v>
      </c>
    </row>
    <row r="120">
      <c r="A120" s="21"/>
      <c r="B120" s="22" t="str">
        <f>IFERROR(__xludf.DUMMYFUNCTION("""COMPUTED_VALUE"""),"Maestro(a) Jefe de Cocina")</f>
        <v>Maestro(a) Jefe de Cocina</v>
      </c>
      <c r="F120" s="23"/>
      <c r="G120" s="23" t="s">
        <v>272</v>
      </c>
    </row>
    <row r="121">
      <c r="A121" s="21"/>
      <c r="B121" s="22" t="str">
        <f>IFERROR(__xludf.DUMMYFUNCTION("""COMPUTED_VALUE"""),"Matrón(a)")</f>
        <v>Matrón(a)</v>
      </c>
      <c r="F121" s="23"/>
      <c r="G121" s="23" t="s">
        <v>273</v>
      </c>
    </row>
    <row r="122">
      <c r="A122" s="21"/>
      <c r="B122" s="22" t="str">
        <f>IFERROR(__xludf.DUMMYFUNCTION("""COMPUTED_VALUE"""),"Mayordomo(a)")</f>
        <v>Mayordomo(a)</v>
      </c>
      <c r="F122" s="23"/>
      <c r="G122" s="23" t="s">
        <v>274</v>
      </c>
    </row>
    <row r="123">
      <c r="A123" s="21"/>
      <c r="B123" s="22" t="str">
        <f>IFERROR(__xludf.DUMMYFUNCTION("""COMPUTED_VALUE"""),"Mayordomo(a) UNICIT")</f>
        <v>Mayordomo(a) UNICIT</v>
      </c>
      <c r="F123" s="23"/>
      <c r="G123" s="23" t="s">
        <v>275</v>
      </c>
    </row>
    <row r="124">
      <c r="A124" s="21"/>
      <c r="B124" s="22" t="str">
        <f>IFERROR(__xludf.DUMMYFUNCTION("""COMPUTED_VALUE"""),"Médico(a) Psiquiatra")</f>
        <v>Médico(a) Psiquiatra</v>
      </c>
      <c r="F124" s="23"/>
      <c r="G124" s="23" t="s">
        <v>276</v>
      </c>
    </row>
    <row r="125">
      <c r="A125" s="21"/>
      <c r="B125" s="22" t="str">
        <f>IFERROR(__xludf.DUMMYFUNCTION("""COMPUTED_VALUE"""),"Médico(a) Veterinario(a)")</f>
        <v>Médico(a) Veterinario(a)</v>
      </c>
      <c r="F125" s="23"/>
      <c r="G125" s="23" t="s">
        <v>277</v>
      </c>
    </row>
    <row r="126">
      <c r="A126" s="21"/>
      <c r="B126" s="22" t="str">
        <f>IFERROR(__xludf.DUMMYFUNCTION("""COMPUTED_VALUE"""),"Médicos(as) y Dentistas")</f>
        <v>Médicos(as) y Dentistas</v>
      </c>
      <c r="F126" s="23"/>
      <c r="G126" s="23" t="s">
        <v>278</v>
      </c>
    </row>
    <row r="127">
      <c r="A127" s="21"/>
      <c r="B127" s="22" t="str">
        <f>IFERROR(__xludf.DUMMYFUNCTION("""COMPUTED_VALUE"""),"Músico(a)")</f>
        <v>Músico(a)</v>
      </c>
      <c r="F127" s="23"/>
      <c r="G127" s="23" t="s">
        <v>279</v>
      </c>
    </row>
    <row r="128">
      <c r="A128" s="21"/>
      <c r="B128" s="22" t="str">
        <f>IFERROR(__xludf.DUMMYFUNCTION("""COMPUTED_VALUE"""),"Nutricionista")</f>
        <v>Nutricionista</v>
      </c>
      <c r="F128" s="23"/>
      <c r="G128" s="23" t="s">
        <v>280</v>
      </c>
    </row>
    <row r="129">
      <c r="A129" s="21"/>
      <c r="B129" s="22" t="str">
        <f>IFERROR(__xludf.DUMMYFUNCTION("""COMPUTED_VALUE"""),"Operador(a) de Caldera")</f>
        <v>Operador(a) de Caldera</v>
      </c>
      <c r="F129" s="23"/>
      <c r="G129" s="23" t="s">
        <v>281</v>
      </c>
    </row>
    <row r="130">
      <c r="A130" s="21"/>
      <c r="B130" s="22" t="str">
        <f>IFERROR(__xludf.DUMMYFUNCTION("""COMPUTED_VALUE"""),"Operador(a) de Radio")</f>
        <v>Operador(a) de Radio</v>
      </c>
      <c r="F130" s="23"/>
      <c r="G130" s="23" t="s">
        <v>282</v>
      </c>
    </row>
    <row r="131">
      <c r="A131" s="21"/>
      <c r="B131" s="22" t="str">
        <f>IFERROR(__xludf.DUMMYFUNCTION("""COMPUTED_VALUE"""),"Orientador(a) Vocacional")</f>
        <v>Orientador(a) Vocacional</v>
      </c>
      <c r="F131" s="23"/>
      <c r="G131" s="23" t="s">
        <v>283</v>
      </c>
    </row>
    <row r="132">
      <c r="A132" s="21"/>
      <c r="B132" s="22" t="str">
        <f>IFERROR(__xludf.DUMMYFUNCTION("""COMPUTED_VALUE"""),"Pendiente")</f>
        <v>Pendiente</v>
      </c>
      <c r="F132" s="23"/>
      <c r="G132" s="23" t="s">
        <v>284</v>
      </c>
    </row>
    <row r="133">
      <c r="A133" s="21"/>
      <c r="B133" s="22" t="str">
        <f>IFERROR(__xludf.DUMMYFUNCTION("""COMPUTED_VALUE"""),"Periodista")</f>
        <v>Periodista</v>
      </c>
      <c r="F133" s="23"/>
      <c r="G133" s="23" t="s">
        <v>285</v>
      </c>
    </row>
    <row r="134">
      <c r="A134" s="21"/>
      <c r="B134" s="22" t="str">
        <f>IFERROR(__xludf.DUMMYFUNCTION("""COMPUTED_VALUE"""),"Prevencionista de Riesgos")</f>
        <v>Prevencionista de Riesgos</v>
      </c>
      <c r="F134" s="23"/>
      <c r="G134" s="23" t="s">
        <v>286</v>
      </c>
    </row>
    <row r="135">
      <c r="A135" s="21"/>
      <c r="B135" s="22" t="str">
        <f>IFERROR(__xludf.DUMMYFUNCTION("""COMPUTED_VALUE"""),"Profesional de Acompañamiento Académico")</f>
        <v>Profesional de Acompañamiento Académico</v>
      </c>
      <c r="F135" s="23"/>
      <c r="G135" s="23" t="s">
        <v>287</v>
      </c>
    </row>
    <row r="136">
      <c r="A136" s="21"/>
      <c r="B136" s="22" t="str">
        <f>IFERROR(__xludf.DUMMYFUNCTION("""COMPUTED_VALUE"""),"Profesional de Extensión")</f>
        <v>Profesional de Extensión</v>
      </c>
      <c r="F136" s="23"/>
      <c r="G136" s="23" t="s">
        <v>288</v>
      </c>
    </row>
    <row r="137">
      <c r="A137" s="21"/>
      <c r="B137" s="22" t="str">
        <f>IFERROR(__xludf.DUMMYFUNCTION("""COMPUTED_VALUE"""),"Profesional Especializado(a) de Laboratorio")</f>
        <v>Profesional Especializado(a) de Laboratorio</v>
      </c>
      <c r="F137" s="23"/>
      <c r="G137" s="23" t="s">
        <v>289</v>
      </c>
    </row>
    <row r="138">
      <c r="A138" s="21"/>
      <c r="B138" s="22" t="str">
        <f>IFERROR(__xludf.DUMMYFUNCTION("""COMPUTED_VALUE"""),"Profesional de Investigación y Desarrollo")</f>
        <v>Profesional de Investigación y Desarrollo</v>
      </c>
      <c r="F138" s="23"/>
      <c r="G138" s="23" t="s">
        <v>290</v>
      </c>
    </row>
    <row r="139">
      <c r="A139" s="21"/>
      <c r="B139" s="22" t="str">
        <f>IFERROR(__xludf.DUMMYFUNCTION("""COMPUTED_VALUE"""),"Profesor(a) por Horas")</f>
        <v>Profesor(a) por Horas</v>
      </c>
      <c r="F139" s="23"/>
      <c r="G139" s="23" t="s">
        <v>291</v>
      </c>
    </row>
    <row r="140">
      <c r="A140" s="21"/>
      <c r="B140" s="22" t="str">
        <f>IFERROR(__xludf.DUMMYFUNCTION("""COMPUTED_VALUE"""),"Profesor(a) por Horas, Adjunto(a) I")</f>
        <v>Profesor(a) por Horas, Adjunto(a) I</v>
      </c>
      <c r="F140" s="23"/>
      <c r="G140" s="23" t="s">
        <v>292</v>
      </c>
    </row>
    <row r="141">
      <c r="A141" s="21"/>
      <c r="B141" s="22" t="str">
        <f>IFERROR(__xludf.DUMMYFUNCTION("""COMPUTED_VALUE"""),"Profesor(a) por Horas, Adjunto(a) II")</f>
        <v>Profesor(a) por Horas, Adjunto(a) II</v>
      </c>
      <c r="F141" s="23"/>
      <c r="G141" s="23" t="s">
        <v>293</v>
      </c>
    </row>
    <row r="142">
      <c r="A142" s="21"/>
      <c r="B142" s="22" t="str">
        <f>IFERROR(__xludf.DUMMYFUNCTION("""COMPUTED_VALUE"""),"Profesor(a) por Horas, Ayudante")</f>
        <v>Profesor(a) por Horas, Ayudante</v>
      </c>
      <c r="F142" s="23"/>
      <c r="G142" s="23" t="s">
        <v>294</v>
      </c>
    </row>
    <row r="143">
      <c r="A143" s="21"/>
      <c r="B143" s="22" t="str">
        <f>IFERROR(__xludf.DUMMYFUNCTION("""COMPUTED_VALUE"""),"Profesor(a) por Horas, Excelencia")</f>
        <v>Profesor(a) por Horas, Excelencia</v>
      </c>
      <c r="F143" s="23"/>
      <c r="G143" s="23" t="s">
        <v>295</v>
      </c>
    </row>
    <row r="144">
      <c r="A144" s="21"/>
      <c r="B144" s="22" t="str">
        <f>IFERROR(__xludf.DUMMYFUNCTION("""COMPUTED_VALUE"""),"Profesor(a) por Horas, Instructor(a) I")</f>
        <v>Profesor(a) por Horas, Instructor(a) I</v>
      </c>
      <c r="F144" s="23"/>
      <c r="G144" s="23" t="s">
        <v>296</v>
      </c>
    </row>
    <row r="145">
      <c r="A145" s="21"/>
      <c r="B145" s="22" t="str">
        <f>IFERROR(__xludf.DUMMYFUNCTION("""COMPUTED_VALUE"""),"Profesor(a) por Horas, Instructor(a) II")</f>
        <v>Profesor(a) por Horas, Instructor(a) II</v>
      </c>
      <c r="F145" s="23"/>
      <c r="G145" s="23" t="s">
        <v>297</v>
      </c>
    </row>
    <row r="146">
      <c r="A146" s="21"/>
      <c r="B146" s="22" t="str">
        <f>IFERROR(__xludf.DUMMYFUNCTION("""COMPUTED_VALUE"""),"Psicólogo(a)")</f>
        <v>Psicólogo(a)</v>
      </c>
      <c r="F146" s="23"/>
      <c r="G146" s="23" t="s">
        <v>298</v>
      </c>
    </row>
    <row r="147">
      <c r="A147" s="21"/>
      <c r="B147" s="22" t="str">
        <f>IFERROR(__xludf.DUMMYFUNCTION("""COMPUTED_VALUE"""),"Psicólogo(a) Dirección de Género, Diversidad y Equidad")</f>
        <v>Psicólogo(a) Dirección de Género, Diversidad y Equidad</v>
      </c>
      <c r="F147" s="23"/>
      <c r="G147" s="23" t="s">
        <v>299</v>
      </c>
    </row>
    <row r="148">
      <c r="A148" s="21"/>
      <c r="B148" s="22" t="str">
        <f>IFERROR(__xludf.DUMMYFUNCTION("""COMPUTED_VALUE"""),"Psicologo(A) UNICIT")</f>
        <v>Psicologo(A) UNICIT</v>
      </c>
      <c r="F148" s="23"/>
      <c r="G148" s="23" t="s">
        <v>300</v>
      </c>
    </row>
    <row r="149">
      <c r="A149" s="21"/>
      <c r="B149" s="22" t="str">
        <f>IFERROR(__xludf.DUMMYFUNCTION("""COMPUTED_VALUE"""),"Publicista")</f>
        <v>Publicista</v>
      </c>
      <c r="F149" s="23"/>
      <c r="G149" s="23" t="s">
        <v>301</v>
      </c>
    </row>
    <row r="150">
      <c r="A150" s="21"/>
      <c r="B150" s="22" t="str">
        <f>IFERROR(__xludf.DUMMYFUNCTION("""COMPUTED_VALUE"""),"Radio Controlador(a)")</f>
        <v>Radio Controlador(a)</v>
      </c>
      <c r="F150" s="23"/>
      <c r="G150" s="23" t="s">
        <v>302</v>
      </c>
    </row>
    <row r="151">
      <c r="A151" s="21"/>
      <c r="B151" s="22" t="str">
        <f>IFERROR(__xludf.DUMMYFUNCTION("""COMPUTED_VALUE"""),"Registrador(a) Curricular")</f>
        <v>Registrador(a) Curricular</v>
      </c>
      <c r="F151" s="23"/>
      <c r="G151" s="23" t="s">
        <v>303</v>
      </c>
    </row>
    <row r="152">
      <c r="A152" s="21"/>
      <c r="B152" s="22" t="str">
        <f>IFERROR(__xludf.DUMMYFUNCTION("""COMPUTED_VALUE"""),"Secretario(a) A UNICIT")</f>
        <v>Secretario(a) A UNICIT</v>
      </c>
      <c r="F152" s="23"/>
      <c r="G152" s="23" t="s">
        <v>304</v>
      </c>
    </row>
    <row r="153">
      <c r="A153" s="21"/>
      <c r="B153" s="22" t="str">
        <f>IFERROR(__xludf.DUMMYFUNCTION("""COMPUTED_VALUE"""),"Secretario(a) de Apoyo Docente")</f>
        <v>Secretario(a) de Apoyo Docente</v>
      </c>
      <c r="F153" s="23"/>
      <c r="G153" s="23" t="s">
        <v>305</v>
      </c>
    </row>
    <row r="154">
      <c r="A154" s="21"/>
      <c r="B154" s="22" t="str">
        <f>IFERROR(__xludf.DUMMYFUNCTION("""COMPUTED_VALUE"""),"Secretario(a) A de Unidad Centralizada")</f>
        <v>Secretario(a) A de Unidad Centralizada</v>
      </c>
      <c r="F154" s="23"/>
      <c r="G154" s="23" t="s">
        <v>306</v>
      </c>
    </row>
    <row r="155">
      <c r="A155" s="21"/>
      <c r="B155" s="22" t="str">
        <f>IFERROR(__xludf.DUMMYFUNCTION("""COMPUTED_VALUE"""),"Secretario(a) A")</f>
        <v>Secretario(a) A</v>
      </c>
      <c r="F155" s="23"/>
      <c r="G155" s="23" t="s">
        <v>307</v>
      </c>
    </row>
    <row r="156">
      <c r="A156" s="21"/>
      <c r="B156" s="22" t="str">
        <f>IFERROR(__xludf.DUMMYFUNCTION("""COMPUTED_VALUE"""),"Secretario(a) B")</f>
        <v>Secretario(a) B</v>
      </c>
      <c r="F156" s="23"/>
      <c r="G156" s="23" t="s">
        <v>308</v>
      </c>
    </row>
    <row r="157">
      <c r="A157" s="21"/>
      <c r="B157" s="22" t="str">
        <f>IFERROR(__xludf.DUMMYFUNCTION("""COMPUTED_VALUE"""),"Secretario(a) C")</f>
        <v>Secretario(a) C</v>
      </c>
      <c r="F157" s="23"/>
      <c r="G157" s="23" t="s">
        <v>309</v>
      </c>
    </row>
    <row r="158">
      <c r="A158" s="21"/>
      <c r="B158" s="23" t="str">
        <f>IFERROR(__xludf.DUMMYFUNCTION("""COMPUTED_VALUE"""),"Secretario(a) de Facultad")</f>
        <v>Secretario(a) de Facultad</v>
      </c>
      <c r="F158" s="23"/>
      <c r="G158" s="23" t="s">
        <v>310</v>
      </c>
    </row>
    <row r="159">
      <c r="A159" s="23"/>
      <c r="B159" s="23" t="str">
        <f>IFERROR(__xludf.DUMMYFUNCTION("""COMPUTED_VALUE"""),"Supervisor(a)")</f>
        <v>Supervisor(a)</v>
      </c>
      <c r="F159" s="23"/>
      <c r="G159" s="23" t="s">
        <v>311</v>
      </c>
    </row>
    <row r="160">
      <c r="A160" s="23"/>
      <c r="B160" s="23" t="str">
        <f>IFERROR(__xludf.DUMMYFUNCTION("""COMPUTED_VALUE"""),"Técnico(a) en Atención de Párvulos")</f>
        <v>Técnico(a) en Atención de Párvulos</v>
      </c>
      <c r="F160" s="23"/>
      <c r="G160" s="23" t="s">
        <v>312</v>
      </c>
    </row>
    <row r="161">
      <c r="A161" s="23"/>
      <c r="B161" s="23" t="str">
        <f>IFERROR(__xludf.DUMMYFUNCTION("""COMPUTED_VALUE"""),"Técnico(a) Contable")</f>
        <v>Técnico(a) Contable</v>
      </c>
      <c r="F161" s="23"/>
      <c r="G161" s="23" t="s">
        <v>313</v>
      </c>
    </row>
    <row r="162">
      <c r="A162" s="23"/>
      <c r="B162" s="23" t="str">
        <f>IFERROR(__xludf.DUMMYFUNCTION("""COMPUTED_VALUE"""),"Técnico(a) de Biblioteca")</f>
        <v>Técnico(a) de Biblioteca</v>
      </c>
      <c r="F162" s="23"/>
      <c r="G162" s="23" t="s">
        <v>314</v>
      </c>
    </row>
    <row r="163">
      <c r="A163" s="23"/>
      <c r="B163" s="23" t="str">
        <f>IFERROR(__xludf.DUMMYFUNCTION("""COMPUTED_VALUE"""),"Técnico(a) de Bodega")</f>
        <v>Técnico(a) de Bodega</v>
      </c>
      <c r="F163" s="23"/>
      <c r="G163" s="23" t="s">
        <v>315</v>
      </c>
    </row>
    <row r="164">
      <c r="B164" t="str">
        <f>IFERROR(__xludf.DUMMYFUNCTION("""COMPUTED_VALUE"""),"Técnico(a) de Compras")</f>
        <v>Técnico(a) de Compras</v>
      </c>
      <c r="F164" s="23"/>
      <c r="G164" s="23" t="s">
        <v>316</v>
      </c>
    </row>
    <row r="165">
      <c r="B165" t="str">
        <f>IFERROR(__xludf.DUMMYFUNCTION("""COMPUTED_VALUE"""),"Técnico(a) de Laboratorio")</f>
        <v>Técnico(a) de Laboratorio</v>
      </c>
      <c r="F165" s="23"/>
      <c r="G165" s="23" t="s">
        <v>317</v>
      </c>
    </row>
    <row r="166">
      <c r="B166" t="str">
        <f>IFERROR(__xludf.DUMMYFUNCTION("""COMPUTED_VALUE"""),"Técnico(a) de Mantención")</f>
        <v>Técnico(a) de Mantención</v>
      </c>
      <c r="F166" s="23"/>
      <c r="G166" s="23" t="s">
        <v>318</v>
      </c>
    </row>
    <row r="167">
      <c r="B167" t="str">
        <f>IFERROR(__xludf.DUMMYFUNCTION("""COMPUTED_VALUE"""),"Técnico(a) de Pabellón")</f>
        <v>Técnico(a) de Pabellón</v>
      </c>
      <c r="F167" s="23"/>
      <c r="G167" s="23" t="s">
        <v>319</v>
      </c>
    </row>
    <row r="168">
      <c r="B168" t="str">
        <f>IFERROR(__xludf.DUMMYFUNCTION("""COMPUTED_VALUE"""),"Técnico(a) Eléctrico")</f>
        <v>Técnico(a) Eléctrico</v>
      </c>
      <c r="F168" s="23"/>
      <c r="G168" s="23" t="s">
        <v>320</v>
      </c>
    </row>
    <row r="169">
      <c r="B169" t="str">
        <f>IFERROR(__xludf.DUMMYFUNCTION("""COMPUTED_VALUE"""),"Técnico(a) en Alimentos")</f>
        <v>Técnico(a) en Alimentos</v>
      </c>
      <c r="F169" s="23"/>
      <c r="G169" s="23" t="s">
        <v>321</v>
      </c>
    </row>
    <row r="170">
      <c r="B170" t="str">
        <f>IFERROR(__xludf.DUMMYFUNCTION("""COMPUTED_VALUE"""),"Técnico(a) en Prevención de Riesgos")</f>
        <v>Técnico(a) en Prevención de Riesgos</v>
      </c>
      <c r="F170" s="23"/>
      <c r="G170" s="23" t="s">
        <v>322</v>
      </c>
    </row>
    <row r="171">
      <c r="B171" t="str">
        <f>IFERROR(__xludf.DUMMYFUNCTION("""COMPUTED_VALUE"""),"Técnico(a) Entrenador(a) Deportivo(a)")</f>
        <v>Técnico(a) Entrenador(a) Deportivo(a)</v>
      </c>
      <c r="F171" s="23"/>
      <c r="G171" s="23" t="s">
        <v>323</v>
      </c>
    </row>
    <row r="172">
      <c r="B172" t="str">
        <f>IFERROR(__xludf.DUMMYFUNCTION("""COMPUTED_VALUE"""),"Técnico(a) Especializado(a) de Laboratorio")</f>
        <v>Técnico(a) Especializado(a) de Laboratorio</v>
      </c>
      <c r="F172" s="23"/>
      <c r="G172" s="23" t="s">
        <v>324</v>
      </c>
    </row>
    <row r="173">
      <c r="B173" t="str">
        <f>IFERROR(__xludf.DUMMYFUNCTION("""COMPUTED_VALUE"""),"Técnico(a) de Nivel Superior en Informática")</f>
        <v>Técnico(a) de Nivel Superior en Informática</v>
      </c>
      <c r="F173" s="23"/>
      <c r="G173" s="23" t="s">
        <v>325</v>
      </c>
    </row>
    <row r="174">
      <c r="B174" t="str">
        <f>IFERROR(__xludf.DUMMYFUNCTION("""COMPUTED_VALUE"""),"Técnico(a) de Soporte Básico en Computación")</f>
        <v>Técnico(a) de Soporte Básico en Computación</v>
      </c>
      <c r="F174" s="23"/>
      <c r="G174" s="23" t="s">
        <v>326</v>
      </c>
    </row>
    <row r="175">
      <c r="B175" t="str">
        <f>IFERROR(__xludf.DUMMYFUNCTION("""COMPUTED_VALUE"""),"Terapeuta Ocupacional")</f>
        <v>Terapeuta Ocupacional</v>
      </c>
      <c r="F175" s="23"/>
      <c r="G175" s="23" t="s">
        <v>327</v>
      </c>
    </row>
    <row r="176">
      <c r="B176" t="str">
        <f>IFERROR(__xludf.DUMMYFUNCTION("""COMPUTED_VALUE"""),"Vicedecano(a)")</f>
        <v>Vicedecano(a)</v>
      </c>
      <c r="F176" s="23"/>
      <c r="G176" s="23" t="s">
        <v>328</v>
      </c>
    </row>
    <row r="177">
      <c r="F177" s="23"/>
      <c r="G177" s="23" t="s">
        <v>329</v>
      </c>
    </row>
    <row r="178">
      <c r="F178" s="23"/>
      <c r="G178" s="23" t="s">
        <v>330</v>
      </c>
    </row>
    <row r="179">
      <c r="F179" s="23"/>
      <c r="G179" s="23" t="s">
        <v>331</v>
      </c>
    </row>
    <row r="180">
      <c r="F180" s="23"/>
      <c r="G180" s="23" t="s">
        <v>332</v>
      </c>
    </row>
    <row r="181">
      <c r="F181" s="23"/>
      <c r="G181" s="23" t="s">
        <v>333</v>
      </c>
    </row>
    <row r="182">
      <c r="F182" s="23"/>
      <c r="G182" s="23" t="s">
        <v>334</v>
      </c>
    </row>
    <row r="183">
      <c r="F183" s="23"/>
      <c r="G183" s="23" t="s">
        <v>335</v>
      </c>
    </row>
    <row r="184">
      <c r="F184" s="23"/>
      <c r="G184" s="23" t="s">
        <v>336</v>
      </c>
    </row>
    <row r="185">
      <c r="F185" s="23"/>
      <c r="G185" s="23" t="s">
        <v>337</v>
      </c>
    </row>
    <row r="186">
      <c r="F186" s="23"/>
      <c r="G186" s="23" t="s">
        <v>338</v>
      </c>
    </row>
    <row r="187">
      <c r="F187" s="23"/>
      <c r="G187" s="23" t="s">
        <v>339</v>
      </c>
    </row>
    <row r="188">
      <c r="F188" s="23"/>
      <c r="G188" s="23" t="s">
        <v>340</v>
      </c>
    </row>
    <row r="189">
      <c r="F189" s="23"/>
      <c r="G189" s="23" t="s">
        <v>341</v>
      </c>
    </row>
    <row r="190">
      <c r="F190" s="23"/>
      <c r="G190" s="23" t="s">
        <v>342</v>
      </c>
    </row>
    <row r="191">
      <c r="F191" s="23"/>
      <c r="G191" s="23" t="s">
        <v>343</v>
      </c>
    </row>
    <row r="192">
      <c r="F192" s="23"/>
      <c r="G192" s="23" t="s">
        <v>344</v>
      </c>
    </row>
    <row r="193">
      <c r="F193" s="23"/>
      <c r="G193" s="23" t="s">
        <v>345</v>
      </c>
    </row>
    <row r="194">
      <c r="F194" s="23"/>
      <c r="G194" s="23" t="s">
        <v>346</v>
      </c>
    </row>
    <row r="195">
      <c r="F195" s="23"/>
      <c r="G195" s="23" t="s">
        <v>347</v>
      </c>
    </row>
    <row r="196">
      <c r="F196" s="23"/>
      <c r="G196" s="23" t="s">
        <v>348</v>
      </c>
    </row>
    <row r="197">
      <c r="F197" s="23"/>
      <c r="G197" s="23" t="s">
        <v>349</v>
      </c>
    </row>
    <row r="198">
      <c r="F198" s="23"/>
      <c r="G198" s="23" t="s">
        <v>350</v>
      </c>
    </row>
    <row r="199">
      <c r="F199" s="23"/>
      <c r="G199" s="23" t="s">
        <v>351</v>
      </c>
    </row>
    <row r="200">
      <c r="F200" s="23"/>
      <c r="G200" s="23" t="s">
        <v>352</v>
      </c>
    </row>
    <row r="201">
      <c r="F201" s="23"/>
      <c r="G201" s="23" t="s">
        <v>353</v>
      </c>
    </row>
    <row r="202">
      <c r="F202" s="23"/>
      <c r="G202" s="23" t="s">
        <v>354</v>
      </c>
    </row>
    <row r="203">
      <c r="F203" s="23"/>
      <c r="G203" s="23" t="s">
        <v>355</v>
      </c>
    </row>
    <row r="204">
      <c r="F204" s="23"/>
      <c r="G204" s="23" t="s">
        <v>356</v>
      </c>
    </row>
    <row r="205">
      <c r="F205" s="23"/>
      <c r="G205" s="23" t="s">
        <v>357</v>
      </c>
    </row>
    <row r="206">
      <c r="F206" s="23"/>
      <c r="G206" s="23" t="s">
        <v>358</v>
      </c>
    </row>
    <row r="207">
      <c r="F207" s="23"/>
      <c r="G207" s="23" t="s">
        <v>359</v>
      </c>
    </row>
    <row r="208">
      <c r="F208" s="23"/>
      <c r="G208" s="23" t="s">
        <v>360</v>
      </c>
    </row>
    <row r="209">
      <c r="F209" s="23"/>
      <c r="G209" s="23" t="s">
        <v>361</v>
      </c>
    </row>
    <row r="210">
      <c r="F210" s="23"/>
      <c r="G210" s="23" t="s">
        <v>362</v>
      </c>
    </row>
    <row r="211">
      <c r="F211" s="23"/>
      <c r="G211" s="23" t="s">
        <v>363</v>
      </c>
    </row>
    <row r="212">
      <c r="F212" s="23"/>
      <c r="G212" s="23" t="s">
        <v>364</v>
      </c>
    </row>
    <row r="213">
      <c r="F213" s="23"/>
      <c r="G213" s="23" t="s">
        <v>365</v>
      </c>
    </row>
    <row r="214">
      <c r="F214" s="23"/>
      <c r="G214" s="23" t="s">
        <v>366</v>
      </c>
    </row>
    <row r="215">
      <c r="F215" s="23"/>
      <c r="G215" s="23" t="s">
        <v>367</v>
      </c>
    </row>
    <row r="216">
      <c r="F216" s="23"/>
      <c r="G216" s="23" t="s">
        <v>368</v>
      </c>
    </row>
    <row r="217">
      <c r="F217" s="23"/>
      <c r="G217" s="23" t="s">
        <v>369</v>
      </c>
    </row>
    <row r="218">
      <c r="F218" s="23"/>
      <c r="G218" s="23" t="s">
        <v>370</v>
      </c>
    </row>
    <row r="219">
      <c r="F219" s="23"/>
      <c r="G219" s="23" t="s">
        <v>371</v>
      </c>
    </row>
    <row r="220">
      <c r="F220" s="23"/>
      <c r="G220" s="23" t="s">
        <v>372</v>
      </c>
    </row>
    <row r="221">
      <c r="F221" s="23"/>
      <c r="G221" s="23" t="s">
        <v>373</v>
      </c>
    </row>
    <row r="222">
      <c r="F222" s="23"/>
      <c r="G222" s="23" t="s">
        <v>374</v>
      </c>
    </row>
    <row r="223">
      <c r="F223" s="23"/>
      <c r="G223" s="23" t="s">
        <v>375</v>
      </c>
    </row>
    <row r="224">
      <c r="F224" s="23"/>
      <c r="G224" s="23" t="s">
        <v>376</v>
      </c>
    </row>
    <row r="225">
      <c r="F225" s="23"/>
      <c r="G225" s="23" t="s">
        <v>377</v>
      </c>
    </row>
    <row r="226">
      <c r="F226" s="23"/>
      <c r="G226" s="23" t="s">
        <v>378</v>
      </c>
    </row>
    <row r="227">
      <c r="F227" s="23"/>
      <c r="G227" s="23" t="s">
        <v>379</v>
      </c>
    </row>
    <row r="228">
      <c r="F228" s="23"/>
      <c r="G228" s="23" t="s">
        <v>380</v>
      </c>
    </row>
    <row r="229">
      <c r="F229" s="23"/>
      <c r="G229" s="23" t="s">
        <v>381</v>
      </c>
    </row>
    <row r="230">
      <c r="F230" s="23"/>
      <c r="G230" s="23" t="s">
        <v>382</v>
      </c>
    </row>
    <row r="231">
      <c r="F231" s="23"/>
      <c r="G231" s="23" t="s">
        <v>383</v>
      </c>
    </row>
    <row r="232">
      <c r="F232" s="23"/>
      <c r="G232" s="23" t="s">
        <v>384</v>
      </c>
    </row>
    <row r="233">
      <c r="F233" s="23"/>
      <c r="G233" s="23" t="s">
        <v>385</v>
      </c>
    </row>
    <row r="234">
      <c r="F234" s="23"/>
      <c r="G234" s="23" t="s">
        <v>386</v>
      </c>
    </row>
    <row r="235">
      <c r="F235" s="23"/>
      <c r="G235" s="23" t="s">
        <v>387</v>
      </c>
    </row>
    <row r="236">
      <c r="F236" s="23"/>
      <c r="G236" s="23" t="s">
        <v>388</v>
      </c>
    </row>
    <row r="237">
      <c r="F237" s="23"/>
      <c r="G237" s="23" t="s">
        <v>389</v>
      </c>
    </row>
    <row r="238">
      <c r="F238" s="23"/>
      <c r="G238" s="23" t="s">
        <v>390</v>
      </c>
    </row>
    <row r="239">
      <c r="F239" s="23"/>
      <c r="G239" s="23" t="s">
        <v>391</v>
      </c>
    </row>
    <row r="240">
      <c r="F240" s="23"/>
      <c r="G240" s="23" t="s">
        <v>392</v>
      </c>
    </row>
    <row r="241">
      <c r="F241" s="23"/>
      <c r="G241" s="23" t="s">
        <v>393</v>
      </c>
    </row>
    <row r="242">
      <c r="F242" s="23"/>
      <c r="G242" s="23" t="s">
        <v>394</v>
      </c>
    </row>
    <row r="243">
      <c r="F243" s="23"/>
      <c r="G243" s="23" t="s">
        <v>395</v>
      </c>
    </row>
    <row r="244">
      <c r="F244" s="23"/>
      <c r="G244" s="23" t="s">
        <v>396</v>
      </c>
    </row>
    <row r="245">
      <c r="F245" s="23"/>
      <c r="G245" s="23" t="s">
        <v>397</v>
      </c>
    </row>
    <row r="246">
      <c r="F246" s="23"/>
      <c r="G246" s="23" t="s">
        <v>398</v>
      </c>
    </row>
    <row r="247">
      <c r="F247" s="23"/>
      <c r="G247" s="23" t="s">
        <v>399</v>
      </c>
    </row>
    <row r="248">
      <c r="F248" s="23"/>
      <c r="G248" s="23" t="s">
        <v>400</v>
      </c>
    </row>
    <row r="249">
      <c r="F249" s="23"/>
      <c r="G249" s="23" t="s">
        <v>401</v>
      </c>
    </row>
    <row r="250">
      <c r="F250" s="23"/>
      <c r="G250" s="23" t="s">
        <v>402</v>
      </c>
    </row>
    <row r="251">
      <c r="F251" s="23"/>
      <c r="G251" s="23" t="s">
        <v>403</v>
      </c>
    </row>
    <row r="252">
      <c r="F252" s="23"/>
      <c r="G252" s="23" t="s">
        <v>404</v>
      </c>
    </row>
    <row r="253">
      <c r="F253" s="23"/>
      <c r="G253" s="23" t="s">
        <v>405</v>
      </c>
    </row>
    <row r="254">
      <c r="F254" s="23"/>
      <c r="G254" s="23" t="s">
        <v>406</v>
      </c>
    </row>
    <row r="255">
      <c r="F255" s="23"/>
      <c r="G255" s="23" t="s">
        <v>407</v>
      </c>
    </row>
    <row r="256">
      <c r="F256" s="23"/>
      <c r="G256" s="23" t="s">
        <v>408</v>
      </c>
    </row>
    <row r="257">
      <c r="F257" s="23"/>
      <c r="G257" s="23" t="s">
        <v>409</v>
      </c>
    </row>
    <row r="258">
      <c r="F258" s="23"/>
      <c r="G258" s="23" t="s">
        <v>410</v>
      </c>
    </row>
    <row r="259">
      <c r="F259" s="23"/>
      <c r="G259" s="23" t="s">
        <v>411</v>
      </c>
    </row>
    <row r="260">
      <c r="F260" s="23"/>
      <c r="G260" s="23" t="s">
        <v>412</v>
      </c>
    </row>
    <row r="261">
      <c r="F261" s="23"/>
      <c r="G261" s="23" t="s">
        <v>413</v>
      </c>
    </row>
    <row r="262">
      <c r="F262" s="23"/>
      <c r="G262" s="23" t="s">
        <v>414</v>
      </c>
    </row>
    <row r="263">
      <c r="F263" s="23"/>
      <c r="G263" s="23" t="s">
        <v>415</v>
      </c>
    </row>
    <row r="264">
      <c r="F264" s="23"/>
      <c r="G264" s="23" t="s">
        <v>416</v>
      </c>
    </row>
    <row r="265">
      <c r="F265" s="23"/>
      <c r="G265" s="23" t="s">
        <v>417</v>
      </c>
    </row>
    <row r="266">
      <c r="F266" s="23"/>
      <c r="G266" s="23" t="s">
        <v>418</v>
      </c>
    </row>
    <row r="267">
      <c r="F267" s="23"/>
      <c r="G267" s="23" t="s">
        <v>419</v>
      </c>
    </row>
    <row r="268">
      <c r="F268" s="23"/>
      <c r="G268" s="23" t="s">
        <v>420</v>
      </c>
    </row>
    <row r="269">
      <c r="F269" s="23"/>
      <c r="G269" s="23" t="s">
        <v>421</v>
      </c>
    </row>
    <row r="270">
      <c r="F270" s="23"/>
      <c r="G270" s="23" t="s">
        <v>422</v>
      </c>
    </row>
    <row r="271">
      <c r="F271" s="23"/>
      <c r="G271" s="23" t="s">
        <v>423</v>
      </c>
    </row>
    <row r="272">
      <c r="F272" s="23"/>
      <c r="G272" s="23" t="s">
        <v>424</v>
      </c>
    </row>
    <row r="273">
      <c r="F273" s="23"/>
      <c r="G273" s="23" t="s">
        <v>425</v>
      </c>
    </row>
    <row r="274">
      <c r="F274" s="23"/>
      <c r="G274" s="23" t="s">
        <v>426</v>
      </c>
    </row>
    <row r="275">
      <c r="F275" s="23"/>
      <c r="G275" s="23" t="s">
        <v>427</v>
      </c>
    </row>
    <row r="276">
      <c r="F276" s="23"/>
      <c r="G276" s="23" t="s">
        <v>428</v>
      </c>
    </row>
    <row r="277">
      <c r="F277" s="23"/>
      <c r="G277" s="23" t="s">
        <v>429</v>
      </c>
    </row>
    <row r="278">
      <c r="F278" s="23"/>
      <c r="G278" s="23" t="s">
        <v>430</v>
      </c>
    </row>
    <row r="279">
      <c r="F279" s="23"/>
      <c r="G279" s="23" t="s">
        <v>431</v>
      </c>
    </row>
    <row r="280">
      <c r="F280" s="23"/>
      <c r="G280" s="23" t="s">
        <v>432</v>
      </c>
    </row>
    <row r="281">
      <c r="F281" s="23"/>
      <c r="G281" s="23" t="s">
        <v>433</v>
      </c>
    </row>
    <row r="282">
      <c r="F282" s="23"/>
      <c r="G282" s="23" t="s">
        <v>434</v>
      </c>
    </row>
    <row r="283">
      <c r="F283" s="23"/>
      <c r="G283" s="23" t="s">
        <v>435</v>
      </c>
    </row>
    <row r="284">
      <c r="F284" s="23"/>
      <c r="G284" s="23" t="s">
        <v>436</v>
      </c>
    </row>
    <row r="285">
      <c r="F285" s="23"/>
      <c r="G285" s="23" t="s">
        <v>437</v>
      </c>
    </row>
    <row r="286">
      <c r="F286" s="23"/>
      <c r="G286" s="23" t="s">
        <v>438</v>
      </c>
    </row>
    <row r="287">
      <c r="F287" s="23"/>
      <c r="G287" s="23" t="s">
        <v>439</v>
      </c>
    </row>
    <row r="288">
      <c r="F288" s="23"/>
      <c r="G288" s="23" t="s">
        <v>440</v>
      </c>
    </row>
    <row r="289">
      <c r="F289" s="23"/>
      <c r="G289" s="23" t="s">
        <v>441</v>
      </c>
    </row>
    <row r="290">
      <c r="F290" s="23"/>
      <c r="G290" s="23" t="s">
        <v>442</v>
      </c>
    </row>
    <row r="291">
      <c r="F291" s="23"/>
      <c r="G291" s="23" t="s">
        <v>443</v>
      </c>
    </row>
    <row r="292">
      <c r="F292" s="23"/>
      <c r="G292" s="23" t="s">
        <v>444</v>
      </c>
    </row>
    <row r="293">
      <c r="F293" s="23"/>
      <c r="G293" s="23" t="s">
        <v>445</v>
      </c>
    </row>
    <row r="294">
      <c r="F294" s="23"/>
      <c r="G294" s="23" t="s">
        <v>446</v>
      </c>
    </row>
    <row r="295">
      <c r="F295" s="23"/>
      <c r="G295" s="23" t="s">
        <v>447</v>
      </c>
    </row>
    <row r="296">
      <c r="F296" s="23"/>
      <c r="G296" s="23" t="s">
        <v>448</v>
      </c>
    </row>
    <row r="297">
      <c r="F297" s="23"/>
      <c r="G297" s="23" t="s">
        <v>449</v>
      </c>
    </row>
    <row r="298">
      <c r="F298" s="23"/>
      <c r="G298" s="23" t="s">
        <v>450</v>
      </c>
    </row>
    <row r="299">
      <c r="F299" s="23"/>
      <c r="G299" s="23" t="s">
        <v>451</v>
      </c>
    </row>
    <row r="300">
      <c r="F300" s="23"/>
      <c r="G300" s="23" t="s">
        <v>452</v>
      </c>
    </row>
    <row r="301">
      <c r="F301" s="23"/>
      <c r="G301" s="23" t="s">
        <v>453</v>
      </c>
    </row>
    <row r="302">
      <c r="F302" s="23"/>
      <c r="G302" s="23" t="s">
        <v>454</v>
      </c>
    </row>
    <row r="303">
      <c r="F303" s="23"/>
      <c r="G303" s="23" t="s">
        <v>455</v>
      </c>
    </row>
    <row r="304">
      <c r="F304" s="23"/>
      <c r="G304" s="23" t="s">
        <v>456</v>
      </c>
    </row>
    <row r="305">
      <c r="F305" s="23"/>
      <c r="G305" s="23" t="s">
        <v>457</v>
      </c>
    </row>
    <row r="306">
      <c r="F306" s="23"/>
      <c r="G306" s="23" t="s">
        <v>458</v>
      </c>
    </row>
    <row r="307">
      <c r="F307" s="23"/>
      <c r="G307" s="23" t="s">
        <v>459</v>
      </c>
    </row>
    <row r="308">
      <c r="F308" s="23"/>
      <c r="G308" s="23" t="s">
        <v>460</v>
      </c>
    </row>
    <row r="309">
      <c r="F309" s="23"/>
      <c r="G309" s="23" t="s">
        <v>461</v>
      </c>
    </row>
    <row r="310">
      <c r="F310" s="23"/>
      <c r="G310" s="23" t="s">
        <v>462</v>
      </c>
    </row>
    <row r="311">
      <c r="F311" s="23"/>
      <c r="G311" s="23" t="s">
        <v>463</v>
      </c>
    </row>
    <row r="312">
      <c r="F312" s="23"/>
      <c r="G312" s="23" t="s">
        <v>464</v>
      </c>
    </row>
    <row r="313">
      <c r="F313" s="23"/>
      <c r="G313" s="23" t="s">
        <v>465</v>
      </c>
    </row>
    <row r="314">
      <c r="F314" s="23"/>
      <c r="G314" s="23" t="s">
        <v>466</v>
      </c>
    </row>
    <row r="315">
      <c r="F315" s="23"/>
      <c r="G315" s="23" t="s">
        <v>467</v>
      </c>
    </row>
    <row r="316">
      <c r="F316" s="23"/>
      <c r="G316" s="23" t="s">
        <v>468</v>
      </c>
    </row>
    <row r="317">
      <c r="F317" s="23"/>
      <c r="G317" s="23" t="s">
        <v>469</v>
      </c>
    </row>
    <row r="318">
      <c r="F318" s="23"/>
      <c r="G318" s="23" t="s">
        <v>470</v>
      </c>
    </row>
    <row r="319">
      <c r="F319" s="23"/>
      <c r="G319" s="23" t="s">
        <v>471</v>
      </c>
    </row>
    <row r="320">
      <c r="F320" s="23"/>
      <c r="G320" s="23" t="s">
        <v>472</v>
      </c>
    </row>
    <row r="321">
      <c r="F321" s="23"/>
      <c r="G321" s="23" t="s">
        <v>473</v>
      </c>
    </row>
    <row r="322">
      <c r="F322" s="23"/>
      <c r="G322" s="23" t="s">
        <v>474</v>
      </c>
    </row>
    <row r="323">
      <c r="F323" s="23"/>
      <c r="G323" s="23" t="s">
        <v>475</v>
      </c>
    </row>
    <row r="324">
      <c r="F324" s="23"/>
      <c r="G324" s="23" t="s">
        <v>476</v>
      </c>
    </row>
    <row r="325">
      <c r="F325" s="23"/>
      <c r="G325" s="23" t="s">
        <v>477</v>
      </c>
    </row>
    <row r="326">
      <c r="F326" s="23"/>
      <c r="G326" s="23" t="s">
        <v>478</v>
      </c>
    </row>
    <row r="327">
      <c r="F327" s="23"/>
      <c r="G327" s="23" t="s">
        <v>479</v>
      </c>
    </row>
    <row r="328">
      <c r="F328" s="23"/>
      <c r="G328" s="23" t="s">
        <v>480</v>
      </c>
    </row>
    <row r="329">
      <c r="F329" s="23"/>
      <c r="G329" s="23" t="s">
        <v>481</v>
      </c>
    </row>
    <row r="330">
      <c r="F330" s="23"/>
      <c r="G330" s="23" t="s">
        <v>482</v>
      </c>
    </row>
    <row r="331">
      <c r="F331" s="23"/>
      <c r="G331" s="23" t="s">
        <v>483</v>
      </c>
    </row>
    <row r="332">
      <c r="F332" s="23"/>
      <c r="G332" s="23" t="s">
        <v>484</v>
      </c>
    </row>
    <row r="333">
      <c r="F333" s="23"/>
      <c r="G333" s="23" t="s">
        <v>485</v>
      </c>
    </row>
    <row r="334">
      <c r="F334" s="23"/>
      <c r="G334" s="23" t="s">
        <v>486</v>
      </c>
    </row>
    <row r="335">
      <c r="F335" s="23"/>
      <c r="G335" s="23" t="s">
        <v>487</v>
      </c>
    </row>
    <row r="336">
      <c r="F336" s="23"/>
      <c r="G336" s="23" t="s">
        <v>488</v>
      </c>
    </row>
    <row r="337">
      <c r="F337" s="23"/>
      <c r="G337" s="23" t="s">
        <v>489</v>
      </c>
    </row>
    <row r="338">
      <c r="F338" s="23"/>
      <c r="G338" s="23" t="s">
        <v>490</v>
      </c>
    </row>
    <row r="339">
      <c r="F339" s="23"/>
      <c r="G339" s="23" t="s">
        <v>491</v>
      </c>
    </row>
    <row r="340">
      <c r="F340" s="23"/>
      <c r="G340" s="23" t="s">
        <v>492</v>
      </c>
    </row>
    <row r="341">
      <c r="F341" s="23"/>
      <c r="G341" s="23" t="s">
        <v>493</v>
      </c>
    </row>
    <row r="342">
      <c r="F342" s="23"/>
      <c r="G342" s="23" t="s">
        <v>494</v>
      </c>
    </row>
    <row r="343">
      <c r="F343" s="23"/>
      <c r="G343" s="23" t="s">
        <v>495</v>
      </c>
    </row>
    <row r="344">
      <c r="F344" s="23"/>
      <c r="G344" s="23" t="s">
        <v>496</v>
      </c>
    </row>
    <row r="345">
      <c r="F345" s="23"/>
      <c r="G345" s="23" t="s">
        <v>497</v>
      </c>
    </row>
    <row r="346">
      <c r="F346" s="23"/>
      <c r="G346" s="23" t="s">
        <v>498</v>
      </c>
    </row>
    <row r="347">
      <c r="F347" s="23"/>
      <c r="G347" s="23" t="s">
        <v>499</v>
      </c>
    </row>
    <row r="348">
      <c r="F348" s="23"/>
      <c r="G348" s="23" t="s">
        <v>500</v>
      </c>
    </row>
    <row r="349">
      <c r="F349" s="23"/>
      <c r="G349" s="23" t="s">
        <v>501</v>
      </c>
    </row>
    <row r="350">
      <c r="F350" s="23"/>
      <c r="G350" s="23" t="s">
        <v>502</v>
      </c>
    </row>
    <row r="351">
      <c r="F351" s="23"/>
      <c r="G351" s="23" t="s">
        <v>503</v>
      </c>
    </row>
    <row r="352">
      <c r="F352" s="23"/>
      <c r="G352" s="23" t="s">
        <v>504</v>
      </c>
    </row>
    <row r="353">
      <c r="F353" s="23"/>
      <c r="G353" s="23" t="s">
        <v>505</v>
      </c>
    </row>
    <row r="354">
      <c r="F354" s="23"/>
      <c r="G354" s="23" t="s">
        <v>506</v>
      </c>
    </row>
    <row r="355">
      <c r="F355" s="23"/>
      <c r="G355" s="23" t="s">
        <v>507</v>
      </c>
    </row>
    <row r="356">
      <c r="F356" s="23"/>
      <c r="G356" s="23" t="s">
        <v>508</v>
      </c>
    </row>
    <row r="357">
      <c r="F357" s="23"/>
      <c r="G357" s="23" t="s">
        <v>509</v>
      </c>
    </row>
    <row r="358">
      <c r="F358" s="23"/>
      <c r="G358" s="23" t="s">
        <v>510</v>
      </c>
    </row>
    <row r="359">
      <c r="F359" s="23"/>
      <c r="G359" s="23" t="s">
        <v>511</v>
      </c>
    </row>
    <row r="360">
      <c r="F360" s="23"/>
      <c r="G360" s="23" t="s">
        <v>512</v>
      </c>
    </row>
    <row r="361">
      <c r="F361" s="23"/>
      <c r="G361" s="23" t="s">
        <v>513</v>
      </c>
    </row>
    <row r="362">
      <c r="F362" s="23"/>
      <c r="G362" s="23" t="s">
        <v>514</v>
      </c>
    </row>
    <row r="363">
      <c r="F363" s="23"/>
      <c r="G363" s="23" t="s">
        <v>515</v>
      </c>
    </row>
    <row r="364">
      <c r="F364" s="23"/>
      <c r="G364" s="23" t="s">
        <v>516</v>
      </c>
    </row>
    <row r="365">
      <c r="F365" s="23"/>
      <c r="G365" s="23" t="s">
        <v>517</v>
      </c>
    </row>
    <row r="366">
      <c r="F366" s="23"/>
      <c r="G366" s="23" t="s">
        <v>518</v>
      </c>
    </row>
    <row r="367">
      <c r="F367" s="23"/>
      <c r="G367" s="23" t="s">
        <v>519</v>
      </c>
    </row>
    <row r="368">
      <c r="F368" s="23"/>
      <c r="G368" s="23" t="s">
        <v>520</v>
      </c>
    </row>
    <row r="369">
      <c r="F369" s="23"/>
      <c r="G369" s="23" t="s">
        <v>521</v>
      </c>
    </row>
    <row r="370">
      <c r="F370" s="23"/>
      <c r="G370" s="23" t="s">
        <v>522</v>
      </c>
    </row>
    <row r="371">
      <c r="F371" s="23"/>
      <c r="G371" s="23" t="s">
        <v>523</v>
      </c>
    </row>
    <row r="372">
      <c r="F372" s="23"/>
      <c r="G372" s="23" t="s">
        <v>524</v>
      </c>
    </row>
    <row r="373">
      <c r="F373" s="23"/>
      <c r="G373" s="23" t="s">
        <v>525</v>
      </c>
    </row>
    <row r="374">
      <c r="F374" s="23"/>
      <c r="G374" s="23" t="s">
        <v>526</v>
      </c>
    </row>
    <row r="375">
      <c r="F375" s="23"/>
      <c r="G375" s="23" t="s">
        <v>527</v>
      </c>
    </row>
    <row r="376">
      <c r="F376" s="23"/>
      <c r="G376" s="23" t="s">
        <v>528</v>
      </c>
    </row>
    <row r="377">
      <c r="F377" s="23"/>
      <c r="G377" s="23" t="s">
        <v>529</v>
      </c>
    </row>
    <row r="378">
      <c r="F378" s="23"/>
      <c r="G378" s="23" t="s">
        <v>530</v>
      </c>
    </row>
    <row r="379">
      <c r="F379" s="23"/>
      <c r="G379" s="23" t="s">
        <v>531</v>
      </c>
    </row>
    <row r="380">
      <c r="F380" s="23"/>
      <c r="G380" s="23" t="s">
        <v>532</v>
      </c>
    </row>
    <row r="381">
      <c r="F381" s="23"/>
      <c r="G381" s="23" t="s">
        <v>533</v>
      </c>
    </row>
    <row r="382">
      <c r="F382" s="23"/>
      <c r="G382" s="23" t="s">
        <v>534</v>
      </c>
    </row>
    <row r="383">
      <c r="F383" s="23"/>
      <c r="G383" s="23" t="s">
        <v>535</v>
      </c>
    </row>
    <row r="384">
      <c r="F384" s="23"/>
      <c r="G384" s="23" t="s">
        <v>536</v>
      </c>
    </row>
    <row r="385">
      <c r="F385" s="23"/>
      <c r="G385" s="23" t="s">
        <v>537</v>
      </c>
    </row>
    <row r="386">
      <c r="F386" s="23"/>
      <c r="G386" s="23" t="s">
        <v>538</v>
      </c>
    </row>
    <row r="387">
      <c r="F387" s="23"/>
      <c r="G387" s="23" t="s">
        <v>539</v>
      </c>
    </row>
    <row r="388">
      <c r="F388" s="23"/>
      <c r="G388" s="23" t="s">
        <v>540</v>
      </c>
    </row>
    <row r="389">
      <c r="F389" s="23"/>
      <c r="G389" s="23" t="s">
        <v>541</v>
      </c>
    </row>
    <row r="390">
      <c r="F390" s="23"/>
      <c r="G390" s="23" t="s">
        <v>542</v>
      </c>
    </row>
    <row r="391">
      <c r="F391" s="23"/>
      <c r="G391" s="23" t="s">
        <v>543</v>
      </c>
    </row>
    <row r="392">
      <c r="F392" s="23"/>
      <c r="G392" s="23" t="s">
        <v>544</v>
      </c>
    </row>
    <row r="393">
      <c r="F393" s="23"/>
      <c r="G393" s="23" t="s">
        <v>545</v>
      </c>
    </row>
    <row r="394">
      <c r="F394" s="23"/>
      <c r="G394" s="23" t="s">
        <v>546</v>
      </c>
    </row>
    <row r="395">
      <c r="F395" s="23"/>
      <c r="G395" s="23" t="s">
        <v>547</v>
      </c>
    </row>
    <row r="396">
      <c r="F396" s="23"/>
      <c r="G396" s="23" t="s">
        <v>548</v>
      </c>
    </row>
    <row r="397">
      <c r="F397" s="23"/>
      <c r="G397" s="23" t="s">
        <v>549</v>
      </c>
    </row>
    <row r="398">
      <c r="F398" s="23"/>
      <c r="G398" s="23" t="s">
        <v>550</v>
      </c>
    </row>
    <row r="399">
      <c r="F399" s="23"/>
      <c r="G399" s="23" t="s">
        <v>551</v>
      </c>
    </row>
    <row r="400">
      <c r="F400" s="23"/>
      <c r="G400" s="23" t="s">
        <v>552</v>
      </c>
    </row>
    <row r="401">
      <c r="F401" s="23"/>
      <c r="G401" s="23" t="s">
        <v>553</v>
      </c>
    </row>
    <row r="402">
      <c r="F402" s="23"/>
      <c r="G402" s="23" t="s">
        <v>554</v>
      </c>
    </row>
    <row r="403">
      <c r="F403" s="23"/>
      <c r="G403" s="23" t="s">
        <v>555</v>
      </c>
    </row>
    <row r="404">
      <c r="F404" s="23"/>
      <c r="G404" s="23" t="s">
        <v>556</v>
      </c>
    </row>
    <row r="405">
      <c r="F405" s="23"/>
      <c r="G405" s="23" t="s">
        <v>557</v>
      </c>
    </row>
    <row r="406">
      <c r="F406" s="23"/>
      <c r="G406" s="23" t="s">
        <v>558</v>
      </c>
    </row>
    <row r="407">
      <c r="F407" s="23"/>
      <c r="G407" s="23" t="s">
        <v>559</v>
      </c>
    </row>
    <row r="408">
      <c r="F408" s="23"/>
      <c r="G408" s="23" t="s">
        <v>560</v>
      </c>
    </row>
    <row r="409">
      <c r="F409" s="23"/>
      <c r="G409" s="23" t="s">
        <v>561</v>
      </c>
    </row>
    <row r="410">
      <c r="F410" s="23"/>
      <c r="G410" s="23" t="s">
        <v>562</v>
      </c>
    </row>
    <row r="411">
      <c r="F411" s="23"/>
      <c r="G411" s="23" t="s">
        <v>563</v>
      </c>
    </row>
    <row r="412">
      <c r="F412" s="23"/>
      <c r="G412" s="23" t="s">
        <v>564</v>
      </c>
    </row>
    <row r="413">
      <c r="F413" s="23"/>
      <c r="G413" s="23" t="s">
        <v>565</v>
      </c>
    </row>
    <row r="414">
      <c r="F414" s="23"/>
      <c r="G414" s="23" t="s">
        <v>566</v>
      </c>
    </row>
    <row r="415">
      <c r="F415" s="23"/>
      <c r="G415" s="23" t="s">
        <v>567</v>
      </c>
    </row>
    <row r="416">
      <c r="F416" s="23"/>
      <c r="G416" s="23" t="s">
        <v>568</v>
      </c>
    </row>
    <row r="417">
      <c r="F417" s="23"/>
      <c r="G417" s="23" t="s">
        <v>569</v>
      </c>
    </row>
    <row r="418">
      <c r="F418" s="23"/>
      <c r="G418" s="23" t="s">
        <v>570</v>
      </c>
    </row>
    <row r="419">
      <c r="F419" s="23"/>
      <c r="G419" s="23" t="s">
        <v>571</v>
      </c>
    </row>
    <row r="420">
      <c r="F420" s="23"/>
      <c r="G420" s="23" t="s">
        <v>572</v>
      </c>
    </row>
    <row r="421">
      <c r="F421" s="23"/>
      <c r="G421" s="23" t="s">
        <v>573</v>
      </c>
    </row>
    <row r="422">
      <c r="F422" s="23"/>
      <c r="G422" s="23" t="s">
        <v>574</v>
      </c>
    </row>
    <row r="423">
      <c r="F423" s="23"/>
      <c r="G423" s="23" t="s">
        <v>575</v>
      </c>
    </row>
    <row r="424">
      <c r="F424" s="23"/>
      <c r="G424" s="23" t="s">
        <v>576</v>
      </c>
    </row>
    <row r="425">
      <c r="F425" s="23"/>
      <c r="G425" s="23" t="s">
        <v>577</v>
      </c>
    </row>
    <row r="426">
      <c r="F426" s="23"/>
      <c r="G426" s="23" t="s">
        <v>578</v>
      </c>
    </row>
    <row r="427">
      <c r="F427" s="23"/>
      <c r="G427" s="23" t="s">
        <v>579</v>
      </c>
    </row>
    <row r="428">
      <c r="F428" s="23"/>
      <c r="G428" s="23" t="s">
        <v>580</v>
      </c>
    </row>
    <row r="429">
      <c r="F429" s="23"/>
      <c r="G429" s="23" t="s">
        <v>581</v>
      </c>
    </row>
    <row r="430">
      <c r="F430" s="23"/>
      <c r="G430" s="23" t="s">
        <v>582</v>
      </c>
    </row>
    <row r="431">
      <c r="F431" s="23"/>
      <c r="G431" s="23" t="s">
        <v>583</v>
      </c>
    </row>
    <row r="432">
      <c r="F432" s="23"/>
      <c r="G432" s="23" t="s">
        <v>584</v>
      </c>
    </row>
    <row r="433">
      <c r="F433" s="23"/>
      <c r="G433" s="23" t="s">
        <v>585</v>
      </c>
    </row>
    <row r="434">
      <c r="F434" s="23"/>
      <c r="G434" s="23" t="s">
        <v>586</v>
      </c>
    </row>
    <row r="435">
      <c r="F435" s="23"/>
      <c r="G435" s="23" t="s">
        <v>587</v>
      </c>
    </row>
    <row r="436">
      <c r="F436" s="23"/>
      <c r="G436" s="23" t="s">
        <v>588</v>
      </c>
    </row>
    <row r="437">
      <c r="F437" s="23"/>
      <c r="G437" s="23" t="s">
        <v>589</v>
      </c>
    </row>
    <row r="438">
      <c r="F438" s="23"/>
      <c r="G438" s="23" t="s">
        <v>590</v>
      </c>
    </row>
    <row r="439">
      <c r="F439" s="23"/>
      <c r="G439" s="23" t="s">
        <v>591</v>
      </c>
    </row>
    <row r="440">
      <c r="F440" s="23"/>
      <c r="G440" s="23" t="s">
        <v>592</v>
      </c>
    </row>
    <row r="441">
      <c r="F441" s="23"/>
      <c r="G441" s="23" t="s">
        <v>593</v>
      </c>
    </row>
    <row r="442">
      <c r="F442" s="23"/>
      <c r="G442" s="23" t="s">
        <v>594</v>
      </c>
    </row>
    <row r="443">
      <c r="F443" s="23"/>
      <c r="G443" s="23" t="s">
        <v>595</v>
      </c>
    </row>
    <row r="444">
      <c r="F444" s="23"/>
      <c r="G444" s="23" t="s">
        <v>596</v>
      </c>
    </row>
    <row r="445">
      <c r="F445" s="23"/>
      <c r="G445" s="23" t="s">
        <v>597</v>
      </c>
    </row>
    <row r="446">
      <c r="F446" s="23"/>
      <c r="G446" s="23" t="s">
        <v>598</v>
      </c>
    </row>
    <row r="447">
      <c r="F447" s="23"/>
      <c r="G447" s="23" t="s">
        <v>599</v>
      </c>
    </row>
    <row r="448">
      <c r="F448" s="23"/>
      <c r="G448" s="23" t="s">
        <v>600</v>
      </c>
    </row>
    <row r="449">
      <c r="F449" s="23"/>
      <c r="G449" s="23" t="s">
        <v>601</v>
      </c>
    </row>
    <row r="450">
      <c r="F450" s="23"/>
      <c r="G450" s="23" t="s">
        <v>602</v>
      </c>
    </row>
    <row r="451">
      <c r="F451" s="23"/>
      <c r="G451" s="23" t="s">
        <v>603</v>
      </c>
    </row>
    <row r="452">
      <c r="F452" s="23"/>
      <c r="G452" s="23" t="s">
        <v>604</v>
      </c>
    </row>
    <row r="453">
      <c r="F453" s="23"/>
      <c r="G453" s="23" t="s">
        <v>605</v>
      </c>
    </row>
    <row r="454">
      <c r="F454" s="23"/>
      <c r="G454" s="23" t="s">
        <v>606</v>
      </c>
    </row>
    <row r="455">
      <c r="F455" s="23"/>
      <c r="G455" s="23" t="s">
        <v>607</v>
      </c>
    </row>
    <row r="456">
      <c r="F456" s="23"/>
      <c r="G456" s="23" t="s">
        <v>608</v>
      </c>
    </row>
    <row r="457">
      <c r="F457" s="23"/>
      <c r="G457" s="23" t="s">
        <v>609</v>
      </c>
    </row>
    <row r="458">
      <c r="F458" s="23"/>
      <c r="G458" s="23" t="s">
        <v>610</v>
      </c>
    </row>
    <row r="459">
      <c r="F459" s="23"/>
      <c r="G459" s="23" t="s">
        <v>611</v>
      </c>
    </row>
    <row r="460">
      <c r="F460" s="23"/>
      <c r="G460" s="23" t="s">
        <v>612</v>
      </c>
    </row>
    <row r="461">
      <c r="F461" s="23"/>
      <c r="G461" s="23" t="s">
        <v>613</v>
      </c>
    </row>
    <row r="462">
      <c r="F462" s="23"/>
      <c r="G462" s="23" t="s">
        <v>614</v>
      </c>
    </row>
    <row r="463">
      <c r="F463" s="23"/>
      <c r="G463" s="23" t="s">
        <v>615</v>
      </c>
    </row>
    <row r="464">
      <c r="F464" s="23"/>
      <c r="G464" s="23" t="s">
        <v>616</v>
      </c>
    </row>
    <row r="465">
      <c r="F465" s="23"/>
      <c r="G465" s="23" t="s">
        <v>617</v>
      </c>
    </row>
    <row r="466">
      <c r="F466" s="23"/>
      <c r="G466" s="23" t="s">
        <v>618</v>
      </c>
    </row>
    <row r="467">
      <c r="F467" s="23"/>
      <c r="G467" s="23" t="s">
        <v>619</v>
      </c>
    </row>
    <row r="468">
      <c r="F468" s="23"/>
      <c r="G468" s="23" t="s">
        <v>620</v>
      </c>
    </row>
    <row r="469">
      <c r="F469" s="23"/>
      <c r="G469" s="23" t="s">
        <v>621</v>
      </c>
    </row>
    <row r="470">
      <c r="F470" s="23"/>
      <c r="G470" s="23" t="s">
        <v>622</v>
      </c>
    </row>
    <row r="471">
      <c r="F471" s="23"/>
      <c r="G471" s="23" t="s">
        <v>623</v>
      </c>
    </row>
    <row r="472">
      <c r="F472" s="23"/>
      <c r="G472" s="23" t="s">
        <v>624</v>
      </c>
    </row>
    <row r="473">
      <c r="F473" s="23"/>
      <c r="G473" s="23" t="s">
        <v>625</v>
      </c>
    </row>
    <row r="474">
      <c r="F474" s="23"/>
      <c r="G474" s="23" t="s">
        <v>626</v>
      </c>
    </row>
    <row r="475">
      <c r="F475" s="23"/>
      <c r="G475" s="23" t="s">
        <v>627</v>
      </c>
    </row>
    <row r="476">
      <c r="F476" s="23"/>
      <c r="G476" s="23" t="s">
        <v>628</v>
      </c>
    </row>
    <row r="477">
      <c r="F477" s="23"/>
      <c r="G477" s="23" t="s">
        <v>629</v>
      </c>
    </row>
    <row r="478">
      <c r="F478" s="23"/>
      <c r="G478" s="23" t="s">
        <v>630</v>
      </c>
    </row>
    <row r="479">
      <c r="F479" s="23"/>
      <c r="G479" s="23" t="s">
        <v>631</v>
      </c>
    </row>
    <row r="480">
      <c r="F480" s="23"/>
      <c r="G480" s="23" t="s">
        <v>632</v>
      </c>
    </row>
    <row r="481">
      <c r="F481" s="23"/>
      <c r="G481" s="23" t="s">
        <v>633</v>
      </c>
    </row>
    <row r="482">
      <c r="F482" s="23"/>
      <c r="G482" s="23" t="s">
        <v>634</v>
      </c>
    </row>
    <row r="483">
      <c r="F483" s="23"/>
      <c r="G483" s="23" t="s">
        <v>635</v>
      </c>
    </row>
    <row r="484">
      <c r="F484" s="23"/>
      <c r="G484" s="23" t="s">
        <v>636</v>
      </c>
    </row>
    <row r="485">
      <c r="F485" s="23"/>
      <c r="G485" s="23" t="s">
        <v>637</v>
      </c>
    </row>
    <row r="486">
      <c r="F486" s="23"/>
      <c r="G486" s="23" t="s">
        <v>638</v>
      </c>
    </row>
    <row r="487">
      <c r="F487" s="23"/>
      <c r="G487" s="23" t="s">
        <v>639</v>
      </c>
    </row>
    <row r="488">
      <c r="F488" s="23"/>
      <c r="G488" s="23" t="s">
        <v>640</v>
      </c>
    </row>
    <row r="489">
      <c r="F489" s="23"/>
      <c r="G489" s="23" t="s">
        <v>641</v>
      </c>
    </row>
    <row r="490">
      <c r="F490" s="23"/>
      <c r="G490" s="23" t="s">
        <v>642</v>
      </c>
    </row>
    <row r="491">
      <c r="F491" s="23"/>
      <c r="G491" s="23" t="s">
        <v>643</v>
      </c>
    </row>
    <row r="492">
      <c r="F492" s="23"/>
      <c r="G492" s="23" t="s">
        <v>644</v>
      </c>
    </row>
    <row r="493">
      <c r="F493" s="23"/>
      <c r="G493" s="23" t="s">
        <v>645</v>
      </c>
    </row>
    <row r="494">
      <c r="F494" s="23"/>
      <c r="G494" s="23" t="s">
        <v>646</v>
      </c>
    </row>
    <row r="495">
      <c r="F495" s="23"/>
      <c r="G495" s="23" t="s">
        <v>647</v>
      </c>
    </row>
    <row r="496">
      <c r="F496" s="23"/>
      <c r="G496" s="23" t="s">
        <v>648</v>
      </c>
    </row>
    <row r="497">
      <c r="F497" s="23"/>
      <c r="G497" s="23" t="s">
        <v>649</v>
      </c>
    </row>
    <row r="498">
      <c r="F498" s="23"/>
      <c r="G498" s="23" t="s">
        <v>650</v>
      </c>
    </row>
    <row r="499">
      <c r="F499" s="23"/>
      <c r="G499" s="23" t="s">
        <v>651</v>
      </c>
    </row>
    <row r="500">
      <c r="F500" s="23"/>
      <c r="G500" s="23" t="s">
        <v>652</v>
      </c>
    </row>
    <row r="501">
      <c r="F501" s="23"/>
      <c r="G501" s="23" t="s">
        <v>653</v>
      </c>
    </row>
    <row r="502">
      <c r="F502" s="23"/>
      <c r="G502" s="23" t="s">
        <v>654</v>
      </c>
    </row>
    <row r="503">
      <c r="F503" s="23"/>
      <c r="G503" s="23" t="s">
        <v>655</v>
      </c>
    </row>
    <row r="504">
      <c r="F504" s="23"/>
      <c r="G504" s="23" t="s">
        <v>656</v>
      </c>
    </row>
    <row r="505">
      <c r="F505" s="23"/>
      <c r="G505" s="23" t="s">
        <v>657</v>
      </c>
    </row>
    <row r="506">
      <c r="F506" s="23"/>
      <c r="G506" s="23" t="s">
        <v>658</v>
      </c>
    </row>
    <row r="507">
      <c r="F507" s="23"/>
      <c r="G507" s="23" t="s">
        <v>659</v>
      </c>
    </row>
    <row r="508">
      <c r="F508" s="23"/>
      <c r="G508" s="23" t="s">
        <v>660</v>
      </c>
    </row>
    <row r="509">
      <c r="F509" s="23"/>
      <c r="G509" s="23" t="s">
        <v>661</v>
      </c>
    </row>
    <row r="510">
      <c r="F510" s="23"/>
      <c r="G510" s="23" t="s">
        <v>662</v>
      </c>
    </row>
    <row r="511">
      <c r="F511" s="23"/>
      <c r="G511" s="23" t="s">
        <v>663</v>
      </c>
    </row>
    <row r="512">
      <c r="F512" s="23"/>
      <c r="G512" s="23" t="s">
        <v>664</v>
      </c>
    </row>
    <row r="513">
      <c r="F513" s="23"/>
      <c r="G513" s="23" t="s">
        <v>665</v>
      </c>
    </row>
    <row r="514">
      <c r="F514" s="23"/>
      <c r="G514" s="23" t="s">
        <v>666</v>
      </c>
    </row>
    <row r="515">
      <c r="F515" s="23"/>
      <c r="G515" s="23" t="s">
        <v>667</v>
      </c>
    </row>
    <row r="516">
      <c r="F516" s="23"/>
      <c r="G516" s="23" t="s">
        <v>668</v>
      </c>
    </row>
    <row r="517">
      <c r="F517" s="23"/>
      <c r="G517" s="23" t="s">
        <v>669</v>
      </c>
    </row>
    <row r="518">
      <c r="F518" s="23"/>
      <c r="G518" s="23" t="s">
        <v>670</v>
      </c>
    </row>
    <row r="519">
      <c r="F519" s="23"/>
      <c r="G519" s="23" t="s">
        <v>671</v>
      </c>
    </row>
    <row r="520">
      <c r="F520" s="23"/>
      <c r="G520" s="23" t="s">
        <v>672</v>
      </c>
    </row>
    <row r="521">
      <c r="F521" s="23"/>
      <c r="G521" s="23" t="s">
        <v>673</v>
      </c>
    </row>
    <row r="522">
      <c r="F522" s="23"/>
      <c r="G522" s="23" t="s">
        <v>674</v>
      </c>
    </row>
    <row r="523">
      <c r="F523" s="23"/>
      <c r="G523" s="23" t="s">
        <v>675</v>
      </c>
    </row>
    <row r="524">
      <c r="F524" s="23"/>
      <c r="G524" s="23" t="s">
        <v>676</v>
      </c>
    </row>
    <row r="525">
      <c r="F525" s="23"/>
      <c r="G525" s="23" t="s">
        <v>677</v>
      </c>
    </row>
    <row r="526">
      <c r="F526" s="23"/>
      <c r="G526" s="23" t="s">
        <v>678</v>
      </c>
    </row>
    <row r="527">
      <c r="F527" s="23"/>
      <c r="G527" s="23" t="s">
        <v>679</v>
      </c>
    </row>
    <row r="528">
      <c r="F528" s="23"/>
      <c r="G528" s="23" t="s">
        <v>680</v>
      </c>
    </row>
    <row r="529">
      <c r="F529" s="23"/>
      <c r="G529" s="23" t="s">
        <v>681</v>
      </c>
    </row>
    <row r="530">
      <c r="F530" s="23"/>
      <c r="G530" s="23" t="s">
        <v>682</v>
      </c>
    </row>
    <row r="531">
      <c r="F531" s="23"/>
      <c r="G531" s="23" t="s">
        <v>683</v>
      </c>
    </row>
    <row r="532">
      <c r="F532" s="23"/>
      <c r="G532" s="23" t="s">
        <v>684</v>
      </c>
    </row>
    <row r="533">
      <c r="F533" s="23"/>
      <c r="G533" s="23" t="s">
        <v>685</v>
      </c>
    </row>
    <row r="534">
      <c r="F534" s="23"/>
      <c r="G534" s="23" t="s">
        <v>686</v>
      </c>
    </row>
    <row r="535">
      <c r="F535" s="23"/>
      <c r="G535" s="23" t="s">
        <v>687</v>
      </c>
    </row>
    <row r="536">
      <c r="F536" s="23"/>
      <c r="G536" s="23" t="s">
        <v>688</v>
      </c>
    </row>
    <row r="537">
      <c r="F537" s="23"/>
      <c r="G537" s="23" t="s">
        <v>689</v>
      </c>
    </row>
    <row r="538">
      <c r="F538" s="23"/>
      <c r="G538" s="23" t="s">
        <v>690</v>
      </c>
    </row>
    <row r="539">
      <c r="F539" s="23"/>
      <c r="G539" s="23" t="s">
        <v>691</v>
      </c>
    </row>
    <row r="540">
      <c r="F540" s="23"/>
      <c r="G540" s="23" t="s">
        <v>692</v>
      </c>
    </row>
    <row r="541">
      <c r="F541" s="23"/>
      <c r="G541" s="23" t="s">
        <v>693</v>
      </c>
    </row>
    <row r="542">
      <c r="F542" s="23"/>
      <c r="G542" s="23" t="s">
        <v>694</v>
      </c>
    </row>
    <row r="543">
      <c r="F543" s="23"/>
      <c r="G543" s="23" t="s">
        <v>695</v>
      </c>
    </row>
    <row r="544">
      <c r="F544" s="23"/>
      <c r="G544" s="23" t="s">
        <v>696</v>
      </c>
    </row>
    <row r="545">
      <c r="F545" s="23"/>
      <c r="G545" s="23" t="s">
        <v>697</v>
      </c>
    </row>
    <row r="546">
      <c r="F546" s="23"/>
      <c r="G546" s="23" t="s">
        <v>698</v>
      </c>
    </row>
    <row r="547">
      <c r="F547" s="23"/>
      <c r="G547" s="23" t="s">
        <v>699</v>
      </c>
    </row>
    <row r="548">
      <c r="F548" s="23"/>
      <c r="G548" s="23" t="s">
        <v>700</v>
      </c>
    </row>
    <row r="549">
      <c r="F549" s="23"/>
      <c r="G549" s="23" t="s">
        <v>701</v>
      </c>
    </row>
    <row r="550">
      <c r="F550" s="23"/>
      <c r="G550" s="23" t="s">
        <v>702</v>
      </c>
    </row>
    <row r="551">
      <c r="F551" s="23"/>
      <c r="G551" s="23" t="s">
        <v>703</v>
      </c>
    </row>
    <row r="552">
      <c r="F552" s="23"/>
      <c r="G552" s="23" t="s">
        <v>704</v>
      </c>
    </row>
    <row r="553">
      <c r="F553" s="23"/>
      <c r="G553" s="23" t="s">
        <v>705</v>
      </c>
    </row>
    <row r="554">
      <c r="F554" s="23"/>
      <c r="G554" s="23" t="s">
        <v>706</v>
      </c>
    </row>
    <row r="555">
      <c r="F555" s="23"/>
      <c r="G555" s="23" t="s">
        <v>707</v>
      </c>
    </row>
    <row r="556">
      <c r="F556" s="23"/>
      <c r="G556" s="23" t="s">
        <v>708</v>
      </c>
    </row>
    <row r="557">
      <c r="F557" s="23"/>
      <c r="G557" s="23" t="s">
        <v>709</v>
      </c>
    </row>
    <row r="558">
      <c r="F558" s="23"/>
      <c r="G558" s="23" t="s">
        <v>710</v>
      </c>
    </row>
    <row r="559">
      <c r="F559" s="23"/>
      <c r="G559" s="23" t="s">
        <v>711</v>
      </c>
    </row>
    <row r="560">
      <c r="F560" s="23"/>
      <c r="G560" s="23" t="s">
        <v>712</v>
      </c>
    </row>
    <row r="561">
      <c r="F561" s="23"/>
      <c r="G561" s="23" t="s">
        <v>713</v>
      </c>
    </row>
    <row r="562">
      <c r="F562" s="23"/>
      <c r="G562" s="23" t="s">
        <v>714</v>
      </c>
    </row>
    <row r="563">
      <c r="F563" s="23"/>
      <c r="G563" s="23" t="s">
        <v>715</v>
      </c>
    </row>
    <row r="564">
      <c r="F564" s="23"/>
      <c r="G564" s="23" t="s">
        <v>716</v>
      </c>
    </row>
    <row r="565">
      <c r="F565" s="23"/>
      <c r="G565" s="23" t="s">
        <v>717</v>
      </c>
    </row>
    <row r="566">
      <c r="F566" s="23"/>
      <c r="G566" s="23" t="s">
        <v>718</v>
      </c>
    </row>
    <row r="567">
      <c r="F567" s="23"/>
      <c r="G567" s="23" t="s">
        <v>719</v>
      </c>
    </row>
    <row r="568">
      <c r="F568" s="23"/>
      <c r="G568" s="23" t="s">
        <v>720</v>
      </c>
    </row>
    <row r="569">
      <c r="F569" s="23"/>
      <c r="G569" s="23" t="s">
        <v>721</v>
      </c>
    </row>
    <row r="570">
      <c r="F570" s="23"/>
      <c r="G570" s="23" t="s">
        <v>722</v>
      </c>
    </row>
    <row r="571">
      <c r="F571" s="23"/>
      <c r="G571" s="23" t="s">
        <v>723</v>
      </c>
    </row>
    <row r="572">
      <c r="F572" s="23"/>
      <c r="G572" s="23" t="s">
        <v>724</v>
      </c>
    </row>
    <row r="573">
      <c r="F573" s="23"/>
      <c r="G573" s="23" t="s">
        <v>725</v>
      </c>
    </row>
    <row r="574">
      <c r="F574" s="23"/>
      <c r="G574" s="23" t="s">
        <v>726</v>
      </c>
    </row>
    <row r="575">
      <c r="F575" s="23"/>
      <c r="G575" s="23" t="s">
        <v>727</v>
      </c>
    </row>
    <row r="576">
      <c r="F576" s="23"/>
      <c r="G576" s="23" t="s">
        <v>728</v>
      </c>
    </row>
    <row r="577">
      <c r="F577" s="23"/>
      <c r="G577" s="23" t="s">
        <v>729</v>
      </c>
    </row>
    <row r="578">
      <c r="F578" s="23"/>
      <c r="G578" s="23" t="s">
        <v>730</v>
      </c>
    </row>
    <row r="579">
      <c r="F579" s="23"/>
      <c r="G579" s="23" t="s">
        <v>731</v>
      </c>
    </row>
    <row r="580">
      <c r="F580" s="23"/>
      <c r="G580" s="23" t="s">
        <v>732</v>
      </c>
    </row>
    <row r="581">
      <c r="F581" s="23"/>
      <c r="G581" s="23" t="s">
        <v>733</v>
      </c>
    </row>
    <row r="582">
      <c r="F582" s="23"/>
      <c r="G582" s="23" t="s">
        <v>734</v>
      </c>
    </row>
    <row r="583">
      <c r="F583" s="23"/>
      <c r="G583" s="23" t="s">
        <v>735</v>
      </c>
    </row>
    <row r="584">
      <c r="F584" s="23"/>
      <c r="G584" s="23" t="s">
        <v>736</v>
      </c>
    </row>
    <row r="585">
      <c r="F585" s="23"/>
      <c r="G585" s="23" t="s">
        <v>737</v>
      </c>
    </row>
    <row r="586">
      <c r="F586" s="23"/>
      <c r="G586" s="23" t="s">
        <v>738</v>
      </c>
    </row>
    <row r="587">
      <c r="F587" s="23"/>
      <c r="G587" s="23" t="s">
        <v>739</v>
      </c>
    </row>
    <row r="588">
      <c r="F588" s="23"/>
      <c r="G588" s="23" t="s">
        <v>740</v>
      </c>
    </row>
    <row r="589">
      <c r="F589" s="23"/>
      <c r="G589" s="23" t="s">
        <v>741</v>
      </c>
    </row>
    <row r="590">
      <c r="F590" s="23"/>
      <c r="G590" s="23" t="s">
        <v>742</v>
      </c>
    </row>
    <row r="591">
      <c r="F591" s="23"/>
      <c r="G591" s="23" t="s">
        <v>743</v>
      </c>
    </row>
    <row r="592">
      <c r="F592" s="23"/>
      <c r="G592" s="23" t="s">
        <v>744</v>
      </c>
    </row>
    <row r="593">
      <c r="F593" s="23"/>
      <c r="G593" s="23" t="s">
        <v>745</v>
      </c>
    </row>
    <row r="594">
      <c r="F594" s="23"/>
      <c r="G594" s="23" t="s">
        <v>746</v>
      </c>
    </row>
    <row r="595">
      <c r="F595" s="23"/>
      <c r="G595" s="23" t="s">
        <v>747</v>
      </c>
    </row>
    <row r="596">
      <c r="F596" s="23"/>
      <c r="G596" s="23" t="s">
        <v>748</v>
      </c>
    </row>
    <row r="597">
      <c r="F597" s="23"/>
      <c r="G597" s="23" t="s">
        <v>749</v>
      </c>
    </row>
    <row r="598">
      <c r="F598" s="23"/>
      <c r="G598" s="23" t="s">
        <v>750</v>
      </c>
    </row>
    <row r="599">
      <c r="F599" s="23"/>
      <c r="G599" s="23" t="s">
        <v>751</v>
      </c>
    </row>
    <row r="600">
      <c r="F600" s="23"/>
      <c r="G600" s="23" t="s">
        <v>752</v>
      </c>
    </row>
    <row r="601">
      <c r="F601" s="23"/>
      <c r="G601" s="23" t="s">
        <v>753</v>
      </c>
    </row>
    <row r="602">
      <c r="F602" s="23"/>
      <c r="G602" s="23" t="s">
        <v>754</v>
      </c>
    </row>
    <row r="603">
      <c r="F603" s="23"/>
      <c r="G603" s="23" t="s">
        <v>755</v>
      </c>
    </row>
    <row r="604">
      <c r="F604" s="23"/>
      <c r="G604" s="23" t="s">
        <v>756</v>
      </c>
    </row>
    <row r="605">
      <c r="F605" s="23"/>
      <c r="G605" s="23" t="s">
        <v>757</v>
      </c>
    </row>
    <row r="606">
      <c r="F606" s="23"/>
      <c r="G606" s="23" t="s">
        <v>758</v>
      </c>
    </row>
    <row r="607">
      <c r="F607" s="23"/>
      <c r="G607" s="23" t="s">
        <v>759</v>
      </c>
    </row>
    <row r="608">
      <c r="F608" s="23"/>
      <c r="G608" s="23" t="s">
        <v>760</v>
      </c>
    </row>
    <row r="609">
      <c r="F609" s="23"/>
      <c r="G609" s="23" t="s">
        <v>761</v>
      </c>
    </row>
    <row r="610">
      <c r="F610" s="23"/>
      <c r="G610" s="23" t="s">
        <v>762</v>
      </c>
    </row>
    <row r="611">
      <c r="F611" s="23"/>
      <c r="G611" s="23" t="s">
        <v>763</v>
      </c>
    </row>
    <row r="612">
      <c r="F612" s="23"/>
      <c r="G612" s="23" t="s">
        <v>764</v>
      </c>
    </row>
    <row r="613">
      <c r="F613" s="23"/>
      <c r="G613" s="23" t="s">
        <v>765</v>
      </c>
    </row>
    <row r="614">
      <c r="F614" s="23"/>
      <c r="G614" s="23" t="s">
        <v>766</v>
      </c>
    </row>
    <row r="615">
      <c r="F615" s="23"/>
      <c r="G615" s="23" t="s">
        <v>767</v>
      </c>
    </row>
    <row r="616">
      <c r="F616" s="23"/>
      <c r="G616" s="23" t="s">
        <v>768</v>
      </c>
    </row>
    <row r="617">
      <c r="F617" s="23"/>
      <c r="G617" s="23" t="s">
        <v>769</v>
      </c>
    </row>
    <row r="618">
      <c r="F618" s="23"/>
      <c r="G618" s="23" t="s">
        <v>770</v>
      </c>
    </row>
    <row r="619">
      <c r="F619" s="23"/>
      <c r="G619" s="23" t="s">
        <v>771</v>
      </c>
    </row>
    <row r="620">
      <c r="F620" s="23"/>
      <c r="G620" s="23" t="s">
        <v>772</v>
      </c>
    </row>
    <row r="621">
      <c r="F621" s="23"/>
      <c r="G621" s="23" t="s">
        <v>773</v>
      </c>
    </row>
    <row r="622">
      <c r="F622" s="23"/>
      <c r="G622" s="23" t="s">
        <v>774</v>
      </c>
    </row>
    <row r="623">
      <c r="F623" s="23"/>
      <c r="G623" s="23" t="s">
        <v>775</v>
      </c>
    </row>
    <row r="624">
      <c r="F624" s="23"/>
      <c r="G624" s="23" t="s">
        <v>776</v>
      </c>
    </row>
    <row r="625">
      <c r="F625" s="23"/>
      <c r="G625" s="23" t="s">
        <v>777</v>
      </c>
    </row>
    <row r="626">
      <c r="F626" s="23"/>
      <c r="G626" s="23" t="s">
        <v>778</v>
      </c>
    </row>
    <row r="627">
      <c r="F627" s="23"/>
      <c r="G627" s="23" t="s">
        <v>779</v>
      </c>
    </row>
    <row r="628">
      <c r="F628" s="23"/>
      <c r="G628" s="23" t="s">
        <v>780</v>
      </c>
    </row>
    <row r="629">
      <c r="F629" s="23"/>
      <c r="G629" s="23" t="s">
        <v>781</v>
      </c>
    </row>
    <row r="630">
      <c r="F630" s="23"/>
      <c r="G630" s="23" t="s">
        <v>782</v>
      </c>
    </row>
    <row r="631">
      <c r="F631" s="23"/>
      <c r="G631" s="23" t="s">
        <v>783</v>
      </c>
    </row>
    <row r="632">
      <c r="F632" s="23"/>
      <c r="G632" s="23" t="s">
        <v>784</v>
      </c>
    </row>
    <row r="633">
      <c r="F633" s="23"/>
      <c r="G633" s="23" t="s">
        <v>785</v>
      </c>
    </row>
    <row r="634">
      <c r="F634" s="23"/>
      <c r="G634" s="23" t="s">
        <v>786</v>
      </c>
    </row>
    <row r="635">
      <c r="F635" s="23"/>
      <c r="G635" s="23" t="s">
        <v>787</v>
      </c>
    </row>
    <row r="636">
      <c r="F636" s="23"/>
      <c r="G636" s="23" t="s">
        <v>788</v>
      </c>
    </row>
    <row r="637">
      <c r="F637" s="23"/>
      <c r="G637" s="23" t="s">
        <v>789</v>
      </c>
    </row>
    <row r="638">
      <c r="F638" s="23"/>
      <c r="G638" s="23" t="s">
        <v>790</v>
      </c>
    </row>
    <row r="639">
      <c r="F639" s="23"/>
      <c r="G639" s="23" t="s">
        <v>791</v>
      </c>
    </row>
    <row r="640">
      <c r="F640" s="23"/>
      <c r="G640" s="23" t="s">
        <v>792</v>
      </c>
    </row>
    <row r="641">
      <c r="F641" s="23"/>
      <c r="G641" s="23" t="s">
        <v>793</v>
      </c>
    </row>
    <row r="642">
      <c r="F642" s="23"/>
      <c r="G642" s="23" t="s">
        <v>794</v>
      </c>
    </row>
    <row r="643">
      <c r="F643" s="23"/>
      <c r="G643" s="23" t="s">
        <v>795</v>
      </c>
    </row>
    <row r="644">
      <c r="F644" s="23"/>
      <c r="G644" s="23" t="s">
        <v>796</v>
      </c>
    </row>
    <row r="645">
      <c r="F645" s="23"/>
      <c r="G645" s="23" t="s">
        <v>797</v>
      </c>
    </row>
    <row r="646">
      <c r="F646" s="23"/>
      <c r="G646" s="23" t="s">
        <v>798</v>
      </c>
    </row>
    <row r="647">
      <c r="F647" s="23"/>
      <c r="G647" s="23" t="s">
        <v>799</v>
      </c>
    </row>
    <row r="648">
      <c r="F648" s="23"/>
      <c r="G648" s="23" t="s">
        <v>800</v>
      </c>
    </row>
    <row r="649">
      <c r="F649" s="23"/>
      <c r="G649" s="23" t="s">
        <v>801</v>
      </c>
    </row>
    <row r="650">
      <c r="F650" s="23"/>
      <c r="G650" s="23" t="s">
        <v>802</v>
      </c>
    </row>
    <row r="651">
      <c r="F651" s="23"/>
      <c r="G651" s="23" t="s">
        <v>803</v>
      </c>
    </row>
    <row r="652">
      <c r="F652" s="23"/>
      <c r="G652" s="23" t="s">
        <v>804</v>
      </c>
    </row>
    <row r="653">
      <c r="F653" s="23"/>
      <c r="G653" s="23" t="s">
        <v>805</v>
      </c>
    </row>
    <row r="654">
      <c r="F654" s="23"/>
      <c r="G654" s="23" t="s">
        <v>806</v>
      </c>
    </row>
    <row r="655">
      <c r="F655" s="23"/>
      <c r="G655" s="23" t="s">
        <v>807</v>
      </c>
    </row>
    <row r="656">
      <c r="F656" s="23"/>
      <c r="G656" s="23" t="s">
        <v>808</v>
      </c>
    </row>
    <row r="657">
      <c r="F657" s="23"/>
      <c r="G657" s="23" t="s">
        <v>809</v>
      </c>
    </row>
    <row r="658">
      <c r="F658" s="23"/>
      <c r="G658" s="23" t="s">
        <v>810</v>
      </c>
    </row>
    <row r="659">
      <c r="F659" s="23"/>
      <c r="G659" s="23" t="s">
        <v>811</v>
      </c>
    </row>
    <row r="660">
      <c r="F660" s="23"/>
      <c r="G660" s="23" t="s">
        <v>812</v>
      </c>
    </row>
    <row r="661">
      <c r="F661" s="23"/>
      <c r="G661" s="23" t="s">
        <v>813</v>
      </c>
    </row>
    <row r="662">
      <c r="F662" s="23"/>
      <c r="G662" s="23" t="s">
        <v>814</v>
      </c>
    </row>
    <row r="663">
      <c r="F663" s="23"/>
      <c r="G663" s="23" t="s">
        <v>815</v>
      </c>
    </row>
    <row r="664">
      <c r="F664" s="23"/>
      <c r="G664" s="23" t="s">
        <v>816</v>
      </c>
    </row>
    <row r="665">
      <c r="F665" s="23"/>
      <c r="G665" s="23" t="s">
        <v>817</v>
      </c>
    </row>
    <row r="666">
      <c r="F666" s="23"/>
      <c r="G666" s="23" t="s">
        <v>818</v>
      </c>
    </row>
    <row r="667">
      <c r="F667" s="23"/>
      <c r="G667" s="23" t="s">
        <v>819</v>
      </c>
    </row>
    <row r="668">
      <c r="F668" s="23"/>
      <c r="G668" s="23" t="s">
        <v>820</v>
      </c>
    </row>
    <row r="669">
      <c r="F669" s="23"/>
      <c r="G669" s="23" t="s">
        <v>821</v>
      </c>
    </row>
    <row r="670">
      <c r="F670" s="23"/>
      <c r="G670" s="23" t="s">
        <v>822</v>
      </c>
    </row>
    <row r="671">
      <c r="F671" s="23"/>
      <c r="G671" s="23" t="s">
        <v>823</v>
      </c>
    </row>
    <row r="672">
      <c r="F672" s="23"/>
      <c r="G672" s="23" t="s">
        <v>824</v>
      </c>
    </row>
    <row r="673">
      <c r="F673" s="23"/>
      <c r="G673" s="23" t="s">
        <v>825</v>
      </c>
    </row>
    <row r="674">
      <c r="F674" s="23"/>
      <c r="G674" s="23" t="s">
        <v>826</v>
      </c>
    </row>
    <row r="675">
      <c r="F675" s="23"/>
      <c r="G675" s="23" t="s">
        <v>827</v>
      </c>
    </row>
    <row r="676">
      <c r="F676" s="23"/>
      <c r="G676" s="23" t="s">
        <v>828</v>
      </c>
    </row>
    <row r="677">
      <c r="F677" s="23"/>
      <c r="G677" s="23" t="s">
        <v>829</v>
      </c>
    </row>
    <row r="678">
      <c r="F678" s="23"/>
      <c r="G678" s="23" t="s">
        <v>830</v>
      </c>
    </row>
    <row r="679">
      <c r="F679" s="23"/>
      <c r="G679" s="23" t="s">
        <v>831</v>
      </c>
    </row>
    <row r="680">
      <c r="F680" s="23"/>
      <c r="G680" s="23" t="s">
        <v>832</v>
      </c>
    </row>
    <row r="681">
      <c r="F681" s="23"/>
      <c r="G681" s="23" t="s">
        <v>833</v>
      </c>
    </row>
    <row r="682">
      <c r="F682" s="23"/>
      <c r="G682" s="23" t="s">
        <v>834</v>
      </c>
    </row>
    <row r="683">
      <c r="F683" s="23"/>
      <c r="G683" s="23" t="s">
        <v>835</v>
      </c>
    </row>
    <row r="684">
      <c r="F684" s="23"/>
      <c r="G684" s="23" t="s">
        <v>836</v>
      </c>
    </row>
    <row r="685">
      <c r="F685" s="23"/>
      <c r="G685" s="23" t="s">
        <v>837</v>
      </c>
    </row>
    <row r="686">
      <c r="F686" s="23"/>
      <c r="G686" s="23" t="s">
        <v>838</v>
      </c>
    </row>
    <row r="687">
      <c r="F687" s="23"/>
      <c r="G687" s="23" t="s">
        <v>839</v>
      </c>
    </row>
    <row r="688">
      <c r="F688" s="23"/>
      <c r="G688" s="23" t="s">
        <v>840</v>
      </c>
    </row>
    <row r="689">
      <c r="F689" s="23"/>
      <c r="G689" s="23" t="s">
        <v>841</v>
      </c>
    </row>
    <row r="690">
      <c r="F690" s="23"/>
      <c r="G690" s="23" t="s">
        <v>842</v>
      </c>
    </row>
    <row r="691">
      <c r="F691" s="23"/>
      <c r="G691" s="23" t="s">
        <v>843</v>
      </c>
    </row>
    <row r="692">
      <c r="F692" s="23"/>
      <c r="G692" s="23" t="s">
        <v>844</v>
      </c>
    </row>
    <row r="693">
      <c r="F693" s="23"/>
      <c r="G693" s="23" t="s">
        <v>845</v>
      </c>
    </row>
    <row r="694">
      <c r="F694" s="23"/>
      <c r="G694" s="23" t="s">
        <v>846</v>
      </c>
    </row>
    <row r="695">
      <c r="F695" s="23"/>
      <c r="G695" s="23" t="s">
        <v>847</v>
      </c>
    </row>
    <row r="696">
      <c r="F696" s="23"/>
      <c r="G696" s="23" t="s">
        <v>848</v>
      </c>
    </row>
    <row r="697">
      <c r="F697" s="23"/>
      <c r="G697" s="23" t="s">
        <v>849</v>
      </c>
    </row>
    <row r="698">
      <c r="F698" s="23"/>
      <c r="G698" s="23" t="s">
        <v>850</v>
      </c>
    </row>
    <row r="699">
      <c r="F699" s="23"/>
      <c r="G699" s="23" t="s">
        <v>851</v>
      </c>
    </row>
    <row r="700">
      <c r="F700" s="23"/>
      <c r="G700" s="23" t="s">
        <v>852</v>
      </c>
    </row>
    <row r="701">
      <c r="F701" s="23"/>
      <c r="G701" s="23" t="s">
        <v>853</v>
      </c>
    </row>
    <row r="702">
      <c r="F702" s="23"/>
      <c r="G702" s="23" t="s">
        <v>854</v>
      </c>
    </row>
    <row r="703">
      <c r="F703" s="23"/>
      <c r="G703" s="23" t="s">
        <v>855</v>
      </c>
    </row>
    <row r="704">
      <c r="F704" s="23"/>
      <c r="G704" s="23" t="s">
        <v>856</v>
      </c>
    </row>
    <row r="705">
      <c r="F705" s="23"/>
      <c r="G705" s="23" t="s">
        <v>857</v>
      </c>
    </row>
    <row r="706">
      <c r="F706" s="23"/>
      <c r="G706" s="23" t="s">
        <v>858</v>
      </c>
    </row>
    <row r="707">
      <c r="F707" s="23"/>
      <c r="G707" s="23" t="s">
        <v>859</v>
      </c>
    </row>
    <row r="708">
      <c r="F708" s="23"/>
      <c r="G708" s="23" t="s">
        <v>860</v>
      </c>
    </row>
    <row r="709">
      <c r="F709" s="23"/>
      <c r="G709" s="23" t="s">
        <v>861</v>
      </c>
    </row>
    <row r="710">
      <c r="F710" s="23"/>
      <c r="G710" s="23" t="s">
        <v>862</v>
      </c>
    </row>
    <row r="711">
      <c r="F711" s="23"/>
      <c r="G711" s="23" t="s">
        <v>863</v>
      </c>
    </row>
    <row r="712">
      <c r="F712" s="23"/>
      <c r="G712" s="23" t="s">
        <v>864</v>
      </c>
    </row>
    <row r="713">
      <c r="F713" s="23"/>
      <c r="G713" s="23" t="s">
        <v>865</v>
      </c>
    </row>
    <row r="714">
      <c r="F714" s="23"/>
      <c r="G714" s="23" t="s">
        <v>866</v>
      </c>
    </row>
    <row r="715">
      <c r="F715" s="23"/>
      <c r="G715" s="23" t="s">
        <v>867</v>
      </c>
    </row>
    <row r="716">
      <c r="F716" s="23"/>
      <c r="G716" s="23" t="s">
        <v>868</v>
      </c>
    </row>
    <row r="717">
      <c r="F717" s="23"/>
      <c r="G717" s="23" t="s">
        <v>869</v>
      </c>
    </row>
    <row r="718">
      <c r="F718" s="23"/>
      <c r="G718" s="23" t="s">
        <v>870</v>
      </c>
    </row>
    <row r="719">
      <c r="F719" s="23"/>
      <c r="G719" s="23" t="s">
        <v>871</v>
      </c>
    </row>
    <row r="720">
      <c r="F720" s="23"/>
      <c r="G720" s="23" t="s">
        <v>872</v>
      </c>
    </row>
    <row r="721">
      <c r="F721" s="23"/>
      <c r="G721" s="23" t="s">
        <v>873</v>
      </c>
    </row>
    <row r="722">
      <c r="F722" s="23"/>
      <c r="G722" s="23" t="s">
        <v>874</v>
      </c>
    </row>
    <row r="723">
      <c r="F723" s="23"/>
      <c r="G723" s="23" t="s">
        <v>875</v>
      </c>
    </row>
    <row r="724">
      <c r="F724" s="23"/>
      <c r="G724" s="23" t="s">
        <v>876</v>
      </c>
    </row>
    <row r="725">
      <c r="F725" s="23"/>
      <c r="G725" s="23" t="s">
        <v>877</v>
      </c>
    </row>
    <row r="726">
      <c r="F726" s="23"/>
      <c r="G726" s="23" t="s">
        <v>878</v>
      </c>
    </row>
    <row r="727">
      <c r="F727" s="23"/>
      <c r="G727" s="23" t="s">
        <v>879</v>
      </c>
    </row>
    <row r="728">
      <c r="F728" s="23"/>
      <c r="G728" s="23" t="s">
        <v>880</v>
      </c>
    </row>
    <row r="729">
      <c r="F729" s="23"/>
      <c r="G729" s="23" t="s">
        <v>881</v>
      </c>
    </row>
    <row r="730">
      <c r="F730" s="23"/>
      <c r="G730" s="23" t="s">
        <v>882</v>
      </c>
    </row>
    <row r="731">
      <c r="F731" s="23"/>
      <c r="G731" s="23" t="s">
        <v>883</v>
      </c>
    </row>
    <row r="732">
      <c r="F732" s="23"/>
      <c r="G732" s="23" t="s">
        <v>884</v>
      </c>
    </row>
    <row r="733">
      <c r="F733" s="23"/>
      <c r="G733" s="23" t="s">
        <v>885</v>
      </c>
    </row>
    <row r="734">
      <c r="F734" s="23"/>
      <c r="G734" s="23" t="s">
        <v>886</v>
      </c>
    </row>
    <row r="735">
      <c r="F735" s="23"/>
      <c r="G735" s="23" t="s">
        <v>887</v>
      </c>
    </row>
    <row r="736">
      <c r="F736" s="23"/>
      <c r="G736" s="23" t="s">
        <v>888</v>
      </c>
    </row>
    <row r="737">
      <c r="F737" s="23"/>
      <c r="G737" s="23" t="s">
        <v>889</v>
      </c>
    </row>
    <row r="738">
      <c r="F738" s="23"/>
      <c r="G738" s="23" t="s">
        <v>890</v>
      </c>
    </row>
    <row r="739">
      <c r="F739" s="23"/>
      <c r="G739" s="23" t="s">
        <v>891</v>
      </c>
    </row>
    <row r="740">
      <c r="F740" s="23"/>
      <c r="G740" s="23" t="s">
        <v>892</v>
      </c>
    </row>
    <row r="741">
      <c r="F741" s="23"/>
      <c r="G741" s="23" t="s">
        <v>893</v>
      </c>
    </row>
    <row r="742">
      <c r="F742" s="23"/>
      <c r="G742" s="23" t="s">
        <v>894</v>
      </c>
    </row>
    <row r="743">
      <c r="F743" s="23"/>
      <c r="G743" s="23" t="s">
        <v>895</v>
      </c>
    </row>
    <row r="744">
      <c r="F744" s="23"/>
      <c r="G744" s="23" t="s">
        <v>896</v>
      </c>
    </row>
    <row r="745">
      <c r="F745" s="23"/>
      <c r="G745" s="23" t="s">
        <v>897</v>
      </c>
    </row>
    <row r="746">
      <c r="F746" s="23"/>
      <c r="G746" s="23" t="s">
        <v>898</v>
      </c>
    </row>
    <row r="747">
      <c r="F747" s="23"/>
      <c r="G747" s="23" t="s">
        <v>899</v>
      </c>
    </row>
    <row r="748">
      <c r="F748" s="23"/>
      <c r="G748" s="23" t="s">
        <v>900</v>
      </c>
    </row>
    <row r="749">
      <c r="F749" s="23"/>
      <c r="G749" s="23" t="s">
        <v>901</v>
      </c>
    </row>
    <row r="750">
      <c r="F750" s="23"/>
      <c r="G750" s="23" t="s">
        <v>902</v>
      </c>
    </row>
    <row r="751">
      <c r="F751" s="23"/>
      <c r="G751" s="23" t="s">
        <v>903</v>
      </c>
    </row>
    <row r="752">
      <c r="F752" s="23"/>
      <c r="G752" s="23" t="s">
        <v>904</v>
      </c>
    </row>
    <row r="753">
      <c r="F753" s="23"/>
      <c r="G753" s="23" t="s">
        <v>905</v>
      </c>
    </row>
    <row r="754">
      <c r="F754" s="23"/>
      <c r="G754" s="23" t="s">
        <v>906</v>
      </c>
    </row>
    <row r="755">
      <c r="F755" s="23"/>
      <c r="G755" s="23" t="s">
        <v>907</v>
      </c>
    </row>
    <row r="756">
      <c r="F756" s="23"/>
      <c r="G756" s="23" t="s">
        <v>908</v>
      </c>
    </row>
    <row r="757">
      <c r="F757" s="23"/>
      <c r="G757" s="23" t="s">
        <v>909</v>
      </c>
    </row>
    <row r="758">
      <c r="F758" s="23"/>
      <c r="G758" s="23" t="s">
        <v>910</v>
      </c>
    </row>
    <row r="759">
      <c r="F759" s="23"/>
      <c r="G759" s="23" t="s">
        <v>911</v>
      </c>
    </row>
    <row r="760">
      <c r="F760" s="23"/>
      <c r="G760" s="23" t="s">
        <v>912</v>
      </c>
    </row>
    <row r="761">
      <c r="F761" s="23"/>
      <c r="G761" s="23" t="s">
        <v>913</v>
      </c>
    </row>
    <row r="762">
      <c r="F762" s="23"/>
      <c r="G762" s="23" t="s">
        <v>914</v>
      </c>
    </row>
    <row r="763">
      <c r="F763" s="23"/>
      <c r="G763" s="23" t="s">
        <v>915</v>
      </c>
    </row>
    <row r="764">
      <c r="F764" s="23"/>
      <c r="G764" s="23" t="s">
        <v>916</v>
      </c>
    </row>
    <row r="765">
      <c r="F765" s="23"/>
      <c r="G765" s="23" t="s">
        <v>917</v>
      </c>
    </row>
    <row r="766">
      <c r="F766" s="23"/>
      <c r="G766" s="23" t="s">
        <v>918</v>
      </c>
    </row>
    <row r="767">
      <c r="F767" s="23"/>
      <c r="G767" s="23" t="s">
        <v>919</v>
      </c>
    </row>
    <row r="768">
      <c r="F768" s="23"/>
      <c r="G768" s="23" t="s">
        <v>920</v>
      </c>
    </row>
    <row r="769">
      <c r="F769" s="23"/>
      <c r="G769" s="23" t="s">
        <v>921</v>
      </c>
    </row>
    <row r="770">
      <c r="F770" s="23"/>
      <c r="G770" s="23" t="s">
        <v>922</v>
      </c>
    </row>
    <row r="771">
      <c r="F771" s="23"/>
      <c r="G771" s="23" t="s">
        <v>923</v>
      </c>
    </row>
    <row r="772">
      <c r="F772" s="23"/>
      <c r="G772" s="23" t="s">
        <v>924</v>
      </c>
    </row>
    <row r="773">
      <c r="F773" s="23"/>
      <c r="G773" s="23" t="s">
        <v>925</v>
      </c>
    </row>
    <row r="774">
      <c r="F774" s="23"/>
      <c r="G774" s="23" t="s">
        <v>926</v>
      </c>
    </row>
    <row r="775">
      <c r="F775" s="23"/>
      <c r="G775" s="23" t="s">
        <v>927</v>
      </c>
    </row>
    <row r="776">
      <c r="F776" s="23"/>
      <c r="G776" s="23" t="s">
        <v>928</v>
      </c>
    </row>
    <row r="777">
      <c r="F777" s="23"/>
      <c r="G777" s="23" t="s">
        <v>929</v>
      </c>
    </row>
    <row r="778">
      <c r="F778" s="23"/>
      <c r="G778" s="23" t="s">
        <v>930</v>
      </c>
    </row>
    <row r="779">
      <c r="F779" s="23"/>
      <c r="G779" s="23" t="s">
        <v>931</v>
      </c>
    </row>
    <row r="780">
      <c r="F780" s="23"/>
      <c r="G780" s="23" t="s">
        <v>932</v>
      </c>
    </row>
    <row r="781">
      <c r="F781" s="23"/>
      <c r="G781" s="23" t="s">
        <v>933</v>
      </c>
    </row>
    <row r="782">
      <c r="F782" s="23"/>
      <c r="G782" s="23" t="s">
        <v>934</v>
      </c>
    </row>
    <row r="783">
      <c r="F783" s="23"/>
      <c r="G783" s="23" t="s">
        <v>935</v>
      </c>
    </row>
    <row r="784">
      <c r="F784" s="23"/>
      <c r="G784" s="23" t="s">
        <v>936</v>
      </c>
    </row>
    <row r="785">
      <c r="F785" s="23"/>
      <c r="G785" s="23" t="s">
        <v>937</v>
      </c>
    </row>
    <row r="786">
      <c r="F786" s="23"/>
      <c r="G786" s="23" t="s">
        <v>938</v>
      </c>
    </row>
    <row r="787">
      <c r="F787" s="23"/>
      <c r="G787" s="23" t="s">
        <v>939</v>
      </c>
    </row>
    <row r="788">
      <c r="F788" s="23"/>
      <c r="G788" s="23" t="s">
        <v>940</v>
      </c>
    </row>
    <row r="789">
      <c r="F789" s="23"/>
      <c r="G789" s="23" t="s">
        <v>941</v>
      </c>
    </row>
    <row r="790">
      <c r="F790" s="23"/>
      <c r="G790" s="23" t="s">
        <v>942</v>
      </c>
    </row>
    <row r="791">
      <c r="F791" s="23"/>
      <c r="G791" s="23" t="s">
        <v>943</v>
      </c>
    </row>
    <row r="792">
      <c r="F792" s="23"/>
      <c r="G792" s="23" t="s">
        <v>944</v>
      </c>
    </row>
    <row r="793">
      <c r="F793" s="23"/>
      <c r="G793" s="23" t="s">
        <v>945</v>
      </c>
    </row>
    <row r="794">
      <c r="F794" s="23"/>
      <c r="G794" s="23" t="s">
        <v>946</v>
      </c>
    </row>
    <row r="795">
      <c r="F795" s="23"/>
      <c r="G795" s="23" t="s">
        <v>947</v>
      </c>
    </row>
    <row r="796">
      <c r="F796" s="23"/>
      <c r="G796" s="23" t="s">
        <v>948</v>
      </c>
    </row>
    <row r="797">
      <c r="F797" s="23"/>
      <c r="G797" s="23" t="s">
        <v>949</v>
      </c>
    </row>
    <row r="798">
      <c r="F798" s="23"/>
      <c r="G798" s="23" t="s">
        <v>950</v>
      </c>
    </row>
    <row r="799">
      <c r="F799" s="23"/>
      <c r="G799" s="23" t="s">
        <v>951</v>
      </c>
    </row>
    <row r="800">
      <c r="F800" s="23"/>
      <c r="G800" s="23" t="s">
        <v>952</v>
      </c>
    </row>
    <row r="801">
      <c r="F801" s="23"/>
      <c r="G801" s="23" t="s">
        <v>953</v>
      </c>
    </row>
    <row r="802">
      <c r="F802" s="23"/>
      <c r="G802" s="23" t="s">
        <v>954</v>
      </c>
    </row>
    <row r="803">
      <c r="F803" s="23"/>
      <c r="G803" s="23" t="s">
        <v>955</v>
      </c>
    </row>
    <row r="804">
      <c r="F804" s="23"/>
      <c r="G804" s="23" t="s">
        <v>956</v>
      </c>
    </row>
    <row r="805">
      <c r="F805" s="23"/>
      <c r="G805" s="23" t="s">
        <v>957</v>
      </c>
    </row>
    <row r="806">
      <c r="F806" s="23"/>
      <c r="G806" s="23" t="s">
        <v>958</v>
      </c>
    </row>
    <row r="807">
      <c r="F807" s="23"/>
      <c r="G807" s="23" t="s">
        <v>959</v>
      </c>
    </row>
    <row r="808">
      <c r="F808" s="23"/>
      <c r="G808" s="23" t="s">
        <v>960</v>
      </c>
    </row>
    <row r="809">
      <c r="F809" s="23"/>
      <c r="G809" s="23" t="s">
        <v>961</v>
      </c>
    </row>
    <row r="810">
      <c r="F810" s="23"/>
      <c r="G810" s="23" t="s">
        <v>962</v>
      </c>
    </row>
    <row r="811">
      <c r="F811" s="23"/>
      <c r="G811" s="23" t="s">
        <v>963</v>
      </c>
    </row>
    <row r="812">
      <c r="F812" s="23"/>
      <c r="G812" s="23" t="s">
        <v>964</v>
      </c>
    </row>
    <row r="813">
      <c r="F813" s="23"/>
      <c r="G813" s="23" t="s">
        <v>965</v>
      </c>
    </row>
    <row r="814">
      <c r="F814" s="23"/>
      <c r="G814" s="23" t="s">
        <v>966</v>
      </c>
    </row>
    <row r="815">
      <c r="F815" s="23"/>
      <c r="G815" s="23" t="s">
        <v>967</v>
      </c>
    </row>
    <row r="816">
      <c r="F816" s="23"/>
      <c r="G816" s="23" t="s">
        <v>968</v>
      </c>
    </row>
    <row r="817">
      <c r="F817" s="23"/>
      <c r="G817" s="23" t="s">
        <v>969</v>
      </c>
    </row>
    <row r="818">
      <c r="F818" s="23"/>
      <c r="G818" s="23" t="s">
        <v>970</v>
      </c>
    </row>
    <row r="819">
      <c r="F819" s="23"/>
      <c r="G819" s="23" t="s">
        <v>971</v>
      </c>
    </row>
    <row r="820">
      <c r="F820" s="23"/>
      <c r="G820" s="23" t="s">
        <v>972</v>
      </c>
    </row>
    <row r="821">
      <c r="F821" s="23"/>
      <c r="G821" s="23" t="s">
        <v>973</v>
      </c>
    </row>
    <row r="822">
      <c r="F822" s="23"/>
      <c r="G822" s="23" t="s">
        <v>974</v>
      </c>
    </row>
    <row r="823">
      <c r="F823" s="23"/>
      <c r="G823" s="23" t="s">
        <v>975</v>
      </c>
    </row>
    <row r="824">
      <c r="F824" s="23"/>
      <c r="G824" s="23" t="s">
        <v>976</v>
      </c>
    </row>
    <row r="825">
      <c r="F825" s="23"/>
      <c r="G825" s="23" t="s">
        <v>977</v>
      </c>
    </row>
    <row r="826">
      <c r="F826" s="23"/>
      <c r="G826" s="23" t="s">
        <v>978</v>
      </c>
    </row>
    <row r="827">
      <c r="F827" s="23"/>
      <c r="G827" s="23" t="s">
        <v>979</v>
      </c>
    </row>
    <row r="828">
      <c r="F828" s="23"/>
      <c r="G828" s="23" t="s">
        <v>980</v>
      </c>
    </row>
    <row r="829">
      <c r="F829" s="23"/>
      <c r="G829" s="23" t="s">
        <v>981</v>
      </c>
    </row>
    <row r="830">
      <c r="F830" s="23"/>
      <c r="G830" s="23" t="s">
        <v>982</v>
      </c>
    </row>
    <row r="831">
      <c r="F831" s="23"/>
      <c r="G831" s="23" t="s">
        <v>983</v>
      </c>
    </row>
    <row r="832">
      <c r="F832" s="23"/>
      <c r="G832" s="23" t="s">
        <v>984</v>
      </c>
    </row>
    <row r="833">
      <c r="F833" s="23"/>
      <c r="G833" s="23" t="s">
        <v>985</v>
      </c>
    </row>
    <row r="834">
      <c r="F834" s="23"/>
      <c r="G834" s="23" t="s">
        <v>986</v>
      </c>
    </row>
    <row r="835">
      <c r="F835" s="23"/>
      <c r="G835" s="23" t="s">
        <v>987</v>
      </c>
    </row>
    <row r="836">
      <c r="F836" s="23"/>
      <c r="G836" s="23" t="s">
        <v>988</v>
      </c>
    </row>
    <row r="837">
      <c r="F837" s="23"/>
      <c r="G837" s="23" t="s">
        <v>989</v>
      </c>
    </row>
    <row r="838">
      <c r="F838" s="23"/>
      <c r="G838" s="23" t="s">
        <v>990</v>
      </c>
    </row>
    <row r="839">
      <c r="F839" s="23"/>
      <c r="G839" s="23" t="s">
        <v>991</v>
      </c>
    </row>
    <row r="840">
      <c r="F840" s="23"/>
      <c r="G840" s="23" t="s">
        <v>992</v>
      </c>
    </row>
    <row r="841">
      <c r="F841" s="23"/>
      <c r="G841" s="23" t="s">
        <v>993</v>
      </c>
    </row>
    <row r="842">
      <c r="F842" s="23"/>
      <c r="G842" s="23" t="s">
        <v>994</v>
      </c>
    </row>
    <row r="843">
      <c r="F843" s="23"/>
      <c r="G843" s="23" t="s">
        <v>995</v>
      </c>
    </row>
    <row r="844">
      <c r="F844" s="23"/>
      <c r="G844" s="23" t="s">
        <v>996</v>
      </c>
    </row>
    <row r="845">
      <c r="F845" s="23"/>
      <c r="G845" s="23" t="s">
        <v>997</v>
      </c>
    </row>
    <row r="846">
      <c r="F846" s="23"/>
      <c r="G846" s="23" t="s">
        <v>998</v>
      </c>
    </row>
    <row r="847">
      <c r="F847" s="23"/>
      <c r="G847" s="23" t="s">
        <v>999</v>
      </c>
    </row>
    <row r="848">
      <c r="F848" s="23"/>
      <c r="G848" s="23" t="s">
        <v>1000</v>
      </c>
    </row>
    <row r="849">
      <c r="F849" s="23"/>
      <c r="G849" s="23" t="s">
        <v>1001</v>
      </c>
    </row>
    <row r="850">
      <c r="F850" s="23"/>
      <c r="G850" s="23" t="s">
        <v>1002</v>
      </c>
    </row>
    <row r="851">
      <c r="F851" s="23"/>
      <c r="G851" s="23" t="s">
        <v>1003</v>
      </c>
    </row>
    <row r="852">
      <c r="F852" s="23"/>
      <c r="G852" s="23" t="s">
        <v>1004</v>
      </c>
    </row>
    <row r="853">
      <c r="F853" s="23"/>
      <c r="G853" s="23" t="s">
        <v>1005</v>
      </c>
    </row>
    <row r="854">
      <c r="F854" s="23"/>
      <c r="G854" s="23" t="s">
        <v>1006</v>
      </c>
    </row>
    <row r="855">
      <c r="F855" s="23"/>
      <c r="G855" s="23" t="s">
        <v>1007</v>
      </c>
    </row>
    <row r="856">
      <c r="F856" s="23"/>
      <c r="G856" s="23" t="s">
        <v>1008</v>
      </c>
    </row>
    <row r="857">
      <c r="F857" s="23"/>
      <c r="G857" s="23" t="s">
        <v>1009</v>
      </c>
    </row>
    <row r="858">
      <c r="F858" s="23"/>
      <c r="G858" s="23" t="s">
        <v>1010</v>
      </c>
    </row>
    <row r="859">
      <c r="F859" s="23"/>
      <c r="G859" s="23" t="s">
        <v>1011</v>
      </c>
    </row>
    <row r="860">
      <c r="F860" s="23"/>
      <c r="G860" s="23" t="s">
        <v>1012</v>
      </c>
    </row>
    <row r="861">
      <c r="F861" s="23"/>
      <c r="G861" s="23" t="s">
        <v>1013</v>
      </c>
    </row>
    <row r="862">
      <c r="F862" s="23"/>
      <c r="G862" s="23" t="s">
        <v>1014</v>
      </c>
    </row>
    <row r="863">
      <c r="F863" s="23"/>
      <c r="G863" s="23" t="s">
        <v>1015</v>
      </c>
    </row>
    <row r="864">
      <c r="F864" s="23"/>
      <c r="G864" s="23" t="s">
        <v>1016</v>
      </c>
    </row>
    <row r="865">
      <c r="F865" s="23"/>
      <c r="G865" s="23" t="s">
        <v>1017</v>
      </c>
    </row>
    <row r="866">
      <c r="F866" s="23"/>
      <c r="G866" s="23" t="s">
        <v>1018</v>
      </c>
    </row>
    <row r="867">
      <c r="F867" s="23"/>
      <c r="G867" s="23" t="s">
        <v>1019</v>
      </c>
    </row>
    <row r="868">
      <c r="F868" s="23"/>
      <c r="G868" s="23" t="s">
        <v>1020</v>
      </c>
    </row>
    <row r="869">
      <c r="F869" s="23"/>
      <c r="G869" s="23" t="s">
        <v>1021</v>
      </c>
    </row>
    <row r="870">
      <c r="F870" s="23"/>
      <c r="G870" s="23" t="s">
        <v>1022</v>
      </c>
    </row>
    <row r="871">
      <c r="F871" s="23"/>
      <c r="G871" s="23" t="s">
        <v>1023</v>
      </c>
    </row>
    <row r="872">
      <c r="F872" s="23"/>
      <c r="G872" s="23" t="s">
        <v>1024</v>
      </c>
    </row>
    <row r="873">
      <c r="F873" s="23"/>
      <c r="G873" s="23" t="s">
        <v>1025</v>
      </c>
    </row>
    <row r="874">
      <c r="F874" s="23"/>
      <c r="G874" s="23" t="s">
        <v>1026</v>
      </c>
    </row>
    <row r="875">
      <c r="F875" s="23"/>
      <c r="G875" s="23" t="s">
        <v>1027</v>
      </c>
    </row>
    <row r="876">
      <c r="F876" s="23"/>
      <c r="G876" s="23" t="s">
        <v>1028</v>
      </c>
    </row>
    <row r="877">
      <c r="F877" s="23"/>
      <c r="G877" s="23" t="s">
        <v>1029</v>
      </c>
    </row>
    <row r="878">
      <c r="F878" s="23"/>
      <c r="G878" s="23" t="s">
        <v>1030</v>
      </c>
    </row>
    <row r="879">
      <c r="F879" s="23"/>
      <c r="G879" s="23" t="s">
        <v>1031</v>
      </c>
    </row>
    <row r="880">
      <c r="F880" s="23"/>
      <c r="G880" s="23" t="s">
        <v>1032</v>
      </c>
    </row>
    <row r="881">
      <c r="F881" s="23"/>
      <c r="G881" s="23" t="s">
        <v>1033</v>
      </c>
    </row>
    <row r="882">
      <c r="F882" s="23"/>
      <c r="G882" s="23" t="s">
        <v>1034</v>
      </c>
    </row>
    <row r="883">
      <c r="F883" s="23"/>
      <c r="G883" s="23" t="s">
        <v>1035</v>
      </c>
    </row>
    <row r="884">
      <c r="F884" s="23"/>
      <c r="G884" s="23" t="s">
        <v>1036</v>
      </c>
    </row>
    <row r="885">
      <c r="F885" s="23"/>
      <c r="G885" s="23" t="s">
        <v>1037</v>
      </c>
    </row>
    <row r="886">
      <c r="F886" s="23"/>
      <c r="G886" s="23" t="s">
        <v>1038</v>
      </c>
    </row>
    <row r="887">
      <c r="F887" s="23"/>
      <c r="G887" s="23" t="s">
        <v>1039</v>
      </c>
    </row>
    <row r="888">
      <c r="F888" s="23"/>
      <c r="G888" s="23" t="s">
        <v>1040</v>
      </c>
    </row>
    <row r="889">
      <c r="F889" s="23"/>
      <c r="G889" s="23" t="s">
        <v>1041</v>
      </c>
    </row>
    <row r="890">
      <c r="F890" s="23"/>
      <c r="G890" s="23" t="s">
        <v>1042</v>
      </c>
    </row>
    <row r="891">
      <c r="F891" s="23"/>
      <c r="G891" s="23" t="s">
        <v>1043</v>
      </c>
    </row>
    <row r="892">
      <c r="F892" s="23"/>
      <c r="G892" s="23" t="s">
        <v>1044</v>
      </c>
    </row>
    <row r="893">
      <c r="F893" s="23"/>
      <c r="G893" s="23" t="s">
        <v>1045</v>
      </c>
    </row>
    <row r="894">
      <c r="F894" s="23"/>
      <c r="G894" s="23" t="s">
        <v>1046</v>
      </c>
    </row>
    <row r="895">
      <c r="F895" s="23"/>
      <c r="G895" s="23" t="s">
        <v>1047</v>
      </c>
    </row>
    <row r="896">
      <c r="F896" s="23"/>
      <c r="G896" s="23" t="s">
        <v>1048</v>
      </c>
    </row>
    <row r="897">
      <c r="F897" s="23"/>
      <c r="G897" s="23" t="s">
        <v>1049</v>
      </c>
    </row>
    <row r="898">
      <c r="F898" s="23"/>
      <c r="G898" s="23" t="s">
        <v>1050</v>
      </c>
    </row>
    <row r="899">
      <c r="F899" s="23"/>
      <c r="G899" s="23" t="s">
        <v>1051</v>
      </c>
    </row>
    <row r="900">
      <c r="F900" s="23"/>
      <c r="G900" s="23" t="s">
        <v>1052</v>
      </c>
    </row>
    <row r="901">
      <c r="F901" s="23"/>
      <c r="G901" s="23" t="s">
        <v>1053</v>
      </c>
    </row>
    <row r="902">
      <c r="F902" s="23"/>
      <c r="G902" s="23" t="s">
        <v>1054</v>
      </c>
    </row>
    <row r="903">
      <c r="F903" s="23"/>
      <c r="G903" s="23" t="s">
        <v>1055</v>
      </c>
    </row>
    <row r="904">
      <c r="F904" s="23"/>
      <c r="G904" s="23" t="s">
        <v>1056</v>
      </c>
    </row>
    <row r="905">
      <c r="F905" s="23"/>
      <c r="G905" s="23" t="s">
        <v>1057</v>
      </c>
    </row>
    <row r="906">
      <c r="F906" s="23"/>
      <c r="G906" s="23" t="s">
        <v>1058</v>
      </c>
    </row>
    <row r="907">
      <c r="F907" s="23"/>
      <c r="G907" s="23" t="s">
        <v>1059</v>
      </c>
    </row>
    <row r="908">
      <c r="F908" s="23"/>
      <c r="G908" s="23" t="s">
        <v>1060</v>
      </c>
    </row>
    <row r="909">
      <c r="F909" s="23"/>
      <c r="G909" s="23" t="s">
        <v>1061</v>
      </c>
    </row>
    <row r="910">
      <c r="F910" s="23"/>
      <c r="G910" s="23" t="s">
        <v>1062</v>
      </c>
    </row>
    <row r="911">
      <c r="F911" s="23"/>
      <c r="G911" s="23" t="s">
        <v>1063</v>
      </c>
    </row>
    <row r="912">
      <c r="F912" s="23"/>
      <c r="G912" s="23" t="s">
        <v>1064</v>
      </c>
    </row>
    <row r="913">
      <c r="F913" s="23"/>
      <c r="G913" s="23" t="s">
        <v>1065</v>
      </c>
    </row>
    <row r="914">
      <c r="F914" s="23"/>
      <c r="G914" s="23" t="s">
        <v>1066</v>
      </c>
    </row>
    <row r="915">
      <c r="F915" s="23"/>
      <c r="G915" s="23" t="s">
        <v>1067</v>
      </c>
    </row>
    <row r="916">
      <c r="F916" s="23"/>
      <c r="G916" s="23" t="s">
        <v>1068</v>
      </c>
    </row>
    <row r="917">
      <c r="F917" s="23"/>
      <c r="G917" s="23" t="s">
        <v>1069</v>
      </c>
    </row>
    <row r="918">
      <c r="F918" s="23"/>
      <c r="G918" s="23" t="s">
        <v>1070</v>
      </c>
    </row>
    <row r="919">
      <c r="F919" s="23"/>
      <c r="G919" s="23" t="s">
        <v>1071</v>
      </c>
    </row>
    <row r="920">
      <c r="F920" s="23"/>
      <c r="G920" s="23" t="s">
        <v>1072</v>
      </c>
    </row>
    <row r="921">
      <c r="F921" s="23"/>
      <c r="G921" s="23" t="s">
        <v>1073</v>
      </c>
    </row>
    <row r="922">
      <c r="F922" s="23"/>
      <c r="G922" s="23" t="s">
        <v>1074</v>
      </c>
    </row>
    <row r="923">
      <c r="F923" s="23"/>
      <c r="G923" s="23" t="s">
        <v>1075</v>
      </c>
    </row>
    <row r="924">
      <c r="F924" s="23"/>
      <c r="G924" s="23" t="s">
        <v>1076</v>
      </c>
    </row>
    <row r="925">
      <c r="F925" s="23"/>
      <c r="G925" s="23" t="s">
        <v>1077</v>
      </c>
    </row>
    <row r="926">
      <c r="F926" s="23"/>
      <c r="G926" s="23" t="s">
        <v>1078</v>
      </c>
    </row>
    <row r="927">
      <c r="F927" s="23"/>
      <c r="G927" s="23" t="s">
        <v>1079</v>
      </c>
    </row>
    <row r="928">
      <c r="F928" s="23"/>
      <c r="G928" s="23" t="s">
        <v>1080</v>
      </c>
    </row>
    <row r="929">
      <c r="F929" s="23"/>
      <c r="G929" s="23" t="s">
        <v>1081</v>
      </c>
    </row>
    <row r="930">
      <c r="F930" s="23"/>
      <c r="G930" s="23" t="s">
        <v>1082</v>
      </c>
    </row>
    <row r="931">
      <c r="F931" s="23"/>
      <c r="G931" s="23" t="s">
        <v>1083</v>
      </c>
    </row>
    <row r="932">
      <c r="F932" s="23"/>
      <c r="G932" s="23" t="s">
        <v>1084</v>
      </c>
    </row>
    <row r="933">
      <c r="F933" s="23"/>
      <c r="G933" s="23" t="s">
        <v>1085</v>
      </c>
    </row>
    <row r="934">
      <c r="F934" s="23"/>
      <c r="G934" s="23" t="s">
        <v>1086</v>
      </c>
    </row>
    <row r="935">
      <c r="F935" s="23"/>
      <c r="G935" s="23" t="s">
        <v>1087</v>
      </c>
    </row>
    <row r="936">
      <c r="F936" s="23"/>
      <c r="G936" s="23" t="s">
        <v>1088</v>
      </c>
    </row>
    <row r="937">
      <c r="F937" s="23"/>
      <c r="G937" s="23" t="s">
        <v>1089</v>
      </c>
    </row>
    <row r="938">
      <c r="F938" s="23"/>
      <c r="G938" s="23" t="s">
        <v>1090</v>
      </c>
    </row>
    <row r="939">
      <c r="F939" s="23"/>
      <c r="G939" s="23" t="s">
        <v>1091</v>
      </c>
    </row>
    <row r="940">
      <c r="F940" s="23"/>
      <c r="G940" s="23" t="s">
        <v>1092</v>
      </c>
    </row>
    <row r="941">
      <c r="F941" s="23"/>
      <c r="G941" s="23" t="s">
        <v>1093</v>
      </c>
    </row>
    <row r="942">
      <c r="F942" s="23"/>
      <c r="G942" s="23" t="s">
        <v>1094</v>
      </c>
    </row>
    <row r="943">
      <c r="F943" s="23"/>
      <c r="G943" s="23" t="s">
        <v>1095</v>
      </c>
    </row>
    <row r="944">
      <c r="F944" s="23"/>
      <c r="G944" s="23" t="s">
        <v>1096</v>
      </c>
    </row>
    <row r="945">
      <c r="F945" s="23"/>
      <c r="G945" s="23" t="s">
        <v>1097</v>
      </c>
    </row>
    <row r="946">
      <c r="F946" s="23"/>
      <c r="G946" s="23" t="s">
        <v>1098</v>
      </c>
    </row>
    <row r="947">
      <c r="F947" s="23"/>
      <c r="G947" s="23" t="s">
        <v>1099</v>
      </c>
    </row>
    <row r="948">
      <c r="F948" s="23"/>
      <c r="G948" s="23" t="s">
        <v>1100</v>
      </c>
    </row>
    <row r="949">
      <c r="F949" s="23"/>
      <c r="G949" s="23" t="s">
        <v>1101</v>
      </c>
    </row>
    <row r="950">
      <c r="F950" s="23"/>
      <c r="G950" s="23" t="s">
        <v>1102</v>
      </c>
    </row>
    <row r="951">
      <c r="F951" s="23"/>
      <c r="G951" s="23" t="s">
        <v>1103</v>
      </c>
    </row>
    <row r="952">
      <c r="F952" s="23"/>
      <c r="G952" s="23" t="s">
        <v>1104</v>
      </c>
    </row>
    <row r="953">
      <c r="F953" s="23"/>
      <c r="G953" s="23" t="s">
        <v>1105</v>
      </c>
    </row>
    <row r="954">
      <c r="F954" s="23"/>
      <c r="G954" s="23" t="s">
        <v>1106</v>
      </c>
    </row>
    <row r="955">
      <c r="F955" s="23"/>
      <c r="G955" s="23" t="s">
        <v>1107</v>
      </c>
    </row>
    <row r="956">
      <c r="F956" s="23"/>
      <c r="G956" s="23" t="s">
        <v>1108</v>
      </c>
    </row>
    <row r="957">
      <c r="F957" s="23"/>
      <c r="G957" s="23" t="s">
        <v>1109</v>
      </c>
    </row>
    <row r="958">
      <c r="F958" s="23"/>
      <c r="G958" s="23" t="s">
        <v>1110</v>
      </c>
    </row>
    <row r="959">
      <c r="F959" s="23"/>
      <c r="G959" s="23" t="s">
        <v>1111</v>
      </c>
    </row>
    <row r="960">
      <c r="F960" s="23"/>
      <c r="G960" s="23" t="s">
        <v>1112</v>
      </c>
    </row>
    <row r="961">
      <c r="F961" s="23"/>
      <c r="G961" s="23" t="s">
        <v>1113</v>
      </c>
    </row>
    <row r="962">
      <c r="F962" s="23"/>
      <c r="G962" s="23" t="s">
        <v>1114</v>
      </c>
    </row>
    <row r="963">
      <c r="F963" s="23"/>
      <c r="G963" s="23" t="s">
        <v>1115</v>
      </c>
    </row>
    <row r="964">
      <c r="F964" s="23"/>
      <c r="G964" s="23" t="s">
        <v>1116</v>
      </c>
    </row>
    <row r="965">
      <c r="F965" s="23"/>
      <c r="G965" s="23" t="s">
        <v>1117</v>
      </c>
    </row>
    <row r="966">
      <c r="F966" s="23"/>
      <c r="G966" s="23" t="s">
        <v>1118</v>
      </c>
    </row>
    <row r="967">
      <c r="F967" s="23"/>
      <c r="G967" s="23" t="s">
        <v>1119</v>
      </c>
    </row>
    <row r="968">
      <c r="F968" s="23"/>
      <c r="G968" s="23" t="s">
        <v>1120</v>
      </c>
    </row>
    <row r="969">
      <c r="F969" s="23"/>
      <c r="G969" s="23" t="s">
        <v>1121</v>
      </c>
    </row>
    <row r="970">
      <c r="F970" s="23"/>
      <c r="G970" s="23" t="s">
        <v>1122</v>
      </c>
    </row>
    <row r="971">
      <c r="F971" s="23"/>
      <c r="G971" s="23" t="s">
        <v>1123</v>
      </c>
    </row>
    <row r="972">
      <c r="F972" s="23"/>
      <c r="G972" s="23" t="s">
        <v>1124</v>
      </c>
    </row>
    <row r="973">
      <c r="F973" s="23"/>
      <c r="G973" s="23" t="s">
        <v>1125</v>
      </c>
    </row>
    <row r="974">
      <c r="F974" s="23"/>
      <c r="G974" s="23" t="s">
        <v>1126</v>
      </c>
    </row>
    <row r="975">
      <c r="F975" s="23"/>
      <c r="G975" s="23" t="s">
        <v>1127</v>
      </c>
    </row>
    <row r="976">
      <c r="F976" s="23"/>
      <c r="G976" s="23" t="s">
        <v>1128</v>
      </c>
    </row>
    <row r="977">
      <c r="F977" s="23"/>
      <c r="G977" s="23" t="s">
        <v>1129</v>
      </c>
    </row>
    <row r="978">
      <c r="F978" s="23"/>
      <c r="G978" s="23" t="s">
        <v>1130</v>
      </c>
    </row>
    <row r="979">
      <c r="F979" s="23"/>
      <c r="G979" s="23" t="s">
        <v>1131</v>
      </c>
    </row>
    <row r="980">
      <c r="F980" s="23"/>
      <c r="G980" s="23" t="s">
        <v>1132</v>
      </c>
    </row>
    <row r="981">
      <c r="F981" s="23"/>
      <c r="G981" s="23" t="s">
        <v>1133</v>
      </c>
    </row>
    <row r="982">
      <c r="F982" s="23"/>
      <c r="G982" s="23" t="s">
        <v>1134</v>
      </c>
    </row>
    <row r="983">
      <c r="F983" s="23"/>
      <c r="G983" s="23" t="s">
        <v>1135</v>
      </c>
    </row>
    <row r="984">
      <c r="F984" s="23"/>
      <c r="G984" s="23" t="s">
        <v>1136</v>
      </c>
    </row>
    <row r="985">
      <c r="F985" s="23"/>
      <c r="G985" s="23" t="s">
        <v>1137</v>
      </c>
    </row>
    <row r="986">
      <c r="F986" s="23"/>
      <c r="G986" s="23" t="s">
        <v>1138</v>
      </c>
    </row>
    <row r="987">
      <c r="F987" s="23"/>
      <c r="G987" s="23" t="s">
        <v>1139</v>
      </c>
    </row>
    <row r="988">
      <c r="F988" s="23"/>
      <c r="G988" s="23" t="s">
        <v>1140</v>
      </c>
    </row>
    <row r="989">
      <c r="F989" s="23"/>
      <c r="G989" s="23" t="s">
        <v>1141</v>
      </c>
    </row>
    <row r="990">
      <c r="F990" s="23"/>
      <c r="G990" s="23" t="s">
        <v>1142</v>
      </c>
    </row>
    <row r="991">
      <c r="F991" s="23"/>
      <c r="G991" s="23" t="s">
        <v>1143</v>
      </c>
    </row>
    <row r="992">
      <c r="F992" s="23"/>
      <c r="G992" s="23" t="s">
        <v>1144</v>
      </c>
    </row>
    <row r="993">
      <c r="F993" s="23"/>
      <c r="G993" s="23" t="s">
        <v>1145</v>
      </c>
    </row>
    <row r="994">
      <c r="F994" s="23"/>
      <c r="G994" s="23" t="s">
        <v>1146</v>
      </c>
    </row>
    <row r="995">
      <c r="F995" s="23"/>
      <c r="G995" s="23" t="s">
        <v>1147</v>
      </c>
    </row>
    <row r="996">
      <c r="F996" s="23"/>
      <c r="G996" s="23" t="s">
        <v>1148</v>
      </c>
    </row>
    <row r="997">
      <c r="F997" s="23"/>
      <c r="G997" s="23" t="s">
        <v>1149</v>
      </c>
    </row>
    <row r="998">
      <c r="F998" s="23"/>
      <c r="G998" s="23" t="s">
        <v>1150</v>
      </c>
    </row>
    <row r="999">
      <c r="F999" s="23"/>
      <c r="G999" s="23" t="s">
        <v>1151</v>
      </c>
    </row>
    <row r="1000">
      <c r="F1000" s="23"/>
      <c r="G1000" s="23" t="s">
        <v>1152</v>
      </c>
    </row>
    <row r="1001">
      <c r="F1001" s="23"/>
      <c r="G1001" s="23" t="s">
        <v>1153</v>
      </c>
    </row>
    <row r="1002">
      <c r="F1002" s="23"/>
      <c r="G1002" s="23" t="s">
        <v>1154</v>
      </c>
    </row>
    <row r="1003">
      <c r="F1003" s="23"/>
      <c r="G1003" s="23" t="s">
        <v>1155</v>
      </c>
    </row>
    <row r="1004">
      <c r="F1004" s="23"/>
      <c r="G1004" s="23" t="s">
        <v>1156</v>
      </c>
    </row>
    <row r="1005">
      <c r="F1005" s="23"/>
      <c r="G1005" s="23" t="s">
        <v>1157</v>
      </c>
    </row>
    <row r="1006">
      <c r="F1006" s="23"/>
      <c r="G1006" s="23" t="s">
        <v>1158</v>
      </c>
    </row>
    <row r="1007">
      <c r="F1007" s="23"/>
      <c r="G1007" s="23" t="s">
        <v>1159</v>
      </c>
    </row>
    <row r="1008">
      <c r="F1008" s="23"/>
      <c r="G1008" s="23" t="s">
        <v>1160</v>
      </c>
    </row>
    <row r="1009">
      <c r="F1009" s="23"/>
      <c r="G1009" s="23" t="s">
        <v>1161</v>
      </c>
    </row>
    <row r="1010">
      <c r="F1010" s="23"/>
      <c r="G1010" s="23" t="s">
        <v>1162</v>
      </c>
    </row>
    <row r="1011">
      <c r="F1011" s="23"/>
      <c r="G1011" s="23" t="s">
        <v>1163</v>
      </c>
    </row>
    <row r="1012">
      <c r="F1012" s="23"/>
      <c r="G1012" s="23" t="s">
        <v>1164</v>
      </c>
    </row>
    <row r="1013">
      <c r="F1013" s="23"/>
      <c r="G1013" s="23" t="s">
        <v>1165</v>
      </c>
    </row>
    <row r="1014">
      <c r="F1014" s="23"/>
      <c r="G1014" s="23" t="s">
        <v>1166</v>
      </c>
    </row>
    <row r="1015">
      <c r="F1015" s="23"/>
      <c r="G1015" s="23" t="s">
        <v>1167</v>
      </c>
    </row>
    <row r="1016">
      <c r="F1016" s="23"/>
      <c r="G1016" s="23" t="s">
        <v>1168</v>
      </c>
    </row>
    <row r="1017">
      <c r="F1017" s="23"/>
      <c r="G1017" s="23" t="s">
        <v>1169</v>
      </c>
    </row>
    <row r="1018">
      <c r="F1018" s="23"/>
      <c r="G1018" s="23" t="s">
        <v>1170</v>
      </c>
    </row>
    <row r="1019">
      <c r="F1019" s="23"/>
      <c r="G1019" s="23" t="s">
        <v>1171</v>
      </c>
    </row>
    <row r="1020">
      <c r="F1020" s="23"/>
      <c r="G1020" s="23" t="s">
        <v>1172</v>
      </c>
    </row>
    <row r="1021">
      <c r="F1021" s="23"/>
      <c r="G1021" s="23" t="s">
        <v>1173</v>
      </c>
    </row>
    <row r="1022">
      <c r="F1022" s="23"/>
      <c r="G1022" s="23" t="s">
        <v>1174</v>
      </c>
    </row>
    <row r="1023">
      <c r="F1023" s="23"/>
      <c r="G1023" s="23" t="s">
        <v>1175</v>
      </c>
    </row>
    <row r="1024">
      <c r="F1024" s="23"/>
      <c r="G1024" s="23" t="s">
        <v>1176</v>
      </c>
    </row>
    <row r="1025">
      <c r="F1025" s="23"/>
      <c r="G1025" s="23" t="s">
        <v>1177</v>
      </c>
    </row>
    <row r="1026">
      <c r="F1026" s="23"/>
      <c r="G1026" s="23" t="s">
        <v>1178</v>
      </c>
    </row>
    <row r="1027">
      <c r="F1027" s="23"/>
      <c r="G1027" s="23" t="s">
        <v>1179</v>
      </c>
    </row>
    <row r="1028">
      <c r="F1028" s="23"/>
      <c r="G1028" s="23" t="s">
        <v>1180</v>
      </c>
    </row>
    <row r="1029">
      <c r="F1029" s="23"/>
      <c r="G1029" s="23" t="s">
        <v>1181</v>
      </c>
    </row>
    <row r="1030">
      <c r="F1030" s="23"/>
      <c r="G1030" s="23" t="s">
        <v>1182</v>
      </c>
    </row>
    <row r="1031">
      <c r="F1031" s="23"/>
      <c r="G1031" s="23" t="s">
        <v>1183</v>
      </c>
    </row>
    <row r="1032">
      <c r="F1032" s="23"/>
      <c r="G1032" s="23" t="s">
        <v>1184</v>
      </c>
    </row>
    <row r="1033">
      <c r="F1033" s="23"/>
      <c r="G1033" s="23" t="s">
        <v>1185</v>
      </c>
    </row>
    <row r="1034">
      <c r="F1034" s="23"/>
      <c r="G1034" s="23" t="s">
        <v>1186</v>
      </c>
    </row>
    <row r="1035">
      <c r="F1035" s="23"/>
      <c r="G1035" s="23" t="s">
        <v>1187</v>
      </c>
    </row>
    <row r="1036">
      <c r="F1036" s="23"/>
      <c r="G1036" s="23" t="s">
        <v>1188</v>
      </c>
    </row>
    <row r="1037">
      <c r="F1037" s="23"/>
      <c r="G1037" s="23" t="s">
        <v>1189</v>
      </c>
    </row>
    <row r="1038">
      <c r="F1038" s="23"/>
      <c r="G1038" s="23" t="s">
        <v>1190</v>
      </c>
    </row>
    <row r="1039">
      <c r="F1039" s="23"/>
      <c r="G1039" s="23" t="s">
        <v>1191</v>
      </c>
    </row>
    <row r="1040">
      <c r="F1040" s="23"/>
      <c r="G1040" s="23" t="s">
        <v>1192</v>
      </c>
    </row>
    <row r="1041">
      <c r="F1041" s="23"/>
      <c r="G1041" s="23" t="s">
        <v>1193</v>
      </c>
    </row>
    <row r="1042">
      <c r="F1042" s="23"/>
      <c r="G1042" s="23" t="s">
        <v>1194</v>
      </c>
    </row>
    <row r="1043">
      <c r="F1043" s="23"/>
      <c r="G1043" s="23" t="s">
        <v>1195</v>
      </c>
    </row>
    <row r="1044">
      <c r="F1044" s="23"/>
      <c r="G1044" s="23" t="s">
        <v>1196</v>
      </c>
    </row>
    <row r="1045">
      <c r="F1045" s="23"/>
      <c r="G1045" s="23" t="s">
        <v>1197</v>
      </c>
    </row>
    <row r="1046">
      <c r="F1046" s="23"/>
      <c r="G1046" s="23" t="s">
        <v>1198</v>
      </c>
    </row>
    <row r="1047">
      <c r="F1047" s="23"/>
      <c r="G1047" s="23" t="s">
        <v>1199</v>
      </c>
    </row>
    <row r="1048">
      <c r="F1048" s="23"/>
      <c r="G1048" s="23" t="s">
        <v>1200</v>
      </c>
    </row>
    <row r="1049">
      <c r="F1049" s="23"/>
      <c r="G1049" s="23" t="s">
        <v>1201</v>
      </c>
    </row>
    <row r="1050">
      <c r="F1050" s="23"/>
      <c r="G1050" s="23" t="s">
        <v>1202</v>
      </c>
    </row>
    <row r="1051">
      <c r="F1051" s="23"/>
      <c r="G1051" s="23" t="s">
        <v>1203</v>
      </c>
    </row>
    <row r="1052">
      <c r="F1052" s="23"/>
      <c r="G1052" s="23" t="s">
        <v>1204</v>
      </c>
    </row>
    <row r="1053">
      <c r="F1053" s="23"/>
      <c r="G1053" s="23" t="s">
        <v>1205</v>
      </c>
    </row>
    <row r="1054">
      <c r="F1054" s="23"/>
      <c r="G1054" s="23" t="s">
        <v>1206</v>
      </c>
    </row>
    <row r="1055">
      <c r="F1055" s="23"/>
      <c r="G1055" s="23" t="s">
        <v>1207</v>
      </c>
    </row>
    <row r="1056">
      <c r="F1056" s="23"/>
      <c r="G1056" s="23" t="s">
        <v>1208</v>
      </c>
    </row>
    <row r="1057">
      <c r="F1057" s="23"/>
      <c r="G1057" s="23" t="s">
        <v>1209</v>
      </c>
    </row>
    <row r="1058">
      <c r="F1058" s="23"/>
      <c r="G1058" s="23" t="s">
        <v>1210</v>
      </c>
    </row>
    <row r="1059">
      <c r="F1059" s="23"/>
      <c r="G1059" s="23" t="s">
        <v>1211</v>
      </c>
    </row>
    <row r="1060">
      <c r="F1060" s="23"/>
      <c r="G1060" s="23" t="s">
        <v>1212</v>
      </c>
    </row>
    <row r="1061">
      <c r="F1061" s="23"/>
      <c r="G1061" s="23" t="s">
        <v>1213</v>
      </c>
    </row>
    <row r="1062">
      <c r="F1062" s="23"/>
      <c r="G1062" s="23" t="s">
        <v>1214</v>
      </c>
    </row>
    <row r="1063">
      <c r="F1063" s="23"/>
      <c r="G1063" s="23" t="s">
        <v>1215</v>
      </c>
    </row>
    <row r="1064">
      <c r="F1064" s="23"/>
      <c r="G1064" s="23" t="s">
        <v>1216</v>
      </c>
    </row>
    <row r="1065">
      <c r="F1065" s="23"/>
      <c r="G1065" s="23" t="s">
        <v>1217</v>
      </c>
    </row>
    <row r="1066">
      <c r="F1066" s="23"/>
      <c r="G1066" s="23" t="s">
        <v>1218</v>
      </c>
    </row>
    <row r="1067">
      <c r="F1067" s="23"/>
      <c r="G1067" s="23" t="s">
        <v>1219</v>
      </c>
    </row>
    <row r="1068">
      <c r="F1068" s="23"/>
      <c r="G1068" s="23" t="s">
        <v>1220</v>
      </c>
    </row>
    <row r="1069">
      <c r="F1069" s="23"/>
      <c r="G1069" s="23" t="s">
        <v>1221</v>
      </c>
    </row>
    <row r="1070">
      <c r="F1070" s="23"/>
      <c r="G1070" s="23" t="s">
        <v>1222</v>
      </c>
    </row>
    <row r="1071">
      <c r="F1071" s="23"/>
      <c r="G1071" s="23" t="s">
        <v>1223</v>
      </c>
    </row>
    <row r="1072">
      <c r="F1072" s="23"/>
      <c r="G1072" s="23" t="s">
        <v>1224</v>
      </c>
    </row>
    <row r="1073">
      <c r="F1073" s="23"/>
      <c r="G1073" s="23" t="s">
        <v>1225</v>
      </c>
    </row>
    <row r="1074">
      <c r="F1074" s="23"/>
      <c r="G1074" s="23" t="s">
        <v>1226</v>
      </c>
    </row>
    <row r="1075">
      <c r="F1075" s="23"/>
      <c r="G1075" s="23" t="s">
        <v>1227</v>
      </c>
    </row>
    <row r="1076">
      <c r="F1076" s="23"/>
      <c r="G1076" s="23" t="s">
        <v>1228</v>
      </c>
    </row>
    <row r="1077">
      <c r="F1077" s="23"/>
      <c r="G1077" s="23" t="s">
        <v>1229</v>
      </c>
    </row>
    <row r="1078">
      <c r="F1078" s="23"/>
      <c r="G1078" s="23" t="s">
        <v>1230</v>
      </c>
    </row>
    <row r="1079">
      <c r="F1079" s="23"/>
      <c r="G1079" s="23" t="s">
        <v>1231</v>
      </c>
    </row>
    <row r="1080">
      <c r="F1080" s="23"/>
      <c r="G1080" s="23" t="s">
        <v>1232</v>
      </c>
    </row>
    <row r="1081">
      <c r="F1081" s="23"/>
      <c r="G1081" s="23" t="s">
        <v>1233</v>
      </c>
    </row>
    <row r="1082">
      <c r="F1082" s="23"/>
      <c r="G1082" s="23" t="s">
        <v>1234</v>
      </c>
    </row>
    <row r="1083">
      <c r="F1083" s="23"/>
      <c r="G1083" s="23" t="s">
        <v>1235</v>
      </c>
    </row>
    <row r="1084">
      <c r="F1084" s="23"/>
      <c r="G1084" s="23" t="s">
        <v>1236</v>
      </c>
    </row>
    <row r="1085">
      <c r="F1085" s="23"/>
      <c r="G1085" s="23" t="s">
        <v>1237</v>
      </c>
    </row>
    <row r="1086">
      <c r="F1086" s="23"/>
      <c r="G1086" s="23" t="s">
        <v>1238</v>
      </c>
    </row>
    <row r="1087">
      <c r="F1087" s="23"/>
      <c r="G1087" s="23" t="s">
        <v>1239</v>
      </c>
    </row>
    <row r="1088">
      <c r="F1088" s="23"/>
      <c r="G1088" s="23" t="s">
        <v>1240</v>
      </c>
    </row>
    <row r="1089">
      <c r="F1089" s="23"/>
      <c r="G1089" s="23" t="s">
        <v>1241</v>
      </c>
    </row>
    <row r="1090">
      <c r="F1090" s="23"/>
      <c r="G1090" s="23" t="s">
        <v>1242</v>
      </c>
    </row>
    <row r="1091">
      <c r="F1091" s="23"/>
      <c r="G1091" s="23" t="s">
        <v>1243</v>
      </c>
    </row>
    <row r="1092">
      <c r="F1092" s="23"/>
      <c r="G1092" s="23" t="s">
        <v>1244</v>
      </c>
    </row>
    <row r="1093">
      <c r="F1093" s="23"/>
      <c r="G1093" s="23" t="s">
        <v>1245</v>
      </c>
    </row>
    <row r="1094">
      <c r="F1094" s="23"/>
      <c r="G1094" s="23" t="s">
        <v>1246</v>
      </c>
    </row>
    <row r="1095">
      <c r="F1095" s="23"/>
      <c r="G1095" s="23" t="s">
        <v>1247</v>
      </c>
    </row>
    <row r="1096">
      <c r="F1096" s="23"/>
      <c r="G1096" s="23" t="s">
        <v>1248</v>
      </c>
    </row>
    <row r="1097">
      <c r="F1097" s="23"/>
      <c r="G1097" s="23" t="s">
        <v>1249</v>
      </c>
    </row>
    <row r="1098">
      <c r="F1098" s="23"/>
      <c r="G1098" s="23" t="s">
        <v>1250</v>
      </c>
    </row>
    <row r="1099">
      <c r="F1099" s="23"/>
      <c r="G1099" s="23" t="s">
        <v>1251</v>
      </c>
    </row>
    <row r="1100">
      <c r="F1100" s="23"/>
      <c r="G1100" s="23" t="s">
        <v>1252</v>
      </c>
    </row>
    <row r="1101">
      <c r="F1101" s="23"/>
      <c r="G1101" s="23" t="s">
        <v>1253</v>
      </c>
    </row>
    <row r="1102">
      <c r="F1102" s="23"/>
      <c r="G1102" s="23" t="s">
        <v>1254</v>
      </c>
    </row>
    <row r="1103">
      <c r="F1103" s="23"/>
      <c r="G1103" s="23" t="s">
        <v>1255</v>
      </c>
    </row>
    <row r="1104">
      <c r="F1104" s="23"/>
      <c r="G1104" s="23" t="s">
        <v>1256</v>
      </c>
    </row>
    <row r="1105">
      <c r="F1105" s="23"/>
      <c r="G1105" s="23" t="s">
        <v>1257</v>
      </c>
    </row>
    <row r="1106">
      <c r="F1106" s="23"/>
      <c r="G1106" s="23" t="s">
        <v>1258</v>
      </c>
    </row>
    <row r="1107">
      <c r="F1107" s="23"/>
      <c r="G1107" s="23" t="s">
        <v>1259</v>
      </c>
    </row>
    <row r="1108">
      <c r="F1108" s="23"/>
      <c r="G1108" s="23" t="s">
        <v>1260</v>
      </c>
    </row>
    <row r="1109">
      <c r="F1109" s="23"/>
      <c r="G1109" s="23" t="s">
        <v>1261</v>
      </c>
    </row>
    <row r="1110">
      <c r="F1110" s="23"/>
      <c r="G1110" s="23" t="s">
        <v>1262</v>
      </c>
    </row>
    <row r="1111">
      <c r="F1111" s="23"/>
      <c r="G1111" s="23" t="s">
        <v>1263</v>
      </c>
    </row>
    <row r="1112">
      <c r="F1112" s="23"/>
      <c r="G1112" s="23" t="s">
        <v>1264</v>
      </c>
    </row>
    <row r="1113">
      <c r="F1113" s="23"/>
      <c r="G1113" s="23" t="s">
        <v>1265</v>
      </c>
    </row>
    <row r="1114">
      <c r="F1114" s="23"/>
      <c r="G1114" s="23" t="s">
        <v>1266</v>
      </c>
    </row>
    <row r="1115">
      <c r="F1115" s="23"/>
      <c r="G1115" s="23" t="s">
        <v>1267</v>
      </c>
    </row>
    <row r="1116">
      <c r="F1116" s="23"/>
      <c r="G1116" s="23" t="s">
        <v>1268</v>
      </c>
    </row>
    <row r="1117">
      <c r="F1117" s="23"/>
      <c r="G1117" s="23" t="s">
        <v>1269</v>
      </c>
    </row>
    <row r="1118">
      <c r="F1118" s="23"/>
      <c r="G1118" s="23" t="s">
        <v>1270</v>
      </c>
    </row>
    <row r="1119">
      <c r="F1119" s="23"/>
      <c r="G1119" s="23" t="s">
        <v>1271</v>
      </c>
    </row>
    <row r="1120">
      <c r="F1120" s="23"/>
      <c r="G1120" s="23" t="s">
        <v>1272</v>
      </c>
    </row>
    <row r="1121">
      <c r="F1121" s="23"/>
      <c r="G1121" s="23" t="s">
        <v>1273</v>
      </c>
    </row>
    <row r="1122">
      <c r="F1122" s="23"/>
      <c r="G1122" s="23" t="s">
        <v>1274</v>
      </c>
    </row>
    <row r="1123">
      <c r="F1123" s="23"/>
      <c r="G1123" s="23" t="s">
        <v>1275</v>
      </c>
    </row>
    <row r="1124">
      <c r="F1124" s="23"/>
      <c r="G1124" s="23" t="s">
        <v>1276</v>
      </c>
    </row>
    <row r="1125">
      <c r="F1125" s="23"/>
      <c r="G1125" s="23" t="s">
        <v>1277</v>
      </c>
    </row>
    <row r="1126">
      <c r="F1126" s="23"/>
      <c r="G1126" s="23" t="s">
        <v>1278</v>
      </c>
    </row>
    <row r="1127">
      <c r="F1127" s="23"/>
      <c r="G1127" s="23" t="s">
        <v>1279</v>
      </c>
    </row>
    <row r="1128">
      <c r="F1128" s="23"/>
      <c r="G1128" s="23" t="s">
        <v>1280</v>
      </c>
    </row>
    <row r="1129">
      <c r="F1129" s="23"/>
      <c r="G1129" s="23" t="s">
        <v>1281</v>
      </c>
    </row>
    <row r="1130">
      <c r="F1130" s="23"/>
      <c r="G1130" s="23" t="s">
        <v>1282</v>
      </c>
    </row>
    <row r="1131">
      <c r="F1131" s="23"/>
      <c r="G1131" s="23" t="s">
        <v>1283</v>
      </c>
    </row>
    <row r="1132">
      <c r="F1132" s="23"/>
      <c r="G1132" s="23" t="s">
        <v>1284</v>
      </c>
    </row>
    <row r="1133">
      <c r="F1133" s="23"/>
      <c r="G1133" s="23" t="s">
        <v>1285</v>
      </c>
    </row>
    <row r="1134">
      <c r="F1134" s="23"/>
      <c r="G1134" s="23" t="s">
        <v>1286</v>
      </c>
    </row>
    <row r="1135">
      <c r="F1135" s="23"/>
      <c r="G1135" s="23" t="s">
        <v>1287</v>
      </c>
    </row>
    <row r="1136">
      <c r="F1136" s="23"/>
      <c r="G1136" s="23" t="s">
        <v>1288</v>
      </c>
    </row>
    <row r="1137">
      <c r="F1137" s="23"/>
      <c r="G1137" s="23" t="s">
        <v>1289</v>
      </c>
    </row>
    <row r="1138">
      <c r="F1138" s="23"/>
      <c r="G1138" s="23" t="s">
        <v>1290</v>
      </c>
    </row>
    <row r="1139">
      <c r="F1139" s="23"/>
      <c r="G1139" s="23" t="s">
        <v>1291</v>
      </c>
    </row>
    <row r="1140">
      <c r="F1140" s="23"/>
      <c r="G1140" s="23" t="s">
        <v>1292</v>
      </c>
    </row>
    <row r="1141">
      <c r="F1141" s="23"/>
      <c r="G1141" s="23" t="s">
        <v>1293</v>
      </c>
    </row>
    <row r="1142">
      <c r="F1142" s="23"/>
      <c r="G1142" s="23" t="s">
        <v>1294</v>
      </c>
    </row>
    <row r="1143">
      <c r="F1143" s="23"/>
      <c r="G1143" s="23" t="s">
        <v>1295</v>
      </c>
    </row>
    <row r="1144">
      <c r="F1144" s="23"/>
      <c r="G1144" s="23" t="s">
        <v>1296</v>
      </c>
    </row>
    <row r="1145">
      <c r="F1145" s="23"/>
      <c r="G1145" s="23" t="s">
        <v>1297</v>
      </c>
    </row>
    <row r="1146">
      <c r="F1146" s="23"/>
      <c r="G1146" s="23" t="s">
        <v>1298</v>
      </c>
    </row>
    <row r="1147">
      <c r="F1147" s="23"/>
      <c r="G1147" s="23" t="s">
        <v>1299</v>
      </c>
    </row>
    <row r="1148">
      <c r="F1148" s="23"/>
      <c r="G1148" s="23" t="s">
        <v>1300</v>
      </c>
    </row>
    <row r="1149">
      <c r="F1149" s="23"/>
      <c r="G1149" s="23" t="s">
        <v>1301</v>
      </c>
    </row>
    <row r="1150">
      <c r="F1150" s="23"/>
      <c r="G1150" s="23" t="s">
        <v>1302</v>
      </c>
    </row>
    <row r="1151">
      <c r="F1151" s="23"/>
      <c r="G1151" s="23" t="s">
        <v>1303</v>
      </c>
    </row>
    <row r="1152">
      <c r="F1152" s="23"/>
      <c r="G1152" s="23" t="s">
        <v>1304</v>
      </c>
    </row>
    <row r="1153">
      <c r="F1153" s="23"/>
      <c r="G1153" s="23" t="s">
        <v>1305</v>
      </c>
    </row>
    <row r="1154">
      <c r="F1154" s="23"/>
      <c r="G1154" s="23" t="s">
        <v>1306</v>
      </c>
    </row>
    <row r="1155">
      <c r="F1155" s="23"/>
      <c r="G1155" s="23" t="s">
        <v>1307</v>
      </c>
    </row>
    <row r="1156">
      <c r="F1156" s="23"/>
      <c r="G1156" s="23" t="s">
        <v>1308</v>
      </c>
    </row>
    <row r="1157">
      <c r="F1157" s="23"/>
      <c r="G1157" s="23" t="s">
        <v>1309</v>
      </c>
    </row>
    <row r="1158">
      <c r="F1158" s="23"/>
      <c r="G1158" s="23" t="s">
        <v>1310</v>
      </c>
    </row>
    <row r="1159">
      <c r="F1159" s="23"/>
      <c r="G1159" s="23" t="s">
        <v>1311</v>
      </c>
    </row>
    <row r="1160">
      <c r="F1160" s="23"/>
      <c r="G1160" s="23" t="s">
        <v>1312</v>
      </c>
    </row>
    <row r="1161">
      <c r="F1161" s="23"/>
      <c r="G1161" s="23" t="s">
        <v>1313</v>
      </c>
    </row>
    <row r="1162">
      <c r="F1162" s="23"/>
      <c r="G1162" s="23" t="s">
        <v>1314</v>
      </c>
    </row>
    <row r="1163">
      <c r="F1163" s="23"/>
      <c r="G1163" s="23" t="s">
        <v>1315</v>
      </c>
    </row>
    <row r="1164">
      <c r="F1164" s="23"/>
      <c r="G1164" s="23" t="s">
        <v>1316</v>
      </c>
    </row>
    <row r="1165">
      <c r="F1165" s="23"/>
      <c r="G1165" s="23" t="s">
        <v>1317</v>
      </c>
    </row>
    <row r="1166">
      <c r="F1166" s="23"/>
      <c r="G1166" s="23" t="s">
        <v>1318</v>
      </c>
    </row>
    <row r="1167">
      <c r="F1167" s="23"/>
      <c r="G1167" s="23" t="s">
        <v>1319</v>
      </c>
    </row>
    <row r="1168">
      <c r="F1168" s="23"/>
      <c r="G1168" s="23" t="s">
        <v>1320</v>
      </c>
    </row>
    <row r="1169">
      <c r="F1169" s="23"/>
      <c r="G1169" s="23" t="s">
        <v>1321</v>
      </c>
    </row>
    <row r="1170">
      <c r="F1170" s="23"/>
      <c r="G1170" s="23" t="s">
        <v>1322</v>
      </c>
    </row>
    <row r="1171">
      <c r="F1171" s="23"/>
      <c r="G1171" s="23" t="s">
        <v>1323</v>
      </c>
    </row>
    <row r="1172">
      <c r="F1172" s="23"/>
      <c r="G1172" s="23" t="s">
        <v>1324</v>
      </c>
    </row>
    <row r="1173">
      <c r="F1173" s="23"/>
      <c r="G1173" s="23" t="s">
        <v>1325</v>
      </c>
    </row>
    <row r="1174">
      <c r="F1174" s="23"/>
      <c r="G1174" s="23" t="s">
        <v>1326</v>
      </c>
    </row>
    <row r="1175">
      <c r="F1175" s="23"/>
      <c r="G1175" s="23" t="s">
        <v>1327</v>
      </c>
    </row>
    <row r="1176">
      <c r="F1176" s="23"/>
      <c r="G1176" s="23" t="s">
        <v>1328</v>
      </c>
    </row>
    <row r="1177">
      <c r="F1177" s="23"/>
      <c r="G1177" s="23" t="s">
        <v>1329</v>
      </c>
    </row>
    <row r="1178">
      <c r="F1178" s="23"/>
      <c r="G1178" s="23" t="s">
        <v>1330</v>
      </c>
    </row>
    <row r="1179">
      <c r="F1179" s="23"/>
      <c r="G1179" s="23" t="s">
        <v>1331</v>
      </c>
    </row>
    <row r="1180">
      <c r="F1180" s="23"/>
      <c r="G1180" s="23" t="s">
        <v>1332</v>
      </c>
    </row>
    <row r="1181">
      <c r="F1181" s="23"/>
      <c r="G1181" s="23" t="s">
        <v>1333</v>
      </c>
    </row>
    <row r="1182">
      <c r="F1182" s="23"/>
      <c r="G1182" s="23" t="s">
        <v>1334</v>
      </c>
    </row>
    <row r="1183">
      <c r="F1183" s="23"/>
      <c r="G1183" s="23" t="s">
        <v>1335</v>
      </c>
    </row>
    <row r="1184">
      <c r="F1184" s="23"/>
      <c r="G1184" s="23" t="s">
        <v>1336</v>
      </c>
    </row>
    <row r="1185">
      <c r="F1185" s="23"/>
      <c r="G1185" s="23" t="s">
        <v>1337</v>
      </c>
    </row>
    <row r="1186">
      <c r="F1186" s="23"/>
      <c r="G1186" s="23" t="s">
        <v>1338</v>
      </c>
    </row>
    <row r="1187">
      <c r="F1187" s="23"/>
      <c r="G1187" s="23" t="s">
        <v>1339</v>
      </c>
    </row>
    <row r="1188">
      <c r="F1188" s="23"/>
      <c r="G1188" s="23" t="s">
        <v>1340</v>
      </c>
    </row>
    <row r="1189">
      <c r="F1189" s="23"/>
      <c r="G1189" s="23" t="s">
        <v>1341</v>
      </c>
    </row>
    <row r="1190">
      <c r="F1190" s="23"/>
      <c r="G1190" s="23" t="s">
        <v>1342</v>
      </c>
    </row>
    <row r="1191">
      <c r="F1191" s="23"/>
      <c r="G1191" s="23" t="s">
        <v>1343</v>
      </c>
    </row>
    <row r="1192">
      <c r="F1192" s="23"/>
      <c r="G1192" s="23" t="s">
        <v>1344</v>
      </c>
    </row>
    <row r="1193">
      <c r="F1193" s="23"/>
      <c r="G1193" s="23" t="s">
        <v>1345</v>
      </c>
    </row>
    <row r="1194">
      <c r="F1194" s="23"/>
      <c r="G1194" s="23" t="s">
        <v>1346</v>
      </c>
    </row>
    <row r="1195">
      <c r="F1195" s="23"/>
      <c r="G1195" s="23" t="s">
        <v>1347</v>
      </c>
    </row>
    <row r="1196">
      <c r="F1196" s="23"/>
      <c r="G1196" s="23" t="s">
        <v>1348</v>
      </c>
    </row>
    <row r="1197">
      <c r="F1197" s="23"/>
      <c r="G1197" s="23" t="s">
        <v>1349</v>
      </c>
    </row>
    <row r="1198">
      <c r="F1198" s="23"/>
      <c r="G1198" s="23" t="s">
        <v>1350</v>
      </c>
    </row>
    <row r="1199">
      <c r="F1199" s="23"/>
      <c r="G1199" s="23" t="s">
        <v>1351</v>
      </c>
    </row>
    <row r="1200">
      <c r="F1200" s="23"/>
      <c r="G1200" s="23" t="s">
        <v>1352</v>
      </c>
    </row>
    <row r="1201">
      <c r="F1201" s="23"/>
      <c r="G1201" s="23" t="s">
        <v>1353</v>
      </c>
    </row>
    <row r="1202">
      <c r="F1202" s="23"/>
      <c r="G1202" s="23" t="s">
        <v>1354</v>
      </c>
    </row>
    <row r="1203">
      <c r="F1203" s="23"/>
      <c r="G1203" s="23" t="s">
        <v>1355</v>
      </c>
    </row>
    <row r="1204">
      <c r="F1204" s="23"/>
      <c r="G1204" s="23" t="s">
        <v>1356</v>
      </c>
    </row>
    <row r="1205">
      <c r="F1205" s="23"/>
      <c r="G1205" s="23" t="s">
        <v>1357</v>
      </c>
    </row>
    <row r="1206">
      <c r="F1206" s="23"/>
      <c r="G1206" s="23" t="s">
        <v>1358</v>
      </c>
    </row>
    <row r="1207">
      <c r="F1207" s="23"/>
      <c r="G1207" s="23" t="s">
        <v>1359</v>
      </c>
    </row>
    <row r="1208">
      <c r="F1208" s="23"/>
      <c r="G1208" s="23" t="s">
        <v>1360</v>
      </c>
    </row>
    <row r="1209">
      <c r="F1209" s="23"/>
      <c r="G1209" s="23" t="s">
        <v>1361</v>
      </c>
    </row>
    <row r="1210">
      <c r="F1210" s="23"/>
      <c r="G1210" s="23" t="s">
        <v>1362</v>
      </c>
    </row>
    <row r="1211">
      <c r="F1211" s="23"/>
      <c r="G1211" s="23" t="s">
        <v>1363</v>
      </c>
    </row>
    <row r="1212">
      <c r="F1212" s="23"/>
      <c r="G1212" s="23" t="s">
        <v>1364</v>
      </c>
    </row>
    <row r="1213">
      <c r="F1213" s="23"/>
      <c r="G1213" s="23" t="s">
        <v>1365</v>
      </c>
    </row>
    <row r="1214">
      <c r="F1214" s="23"/>
      <c r="G1214" s="23" t="s">
        <v>1366</v>
      </c>
    </row>
    <row r="1215">
      <c r="F1215" s="23"/>
      <c r="G1215" s="23" t="s">
        <v>1367</v>
      </c>
    </row>
    <row r="1216">
      <c r="F1216" s="23"/>
      <c r="G1216" s="23" t="s">
        <v>1368</v>
      </c>
    </row>
    <row r="1217">
      <c r="F1217" s="23"/>
      <c r="G1217" s="23" t="s">
        <v>1369</v>
      </c>
    </row>
    <row r="1218">
      <c r="F1218" s="23"/>
      <c r="G1218" s="23" t="s">
        <v>1370</v>
      </c>
    </row>
    <row r="1219">
      <c r="F1219" s="23"/>
      <c r="G1219" s="23" t="s">
        <v>1371</v>
      </c>
    </row>
    <row r="1220">
      <c r="F1220" s="23"/>
      <c r="G1220" s="23" t="s">
        <v>1372</v>
      </c>
    </row>
    <row r="1221">
      <c r="F1221" s="23"/>
      <c r="G1221" s="23" t="s">
        <v>1373</v>
      </c>
    </row>
    <row r="1222">
      <c r="F1222" s="23"/>
      <c r="G1222" s="23" t="s">
        <v>1374</v>
      </c>
    </row>
    <row r="1223">
      <c r="F1223" s="23"/>
      <c r="G1223" s="23" t="s">
        <v>1375</v>
      </c>
    </row>
    <row r="1224">
      <c r="F1224" s="23"/>
      <c r="G1224" s="23" t="s">
        <v>1376</v>
      </c>
    </row>
    <row r="1225">
      <c r="F1225" s="23"/>
      <c r="G1225" s="23" t="s">
        <v>1377</v>
      </c>
    </row>
    <row r="1226">
      <c r="F1226" s="23"/>
      <c r="G1226" s="23" t="s">
        <v>1378</v>
      </c>
    </row>
    <row r="1227">
      <c r="F1227" s="23"/>
      <c r="G1227" s="23" t="s">
        <v>1379</v>
      </c>
    </row>
    <row r="1228">
      <c r="F1228" s="23"/>
      <c r="G1228" s="23" t="s">
        <v>1380</v>
      </c>
    </row>
    <row r="1229">
      <c r="F1229" s="23"/>
      <c r="G1229" s="23" t="s">
        <v>1381</v>
      </c>
    </row>
    <row r="1230">
      <c r="F1230" s="23"/>
      <c r="G1230" s="23" t="s">
        <v>1382</v>
      </c>
    </row>
    <row r="1231">
      <c r="F1231" s="23"/>
      <c r="G1231" s="23" t="s">
        <v>1383</v>
      </c>
    </row>
    <row r="1232">
      <c r="F1232" s="23"/>
      <c r="G1232" s="23" t="s">
        <v>1384</v>
      </c>
    </row>
    <row r="1233">
      <c r="F1233" s="23"/>
      <c r="G1233" s="23" t="s">
        <v>1385</v>
      </c>
    </row>
    <row r="1234">
      <c r="F1234" s="23"/>
      <c r="G1234" s="23" t="s">
        <v>1386</v>
      </c>
    </row>
    <row r="1235">
      <c r="F1235" s="23"/>
      <c r="G1235" s="23" t="s">
        <v>1387</v>
      </c>
    </row>
    <row r="1236">
      <c r="F1236" s="23"/>
      <c r="G1236" s="23" t="s">
        <v>1388</v>
      </c>
    </row>
    <row r="1237">
      <c r="F1237" s="23"/>
      <c r="G1237" s="23" t="s">
        <v>1389</v>
      </c>
    </row>
    <row r="1238">
      <c r="F1238" s="23"/>
      <c r="G1238" s="23" t="s">
        <v>1390</v>
      </c>
    </row>
    <row r="1239">
      <c r="F1239" s="23"/>
      <c r="G1239" s="23" t="s">
        <v>1391</v>
      </c>
    </row>
    <row r="1240">
      <c r="F1240" s="23"/>
      <c r="G1240" s="23" t="s">
        <v>1392</v>
      </c>
    </row>
    <row r="1241">
      <c r="F1241" s="23"/>
      <c r="G1241" s="23" t="s">
        <v>1393</v>
      </c>
    </row>
    <row r="1242">
      <c r="F1242" s="23"/>
      <c r="G1242" s="23" t="s">
        <v>1394</v>
      </c>
    </row>
    <row r="1243">
      <c r="F1243" s="23"/>
      <c r="G1243" s="23" t="s">
        <v>1395</v>
      </c>
    </row>
    <row r="1244">
      <c r="F1244" s="23"/>
      <c r="G1244" s="23" t="s">
        <v>1396</v>
      </c>
    </row>
    <row r="1245">
      <c r="F1245" s="23"/>
      <c r="G1245" s="23" t="s">
        <v>1397</v>
      </c>
    </row>
    <row r="1246">
      <c r="F1246" s="23"/>
      <c r="G1246" s="23" t="s">
        <v>1398</v>
      </c>
    </row>
    <row r="1247">
      <c r="F1247" s="23"/>
      <c r="G1247" s="23" t="s">
        <v>1399</v>
      </c>
    </row>
    <row r="1248">
      <c r="F1248" s="23"/>
      <c r="G1248" s="23" t="s">
        <v>1400</v>
      </c>
    </row>
    <row r="1249">
      <c r="F1249" s="23"/>
      <c r="G1249" s="23" t="s">
        <v>1401</v>
      </c>
    </row>
    <row r="1250">
      <c r="F1250" s="23"/>
      <c r="G1250" s="23" t="s">
        <v>1402</v>
      </c>
    </row>
    <row r="1251">
      <c r="F1251" s="23"/>
      <c r="G1251" s="23" t="s">
        <v>1403</v>
      </c>
    </row>
    <row r="1252">
      <c r="F1252" s="23"/>
      <c r="G1252" s="23" t="s">
        <v>1404</v>
      </c>
    </row>
    <row r="1253">
      <c r="F1253" s="23"/>
      <c r="G1253" s="23" t="s">
        <v>1405</v>
      </c>
    </row>
    <row r="1254">
      <c r="F1254" s="23"/>
      <c r="G1254" s="23" t="s">
        <v>1406</v>
      </c>
    </row>
    <row r="1255">
      <c r="F1255" s="23"/>
      <c r="G1255" s="23" t="s">
        <v>1407</v>
      </c>
    </row>
    <row r="1256">
      <c r="F1256" s="23"/>
      <c r="G1256" s="23" t="s">
        <v>1408</v>
      </c>
    </row>
    <row r="1257">
      <c r="F1257" s="23"/>
      <c r="G1257" s="23" t="s">
        <v>1409</v>
      </c>
    </row>
    <row r="1258">
      <c r="F1258" s="23"/>
      <c r="G1258" s="23" t="s">
        <v>1410</v>
      </c>
    </row>
    <row r="1259">
      <c r="F1259" s="23"/>
      <c r="G1259" s="23" t="s">
        <v>1411</v>
      </c>
    </row>
    <row r="1260">
      <c r="F1260" s="23"/>
      <c r="G1260" s="23" t="s">
        <v>1412</v>
      </c>
    </row>
    <row r="1261">
      <c r="F1261" s="23"/>
      <c r="G1261" s="23" t="s">
        <v>1413</v>
      </c>
    </row>
    <row r="1262">
      <c r="F1262" s="23"/>
      <c r="G1262" s="23" t="s">
        <v>1414</v>
      </c>
    </row>
    <row r="1263">
      <c r="F1263" s="23"/>
      <c r="G1263" s="23" t="s">
        <v>1415</v>
      </c>
    </row>
    <row r="1264">
      <c r="F1264" s="23"/>
      <c r="G1264" s="23" t="s">
        <v>1416</v>
      </c>
    </row>
    <row r="1265">
      <c r="F1265" s="23"/>
      <c r="G1265" s="23" t="s">
        <v>1417</v>
      </c>
    </row>
    <row r="1266">
      <c r="F1266" s="23"/>
      <c r="G1266" s="23" t="s">
        <v>1418</v>
      </c>
    </row>
    <row r="1267">
      <c r="F1267" s="23"/>
      <c r="G1267" s="23" t="s">
        <v>1419</v>
      </c>
    </row>
    <row r="1268">
      <c r="F1268" s="23"/>
      <c r="G1268" s="23" t="s">
        <v>1420</v>
      </c>
    </row>
    <row r="1269">
      <c r="F1269" s="23"/>
      <c r="G1269" s="23" t="s">
        <v>1421</v>
      </c>
    </row>
    <row r="1270">
      <c r="F1270" s="23"/>
      <c r="G1270" s="23" t="s">
        <v>1422</v>
      </c>
    </row>
    <row r="1271">
      <c r="F1271" s="23"/>
      <c r="G1271" s="23" t="s">
        <v>1423</v>
      </c>
    </row>
    <row r="1272">
      <c r="F1272" s="23"/>
      <c r="G1272" s="23" t="s">
        <v>1424</v>
      </c>
    </row>
    <row r="1273">
      <c r="F1273" s="23"/>
      <c r="G1273" s="23" t="s">
        <v>1425</v>
      </c>
    </row>
    <row r="1274">
      <c r="F1274" s="23"/>
      <c r="G1274" s="23" t="s">
        <v>1426</v>
      </c>
    </row>
    <row r="1275">
      <c r="F1275" s="23"/>
      <c r="G1275" s="23" t="s">
        <v>1427</v>
      </c>
    </row>
    <row r="1276">
      <c r="F1276" s="23"/>
      <c r="G1276" s="23" t="s">
        <v>1428</v>
      </c>
    </row>
    <row r="1277">
      <c r="F1277" s="23"/>
      <c r="G1277" s="23" t="s">
        <v>1429</v>
      </c>
    </row>
    <row r="1278">
      <c r="F1278" s="23"/>
      <c r="G1278" s="23" t="s">
        <v>1430</v>
      </c>
    </row>
    <row r="1279">
      <c r="F1279" s="23"/>
      <c r="G1279" s="23" t="s">
        <v>1431</v>
      </c>
    </row>
    <row r="1280">
      <c r="F1280" s="23"/>
      <c r="G1280" s="23" t="s">
        <v>1432</v>
      </c>
    </row>
    <row r="1281">
      <c r="F1281" s="23"/>
      <c r="G1281" s="23" t="s">
        <v>1433</v>
      </c>
    </row>
    <row r="1282">
      <c r="F1282" s="23"/>
      <c r="G1282" s="23" t="s">
        <v>1434</v>
      </c>
    </row>
    <row r="1283">
      <c r="F1283" s="23"/>
      <c r="G1283" s="23" t="s">
        <v>1435</v>
      </c>
    </row>
    <row r="1284">
      <c r="F1284" s="23"/>
      <c r="G1284" s="23" t="s">
        <v>1436</v>
      </c>
    </row>
    <row r="1285">
      <c r="F1285" s="23"/>
      <c r="G1285" s="23" t="s">
        <v>1437</v>
      </c>
    </row>
    <row r="1286">
      <c r="F1286" s="23"/>
      <c r="G1286" s="23" t="s">
        <v>1438</v>
      </c>
    </row>
    <row r="1287">
      <c r="F1287" s="23"/>
      <c r="G1287" s="23" t="s">
        <v>1439</v>
      </c>
    </row>
    <row r="1288">
      <c r="F1288" s="23"/>
      <c r="G1288" s="23" t="s">
        <v>1440</v>
      </c>
    </row>
    <row r="1289">
      <c r="F1289" s="23"/>
      <c r="G1289" s="23" t="s">
        <v>1441</v>
      </c>
    </row>
    <row r="1290">
      <c r="F1290" s="23"/>
      <c r="G1290" s="23" t="s">
        <v>1442</v>
      </c>
    </row>
    <row r="1291">
      <c r="F1291" s="23"/>
      <c r="G1291" s="23" t="s">
        <v>1443</v>
      </c>
    </row>
    <row r="1292">
      <c r="F1292" s="23"/>
      <c r="G1292" s="23" t="s">
        <v>1444</v>
      </c>
    </row>
    <row r="1293">
      <c r="F1293" s="23"/>
      <c r="G1293" s="23" t="s">
        <v>1445</v>
      </c>
    </row>
    <row r="1294">
      <c r="F1294" s="23"/>
      <c r="G1294" s="23" t="s">
        <v>1446</v>
      </c>
    </row>
    <row r="1295">
      <c r="F1295" s="23"/>
      <c r="G1295" s="23" t="s">
        <v>1447</v>
      </c>
    </row>
    <row r="1296">
      <c r="F1296" s="23"/>
      <c r="G1296" s="23" t="s">
        <v>1448</v>
      </c>
    </row>
    <row r="1297">
      <c r="F1297" s="23"/>
      <c r="G1297" s="23" t="s">
        <v>1449</v>
      </c>
    </row>
    <row r="1298">
      <c r="F1298" s="23"/>
      <c r="G1298" s="23" t="s">
        <v>1450</v>
      </c>
    </row>
    <row r="1299">
      <c r="F1299" s="23"/>
      <c r="G1299" s="23" t="s">
        <v>1451</v>
      </c>
    </row>
    <row r="1300">
      <c r="F1300" s="23"/>
      <c r="G1300" s="23" t="s">
        <v>1452</v>
      </c>
    </row>
    <row r="1301">
      <c r="F1301" s="23"/>
      <c r="G1301" s="23" t="s">
        <v>1453</v>
      </c>
    </row>
    <row r="1302">
      <c r="F1302" s="23"/>
      <c r="G1302" s="23" t="s">
        <v>1454</v>
      </c>
    </row>
    <row r="1303">
      <c r="F1303" s="23"/>
      <c r="G1303" s="23" t="s">
        <v>1455</v>
      </c>
    </row>
    <row r="1304">
      <c r="F1304" s="23"/>
      <c r="G1304" s="23" t="s">
        <v>1456</v>
      </c>
    </row>
    <row r="1305">
      <c r="F1305" s="23"/>
      <c r="G1305" s="23" t="s">
        <v>1457</v>
      </c>
    </row>
    <row r="1306">
      <c r="F1306" s="23"/>
      <c r="G1306" s="23" t="s">
        <v>1458</v>
      </c>
    </row>
    <row r="1307">
      <c r="F1307" s="23"/>
      <c r="G1307" s="23" t="s">
        <v>1459</v>
      </c>
    </row>
    <row r="1308">
      <c r="F1308" s="23"/>
      <c r="G1308" s="23" t="s">
        <v>1460</v>
      </c>
    </row>
    <row r="1309">
      <c r="F1309" s="23"/>
      <c r="G1309" s="23" t="s">
        <v>1461</v>
      </c>
    </row>
    <row r="1310">
      <c r="F1310" s="23"/>
      <c r="G1310" s="23" t="s">
        <v>1462</v>
      </c>
    </row>
    <row r="1311">
      <c r="F1311" s="23"/>
      <c r="G1311" s="23" t="s">
        <v>1463</v>
      </c>
    </row>
    <row r="1312">
      <c r="F1312" s="23"/>
      <c r="G1312" s="23" t="s">
        <v>1464</v>
      </c>
    </row>
    <row r="1313">
      <c r="F1313" s="23"/>
      <c r="G1313" s="23" t="s">
        <v>1465</v>
      </c>
    </row>
    <row r="1314">
      <c r="F1314" s="23"/>
      <c r="G1314" s="23" t="s">
        <v>1466</v>
      </c>
    </row>
    <row r="1315">
      <c r="F1315" s="23"/>
      <c r="G1315" s="23" t="s">
        <v>1467</v>
      </c>
    </row>
    <row r="1316">
      <c r="F1316" s="23"/>
      <c r="G1316" s="23" t="s">
        <v>1468</v>
      </c>
    </row>
    <row r="1317">
      <c r="F1317" s="23"/>
      <c r="G1317" s="23" t="s">
        <v>1469</v>
      </c>
    </row>
    <row r="1318">
      <c r="F1318" s="23"/>
      <c r="G1318" s="23" t="s">
        <v>1470</v>
      </c>
    </row>
    <row r="1319">
      <c r="F1319" s="23"/>
      <c r="G1319" s="23" t="s">
        <v>1471</v>
      </c>
    </row>
    <row r="1320">
      <c r="F1320" s="23"/>
      <c r="G1320" s="23" t="s">
        <v>1472</v>
      </c>
    </row>
    <row r="1321">
      <c r="F1321" s="23"/>
      <c r="G1321" s="23" t="s">
        <v>1473</v>
      </c>
    </row>
    <row r="1322">
      <c r="F1322" s="23"/>
      <c r="G1322" s="23" t="s">
        <v>1474</v>
      </c>
    </row>
    <row r="1323">
      <c r="F1323" s="23"/>
      <c r="G1323" s="23" t="s">
        <v>1475</v>
      </c>
    </row>
    <row r="1324">
      <c r="F1324" s="23"/>
      <c r="G1324" s="23" t="s">
        <v>1476</v>
      </c>
    </row>
    <row r="1325">
      <c r="F1325" s="23"/>
      <c r="G1325" s="23" t="s">
        <v>1477</v>
      </c>
    </row>
    <row r="1326">
      <c r="F1326" s="23"/>
      <c r="G1326" s="23" t="s">
        <v>1478</v>
      </c>
    </row>
    <row r="1327">
      <c r="F1327" s="23"/>
      <c r="G1327" s="23" t="s">
        <v>1479</v>
      </c>
    </row>
    <row r="1328">
      <c r="F1328" s="23"/>
      <c r="G1328" s="23" t="s">
        <v>1480</v>
      </c>
    </row>
    <row r="1329">
      <c r="F1329" s="23"/>
      <c r="G1329" s="23" t="s">
        <v>1481</v>
      </c>
    </row>
    <row r="1330">
      <c r="F1330" s="23"/>
      <c r="G1330" s="23" t="s">
        <v>1482</v>
      </c>
    </row>
    <row r="1331">
      <c r="F1331" s="23"/>
      <c r="G1331" s="23" t="s">
        <v>1483</v>
      </c>
    </row>
    <row r="1332">
      <c r="F1332" s="23"/>
      <c r="G1332" s="23" t="s">
        <v>1484</v>
      </c>
    </row>
    <row r="1333">
      <c r="F1333" s="23"/>
      <c r="G1333" s="23" t="s">
        <v>1485</v>
      </c>
    </row>
    <row r="1334">
      <c r="F1334" s="23"/>
      <c r="G1334" s="23" t="s">
        <v>1486</v>
      </c>
    </row>
    <row r="1335">
      <c r="F1335" s="23"/>
      <c r="G1335" s="23" t="s">
        <v>1487</v>
      </c>
    </row>
    <row r="1336">
      <c r="F1336" s="23"/>
      <c r="G1336" s="23" t="s">
        <v>1488</v>
      </c>
    </row>
    <row r="1337">
      <c r="F1337" s="23"/>
      <c r="G1337" s="23" t="s">
        <v>1489</v>
      </c>
    </row>
    <row r="1338">
      <c r="F1338" s="23"/>
      <c r="G1338" s="23" t="s">
        <v>1490</v>
      </c>
    </row>
    <row r="1339">
      <c r="F1339" s="23"/>
      <c r="G1339" s="23" t="s">
        <v>1491</v>
      </c>
    </row>
    <row r="1340">
      <c r="F1340" s="23"/>
      <c r="G1340" s="23" t="s">
        <v>1492</v>
      </c>
    </row>
    <row r="1341">
      <c r="F1341" s="23"/>
      <c r="G1341" s="23" t="s">
        <v>1493</v>
      </c>
    </row>
    <row r="1342">
      <c r="F1342" s="23"/>
      <c r="G1342" s="23" t="s">
        <v>1494</v>
      </c>
    </row>
    <row r="1343">
      <c r="F1343" s="23"/>
      <c r="G1343" s="23" t="s">
        <v>1495</v>
      </c>
    </row>
    <row r="1344">
      <c r="F1344" s="23"/>
      <c r="G1344" s="23" t="s">
        <v>1496</v>
      </c>
    </row>
    <row r="1345">
      <c r="F1345" s="23"/>
      <c r="G1345" s="23" t="s">
        <v>1497</v>
      </c>
    </row>
    <row r="1346">
      <c r="F1346" s="23"/>
      <c r="G1346" s="23" t="s">
        <v>1498</v>
      </c>
    </row>
    <row r="1347">
      <c r="F1347" s="23"/>
      <c r="G1347" s="23" t="s">
        <v>1499</v>
      </c>
    </row>
    <row r="1348">
      <c r="F1348" s="23"/>
      <c r="G1348" s="23" t="s">
        <v>1500</v>
      </c>
    </row>
    <row r="1349">
      <c r="F1349" s="23"/>
      <c r="G1349" s="23" t="s">
        <v>1501</v>
      </c>
    </row>
    <row r="1350">
      <c r="F1350" s="23"/>
      <c r="G1350" s="23" t="s">
        <v>1502</v>
      </c>
    </row>
    <row r="1351">
      <c r="F1351" s="23"/>
      <c r="G1351" s="23" t="s">
        <v>1503</v>
      </c>
    </row>
    <row r="1352">
      <c r="F1352" s="23"/>
      <c r="G1352" s="23" t="s">
        <v>1504</v>
      </c>
    </row>
    <row r="1353">
      <c r="F1353" s="23"/>
      <c r="G1353" s="23" t="s">
        <v>1505</v>
      </c>
    </row>
    <row r="1354">
      <c r="F1354" s="23"/>
      <c r="G1354" s="23" t="s">
        <v>1506</v>
      </c>
    </row>
    <row r="1355">
      <c r="F1355" s="23"/>
      <c r="G1355" s="23" t="s">
        <v>1507</v>
      </c>
    </row>
    <row r="1356">
      <c r="F1356" s="23"/>
      <c r="G1356" s="23" t="s">
        <v>1508</v>
      </c>
    </row>
    <row r="1357">
      <c r="F1357" s="23"/>
      <c r="G1357" s="23" t="s">
        <v>1509</v>
      </c>
    </row>
    <row r="1358">
      <c r="F1358" s="23"/>
      <c r="G1358" s="23" t="s">
        <v>1510</v>
      </c>
    </row>
    <row r="1359">
      <c r="F1359" s="23"/>
      <c r="G1359" s="23" t="s">
        <v>1511</v>
      </c>
    </row>
    <row r="1360">
      <c r="F1360" s="23"/>
      <c r="G1360" s="23" t="s">
        <v>1512</v>
      </c>
    </row>
    <row r="1361">
      <c r="F1361" s="23"/>
      <c r="G1361" s="23" t="s">
        <v>1513</v>
      </c>
    </row>
    <row r="1362">
      <c r="F1362" s="23"/>
      <c r="G1362" s="23" t="s">
        <v>1514</v>
      </c>
    </row>
    <row r="1363">
      <c r="F1363" s="23"/>
      <c r="G1363" s="23" t="s">
        <v>1515</v>
      </c>
    </row>
    <row r="1364">
      <c r="F1364" s="23"/>
      <c r="G1364" s="23" t="s">
        <v>1516</v>
      </c>
    </row>
    <row r="1365">
      <c r="F1365" s="23"/>
      <c r="G1365" s="23" t="s">
        <v>1517</v>
      </c>
    </row>
    <row r="1366">
      <c r="F1366" s="23"/>
      <c r="G1366" s="23" t="s">
        <v>1518</v>
      </c>
    </row>
    <row r="1367">
      <c r="F1367" s="23"/>
      <c r="G1367" s="23" t="s">
        <v>1519</v>
      </c>
    </row>
    <row r="1368">
      <c r="F1368" s="23"/>
      <c r="G1368" s="23" t="s">
        <v>1520</v>
      </c>
    </row>
    <row r="1369">
      <c r="F1369" s="23"/>
      <c r="G1369" s="23" t="s">
        <v>1521</v>
      </c>
    </row>
    <row r="1370">
      <c r="F1370" s="23"/>
      <c r="G1370" s="23" t="s">
        <v>1522</v>
      </c>
    </row>
    <row r="1371">
      <c r="F1371" s="23"/>
      <c r="G1371" s="23" t="s">
        <v>1523</v>
      </c>
    </row>
    <row r="1372">
      <c r="F1372" s="23"/>
      <c r="G1372" s="23" t="s">
        <v>1524</v>
      </c>
    </row>
    <row r="1373">
      <c r="F1373" s="23"/>
      <c r="G1373" s="23" t="s">
        <v>1525</v>
      </c>
    </row>
    <row r="1374">
      <c r="F1374" s="23"/>
      <c r="G1374" s="23" t="s">
        <v>1526</v>
      </c>
    </row>
    <row r="1375">
      <c r="F1375" s="23"/>
      <c r="G1375" s="23" t="s">
        <v>1527</v>
      </c>
    </row>
    <row r="1376">
      <c r="F1376" s="23"/>
      <c r="G1376" s="23" t="s">
        <v>1528</v>
      </c>
    </row>
    <row r="1377">
      <c r="F1377" s="23"/>
      <c r="G1377" s="23" t="s">
        <v>1529</v>
      </c>
    </row>
    <row r="1378">
      <c r="F1378" s="23"/>
      <c r="G1378" s="23" t="s">
        <v>1530</v>
      </c>
    </row>
    <row r="1379">
      <c r="F1379" s="23"/>
      <c r="G1379" s="23" t="s">
        <v>1531</v>
      </c>
    </row>
    <row r="1380">
      <c r="F1380" s="23"/>
      <c r="G1380" s="23" t="s">
        <v>1532</v>
      </c>
    </row>
    <row r="1381">
      <c r="F1381" s="23"/>
      <c r="G1381" s="23" t="s">
        <v>1533</v>
      </c>
    </row>
    <row r="1382">
      <c r="F1382" s="23"/>
      <c r="G1382" s="23" t="s">
        <v>1534</v>
      </c>
    </row>
    <row r="1383">
      <c r="F1383" s="23"/>
      <c r="G1383" s="23" t="s">
        <v>1535</v>
      </c>
    </row>
    <row r="1384">
      <c r="F1384" s="23"/>
      <c r="G1384" s="23" t="s">
        <v>1536</v>
      </c>
    </row>
    <row r="1385">
      <c r="F1385" s="23"/>
      <c r="G1385" s="23" t="s">
        <v>1537</v>
      </c>
    </row>
    <row r="1386">
      <c r="F1386" s="23"/>
      <c r="G1386" s="23" t="s">
        <v>1538</v>
      </c>
    </row>
    <row r="1387">
      <c r="F1387" s="23"/>
      <c r="G1387" s="23" t="s">
        <v>1539</v>
      </c>
    </row>
    <row r="1388">
      <c r="F1388" s="23"/>
      <c r="G1388" s="23" t="s">
        <v>1540</v>
      </c>
    </row>
  </sheetData>
  <autoFilter ref="$A$1:$H$1388"/>
  <dataValidations>
    <dataValidation type="custom" allowBlank="1" showDropDown="1" showInputMessage="1" prompt="Escribir la Vicerrectoría, Facultad o Prorrectoría que corresponda según sea el caso usando MAYÚSCULA Y SIN TILDE." sqref="F1:F1388">
      <formula1>ISERROR(SEARCH((""/""),(F1)))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1.43"/>
    <col customWidth="1" min="3" max="4" width="10.71"/>
    <col customWidth="1" min="5" max="5" width="65.29"/>
    <col customWidth="1" min="6" max="6" width="10.71"/>
    <col customWidth="1" min="7" max="7" width="11.43"/>
    <col customWidth="1" min="8" max="9" width="10.71"/>
    <col customWidth="1" min="10" max="11" width="11.43"/>
    <col customWidth="1" min="12" max="20" width="10.71"/>
    <col customWidth="1" min="21" max="21" width="36.14"/>
    <col customWidth="1" min="22" max="31" width="10.71"/>
    <col customWidth="1" min="32" max="33" width="11.43"/>
    <col customWidth="1" min="34" max="40" width="10.71"/>
  </cols>
  <sheetData>
    <row r="1" ht="51.0" customHeight="1">
      <c r="A1" s="26" t="str">
        <f>IFERROR(__xludf.DUMMYFUNCTION("QUERY({PROC_2019!A:AM; PROC_2018!A:AM;PROC_2017!A:AM;PROC_2016!A:AM;PROC_2015!A:AM;PROC_2014!A:AM}, ""select * where Col1 is not null"")"),"RUT SIN 0 Y CÓD VERIFICADOR")</f>
        <v>RUT SIN 0 Y CÓD VERIFICADOR</v>
      </c>
      <c r="B1" s="27" t="str">
        <f>IFERROR(__xludf.DUMMYFUNCTION("""COMPUTED_VALUE"""),"N°")</f>
        <v>N°</v>
      </c>
      <c r="C1" s="28" t="str">
        <f>IFERROR(__xludf.DUMMYFUNCTION("""COMPUTED_VALUE"""),"FOLIO")</f>
        <v>FOLIO</v>
      </c>
      <c r="D1" s="29" t="str">
        <f>IFERROR(__xludf.DUMMYFUNCTION("""COMPUTED_VALUE"""),"U. MAYOR")</f>
        <v>U. MAYOR</v>
      </c>
      <c r="E1" s="29" t="str">
        <f>IFERROR(__xludf.DUMMYFUNCTION("""COMPUTED_VALUE"""),"CENTRO DE COSTO")</f>
        <v>CENTRO DE COSTO</v>
      </c>
      <c r="F1" s="30" t="str">
        <f>IFERROR(__xludf.DUMMYFUNCTION("""COMPUTED_VALUE"""),"PUESTO")</f>
        <v>PUESTO</v>
      </c>
      <c r="G1" s="28" t="str">
        <f>IFERROR(__xludf.DUMMYFUNCTION("""COMPUTED_VALUE"""),"POSICION")</f>
        <v>POSICION</v>
      </c>
      <c r="H1" s="29" t="str">
        <f>IFERROR(__xludf.DUMMYFUNCTION("""COMPUTED_VALUE"""),"GRADO")</f>
        <v>GRADO</v>
      </c>
      <c r="I1" s="29" t="str">
        <f>IFERROR(__xludf.DUMMYFUNCTION("""COMPUTED_VALUE"""),"JORNADA")</f>
        <v>JORNADA</v>
      </c>
      <c r="J1" s="29" t="str">
        <f>IFERROR(__xludf.DUMMYFUNCTION("""COMPUTED_VALUE"""),"TIPO DE CONTRATO")</f>
        <v>TIPO DE CONTRATO</v>
      </c>
      <c r="K1" s="29" t="str">
        <f>IFERROR(__xludf.DUMMYFUNCTION("""COMPUTED_VALUE"""),"ESCALAFON")</f>
        <v>ESCALAFON</v>
      </c>
      <c r="L1" s="29" t="str">
        <f>IFERROR(__xludf.DUMMYFUNCTION("""COMPUTED_VALUE"""),"PROCESO INTERNO")</f>
        <v>PROCESO INTERNO</v>
      </c>
      <c r="M1" s="29" t="str">
        <f>IFERROR(__xludf.DUMMYFUNCTION("""COMPUTED_VALUE"""),"POSTULANTES ")</f>
        <v>POSTULANTES </v>
      </c>
      <c r="N1" s="29" t="str">
        <f>IFERROR(__xludf.DUMMYFUNCTION("""COMPUTED_VALUE"""),"PROCESO EXTERNO O POSTERIOR")</f>
        <v>PROCESO EXTERNO O POSTERIOR</v>
      </c>
      <c r="O1" s="29" t="str">
        <f>IFERROR(__xludf.DUMMYFUNCTION("""COMPUTED_VALUE"""),"POSTULANTES 2")</f>
        <v>POSTULANTES 2</v>
      </c>
      <c r="P1" s="29" t="str">
        <f>IFERROR(__xludf.DUMMYFUNCTION("""COMPUTED_VALUE"""),"INFORMES PSI")</f>
        <v>INFORMES PSI</v>
      </c>
      <c r="Q1" s="28" t="str">
        <f>IFERROR(__xludf.DUMMYFUNCTION("""COMPUTED_VALUE"""),"N° PROCESOS NO-INTERNOS  
(TOT. DESIERTOS)")</f>
        <v>N° PROCESOS NO-INTERNOS  
(TOT. DESIERTOS)</v>
      </c>
      <c r="R1" s="29" t="str">
        <f>IFERROR(__xludf.DUMMYFUNCTION("""COMPUTED_VALUE"""),"DETALLE")</f>
        <v>DETALLE</v>
      </c>
      <c r="S1" s="31" t="str">
        <f>IFERROR(__xludf.DUMMYFUNCTION("""COMPUTED_VALUE"""),"FECHA CONTRATO")</f>
        <v>FECHA CONTRATO</v>
      </c>
      <c r="T1" s="29" t="str">
        <f>IFERROR(__xludf.DUMMYFUNCTION("""COMPUTED_VALUE"""),"SELECCIONADA - O INTERNO")</f>
        <v>SELECCIONADA - O INTERNO</v>
      </c>
      <c r="U1" s="28" t="str">
        <f>IFERROR(__xludf.DUMMYFUNCTION("""COMPUTED_VALUE"""),"SELECCIONADA - O EXTERNO")</f>
        <v>SELECCIONADA - O EXTERNO</v>
      </c>
      <c r="V1" s="28" t="str">
        <f>IFERROR(__xludf.DUMMYFUNCTION("""COMPUTED_VALUE"""),"RUT_PRELIM")</f>
        <v>RUT_PRELIM</v>
      </c>
      <c r="W1" s="29" t="str">
        <f>IFERROR(__xludf.DUMMYFUNCTION("""COMPUTED_VALUE"""),"BRECHAS A CAPACITAR (1)")</f>
        <v>BRECHAS A CAPACITAR (1)</v>
      </c>
      <c r="X1" s="29" t="str">
        <f>IFERROR(__xludf.DUMMYFUNCTION("""COMPUTED_VALUE"""),"1-COMP 1")</f>
        <v>1-COMP 1</v>
      </c>
      <c r="Y1" s="29" t="str">
        <f>IFERROR(__xludf.DUMMYFUNCTION("""COMPUTED_VALUE"""),"1- COMP 2")</f>
        <v>1- COMP 2</v>
      </c>
      <c r="Z1" s="29" t="str">
        <f>IFERROR(__xludf.DUMMYFUNCTION("""COMPUTED_VALUE"""),"1- COMP 3")</f>
        <v>1- COMP 3</v>
      </c>
      <c r="AA1" s="31" t="str">
        <f>IFERROR(__xludf.DUMMYFUNCTION("""COMPUTED_VALUE"""),"FECHA DE INICIO DEL PROCESO")</f>
        <v>FECHA DE INICIO DEL PROCESO</v>
      </c>
      <c r="AB1" s="31" t="str">
        <f>IFERROR(__xludf.DUMMYFUNCTION("""COMPUTED_VALUE"""),"FECHA DE TERMINO DEL PROCESO")</f>
        <v>FECHA DE TERMINO DEL PROCESO</v>
      </c>
      <c r="AC1" s="29" t="str">
        <f>IFERROR(__xludf.DUMMYFUNCTION("""COMPUTED_VALUE"""),"GRADO ANTERIOR")</f>
        <v>GRADO ANTERIOR</v>
      </c>
      <c r="AD1" s="29" t="str">
        <f>IFERROR(__xludf.DUMMYFUNCTION("""COMPUTED_VALUE"""),"ESTAMENTO ")</f>
        <v>ESTAMENTO </v>
      </c>
      <c r="AE1" s="29" t="str">
        <f>IFERROR(__xludf.DUMMYFUNCTION("""COMPUTED_VALUE"""),"PUESTO ANTERIOR")</f>
        <v>PUESTO ANTERIOR</v>
      </c>
      <c r="AF1" s="29" t="str">
        <f>IFERROR(__xludf.DUMMYFUNCTION("""COMPUTED_VALUE"""),"UNIDAD DE DESEMPEÑO ANTERIOR")</f>
        <v>UNIDAD DE DESEMPEÑO ANTERIOR</v>
      </c>
      <c r="AG1" s="32" t="str">
        <f>IFERROR(__xludf.DUMMYFUNCTION("""COMPUTED_VALUE"""),"OBSERVACION")</f>
        <v>OBSERVACION</v>
      </c>
      <c r="AH1" s="29" t="str">
        <f>IFERROR(__xludf.DUMMYFUNCTION("""COMPUTED_VALUE"""),"MOTIVO CONTRATACION")</f>
        <v>MOTIVO CONTRATACION</v>
      </c>
      <c r="AI1" s="29" t="str">
        <f>IFERROR(__xludf.DUMMYFUNCTION("""COMPUTED_VALUE"""),"REEMPLAZA A")</f>
        <v>REEMPLAZA A</v>
      </c>
      <c r="AJ1" s="28" t="str">
        <f>IFERROR(__xludf.DUMMYFUNCTION("""COMPUTED_VALUE"""),"RUT_S/DV_REEMP")</f>
        <v>RUT_S/DV_REEMP</v>
      </c>
      <c r="AK1" s="29" t="str">
        <f>IFERROR(__xludf.DUMMYFUNCTION("""COMPUTED_VALUE"""),"OPCION")</f>
        <v>OPCION</v>
      </c>
      <c r="AL1" s="29" t="str">
        <f>IFERROR(__xludf.DUMMYFUNCTION("""COMPUTED_VALUE"""),"DIAS LAB")</f>
        <v>DIAS LAB</v>
      </c>
      <c r="AM1" s="29" t="str">
        <f>IFERROR(__xludf.DUMMYFUNCTION("""COMPUTED_VALUE"""),"ANO")</f>
        <v>ANO</v>
      </c>
      <c r="AN1" s="29" t="s">
        <v>1541</v>
      </c>
    </row>
    <row r="2">
      <c r="A2" s="33">
        <f>IFERROR(__xludf.DUMMYFUNCTION("""COMPUTED_VALUE"""),1.7803186E7)</f>
        <v>17803186</v>
      </c>
      <c r="B2" s="33">
        <f>IFERROR(__xludf.DUMMYFUNCTION("""COMPUTED_VALUE"""),1.0)</f>
        <v>1</v>
      </c>
      <c r="C2" s="33" t="str">
        <f>IFERROR(__xludf.DUMMYFUNCTION("""COMPUTED_VALUE"""),"A283")</f>
        <v>A283</v>
      </c>
      <c r="D2" s="34" t="str">
        <f>IFERROR(__xludf.DUMMYFUNCTION("""COMPUTED_VALUE"""),"3")</f>
        <v>3</v>
      </c>
      <c r="E2" s="34" t="str">
        <f>IFERROR(__xludf.DUMMYFUNCTION("""COMPUTED_VALUE"""),"DPTO. DE FINANZAS Y TESORERIA")</f>
        <v>DPTO. DE FINANZAS Y TESORERIA</v>
      </c>
      <c r="F2" s="34" t="str">
        <f>IFERROR(__xludf.DUMMYFUNCTION("""COMPUTED_VALUE"""),"Jefe(a) de Sección")</f>
        <v>Jefe(a) de Sección</v>
      </c>
      <c r="G2" s="33" t="str">
        <f>IFERROR(__xludf.DUMMYFUNCTION("""COMPUTED_VALUE"""),"JEFA DE SECCIÓN ANALISIS DE CUENTAS")</f>
        <v>JEFA DE SECCIÓN ANALISIS DE CUENTAS</v>
      </c>
      <c r="H2">
        <f>IFERROR(__xludf.DUMMYFUNCTION("""COMPUTED_VALUE"""),8.0)</f>
        <v>8</v>
      </c>
      <c r="I2" s="34" t="str">
        <f>IFERROR(__xludf.DUMMYFUNCTION("""COMPUTED_VALUE"""),"Jornada Completa")</f>
        <v>Jornada Completa</v>
      </c>
      <c r="J2" s="33" t="str">
        <f>IFERROR(__xludf.DUMMYFUNCTION("""COMPUTED_VALUE"""),"A CONTRATA")</f>
        <v>A CONTRATA</v>
      </c>
      <c r="K2" s="33" t="str">
        <f>IFERROR(__xludf.DUMMYFUNCTION("""COMPUTED_VALUE"""),"PROFESIONAL")</f>
        <v>PROFESIONAL</v>
      </c>
      <c r="L2" s="34" t="str">
        <f>IFERROR(__xludf.DUMMYFUNCTION("""COMPUTED_VALUE"""),"INTERNO")</f>
        <v>INTERNO</v>
      </c>
      <c r="M2" s="34">
        <f>IFERROR(__xludf.DUMMYFUNCTION("""COMPUTED_VALUE"""),3.0)</f>
        <v>3</v>
      </c>
      <c r="N2" s="34" t="str">
        <f>IFERROR(__xludf.DUMMYFUNCTION("""COMPUTED_VALUE"""),"NO")</f>
        <v>NO</v>
      </c>
      <c r="O2">
        <f>IFERROR(__xludf.DUMMYFUNCTION("""COMPUTED_VALUE"""),3.0)</f>
        <v>3</v>
      </c>
      <c r="P2">
        <f>IFERROR(__xludf.DUMMYFUNCTION("""COMPUTED_VALUE"""),3.0)</f>
        <v>3</v>
      </c>
      <c r="Q2" s="35">
        <f>IFERROR(__xludf.DUMMYFUNCTION("""COMPUTED_VALUE"""),0.0)</f>
        <v>0</v>
      </c>
      <c r="R2" s="36" t="str">
        <f>IFERROR(__xludf.DUMMYFUNCTION("""COMPUTED_VALUE"""),"SELECCIONADA")</f>
        <v>SELECCIONADA</v>
      </c>
      <c r="S2" s="37">
        <f>IFERROR(__xludf.DUMMYFUNCTION("""COMPUTED_VALUE"""),43577.0)</f>
        <v>43577</v>
      </c>
      <c r="T2" s="34" t="str">
        <f>IFERROR(__xludf.DUMMYFUNCTION("""COMPUTED_VALUE"""),"TORO FLORES KARLA VALESKA TERESA")</f>
        <v>TORO FLORES KARLA VALESKA TERESA</v>
      </c>
      <c r="V2" t="str">
        <f>IFERROR(__xludf.DUMMYFUNCTION("""COMPUTED_VALUE"""),"17803186-4")</f>
        <v>17803186-4</v>
      </c>
      <c r="W2" t="str">
        <f>IFERROR(__xludf.DUMMYFUNCTION("""COMPUTED_VALUE"""),"SI")</f>
        <v>SI</v>
      </c>
      <c r="AA2" s="38">
        <f>IFERROR(__xludf.DUMMYFUNCTION("""COMPUTED_VALUE"""),43549.0)</f>
        <v>43549</v>
      </c>
      <c r="AB2" s="38">
        <f>IFERROR(__xludf.DUMMYFUNCTION("""COMPUTED_VALUE"""),43556.0)</f>
        <v>43556</v>
      </c>
      <c r="AF2" s="39"/>
      <c r="AG2" s="39"/>
      <c r="AH2" s="34" t="str">
        <f>IFERROR(__xludf.DUMMYFUNCTION("""COMPUTED_VALUE"""),"PROCESO DE SELECCIÓN")</f>
        <v>PROCESO DE SELECCIÓN</v>
      </c>
      <c r="AI2" s="34" t="str">
        <f>IFERROR(__xludf.DUMMYFUNCTION("""COMPUTED_VALUE"""),"DONOSO PAVEZ MARION")</f>
        <v>DONOSO PAVEZ MARION</v>
      </c>
      <c r="AJ2" s="34"/>
      <c r="AK2" s="34" t="str">
        <f>IFERROR(__xludf.DUMMYFUNCTION("""COMPUTED_VALUE"""),"C")</f>
        <v>C</v>
      </c>
      <c r="AL2">
        <f>IFERROR(__xludf.DUMMYFUNCTION("""COMPUTED_VALUE"""),16.0)</f>
        <v>16</v>
      </c>
      <c r="AM2">
        <f>IFERROR(__xludf.DUMMYFUNCTION("""COMPUTED_VALUE"""),2019.0)</f>
        <v>2019</v>
      </c>
      <c r="AN2" t="str">
        <f t="shared" ref="AN2:AN1002" si="1">IF(LEN(V2)=9,0&amp;V2,V2)</f>
        <v>17803186-4</v>
      </c>
    </row>
    <row r="3">
      <c r="A3" s="33">
        <f>IFERROR(__xludf.DUMMYFUNCTION("""COMPUTED_VALUE"""),1.0080885E7)</f>
        <v>10080885</v>
      </c>
      <c r="B3" s="33">
        <f>IFERROR(__xludf.DUMMYFUNCTION("""COMPUTED_VALUE"""),2.0)</f>
        <v>2</v>
      </c>
      <c r="C3" s="33" t="str">
        <f>IFERROR(__xludf.DUMMYFUNCTION("""COMPUTED_VALUE"""),"A271")</f>
        <v>A271</v>
      </c>
      <c r="D3" s="34" t="str">
        <f>IFERROR(__xludf.DUMMYFUNCTION("""COMPUTED_VALUE"""),"22")</f>
        <v>22</v>
      </c>
      <c r="E3" s="34" t="str">
        <f>IFERROR(__xludf.DUMMYFUNCTION("""COMPUTED_VALUE"""),"UNIDAD DE ATENCION DE SALUD")</f>
        <v>UNIDAD DE ATENCION DE SALUD</v>
      </c>
      <c r="F3" s="34" t="str">
        <f>IFERROR(__xludf.DUMMYFUNCTION("""COMPUTED_VALUE"""),"Chofer de Ambulancia")</f>
        <v>Chofer de Ambulancia</v>
      </c>
      <c r="G3" s="33" t="str">
        <f>IFERROR(__xludf.DUMMYFUNCTION("""COMPUTED_VALUE"""),"CHOFER DE AMBULANCIA")</f>
        <v>CHOFER DE AMBULANCIA</v>
      </c>
      <c r="H3">
        <f>IFERROR(__xludf.DUMMYFUNCTION("""COMPUTED_VALUE"""),19.0)</f>
        <v>19</v>
      </c>
      <c r="I3" s="34" t="str">
        <f>IFERROR(__xludf.DUMMYFUNCTION("""COMPUTED_VALUE"""),"Jornada Completa")</f>
        <v>Jornada Completa</v>
      </c>
      <c r="J3" s="33" t="str">
        <f>IFERROR(__xludf.DUMMYFUNCTION("""COMPUTED_VALUE"""),"A CONTRATA")</f>
        <v>A CONTRATA</v>
      </c>
      <c r="K3" s="33" t="str">
        <f>IFERROR(__xludf.DUMMYFUNCTION("""COMPUTED_VALUE"""),"TECNICO")</f>
        <v>TECNICO</v>
      </c>
      <c r="L3" s="34" t="str">
        <f>IFERROR(__xludf.DUMMYFUNCTION("""COMPUTED_VALUE"""),"INTERNO")</f>
        <v>INTERNO</v>
      </c>
      <c r="M3" s="34">
        <f>IFERROR(__xludf.DUMMYFUNCTION("""COMPUTED_VALUE"""),1.0)</f>
        <v>1</v>
      </c>
      <c r="N3" s="34" t="str">
        <f>IFERROR(__xludf.DUMMYFUNCTION("""COMPUTED_VALUE"""),"EXTERNO")</f>
        <v>EXTERNO</v>
      </c>
      <c r="O3">
        <f>IFERROR(__xludf.DUMMYFUNCTION("""COMPUTED_VALUE"""),4.0)</f>
        <v>4</v>
      </c>
      <c r="P3">
        <f>IFERROR(__xludf.DUMMYFUNCTION("""COMPUTED_VALUE"""),3.0)</f>
        <v>3</v>
      </c>
      <c r="Q3" s="35">
        <f>IFERROR(__xludf.DUMMYFUNCTION("""COMPUTED_VALUE"""),0.0)</f>
        <v>0</v>
      </c>
      <c r="R3" s="36" t="str">
        <f>IFERROR(__xludf.DUMMYFUNCTION("""COMPUTED_VALUE"""),"SELECCIONADO")</f>
        <v>SELECCIONADO</v>
      </c>
      <c r="S3" s="37">
        <f>IFERROR(__xludf.DUMMYFUNCTION("""COMPUTED_VALUE"""),43570.0)</f>
        <v>43570</v>
      </c>
      <c r="T3" s="34"/>
      <c r="U3" t="str">
        <f>IFERROR(__xludf.DUMMYFUNCTION("""COMPUTED_VALUE"""),"MORALES ACEVEDO DANIEL")</f>
        <v>MORALES ACEVEDO DANIEL</v>
      </c>
      <c r="V3" t="str">
        <f>IFERROR(__xludf.DUMMYFUNCTION("""COMPUTED_VALUE"""),"10080885-4")</f>
        <v>10080885-4</v>
      </c>
      <c r="W3" t="str">
        <f>IFERROR(__xludf.DUMMYFUNCTION("""COMPUTED_VALUE"""),"SI")</f>
        <v>SI</v>
      </c>
      <c r="X3" t="str">
        <f>IFERROR(__xludf.DUMMYFUNCTION("""COMPUTED_VALUE"""),"Orientacion a los Resultados")</f>
        <v>Orientacion a los Resultados</v>
      </c>
      <c r="Y3" t="str">
        <f>IFERROR(__xludf.DUMMYFUNCTION("""COMPUTED_VALUE"""),"Capacidad de Planificacion y Organizacion")</f>
        <v>Capacidad de Planificacion y Organizacion</v>
      </c>
      <c r="AA3" s="38">
        <f>IFERROR(__xludf.DUMMYFUNCTION("""COMPUTED_VALUE"""),43535.0)</f>
        <v>43535</v>
      </c>
      <c r="AB3" s="38">
        <f>IFERROR(__xludf.DUMMYFUNCTION("""COMPUTED_VALUE"""),43542.0)</f>
        <v>43542</v>
      </c>
      <c r="AF3" s="39"/>
      <c r="AG3" s="39"/>
      <c r="AH3" s="34" t="str">
        <f>IFERROR(__xludf.DUMMYFUNCTION("""COMPUTED_VALUE"""),"PROCESO DE SELECCIÓN")</f>
        <v>PROCESO DE SELECCIÓN</v>
      </c>
      <c r="AI3" s="34" t="str">
        <f>IFERROR(__xludf.DUMMYFUNCTION("""COMPUTED_VALUE"""),"CALDERON BARRIOS MAURICIO")</f>
        <v>CALDERON BARRIOS MAURICIO</v>
      </c>
      <c r="AJ3" s="34"/>
      <c r="AK3" s="34" t="str">
        <f>IFERROR(__xludf.DUMMYFUNCTION("""COMPUTED_VALUE"""),"E")</f>
        <v>E</v>
      </c>
      <c r="AL3">
        <f>IFERROR(__xludf.DUMMYFUNCTION("""COMPUTED_VALUE"""),21.0)</f>
        <v>21</v>
      </c>
      <c r="AM3">
        <f>IFERROR(__xludf.DUMMYFUNCTION("""COMPUTED_VALUE"""),2019.0)</f>
        <v>2019</v>
      </c>
      <c r="AN3" t="str">
        <f t="shared" si="1"/>
        <v>10080885-4</v>
      </c>
    </row>
    <row r="4">
      <c r="A4" s="33">
        <f>IFERROR(__xludf.DUMMYFUNCTION("""COMPUTED_VALUE"""),1.9385989E7)</f>
        <v>19385989</v>
      </c>
      <c r="B4" s="33">
        <f>IFERROR(__xludf.DUMMYFUNCTION("""COMPUTED_VALUE"""),3.0)</f>
        <v>3</v>
      </c>
      <c r="C4" s="33" t="str">
        <f>IFERROR(__xludf.DUMMYFUNCTION("""COMPUTED_VALUE"""),"A264")</f>
        <v>A264</v>
      </c>
      <c r="D4" s="34" t="str">
        <f>IFERROR(__xludf.DUMMYFUNCTION("""COMPUTED_VALUE"""),"3")</f>
        <v>3</v>
      </c>
      <c r="E4" s="34" t="str">
        <f>IFERROR(__xludf.DUMMYFUNCTION("""COMPUTED_VALUE"""),"DPTO. DE RECURSOS HUMANOS")</f>
        <v>DPTO. DE RECURSOS HUMANOS</v>
      </c>
      <c r="F4" s="34" t="str">
        <f>IFERROR(__xludf.DUMMYFUNCTION("""COMPUTED_VALUE"""),"Administrativo(a) de Recursos Humanos")</f>
        <v>Administrativo(a) de Recursos Humanos</v>
      </c>
      <c r="G4" s="33" t="str">
        <f>IFERROR(__xludf.DUMMYFUNCTION("""COMPUTED_VALUE"""),"ADMINISTRATIVA DE RECURSOS HUMANOS")</f>
        <v>ADMINISTRATIVA DE RECURSOS HUMANOS</v>
      </c>
      <c r="H4">
        <f>IFERROR(__xludf.DUMMYFUNCTION("""COMPUTED_VALUE"""),17.0)</f>
        <v>17</v>
      </c>
      <c r="I4" s="34" t="str">
        <f>IFERROR(__xludf.DUMMYFUNCTION("""COMPUTED_VALUE"""),"Jornada Completa")</f>
        <v>Jornada Completa</v>
      </c>
      <c r="J4" s="33" t="str">
        <f>IFERROR(__xludf.DUMMYFUNCTION("""COMPUTED_VALUE"""),"A CONTRATA")</f>
        <v>A CONTRATA</v>
      </c>
      <c r="K4" s="33" t="str">
        <f>IFERROR(__xludf.DUMMYFUNCTION("""COMPUTED_VALUE"""),"ADMINISTRATIVO")</f>
        <v>ADMINISTRATIVO</v>
      </c>
      <c r="L4" s="34" t="str">
        <f>IFERROR(__xludf.DUMMYFUNCTION("""COMPUTED_VALUE"""),"INTERNO")</f>
        <v>INTERNO</v>
      </c>
      <c r="M4" s="34">
        <f>IFERROR(__xludf.DUMMYFUNCTION("""COMPUTED_VALUE"""),5.0)</f>
        <v>5</v>
      </c>
      <c r="N4" s="34" t="str">
        <f>IFERROR(__xludf.DUMMYFUNCTION("""COMPUTED_VALUE"""),"NO")</f>
        <v>NO</v>
      </c>
      <c r="P4">
        <f>IFERROR(__xludf.DUMMYFUNCTION("""COMPUTED_VALUE"""),1.0)</f>
        <v>1</v>
      </c>
      <c r="Q4" s="35">
        <f>IFERROR(__xludf.DUMMYFUNCTION("""COMPUTED_VALUE"""),0.0)</f>
        <v>0</v>
      </c>
      <c r="R4" s="36" t="str">
        <f>IFERROR(__xludf.DUMMYFUNCTION("""COMPUTED_VALUE"""),"SELECCIONADA")</f>
        <v>SELECCIONADA</v>
      </c>
      <c r="S4" s="37">
        <f>IFERROR(__xludf.DUMMYFUNCTION("""COMPUTED_VALUE"""),43591.0)</f>
        <v>43591</v>
      </c>
      <c r="T4" s="34" t="str">
        <f>IFERROR(__xludf.DUMMYFUNCTION("""COMPUTED_VALUE"""),"ORTEGA ARAYA ROCIO DE LOS ANGELES")</f>
        <v>ORTEGA ARAYA ROCIO DE LOS ANGELES</v>
      </c>
      <c r="V4" t="str">
        <f>IFERROR(__xludf.DUMMYFUNCTION("""COMPUTED_VALUE"""),"19385989-5")</f>
        <v>19385989-5</v>
      </c>
      <c r="W4" t="str">
        <f>IFERROR(__xludf.DUMMYFUNCTION("""COMPUTED_VALUE"""),"SI")</f>
        <v>SI</v>
      </c>
      <c r="X4" t="str">
        <f>IFERROR(__xludf.DUMMYFUNCTION("""COMPUTED_VALUE"""),"Preocupacion por el Orden y la Claridad")</f>
        <v>Preocupacion por el Orden y la Claridad</v>
      </c>
      <c r="AA4" s="38">
        <f>IFERROR(__xludf.DUMMYFUNCTION("""COMPUTED_VALUE"""),43529.0)</f>
        <v>43529</v>
      </c>
      <c r="AB4" s="38">
        <f>IFERROR(__xludf.DUMMYFUNCTION("""COMPUTED_VALUE"""),43534.0)</f>
        <v>43534</v>
      </c>
      <c r="AF4" s="39"/>
      <c r="AG4" s="39"/>
      <c r="AH4" s="34" t="str">
        <f>IFERROR(__xludf.DUMMYFUNCTION("""COMPUTED_VALUE"""),"PROCESO DE SELECCIÓN")</f>
        <v>PROCESO DE SELECCIÓN</v>
      </c>
      <c r="AI4" s="34" t="str">
        <f>IFERROR(__xludf.DUMMYFUNCTION("""COMPUTED_VALUE"""),"AGUILAR AVENDAÑO RODRIGO")</f>
        <v>AGUILAR AVENDAÑO RODRIGO</v>
      </c>
      <c r="AJ4" s="34"/>
      <c r="AK4" s="34" t="str">
        <f>IFERROR(__xludf.DUMMYFUNCTION("""COMPUTED_VALUE"""),"C")</f>
        <v>C</v>
      </c>
      <c r="AL4">
        <f>IFERROR(__xludf.DUMMYFUNCTION("""COMPUTED_VALUE"""),41.0)</f>
        <v>41</v>
      </c>
      <c r="AM4">
        <f>IFERROR(__xludf.DUMMYFUNCTION("""COMPUTED_VALUE"""),2019.0)</f>
        <v>2019</v>
      </c>
      <c r="AN4" t="str">
        <f t="shared" si="1"/>
        <v>19385989-5</v>
      </c>
    </row>
    <row r="5">
      <c r="A5" s="33">
        <f>IFERROR(__xludf.DUMMYFUNCTION("""COMPUTED_VALUE"""),1.3265762E7)</f>
        <v>13265762</v>
      </c>
      <c r="B5" s="33">
        <f>IFERROR(__xludf.DUMMYFUNCTION("""COMPUTED_VALUE"""),4.0)</f>
        <v>4</v>
      </c>
      <c r="C5" s="33" t="str">
        <f>IFERROR(__xludf.DUMMYFUNCTION("""COMPUTED_VALUE"""),"ACTA2019-29")</f>
        <v>ACTA2019-29</v>
      </c>
      <c r="D5" s="34" t="str">
        <f>IFERROR(__xludf.DUMMYFUNCTION("""COMPUTED_VALUE"""),"3")</f>
        <v>3</v>
      </c>
      <c r="E5" s="34" t="str">
        <f>IFERROR(__xludf.DUMMYFUNCTION("""COMPUTED_VALUE"""),"UNIDAD DE ADQUISICIONES")</f>
        <v>UNIDAD DE ADQUISICIONES</v>
      </c>
      <c r="F5" s="34" t="str">
        <f>IFERROR(__xludf.DUMMYFUNCTION("""COMPUTED_VALUE"""),"Técnico(a) de Compras")</f>
        <v>Técnico(a) de Compras</v>
      </c>
      <c r="G5" s="33" t="str">
        <f>IFERROR(__xludf.DUMMYFUNCTION("""COMPUTED_VALUE"""),"TECNICO DE COMPRAS")</f>
        <v>TECNICO DE COMPRAS</v>
      </c>
      <c r="H5">
        <f>IFERROR(__xludf.DUMMYFUNCTION("""COMPUTED_VALUE"""),14.0)</f>
        <v>14</v>
      </c>
      <c r="I5" s="34" t="str">
        <f>IFERROR(__xludf.DUMMYFUNCTION("""COMPUTED_VALUE"""),"Jornada Completa")</f>
        <v>Jornada Completa</v>
      </c>
      <c r="J5" s="33" t="str">
        <f>IFERROR(__xludf.DUMMYFUNCTION("""COMPUTED_VALUE"""),"A CONTRATA")</f>
        <v>A CONTRATA</v>
      </c>
      <c r="K5" s="33" t="str">
        <f>IFERROR(__xludf.DUMMYFUNCTION("""COMPUTED_VALUE"""),"TECNICO")</f>
        <v>TECNICO</v>
      </c>
      <c r="L5" s="34" t="str">
        <f>IFERROR(__xludf.DUMMYFUNCTION("""COMPUTED_VALUE"""),"INTERNO")</f>
        <v>INTERNO</v>
      </c>
      <c r="M5" s="34">
        <f>IFERROR(__xludf.DUMMYFUNCTION("""COMPUTED_VALUE"""),4.0)</f>
        <v>4</v>
      </c>
      <c r="N5" s="34" t="str">
        <f>IFERROR(__xludf.DUMMYFUNCTION("""COMPUTED_VALUE"""),"NO")</f>
        <v>NO</v>
      </c>
      <c r="P5">
        <f>IFERROR(__xludf.DUMMYFUNCTION("""COMPUTED_VALUE"""),2.0)</f>
        <v>2</v>
      </c>
      <c r="Q5" s="35">
        <f>IFERROR(__xludf.DUMMYFUNCTION("""COMPUTED_VALUE"""),0.0)</f>
        <v>0</v>
      </c>
      <c r="R5" s="36" t="str">
        <f>IFERROR(__xludf.DUMMYFUNCTION("""COMPUTED_VALUE"""),"SELECCIONADA")</f>
        <v>SELECCIONADA</v>
      </c>
      <c r="S5" s="37">
        <f>IFERROR(__xludf.DUMMYFUNCTION("""COMPUTED_VALUE"""),43584.0)</f>
        <v>43584</v>
      </c>
      <c r="T5" s="34" t="str">
        <f>IFERROR(__xludf.DUMMYFUNCTION("""COMPUTED_VALUE"""),"BEECHER PARRA GUISELLA CAROLINA")</f>
        <v>BEECHER PARRA GUISELLA CAROLINA</v>
      </c>
      <c r="V5" t="str">
        <f>IFERROR(__xludf.DUMMYFUNCTION("""COMPUTED_VALUE"""),"13265762-9")</f>
        <v>13265762-9</v>
      </c>
      <c r="W5" t="str">
        <f>IFERROR(__xludf.DUMMYFUNCTION("""COMPUTED_VALUE"""),"NO")</f>
        <v>NO</v>
      </c>
      <c r="AA5" s="38">
        <f>IFERROR(__xludf.DUMMYFUNCTION("""COMPUTED_VALUE"""),43530.0)</f>
        <v>43530</v>
      </c>
      <c r="AB5" s="38">
        <f>IFERROR(__xludf.DUMMYFUNCTION("""COMPUTED_VALUE"""),43538.0)</f>
        <v>43538</v>
      </c>
      <c r="AF5" s="39"/>
      <c r="AG5" s="39"/>
      <c r="AH5" s="34" t="str">
        <f>IFERROR(__xludf.DUMMYFUNCTION("""COMPUTED_VALUE"""),"PROCESO DE SELECCIÓN")</f>
        <v>PROCESO DE SELECCIÓN</v>
      </c>
      <c r="AI5" s="34" t="str">
        <f>IFERROR(__xludf.DUMMYFUNCTION("""COMPUTED_VALUE""")," - ")</f>
        <v> - </v>
      </c>
      <c r="AJ5" s="34"/>
      <c r="AK5" s="34" t="str">
        <f>IFERROR(__xludf.DUMMYFUNCTION("""COMPUTED_VALUE"""),"C")</f>
        <v>C</v>
      </c>
      <c r="AL5">
        <f>IFERROR(__xludf.DUMMYFUNCTION("""COMPUTED_VALUE"""),33.0)</f>
        <v>33</v>
      </c>
      <c r="AM5">
        <f>IFERROR(__xludf.DUMMYFUNCTION("""COMPUTED_VALUE"""),2019.0)</f>
        <v>2019</v>
      </c>
      <c r="AN5" t="str">
        <f t="shared" si="1"/>
        <v>13265762-9</v>
      </c>
    </row>
    <row r="6">
      <c r="A6" s="33">
        <f>IFERROR(__xludf.DUMMYFUNCTION("""COMPUTED_VALUE"""),1.6129369E7)</f>
        <v>16129369</v>
      </c>
      <c r="B6" s="33">
        <f>IFERROR(__xludf.DUMMYFUNCTION("""COMPUTED_VALUE"""),5.0)</f>
        <v>5</v>
      </c>
      <c r="C6" s="33" t="str">
        <f>IFERROR(__xludf.DUMMYFUNCTION("""COMPUTED_VALUE"""),"A277")</f>
        <v>A277</v>
      </c>
      <c r="D6" s="34" t="str">
        <f>IFERROR(__xludf.DUMMYFUNCTION("""COMPUTED_VALUE"""),"95")</f>
        <v>95</v>
      </c>
      <c r="E6" s="34" t="str">
        <f>IFERROR(__xludf.DUMMYFUNCTION("""COMPUTED_VALUE"""),"FACULTAD DE QUIMICA Y BIOLOGIA")</f>
        <v>FACULTAD DE QUIMICA Y BIOLOGIA</v>
      </c>
      <c r="F6" s="34" t="str">
        <f>IFERROR(__xludf.DUMMYFUNCTION("""COMPUTED_VALUE"""),"Profesional Especializado(a) de Laboratorio")</f>
        <v>Profesional Especializado(a) de Laboratorio</v>
      </c>
      <c r="G6" s="33" t="str">
        <f>IFERROR(__xludf.DUMMYFUNCTION("""COMPUTED_VALUE"""),"PROFESIONAL ESPICIALIZADO DE LABORATORIO / OPERADOR EQUIPOS ESPECTROSCOPICOS Y FT-IR")</f>
        <v>PROFESIONAL ESPICIALIZADO DE LABORATORIO / OPERADOR EQUIPOS ESPECTROSCOPICOS Y FT-IR</v>
      </c>
      <c r="H6">
        <f>IFERROR(__xludf.DUMMYFUNCTION("""COMPUTED_VALUE"""),11.0)</f>
        <v>11</v>
      </c>
      <c r="I6" s="34" t="str">
        <f>IFERROR(__xludf.DUMMYFUNCTION("""COMPUTED_VALUE"""),"1/2 Jornada")</f>
        <v>1/2 Jornada</v>
      </c>
      <c r="J6" s="33" t="str">
        <f>IFERROR(__xludf.DUMMYFUNCTION("""COMPUTED_VALUE"""),"A CONTRATA")</f>
        <v>A CONTRATA</v>
      </c>
      <c r="K6" s="33" t="str">
        <f>IFERROR(__xludf.DUMMYFUNCTION("""COMPUTED_VALUE"""),"PROFESIONAL")</f>
        <v>PROFESIONAL</v>
      </c>
      <c r="L6" s="34" t="str">
        <f>IFERROR(__xludf.DUMMYFUNCTION("""COMPUTED_VALUE"""),"INTERNO")</f>
        <v>INTERNO</v>
      </c>
      <c r="M6" s="34">
        <f>IFERROR(__xludf.DUMMYFUNCTION("""COMPUTED_VALUE"""),1.0)</f>
        <v>1</v>
      </c>
      <c r="N6" s="34" t="str">
        <f>IFERROR(__xludf.DUMMYFUNCTION("""COMPUTED_VALUE"""),"NO")</f>
        <v>NO</v>
      </c>
      <c r="P6">
        <f>IFERROR(__xludf.DUMMYFUNCTION("""COMPUTED_VALUE"""),1.0)</f>
        <v>1</v>
      </c>
      <c r="Q6" s="35">
        <f>IFERROR(__xludf.DUMMYFUNCTION("""COMPUTED_VALUE"""),0.0)</f>
        <v>0</v>
      </c>
      <c r="R6" s="36" t="str">
        <f>IFERROR(__xludf.DUMMYFUNCTION("""COMPUTED_VALUE"""),"SELECCIONADA")</f>
        <v>SELECCIONADA</v>
      </c>
      <c r="S6" s="37">
        <f>IFERROR(__xludf.DUMMYFUNCTION("""COMPUTED_VALUE"""),43586.0)</f>
        <v>43586</v>
      </c>
      <c r="T6" s="34" t="str">
        <f>IFERROR(__xludf.DUMMYFUNCTION("""COMPUTED_VALUE"""),"CONTENLA SAEZ ROMMINA")</f>
        <v>CONTENLA SAEZ ROMMINA</v>
      </c>
      <c r="V6" t="str">
        <f>IFERROR(__xludf.DUMMYFUNCTION("""COMPUTED_VALUE"""),"16129369-5")</f>
        <v>16129369-5</v>
      </c>
      <c r="W6" t="str">
        <f>IFERROR(__xludf.DUMMYFUNCTION("""COMPUTED_VALUE"""),"SI")</f>
        <v>SI</v>
      </c>
      <c r="X6" t="str">
        <f>IFERROR(__xludf.DUMMYFUNCTION("""COMPUTED_VALUE"""),"Iniciativa")</f>
        <v>Iniciativa</v>
      </c>
      <c r="AA6" s="38">
        <f>IFERROR(__xludf.DUMMYFUNCTION("""COMPUTED_VALUE"""),43537.0)</f>
        <v>43537</v>
      </c>
      <c r="AB6" s="38">
        <f>IFERROR(__xludf.DUMMYFUNCTION("""COMPUTED_VALUE"""),43544.0)</f>
        <v>43544</v>
      </c>
      <c r="AF6" s="39"/>
      <c r="AG6" s="39"/>
      <c r="AH6" s="34" t="str">
        <f>IFERROR(__xludf.DUMMYFUNCTION("""COMPUTED_VALUE"""),"PROCESO DE SELECCIÓN")</f>
        <v>PROCESO DE SELECCIÓN</v>
      </c>
      <c r="AI6" s="34" t="str">
        <f>IFERROR(__xludf.DUMMYFUNCTION("""COMPUTED_VALUE"""),"KLEIN GRUN ENRIQUETA")</f>
        <v>KLEIN GRUN ENRIQUETA</v>
      </c>
      <c r="AJ6" s="34"/>
      <c r="AK6" s="34" t="str">
        <f>IFERROR(__xludf.DUMMYFUNCTION("""COMPUTED_VALUE"""),"C")</f>
        <v>C</v>
      </c>
      <c r="AL6">
        <f>IFERROR(__xludf.DUMMYFUNCTION("""COMPUTED_VALUE"""),31.0)</f>
        <v>31</v>
      </c>
      <c r="AM6">
        <f>IFERROR(__xludf.DUMMYFUNCTION("""COMPUTED_VALUE"""),2019.0)</f>
        <v>2019</v>
      </c>
      <c r="AN6" t="str">
        <f t="shared" si="1"/>
        <v>16129369-5</v>
      </c>
    </row>
    <row r="7">
      <c r="A7" s="33">
        <f>IFERROR(__xludf.DUMMYFUNCTION("""COMPUTED_VALUE"""),1.5797419E7)</f>
        <v>15797419</v>
      </c>
      <c r="B7" s="33">
        <f>IFERROR(__xludf.DUMMYFUNCTION("""COMPUTED_VALUE"""),6.0)</f>
        <v>6</v>
      </c>
      <c r="C7" s="33" t="str">
        <f>IFERROR(__xludf.DUMMYFUNCTION("""COMPUTED_VALUE"""),"ACTA2019-10")</f>
        <v>ACTA2019-10</v>
      </c>
      <c r="D7" s="34" t="str">
        <f>IFERROR(__xludf.DUMMYFUNCTION("""COMPUTED_VALUE"""),"3")</f>
        <v>3</v>
      </c>
      <c r="E7" s="34" t="str">
        <f>IFERROR(__xludf.DUMMYFUNCTION("""COMPUTED_VALUE"""),"UNIDAD DE ADQUISICIONES")</f>
        <v>UNIDAD DE ADQUISICIONES</v>
      </c>
      <c r="F7" s="34" t="str">
        <f>IFERROR(__xludf.DUMMYFUNCTION("""COMPUTED_VALUE"""),"Jefe(a) de Área")</f>
        <v>Jefe(a) de Área</v>
      </c>
      <c r="G7" s="33" t="str">
        <f>IFERROR(__xludf.DUMMYFUNCTION("""COMPUTED_VALUE"""),"JEFE DE AREA ( LICITACION Y CONTRATOS)")</f>
        <v>JEFE DE AREA ( LICITACION Y CONTRATOS)</v>
      </c>
      <c r="H7">
        <f>IFERROR(__xludf.DUMMYFUNCTION("""COMPUTED_VALUE"""),8.0)</f>
        <v>8</v>
      </c>
      <c r="I7" s="34" t="str">
        <f>IFERROR(__xludf.DUMMYFUNCTION("""COMPUTED_VALUE"""),"Jornada Completa")</f>
        <v>Jornada Completa</v>
      </c>
      <c r="J7" s="33" t="str">
        <f>IFERROR(__xludf.DUMMYFUNCTION("""COMPUTED_VALUE"""),"A CONTRATA")</f>
        <v>A CONTRATA</v>
      </c>
      <c r="K7" s="33" t="str">
        <f>IFERROR(__xludf.DUMMYFUNCTION("""COMPUTED_VALUE"""),"PROFESIONAL")</f>
        <v>PROFESIONAL</v>
      </c>
      <c r="L7" s="34" t="str">
        <f>IFERROR(__xludf.DUMMYFUNCTION("""COMPUTED_VALUE"""),"INTERNO")</f>
        <v>INTERNO</v>
      </c>
      <c r="M7" s="34">
        <f>IFERROR(__xludf.DUMMYFUNCTION("""COMPUTED_VALUE"""),5.0)</f>
        <v>5</v>
      </c>
      <c r="N7" s="34" t="str">
        <f>IFERROR(__xludf.DUMMYFUNCTION("""COMPUTED_VALUE"""),"NO")</f>
        <v>NO</v>
      </c>
      <c r="P7">
        <f>IFERROR(__xludf.DUMMYFUNCTION("""COMPUTED_VALUE"""),3.0)</f>
        <v>3</v>
      </c>
      <c r="Q7" s="35">
        <f>IFERROR(__xludf.DUMMYFUNCTION("""COMPUTED_VALUE"""),0.0)</f>
        <v>0</v>
      </c>
      <c r="R7" s="36" t="str">
        <f>IFERROR(__xludf.DUMMYFUNCTION("""COMPUTED_VALUE"""),"SELECCIONADA")</f>
        <v>SELECCIONADA</v>
      </c>
      <c r="S7" s="37">
        <f>IFERROR(__xludf.DUMMYFUNCTION("""COMPUTED_VALUE"""),43605.0)</f>
        <v>43605</v>
      </c>
      <c r="T7" s="34" t="str">
        <f>IFERROR(__xludf.DUMMYFUNCTION("""COMPUTED_VALUE"""),"ARRIAGADA RIVAS KAREN STHEPHANIE")</f>
        <v>ARRIAGADA RIVAS KAREN STHEPHANIE</v>
      </c>
      <c r="V7" t="str">
        <f>IFERROR(__xludf.DUMMYFUNCTION("""COMPUTED_VALUE"""),"15797419-K")</f>
        <v>15797419-K</v>
      </c>
      <c r="W7" t="str">
        <f>IFERROR(__xludf.DUMMYFUNCTION("""COMPUTED_VALUE"""),"SI")</f>
        <v>SI</v>
      </c>
      <c r="X7" t="str">
        <f>IFERROR(__xludf.DUMMYFUNCTION("""COMPUTED_VALUE"""),"Liderazgo")</f>
        <v>Liderazgo</v>
      </c>
      <c r="AA7" s="38">
        <f>IFERROR(__xludf.DUMMYFUNCTION("""COMPUTED_VALUE"""),43535.0)</f>
        <v>43535</v>
      </c>
      <c r="AB7" s="38">
        <f>IFERROR(__xludf.DUMMYFUNCTION("""COMPUTED_VALUE"""),43542.0)</f>
        <v>43542</v>
      </c>
      <c r="AF7" s="39"/>
      <c r="AG7" s="39"/>
      <c r="AH7" s="34" t="str">
        <f>IFERROR(__xludf.DUMMYFUNCTION("""COMPUTED_VALUE"""),"PROCESO DE SELECCIÓN")</f>
        <v>PROCESO DE SELECCIÓN</v>
      </c>
      <c r="AI7" s="34" t="str">
        <f>IFERROR(__xludf.DUMMYFUNCTION("""COMPUTED_VALUE""")," - ")</f>
        <v> - </v>
      </c>
      <c r="AJ7" s="34"/>
      <c r="AK7" s="34" t="str">
        <f>IFERROR(__xludf.DUMMYFUNCTION("""COMPUTED_VALUE"""),"C")</f>
        <v>C</v>
      </c>
      <c r="AL7">
        <f>IFERROR(__xludf.DUMMYFUNCTION("""COMPUTED_VALUE"""),46.0)</f>
        <v>46</v>
      </c>
      <c r="AM7">
        <f>IFERROR(__xludf.DUMMYFUNCTION("""COMPUTED_VALUE"""),2019.0)</f>
        <v>2019</v>
      </c>
      <c r="AN7" t="str">
        <f t="shared" si="1"/>
        <v>15797419-K</v>
      </c>
    </row>
    <row r="8">
      <c r="A8" s="33">
        <f>IFERROR(__xludf.DUMMYFUNCTION("""COMPUTED_VALUE"""),1.6861876E7)</f>
        <v>16861876</v>
      </c>
      <c r="B8" s="33">
        <f>IFERROR(__xludf.DUMMYFUNCTION("""COMPUTED_VALUE"""),7.0)</f>
        <v>7</v>
      </c>
      <c r="C8" s="33" t="str">
        <f>IFERROR(__xludf.DUMMYFUNCTION("""COMPUTED_VALUE"""),"A247")</f>
        <v>A247</v>
      </c>
      <c r="D8" s="34" t="str">
        <f>IFERROR(__xludf.DUMMYFUNCTION("""COMPUTED_VALUE"""),"120")</f>
        <v>120</v>
      </c>
      <c r="E8" s="34" t="str">
        <f>IFERROR(__xludf.DUMMYFUNCTION("""COMPUTED_VALUE"""),"SELLO EDITORIAL")</f>
        <v>SELLO EDITORIAL</v>
      </c>
      <c r="F8" s="34" t="str">
        <f>IFERROR(__xludf.DUMMYFUNCTION("""COMPUTED_VALUE"""),"Encargado(a) de Bodega, Bienes y Servicios")</f>
        <v>Encargado(a) de Bodega, Bienes y Servicios</v>
      </c>
      <c r="G8" s="33" t="str">
        <f>IFERROR(__xludf.DUMMYFUNCTION("""COMPUTED_VALUE"""),"ENCARGADO DE BODEGA, BIENES Y SERVICIOS")</f>
        <v>ENCARGADO DE BODEGA, BIENES Y SERVICIOS</v>
      </c>
      <c r="H8">
        <f>IFERROR(__xludf.DUMMYFUNCTION("""COMPUTED_VALUE"""),20.0)</f>
        <v>20</v>
      </c>
      <c r="I8" s="34" t="str">
        <f>IFERROR(__xludf.DUMMYFUNCTION("""COMPUTED_VALUE"""),"Jornada Completa")</f>
        <v>Jornada Completa</v>
      </c>
      <c r="J8" s="33" t="str">
        <f>IFERROR(__xludf.DUMMYFUNCTION("""COMPUTED_VALUE"""),"A CONTRATA")</f>
        <v>A CONTRATA</v>
      </c>
      <c r="K8" s="33" t="str">
        <f>IFERROR(__xludf.DUMMYFUNCTION("""COMPUTED_VALUE"""),"ADMINISTRATIVO")</f>
        <v>ADMINISTRATIVO</v>
      </c>
      <c r="L8" s="34" t="str">
        <f>IFERROR(__xludf.DUMMYFUNCTION("""COMPUTED_VALUE"""),"INTERNO")</f>
        <v>INTERNO</v>
      </c>
      <c r="M8" s="34">
        <f>IFERROR(__xludf.DUMMYFUNCTION("""COMPUTED_VALUE"""),2.0)</f>
        <v>2</v>
      </c>
      <c r="N8" s="34" t="str">
        <f>IFERROR(__xludf.DUMMYFUNCTION("""COMPUTED_VALUE"""),"EXTERNO")</f>
        <v>EXTERNO</v>
      </c>
      <c r="O8">
        <f>IFERROR(__xludf.DUMMYFUNCTION("""COMPUTED_VALUE"""),11.0)</f>
        <v>11</v>
      </c>
      <c r="P8">
        <f>IFERROR(__xludf.DUMMYFUNCTION("""COMPUTED_VALUE"""),1.0)</f>
        <v>1</v>
      </c>
      <c r="Q8" s="35">
        <f>IFERROR(__xludf.DUMMYFUNCTION("""COMPUTED_VALUE"""),1.0)</f>
        <v>1</v>
      </c>
      <c r="R8" s="36" t="str">
        <f>IFERROR(__xludf.DUMMYFUNCTION("""COMPUTED_VALUE"""),"SELECCIONADO")</f>
        <v>SELECCIONADO</v>
      </c>
      <c r="S8" s="37">
        <f>IFERROR(__xludf.DUMMYFUNCTION("""COMPUTED_VALUE"""),43633.0)</f>
        <v>43633</v>
      </c>
      <c r="T8" s="34" t="str">
        <f>IFERROR(__xludf.DUMMYFUNCTION("""COMPUTED_VALUE"""),"VALENZUELA ARANCIBIA MAURICIO ANDRES")</f>
        <v>VALENZUELA ARANCIBIA MAURICIO ANDRES</v>
      </c>
      <c r="V8" t="str">
        <f>IFERROR(__xludf.DUMMYFUNCTION("""COMPUTED_VALUE"""),"16861876-K")</f>
        <v>16861876-K</v>
      </c>
      <c r="W8" t="str">
        <f>IFERROR(__xludf.DUMMYFUNCTION("""COMPUTED_VALUE"""),"SI")</f>
        <v>SI</v>
      </c>
      <c r="X8" t="str">
        <f>IFERROR(__xludf.DUMMYFUNCTION("""COMPUTED_VALUE"""),"Preocupacion por el Orden y la Claridad")</f>
        <v>Preocupacion por el Orden y la Claridad</v>
      </c>
      <c r="AA8" s="38">
        <f>IFERROR(__xludf.DUMMYFUNCTION("""COMPUTED_VALUE"""),43535.0)</f>
        <v>43535</v>
      </c>
      <c r="AB8" s="38">
        <f>IFERROR(__xludf.DUMMYFUNCTION("""COMPUTED_VALUE"""),43542.0)</f>
        <v>43542</v>
      </c>
      <c r="AF8" s="39"/>
      <c r="AG8" s="39"/>
      <c r="AH8" s="34" t="str">
        <f>IFERROR(__xludf.DUMMYFUNCTION("""COMPUTED_VALUE"""),"PROCESO DE SELECCIÓN")</f>
        <v>PROCESO DE SELECCIÓN</v>
      </c>
      <c r="AI8" s="34" t="str">
        <f>IFERROR(__xludf.DUMMYFUNCTION("""COMPUTED_VALUE"""),"SOLIS PEREZ JAVIER")</f>
        <v>SOLIS PEREZ JAVIER</v>
      </c>
      <c r="AJ8" s="34"/>
      <c r="AK8" s="34" t="str">
        <f>IFERROR(__xludf.DUMMYFUNCTION("""COMPUTED_VALUE"""),"C")</f>
        <v>C</v>
      </c>
      <c r="AL8">
        <f>IFERROR(__xludf.DUMMYFUNCTION("""COMPUTED_VALUE"""),66.0)</f>
        <v>66</v>
      </c>
      <c r="AM8">
        <f>IFERROR(__xludf.DUMMYFUNCTION("""COMPUTED_VALUE"""),2019.0)</f>
        <v>2019</v>
      </c>
      <c r="AN8" t="str">
        <f t="shared" si="1"/>
        <v>16861876-K</v>
      </c>
    </row>
    <row r="9">
      <c r="A9" s="33">
        <f>IFERROR(__xludf.DUMMYFUNCTION("""COMPUTED_VALUE"""),1.8432874E7)</f>
        <v>18432874</v>
      </c>
      <c r="B9" s="33">
        <f>IFERROR(__xludf.DUMMYFUNCTION("""COMPUTED_VALUE"""),8.0)</f>
        <v>8</v>
      </c>
      <c r="C9" s="33" t="str">
        <f>IFERROR(__xludf.DUMMYFUNCTION("""COMPUTED_VALUE"""),"A274")</f>
        <v>A274</v>
      </c>
      <c r="D9" s="34" t="str">
        <f>IFERROR(__xludf.DUMMYFUNCTION("""COMPUTED_VALUE"""),"95")</f>
        <v>95</v>
      </c>
      <c r="E9" s="34" t="str">
        <f>IFERROR(__xludf.DUMMYFUNCTION("""COMPUTED_VALUE"""),"DPTO. DE BIOLOGIA")</f>
        <v>DPTO. DE BIOLOGIA</v>
      </c>
      <c r="F9" s="34" t="str">
        <f>IFERROR(__xludf.DUMMYFUNCTION("""COMPUTED_VALUE"""),"Técnico(a) de Laboratorio")</f>
        <v>Técnico(a) de Laboratorio</v>
      </c>
      <c r="G9" s="33" t="str">
        <f>IFERROR(__xludf.DUMMYFUNCTION("""COMPUTED_VALUE"""),"TECNICA DE LABORATORIO")</f>
        <v>TECNICA DE LABORATORIO</v>
      </c>
      <c r="H9">
        <f>IFERROR(__xludf.DUMMYFUNCTION("""COMPUTED_VALUE"""),17.0)</f>
        <v>17</v>
      </c>
      <c r="I9" s="34" t="str">
        <f>IFERROR(__xludf.DUMMYFUNCTION("""COMPUTED_VALUE"""),"1/2 Jornada")</f>
        <v>1/2 Jornada</v>
      </c>
      <c r="J9" s="33" t="str">
        <f>IFERROR(__xludf.DUMMYFUNCTION("""COMPUTED_VALUE"""),"A CONTRATA")</f>
        <v>A CONTRATA</v>
      </c>
      <c r="K9" s="33" t="str">
        <f>IFERROR(__xludf.DUMMYFUNCTION("""COMPUTED_VALUE"""),"TECNICO")</f>
        <v>TECNICO</v>
      </c>
      <c r="L9" s="34" t="str">
        <f>IFERROR(__xludf.DUMMYFUNCTION("""COMPUTED_VALUE"""),"INTERNO")</f>
        <v>INTERNO</v>
      </c>
      <c r="M9" s="34">
        <f>IFERROR(__xludf.DUMMYFUNCTION("""COMPUTED_VALUE"""),0.0)</f>
        <v>0</v>
      </c>
      <c r="N9" s="34" t="str">
        <f>IFERROR(__xludf.DUMMYFUNCTION("""COMPUTED_VALUE"""),"EXTERNO")</f>
        <v>EXTERNO</v>
      </c>
      <c r="O9">
        <f>IFERROR(__xludf.DUMMYFUNCTION("""COMPUTED_VALUE"""),4.0)</f>
        <v>4</v>
      </c>
      <c r="P9">
        <f>IFERROR(__xludf.DUMMYFUNCTION("""COMPUTED_VALUE"""),2.0)</f>
        <v>2</v>
      </c>
      <c r="Q9" s="35">
        <f>IFERROR(__xludf.DUMMYFUNCTION("""COMPUTED_VALUE"""),0.0)</f>
        <v>0</v>
      </c>
      <c r="R9" s="36" t="str">
        <f>IFERROR(__xludf.DUMMYFUNCTION("""COMPUTED_VALUE"""),"SELECCIONADA")</f>
        <v>SELECCIONADA</v>
      </c>
      <c r="S9" s="37">
        <f>IFERROR(__xludf.DUMMYFUNCTION("""COMPUTED_VALUE"""),43620.0)</f>
        <v>43620</v>
      </c>
      <c r="T9" s="34"/>
      <c r="U9" t="str">
        <f>IFERROR(__xludf.DUMMYFUNCTION("""COMPUTED_VALUE"""),"EPUYAO SALGADO NADIA ")</f>
        <v>EPUYAO SALGADO NADIA </v>
      </c>
      <c r="V9" t="str">
        <f>IFERROR(__xludf.DUMMYFUNCTION("""COMPUTED_VALUE"""),"18432874-7")</f>
        <v>18432874-7</v>
      </c>
      <c r="W9" t="str">
        <f>IFERROR(__xludf.DUMMYFUNCTION("""COMPUTED_VALUE"""),"NO")</f>
        <v>NO</v>
      </c>
      <c r="AA9" s="38">
        <f>IFERROR(__xludf.DUMMYFUNCTION("""COMPUTED_VALUE"""),43558.0)</f>
        <v>43558</v>
      </c>
      <c r="AB9" s="38">
        <f>IFERROR(__xludf.DUMMYFUNCTION("""COMPUTED_VALUE"""),43565.0)</f>
        <v>43565</v>
      </c>
      <c r="AF9" s="39"/>
      <c r="AG9" s="39"/>
      <c r="AH9" s="34" t="str">
        <f>IFERROR(__xludf.DUMMYFUNCTION("""COMPUTED_VALUE"""),"PROCESO DE SELECCIÓN")</f>
        <v>PROCESO DE SELECCIÓN</v>
      </c>
      <c r="AI9" s="34" t="str">
        <f>IFERROR(__xludf.DUMMYFUNCTION("""COMPUTED_VALUE"""),"DEL CANTO ORTEGA SEBASTIAN")</f>
        <v>DEL CANTO ORTEGA SEBASTIAN</v>
      </c>
      <c r="AJ9" s="34"/>
      <c r="AK9" s="34" t="str">
        <f>IFERROR(__xludf.DUMMYFUNCTION("""COMPUTED_VALUE"""),"E")</f>
        <v>E</v>
      </c>
      <c r="AL9">
        <f>IFERROR(__xludf.DUMMYFUNCTION("""COMPUTED_VALUE"""),40.0)</f>
        <v>40</v>
      </c>
      <c r="AM9">
        <f>IFERROR(__xludf.DUMMYFUNCTION("""COMPUTED_VALUE"""),2019.0)</f>
        <v>2019</v>
      </c>
      <c r="AN9" t="str">
        <f t="shared" si="1"/>
        <v>18432874-7</v>
      </c>
    </row>
    <row r="10">
      <c r="A10" s="33">
        <f>IFERROR(__xludf.DUMMYFUNCTION("""COMPUTED_VALUE"""),9966232.0)</f>
        <v>9966232</v>
      </c>
      <c r="B10" s="33">
        <f>IFERROR(__xludf.DUMMYFUNCTION("""COMPUTED_VALUE"""),9.0)</f>
        <v>9</v>
      </c>
      <c r="C10" s="33" t="str">
        <f>IFERROR(__xludf.DUMMYFUNCTION("""COMPUTED_VALUE"""),"ACTA2019-15")</f>
        <v>ACTA2019-15</v>
      </c>
      <c r="D10" s="34" t="str">
        <f>IFERROR(__xludf.DUMMYFUNCTION("""COMPUTED_VALUE"""),"40")</f>
        <v>40</v>
      </c>
      <c r="E10" s="34" t="str">
        <f>IFERROR(__xludf.DUMMYFUNCTION("""COMPUTED_VALUE"""),"DPTO. DE INGENIERIA INDUSTRIAL")</f>
        <v>DPTO. DE INGENIERIA INDUSTRIAL</v>
      </c>
      <c r="F10" s="34" t="str">
        <f>IFERROR(__xludf.DUMMYFUNCTION("""COMPUTED_VALUE"""),"Encargado(a) de Vinculación con el Medio")</f>
        <v>Encargado(a) de Vinculación con el Medio</v>
      </c>
      <c r="G10" s="33" t="str">
        <f>IFERROR(__xludf.DUMMYFUNCTION("""COMPUTED_VALUE"""),"ENCARGADA DE VINCULACION CON EL MEDIO")</f>
        <v>ENCARGADA DE VINCULACION CON EL MEDIO</v>
      </c>
      <c r="H10">
        <f>IFERROR(__xludf.DUMMYFUNCTION("""COMPUTED_VALUE"""),13.0)</f>
        <v>13</v>
      </c>
      <c r="I10" s="34" t="str">
        <f>IFERROR(__xludf.DUMMYFUNCTION("""COMPUTED_VALUE"""),"Jornada Completa")</f>
        <v>Jornada Completa</v>
      </c>
      <c r="J10" s="33" t="str">
        <f>IFERROR(__xludf.DUMMYFUNCTION("""COMPUTED_VALUE"""),"A CONTRATA")</f>
        <v>A CONTRATA</v>
      </c>
      <c r="K10" s="33" t="str">
        <f>IFERROR(__xludf.DUMMYFUNCTION("""COMPUTED_VALUE"""),"PROFESIONAL")</f>
        <v>PROFESIONAL</v>
      </c>
      <c r="L10" s="34" t="str">
        <f>IFERROR(__xludf.DUMMYFUNCTION("""COMPUTED_VALUE"""),"INTERNO")</f>
        <v>INTERNO</v>
      </c>
      <c r="M10" s="34">
        <f>IFERROR(__xludf.DUMMYFUNCTION("""COMPUTED_VALUE"""),2.0)</f>
        <v>2</v>
      </c>
      <c r="N10" s="34" t="str">
        <f>IFERROR(__xludf.DUMMYFUNCTION("""COMPUTED_VALUE"""),"EXTERNO")</f>
        <v>EXTERNO</v>
      </c>
      <c r="O10">
        <f>IFERROR(__xludf.DUMMYFUNCTION("""COMPUTED_VALUE"""),4.0)</f>
        <v>4</v>
      </c>
      <c r="P10">
        <f>IFERROR(__xludf.DUMMYFUNCTION("""COMPUTED_VALUE"""),2.0)</f>
        <v>2</v>
      </c>
      <c r="Q10" s="35">
        <f>IFERROR(__xludf.DUMMYFUNCTION("""COMPUTED_VALUE"""),0.0)</f>
        <v>0</v>
      </c>
      <c r="R10" s="36" t="str">
        <f>IFERROR(__xludf.DUMMYFUNCTION("""COMPUTED_VALUE"""),"SELECCIONADA")</f>
        <v>SELECCIONADA</v>
      </c>
      <c r="S10" s="37">
        <f>IFERROR(__xludf.DUMMYFUNCTION("""COMPUTED_VALUE"""),43619.0)</f>
        <v>43619</v>
      </c>
      <c r="T10" s="34"/>
      <c r="U10" t="str">
        <f>IFERROR(__xludf.DUMMYFUNCTION("""COMPUTED_VALUE"""),"CORTES OLIVARES CYNTHIA")</f>
        <v>CORTES OLIVARES CYNTHIA</v>
      </c>
      <c r="V10" t="str">
        <f>IFERROR(__xludf.DUMMYFUNCTION("""COMPUTED_VALUE"""),"9966232-8")</f>
        <v>9966232-8</v>
      </c>
      <c r="W10" t="str">
        <f>IFERROR(__xludf.DUMMYFUNCTION("""COMPUTED_VALUE"""),"NO")</f>
        <v>NO</v>
      </c>
      <c r="AA10" s="38">
        <f>IFERROR(__xludf.DUMMYFUNCTION("""COMPUTED_VALUE"""),43560.0)</f>
        <v>43560</v>
      </c>
      <c r="AB10" s="38">
        <f>IFERROR(__xludf.DUMMYFUNCTION("""COMPUTED_VALUE"""),43567.0)</f>
        <v>43567</v>
      </c>
      <c r="AF10" s="39"/>
      <c r="AG10" s="39"/>
      <c r="AH10" s="34" t="str">
        <f>IFERROR(__xludf.DUMMYFUNCTION("""COMPUTED_VALUE"""),"PROCESO DE SELECCIÓN")</f>
        <v>PROCESO DE SELECCIÓN</v>
      </c>
      <c r="AI10" s="34" t="str">
        <f>IFERROR(__xludf.DUMMYFUNCTION("""COMPUTED_VALUE""")," - ")</f>
        <v> - </v>
      </c>
      <c r="AJ10" s="34"/>
      <c r="AK10" s="34" t="str">
        <f>IFERROR(__xludf.DUMMYFUNCTION("""COMPUTED_VALUE"""),"E")</f>
        <v>E</v>
      </c>
      <c r="AL10">
        <f>IFERROR(__xludf.DUMMYFUNCTION("""COMPUTED_VALUE"""),37.0)</f>
        <v>37</v>
      </c>
      <c r="AM10">
        <f>IFERROR(__xludf.DUMMYFUNCTION("""COMPUTED_VALUE"""),2019.0)</f>
        <v>2019</v>
      </c>
      <c r="AN10" t="str">
        <f t="shared" si="1"/>
        <v>09966232-8</v>
      </c>
    </row>
    <row r="11">
      <c r="A11" s="33">
        <f>IFERROR(__xludf.DUMMYFUNCTION("""COMPUTED_VALUE"""),1.4192009E7)</f>
        <v>14192009</v>
      </c>
      <c r="B11" s="33">
        <f>IFERROR(__xludf.DUMMYFUNCTION("""COMPUTED_VALUE"""),10.0)</f>
        <v>10</v>
      </c>
      <c r="C11" s="33" t="str">
        <f>IFERROR(__xludf.DUMMYFUNCTION("""COMPUTED_VALUE"""),"A304")</f>
        <v>A304</v>
      </c>
      <c r="D11" s="34" t="str">
        <f>IFERROR(__xludf.DUMMYFUNCTION("""COMPUTED_VALUE"""),"15")</f>
        <v>15</v>
      </c>
      <c r="E11" s="34" t="str">
        <f>IFERROR(__xludf.DUMMYFUNCTION("""COMPUTED_VALUE"""),"UNIDAD DE REGISTRO ACADEMICO Y CURRICULAR")</f>
        <v>UNIDAD DE REGISTRO ACADEMICO Y CURRICULAR</v>
      </c>
      <c r="F11" s="34" t="str">
        <f>IFERROR(__xludf.DUMMYFUNCTION("""COMPUTED_VALUE"""),"Analista de Gestión Administrativa")</f>
        <v>Analista de Gestión Administrativa</v>
      </c>
      <c r="G11" s="33" t="str">
        <f>IFERROR(__xludf.DUMMYFUNCTION("""COMPUTED_VALUE"""),"ANALISTA DE GESTION ADMINISTRATIVA")</f>
        <v>ANALISTA DE GESTION ADMINISTRATIVA</v>
      </c>
      <c r="H11">
        <f>IFERROR(__xludf.DUMMYFUNCTION("""COMPUTED_VALUE"""),14.0)</f>
        <v>14</v>
      </c>
      <c r="I11" s="34" t="str">
        <f>IFERROR(__xludf.DUMMYFUNCTION("""COMPUTED_VALUE"""),"Jornada Completa")</f>
        <v>Jornada Completa</v>
      </c>
      <c r="J11" s="33" t="str">
        <f>IFERROR(__xludf.DUMMYFUNCTION("""COMPUTED_VALUE"""),"A CONTRATA")</f>
        <v>A CONTRATA</v>
      </c>
      <c r="K11" s="33" t="str">
        <f>IFERROR(__xludf.DUMMYFUNCTION("""COMPUTED_VALUE"""),"PROFESIONAL")</f>
        <v>PROFESIONAL</v>
      </c>
      <c r="L11" s="34" t="str">
        <f>IFERROR(__xludf.DUMMYFUNCTION("""COMPUTED_VALUE"""),"INTERNO")</f>
        <v>INTERNO</v>
      </c>
      <c r="M11" s="34">
        <f>IFERROR(__xludf.DUMMYFUNCTION("""COMPUTED_VALUE"""),6.0)</f>
        <v>6</v>
      </c>
      <c r="N11" s="34" t="str">
        <f>IFERROR(__xludf.DUMMYFUNCTION("""COMPUTED_VALUE"""),"NO")</f>
        <v>NO</v>
      </c>
      <c r="P11">
        <f>IFERROR(__xludf.DUMMYFUNCTION("""COMPUTED_VALUE"""),2.0)</f>
        <v>2</v>
      </c>
      <c r="Q11" s="35">
        <f>IFERROR(__xludf.DUMMYFUNCTION("""COMPUTED_VALUE"""),0.0)</f>
        <v>0</v>
      </c>
      <c r="R11" s="36" t="str">
        <f>IFERROR(__xludf.DUMMYFUNCTION("""COMPUTED_VALUE"""),"SELECCIONADA")</f>
        <v>SELECCIONADA</v>
      </c>
      <c r="S11" s="37">
        <f>IFERROR(__xludf.DUMMYFUNCTION("""COMPUTED_VALUE"""),43622.0)</f>
        <v>43622</v>
      </c>
      <c r="T11" s="34" t="str">
        <f>IFERROR(__xludf.DUMMYFUNCTION("""COMPUTED_VALUE"""),"SANDOVAL MUNOZ PAMELA SUSANA")</f>
        <v>SANDOVAL MUNOZ PAMELA SUSANA</v>
      </c>
      <c r="V11" t="str">
        <f>IFERROR(__xludf.DUMMYFUNCTION("""COMPUTED_VALUE"""),"14192009-K")</f>
        <v>14192009-K</v>
      </c>
      <c r="W11" t="str">
        <f>IFERROR(__xludf.DUMMYFUNCTION("""COMPUTED_VALUE"""),"SI")</f>
        <v>SI</v>
      </c>
      <c r="X11" t="str">
        <f>IFERROR(__xludf.DUMMYFUNCTION("""COMPUTED_VALUE"""),"Capacidad de Planificacion y Organizacion")</f>
        <v>Capacidad de Planificacion y Organizacion</v>
      </c>
      <c r="AA11" s="38">
        <f>IFERROR(__xludf.DUMMYFUNCTION("""COMPUTED_VALUE"""),43563.0)</f>
        <v>43563</v>
      </c>
      <c r="AB11" s="38">
        <f>IFERROR(__xludf.DUMMYFUNCTION("""COMPUTED_VALUE"""),43570.0)</f>
        <v>43570</v>
      </c>
      <c r="AF11" s="39"/>
      <c r="AG11" s="39"/>
      <c r="AH11" s="34" t="str">
        <f>IFERROR(__xludf.DUMMYFUNCTION("""COMPUTED_VALUE"""),"PROCESO DE SELECCIÓN")</f>
        <v>PROCESO DE SELECCIÓN</v>
      </c>
      <c r="AI11" s="34" t="str">
        <f>IFERROR(__xludf.DUMMYFUNCTION("""COMPUTED_VALUE"""),"-")</f>
        <v>-</v>
      </c>
      <c r="AJ11" s="34"/>
      <c r="AK11" s="34" t="str">
        <f>IFERROR(__xludf.DUMMYFUNCTION("""COMPUTED_VALUE"""),"C")</f>
        <v>C</v>
      </c>
      <c r="AL11">
        <f>IFERROR(__xludf.DUMMYFUNCTION("""COMPUTED_VALUE"""),39.0)</f>
        <v>39</v>
      </c>
      <c r="AM11">
        <f>IFERROR(__xludf.DUMMYFUNCTION("""COMPUTED_VALUE"""),2019.0)</f>
        <v>2019</v>
      </c>
      <c r="AN11" t="str">
        <f t="shared" si="1"/>
        <v>14192009-K</v>
      </c>
    </row>
    <row r="12">
      <c r="A12" s="33">
        <f>IFERROR(__xludf.DUMMYFUNCTION("""COMPUTED_VALUE"""),1.5374087E7)</f>
        <v>15374087</v>
      </c>
      <c r="B12" s="33">
        <f>IFERROR(__xludf.DUMMYFUNCTION("""COMPUTED_VALUE"""),11.0)</f>
        <v>11</v>
      </c>
      <c r="C12" s="33" t="str">
        <f>IFERROR(__xludf.DUMMYFUNCTION("""COMPUTED_VALUE"""),"A315")</f>
        <v>A315</v>
      </c>
      <c r="D12" s="34" t="str">
        <f>IFERROR(__xludf.DUMMYFUNCTION("""COMPUTED_VALUE"""),"15")</f>
        <v>15</v>
      </c>
      <c r="E12" s="34" t="str">
        <f>IFERROR(__xludf.DUMMYFUNCTION("""COMPUTED_VALUE"""),"UNIDAD DE REGISTRO ACADEMICO Y CURRICULAR")</f>
        <v>UNIDAD DE REGISTRO ACADEMICO Y CURRICULAR</v>
      </c>
      <c r="F12" s="34" t="str">
        <f>IFERROR(__xludf.DUMMYFUNCTION("""COMPUTED_VALUE"""),"Analista Informático")</f>
        <v>Analista Informático</v>
      </c>
      <c r="G12" s="33" t="str">
        <f>IFERROR(__xludf.DUMMYFUNCTION("""COMPUTED_VALUE"""),"ANALISTA INFORMÁTICO")</f>
        <v>ANALISTA INFORMÁTICO</v>
      </c>
      <c r="H12">
        <f>IFERROR(__xludf.DUMMYFUNCTION("""COMPUTED_VALUE"""),10.0)</f>
        <v>10</v>
      </c>
      <c r="I12" s="34" t="str">
        <f>IFERROR(__xludf.DUMMYFUNCTION("""COMPUTED_VALUE"""),"Jornada Completa")</f>
        <v>Jornada Completa</v>
      </c>
      <c r="J12" s="33" t="str">
        <f>IFERROR(__xludf.DUMMYFUNCTION("""COMPUTED_VALUE"""),"A CONTRATA")</f>
        <v>A CONTRATA</v>
      </c>
      <c r="K12" s="33" t="str">
        <f>IFERROR(__xludf.DUMMYFUNCTION("""COMPUTED_VALUE"""),"PROFESIONAL")</f>
        <v>PROFESIONAL</v>
      </c>
      <c r="L12" s="34" t="str">
        <f>IFERROR(__xludf.DUMMYFUNCTION("""COMPUTED_VALUE"""),"INTERNO")</f>
        <v>INTERNO</v>
      </c>
      <c r="M12" s="34">
        <f>IFERROR(__xludf.DUMMYFUNCTION("""COMPUTED_VALUE"""),2.0)</f>
        <v>2</v>
      </c>
      <c r="N12" s="34" t="str">
        <f>IFERROR(__xludf.DUMMYFUNCTION("""COMPUTED_VALUE"""),"NO")</f>
        <v>NO</v>
      </c>
      <c r="P12">
        <f>IFERROR(__xludf.DUMMYFUNCTION("""COMPUTED_VALUE"""),1.0)</f>
        <v>1</v>
      </c>
      <c r="Q12" s="35">
        <f>IFERROR(__xludf.DUMMYFUNCTION("""COMPUTED_VALUE"""),0.0)</f>
        <v>0</v>
      </c>
      <c r="R12" s="36" t="str">
        <f>IFERROR(__xludf.DUMMYFUNCTION("""COMPUTED_VALUE"""),"SELECCIONADA")</f>
        <v>SELECCIONADA</v>
      </c>
      <c r="S12" s="37">
        <f>IFERROR(__xludf.DUMMYFUNCTION("""COMPUTED_VALUE"""),43621.0)</f>
        <v>43621</v>
      </c>
      <c r="T12" s="34" t="str">
        <f>IFERROR(__xludf.DUMMYFUNCTION("""COMPUTED_VALUE"""),"CUEVAS GALLARDO MARIA LUISA")</f>
        <v>CUEVAS GALLARDO MARIA LUISA</v>
      </c>
      <c r="V12" t="str">
        <f>IFERROR(__xludf.DUMMYFUNCTION("""COMPUTED_VALUE"""),"15374087-9")</f>
        <v>15374087-9</v>
      </c>
      <c r="W12" t="str">
        <f>IFERROR(__xludf.DUMMYFUNCTION("""COMPUTED_VALUE"""),"SI")</f>
        <v>SI</v>
      </c>
      <c r="X12" t="str">
        <f>IFERROR(__xludf.DUMMYFUNCTION("""COMPUTED_VALUE"""),"Capacidad de Planificacion y Organizacion")</f>
        <v>Capacidad de Planificacion y Organizacion</v>
      </c>
      <c r="Y12" t="str">
        <f>IFERROR(__xludf.DUMMYFUNCTION("""COMPUTED_VALUE"""),"Pensamiento Analitico")</f>
        <v>Pensamiento Analitico</v>
      </c>
      <c r="AA12" s="38">
        <f>IFERROR(__xludf.DUMMYFUNCTION("""COMPUTED_VALUE"""),43565.0)</f>
        <v>43565</v>
      </c>
      <c r="AB12" s="38">
        <f>IFERROR(__xludf.DUMMYFUNCTION("""COMPUTED_VALUE"""),43572.0)</f>
        <v>43572</v>
      </c>
      <c r="AF12" s="39"/>
      <c r="AG12" s="39"/>
      <c r="AH12" s="34" t="str">
        <f>IFERROR(__xludf.DUMMYFUNCTION("""COMPUTED_VALUE"""),"PROCESO DE SELECCIÓN")</f>
        <v>PROCESO DE SELECCIÓN</v>
      </c>
      <c r="AI12" s="34" t="str">
        <f>IFERROR(__xludf.DUMMYFUNCTION("""COMPUTED_VALUE"""),"-")</f>
        <v>-</v>
      </c>
      <c r="AJ12" s="34"/>
      <c r="AK12" s="34" t="str">
        <f>IFERROR(__xludf.DUMMYFUNCTION("""COMPUTED_VALUE"""),"C")</f>
        <v>C</v>
      </c>
      <c r="AL12">
        <f>IFERROR(__xludf.DUMMYFUNCTION("""COMPUTED_VALUE"""),36.0)</f>
        <v>36</v>
      </c>
      <c r="AM12">
        <f>IFERROR(__xludf.DUMMYFUNCTION("""COMPUTED_VALUE"""),2019.0)</f>
        <v>2019</v>
      </c>
      <c r="AN12" t="str">
        <f t="shared" si="1"/>
        <v>15374087-9</v>
      </c>
    </row>
    <row r="13">
      <c r="A13" s="33">
        <f>IFERROR(__xludf.DUMMYFUNCTION("""COMPUTED_VALUE"""),1.6648725E7)</f>
        <v>16648725</v>
      </c>
      <c r="B13" s="33">
        <f>IFERROR(__xludf.DUMMYFUNCTION("""COMPUTED_VALUE"""),12.0)</f>
        <v>12</v>
      </c>
      <c r="C13" s="33" t="str">
        <f>IFERROR(__xludf.DUMMYFUNCTION("""COMPUTED_VALUE"""),"A314")</f>
        <v>A314</v>
      </c>
      <c r="D13" s="34" t="str">
        <f>IFERROR(__xludf.DUMMYFUNCTION("""COMPUTED_VALUE"""),"5")</f>
        <v>5</v>
      </c>
      <c r="E13" s="34" t="str">
        <f>IFERROR(__xludf.DUMMYFUNCTION("""COMPUTED_VALUE"""),"SECRETARIA GENERAL")</f>
        <v>SECRETARIA GENERAL</v>
      </c>
      <c r="F13" s="34" t="str">
        <f>IFERROR(__xludf.DUMMYFUNCTION("""COMPUTED_VALUE"""),"Secretario(a) B")</f>
        <v>Secretario(a) B</v>
      </c>
      <c r="G13" s="33" t="str">
        <f>IFERROR(__xludf.DUMMYFUNCTION("""COMPUTED_VALUE"""),"SECRETARIA B")</f>
        <v>SECRETARIA B</v>
      </c>
      <c r="H13">
        <f>IFERROR(__xludf.DUMMYFUNCTION("""COMPUTED_VALUE"""),17.0)</f>
        <v>17</v>
      </c>
      <c r="I13" s="34" t="str">
        <f>IFERROR(__xludf.DUMMYFUNCTION("""COMPUTED_VALUE"""),"Jornada Completa")</f>
        <v>Jornada Completa</v>
      </c>
      <c r="J13" s="33" t="str">
        <f>IFERROR(__xludf.DUMMYFUNCTION("""COMPUTED_VALUE"""),"A CONTRATA")</f>
        <v>A CONTRATA</v>
      </c>
      <c r="K13" s="33" t="str">
        <f>IFERROR(__xludf.DUMMYFUNCTION("""COMPUTED_VALUE"""),"ADMINISTRATIVO")</f>
        <v>ADMINISTRATIVO</v>
      </c>
      <c r="L13" s="34" t="str">
        <f>IFERROR(__xludf.DUMMYFUNCTION("""COMPUTED_VALUE"""),"INTERNO")</f>
        <v>INTERNO</v>
      </c>
      <c r="M13" s="34">
        <f>IFERROR(__xludf.DUMMYFUNCTION("""COMPUTED_VALUE"""),4.0)</f>
        <v>4</v>
      </c>
      <c r="N13" s="34" t="str">
        <f>IFERROR(__xludf.DUMMYFUNCTION("""COMPUTED_VALUE"""),"NO")</f>
        <v>NO</v>
      </c>
      <c r="P13">
        <f>IFERROR(__xludf.DUMMYFUNCTION("""COMPUTED_VALUE"""),1.0)</f>
        <v>1</v>
      </c>
      <c r="Q13" s="35">
        <f>IFERROR(__xludf.DUMMYFUNCTION("""COMPUTED_VALUE"""),0.0)</f>
        <v>0</v>
      </c>
      <c r="R13" s="36" t="str">
        <f>IFERROR(__xludf.DUMMYFUNCTION("""COMPUTED_VALUE"""),"SELECCIONADA")</f>
        <v>SELECCIONADA</v>
      </c>
      <c r="S13" s="37">
        <f>IFERROR(__xludf.DUMMYFUNCTION("""COMPUTED_VALUE"""),43626.0)</f>
        <v>43626</v>
      </c>
      <c r="T13" s="34" t="str">
        <f>IFERROR(__xludf.DUMMYFUNCTION("""COMPUTED_VALUE"""),"SEPULVEDA ROJAS DANIELA NICOLE")</f>
        <v>SEPULVEDA ROJAS DANIELA NICOLE</v>
      </c>
      <c r="V13" t="str">
        <f>IFERROR(__xludf.DUMMYFUNCTION("""COMPUTED_VALUE"""),"16648725-0")</f>
        <v>16648725-0</v>
      </c>
      <c r="W13" t="str">
        <f>IFERROR(__xludf.DUMMYFUNCTION("""COMPUTED_VALUE"""),"SI")</f>
        <v>SI</v>
      </c>
      <c r="X13" t="str">
        <f>IFERROR(__xludf.DUMMYFUNCTION("""COMPUTED_VALUE"""),"Franqueza- Confiabilidad- Integridad")</f>
        <v>Franqueza- Confiabilidad- Integridad</v>
      </c>
      <c r="AA13" s="38">
        <f>IFERROR(__xludf.DUMMYFUNCTION("""COMPUTED_VALUE"""),43565.0)</f>
        <v>43565</v>
      </c>
      <c r="AB13" s="38">
        <f>IFERROR(__xludf.DUMMYFUNCTION("""COMPUTED_VALUE"""),43572.0)</f>
        <v>43572</v>
      </c>
      <c r="AF13" s="39"/>
      <c r="AG13" s="39"/>
      <c r="AH13" s="34" t="str">
        <f>IFERROR(__xludf.DUMMYFUNCTION("""COMPUTED_VALUE"""),"PROCESO DE SELECCIÓN")</f>
        <v>PROCESO DE SELECCIÓN</v>
      </c>
      <c r="AI13" s="34" t="str">
        <f>IFERROR(__xludf.DUMMYFUNCTION("""COMPUTED_VALUE"""),"-")</f>
        <v>-</v>
      </c>
      <c r="AJ13" s="34"/>
      <c r="AK13" s="34" t="str">
        <f>IFERROR(__xludf.DUMMYFUNCTION("""COMPUTED_VALUE"""),"C")</f>
        <v>C</v>
      </c>
      <c r="AL13">
        <f>IFERROR(__xludf.DUMMYFUNCTION("""COMPUTED_VALUE"""),39.0)</f>
        <v>39</v>
      </c>
      <c r="AM13">
        <f>IFERROR(__xludf.DUMMYFUNCTION("""COMPUTED_VALUE"""),2019.0)</f>
        <v>2019</v>
      </c>
      <c r="AN13" t="str">
        <f t="shared" si="1"/>
        <v>16648725-0</v>
      </c>
    </row>
    <row r="14">
      <c r="A14" s="33">
        <f>IFERROR(__xludf.DUMMYFUNCTION("""COMPUTED_VALUE"""),1.9183281E7)</f>
        <v>19183281</v>
      </c>
      <c r="B14" s="33">
        <f>IFERROR(__xludf.DUMMYFUNCTION("""COMPUTED_VALUE"""),13.0)</f>
        <v>13</v>
      </c>
      <c r="C14" s="33" t="str">
        <f>IFERROR(__xludf.DUMMYFUNCTION("""COMPUTED_VALUE"""),"A302")</f>
        <v>A302</v>
      </c>
      <c r="D14" s="34" t="str">
        <f>IFERROR(__xludf.DUMMYFUNCTION("""COMPUTED_VALUE"""),"15")</f>
        <v>15</v>
      </c>
      <c r="E14" s="34" t="str">
        <f>IFERROR(__xludf.DUMMYFUNCTION("""COMPUTED_VALUE"""),"UNIDAD DE REGISTRO ACADEMICO Y CURRICULAR")</f>
        <v>UNIDAD DE REGISTRO ACADEMICO Y CURRICULAR</v>
      </c>
      <c r="F14" s="34" t="str">
        <f>IFERROR(__xludf.DUMMYFUNCTION("""COMPUTED_VALUE"""),"Administrativo(a) de Registro Curricular")</f>
        <v>Administrativo(a) de Registro Curricular</v>
      </c>
      <c r="G14" s="33" t="str">
        <f>IFERROR(__xludf.DUMMYFUNCTION("""COMPUTED_VALUE"""),"ADMINISTRATIVA DE REGISTRO CURRICULAR ( TITULADORA)")</f>
        <v>ADMINISTRATIVA DE REGISTRO CURRICULAR ( TITULADORA)</v>
      </c>
      <c r="H14">
        <f>IFERROR(__xludf.DUMMYFUNCTION("""COMPUTED_VALUE"""),17.0)</f>
        <v>17</v>
      </c>
      <c r="I14" s="34" t="str">
        <f>IFERROR(__xludf.DUMMYFUNCTION("""COMPUTED_VALUE"""),"Jornada Completa")</f>
        <v>Jornada Completa</v>
      </c>
      <c r="J14" s="33" t="str">
        <f>IFERROR(__xludf.DUMMYFUNCTION("""COMPUTED_VALUE"""),"A CONTRATA")</f>
        <v>A CONTRATA</v>
      </c>
      <c r="K14" s="33" t="str">
        <f>IFERROR(__xludf.DUMMYFUNCTION("""COMPUTED_VALUE"""),"ADMINISTRATIVO")</f>
        <v>ADMINISTRATIVO</v>
      </c>
      <c r="L14" s="34" t="str">
        <f>IFERROR(__xludf.DUMMYFUNCTION("""COMPUTED_VALUE"""),"INTERNO")</f>
        <v>INTERNO</v>
      </c>
      <c r="M14" s="34">
        <f>IFERROR(__xludf.DUMMYFUNCTION("""COMPUTED_VALUE"""),5.0)</f>
        <v>5</v>
      </c>
      <c r="N14" s="34" t="str">
        <f>IFERROR(__xludf.DUMMYFUNCTION("""COMPUTED_VALUE"""),"NO")</f>
        <v>NO</v>
      </c>
      <c r="P14">
        <f>IFERROR(__xludf.DUMMYFUNCTION("""COMPUTED_VALUE"""),3.0)</f>
        <v>3</v>
      </c>
      <c r="Q14" s="35">
        <f>IFERROR(__xludf.DUMMYFUNCTION("""COMPUTED_VALUE"""),0.0)</f>
        <v>0</v>
      </c>
      <c r="R14" s="36" t="str">
        <f>IFERROR(__xludf.DUMMYFUNCTION("""COMPUTED_VALUE"""),"SELECCIONADA")</f>
        <v>SELECCIONADA</v>
      </c>
      <c r="S14" s="37">
        <f>IFERROR(__xludf.DUMMYFUNCTION("""COMPUTED_VALUE"""),43621.0)</f>
        <v>43621</v>
      </c>
      <c r="T14" s="34" t="str">
        <f>IFERROR(__xludf.DUMMYFUNCTION("""COMPUTED_VALUE"""),"RODRIGUEZ MARTINEZ FRANCISCA GIOVANNA")</f>
        <v>RODRIGUEZ MARTINEZ FRANCISCA GIOVANNA</v>
      </c>
      <c r="V14" t="str">
        <f>IFERROR(__xludf.DUMMYFUNCTION("""COMPUTED_VALUE"""),"19183281-7")</f>
        <v>19183281-7</v>
      </c>
      <c r="W14" t="str">
        <f>IFERROR(__xludf.DUMMYFUNCTION("""COMPUTED_VALUE"""),"SI")</f>
        <v>SI</v>
      </c>
      <c r="X14" t="str">
        <f>IFERROR(__xludf.DUMMYFUNCTION("""COMPUTED_VALUE"""),"Trabajo en Equipo")</f>
        <v>Trabajo en Equipo</v>
      </c>
      <c r="AA14" s="38">
        <f>IFERROR(__xludf.DUMMYFUNCTION("""COMPUTED_VALUE"""),43563.0)</f>
        <v>43563</v>
      </c>
      <c r="AB14" s="38">
        <f>IFERROR(__xludf.DUMMYFUNCTION("""COMPUTED_VALUE"""),43570.0)</f>
        <v>43570</v>
      </c>
      <c r="AF14" s="39"/>
      <c r="AG14" s="39"/>
      <c r="AH14" s="34" t="str">
        <f>IFERROR(__xludf.DUMMYFUNCTION("""COMPUTED_VALUE"""),"PROCESO DE SELECCIÓN")</f>
        <v>PROCESO DE SELECCIÓN</v>
      </c>
      <c r="AI14" s="34" t="str">
        <f>IFERROR(__xludf.DUMMYFUNCTION("""COMPUTED_VALUE"""),"-")</f>
        <v>-</v>
      </c>
      <c r="AJ14" s="34"/>
      <c r="AK14" s="34" t="str">
        <f>IFERROR(__xludf.DUMMYFUNCTION("""COMPUTED_VALUE"""),"C")</f>
        <v>C</v>
      </c>
      <c r="AL14">
        <f>IFERROR(__xludf.DUMMYFUNCTION("""COMPUTED_VALUE"""),38.0)</f>
        <v>38</v>
      </c>
      <c r="AM14">
        <f>IFERROR(__xludf.DUMMYFUNCTION("""COMPUTED_VALUE"""),2019.0)</f>
        <v>2019</v>
      </c>
      <c r="AN14" t="str">
        <f t="shared" si="1"/>
        <v>19183281-7</v>
      </c>
    </row>
    <row r="15">
      <c r="A15" s="33">
        <f>IFERROR(__xludf.DUMMYFUNCTION("""COMPUTED_VALUE"""),1.7106896E7)</f>
        <v>17106896</v>
      </c>
      <c r="B15" s="33">
        <f>IFERROR(__xludf.DUMMYFUNCTION("""COMPUTED_VALUE"""),14.0)</f>
        <v>14</v>
      </c>
      <c r="C15" s="33" t="str">
        <f>IFERROR(__xludf.DUMMYFUNCTION("""COMPUTED_VALUE"""),"ACTA2019-29")</f>
        <v>ACTA2019-29</v>
      </c>
      <c r="D15" s="34" t="str">
        <f>IFERROR(__xludf.DUMMYFUNCTION("""COMPUTED_VALUE"""),"3")</f>
        <v>3</v>
      </c>
      <c r="E15" s="34" t="str">
        <f>IFERROR(__xludf.DUMMYFUNCTION("""COMPUTED_VALUE"""),"UNIDAD DE ADQUISICIONES")</f>
        <v>UNIDAD DE ADQUISICIONES</v>
      </c>
      <c r="F15" s="34" t="str">
        <f>IFERROR(__xludf.DUMMYFUNCTION("""COMPUTED_VALUE"""),"Técnico(a) de Compras")</f>
        <v>Técnico(a) de Compras</v>
      </c>
      <c r="G15" s="33" t="str">
        <f>IFERROR(__xludf.DUMMYFUNCTION("""COMPUTED_VALUE"""),"TECNICA DE COMPRAS")</f>
        <v>TECNICA DE COMPRAS</v>
      </c>
      <c r="H15">
        <f>IFERROR(__xludf.DUMMYFUNCTION("""COMPUTED_VALUE"""),14.0)</f>
        <v>14</v>
      </c>
      <c r="I15" s="34" t="str">
        <f>IFERROR(__xludf.DUMMYFUNCTION("""COMPUTED_VALUE"""),"Jornada Completa")</f>
        <v>Jornada Completa</v>
      </c>
      <c r="J15" s="33" t="str">
        <f>IFERROR(__xludf.DUMMYFUNCTION("""COMPUTED_VALUE"""),"A CONTRATA")</f>
        <v>A CONTRATA</v>
      </c>
      <c r="K15" s="33" t="str">
        <f>IFERROR(__xludf.DUMMYFUNCTION("""COMPUTED_VALUE"""),"TECNICO")</f>
        <v>TECNICO</v>
      </c>
      <c r="L15" s="34" t="str">
        <f>IFERROR(__xludf.DUMMYFUNCTION("""COMPUTED_VALUE"""),"INTERNO")</f>
        <v>INTERNO</v>
      </c>
      <c r="M15" s="34">
        <f>IFERROR(__xludf.DUMMYFUNCTION("""COMPUTED_VALUE"""),4.0)</f>
        <v>4</v>
      </c>
      <c r="N15" s="34" t="str">
        <f>IFERROR(__xludf.DUMMYFUNCTION("""COMPUTED_VALUE"""),"NO")</f>
        <v>NO</v>
      </c>
      <c r="P15">
        <f>IFERROR(__xludf.DUMMYFUNCTION("""COMPUTED_VALUE"""),2.0)</f>
        <v>2</v>
      </c>
      <c r="Q15" s="35">
        <f>IFERROR(__xludf.DUMMYFUNCTION("""COMPUTED_VALUE"""),0.0)</f>
        <v>0</v>
      </c>
      <c r="R15" s="36" t="str">
        <f>IFERROR(__xludf.DUMMYFUNCTION("""COMPUTED_VALUE"""),"SELECCIONADA")</f>
        <v>SELECCIONADA</v>
      </c>
      <c r="S15" s="37">
        <f>IFERROR(__xludf.DUMMYFUNCTION("""COMPUTED_VALUE"""),43647.0)</f>
        <v>43647</v>
      </c>
      <c r="T15" s="34" t="str">
        <f>IFERROR(__xludf.DUMMYFUNCTION("""COMPUTED_VALUE"""),"GARCIA LOPEZ CAMILA MARGARITA")</f>
        <v>GARCIA LOPEZ CAMILA MARGARITA</v>
      </c>
      <c r="V15" t="str">
        <f>IFERROR(__xludf.DUMMYFUNCTION("""COMPUTED_VALUE"""),"17106896-7")</f>
        <v>17106896-7</v>
      </c>
      <c r="W15" t="str">
        <f>IFERROR(__xludf.DUMMYFUNCTION("""COMPUTED_VALUE"""),"SI")</f>
        <v>SI</v>
      </c>
      <c r="X15" t="str">
        <f>IFERROR(__xludf.DUMMYFUNCTION("""COMPUTED_VALUE"""),"Orientacion a los Resultados")</f>
        <v>Orientacion a los Resultados</v>
      </c>
      <c r="AA15" s="38">
        <f>IFERROR(__xludf.DUMMYFUNCTION("""COMPUTED_VALUE"""),43530.0)</f>
        <v>43530</v>
      </c>
      <c r="AB15" s="38">
        <f>IFERROR(__xludf.DUMMYFUNCTION("""COMPUTED_VALUE"""),43538.0)</f>
        <v>43538</v>
      </c>
      <c r="AF15" s="39"/>
      <c r="AG15" s="39"/>
      <c r="AH15" s="34" t="str">
        <f>IFERROR(__xludf.DUMMYFUNCTION("""COMPUTED_VALUE"""),"PROCESO DE SELECCIÓN")</f>
        <v>PROCESO DE SELECCIÓN</v>
      </c>
      <c r="AI15" s="34" t="str">
        <f>IFERROR(__xludf.DUMMYFUNCTION("""COMPUTED_VALUE"""),"PAVEZ MIRANDA CAROLYN")</f>
        <v>PAVEZ MIRANDA CAROLYN</v>
      </c>
      <c r="AJ15" s="34"/>
      <c r="AK15" s="34" t="str">
        <f>IFERROR(__xludf.DUMMYFUNCTION("""COMPUTED_VALUE"""),"P")</f>
        <v>P</v>
      </c>
      <c r="AL15">
        <f>IFERROR(__xludf.DUMMYFUNCTION("""COMPUTED_VALUE"""),78.0)</f>
        <v>78</v>
      </c>
      <c r="AM15">
        <f>IFERROR(__xludf.DUMMYFUNCTION("""COMPUTED_VALUE"""),2019.0)</f>
        <v>2019</v>
      </c>
      <c r="AN15" t="str">
        <f t="shared" si="1"/>
        <v>17106896-7</v>
      </c>
    </row>
    <row r="16">
      <c r="A16" s="33">
        <f>IFERROR(__xludf.DUMMYFUNCTION("""COMPUTED_VALUE"""),1.0874837E7)</f>
        <v>10874837</v>
      </c>
      <c r="B16" s="33">
        <f>IFERROR(__xludf.DUMMYFUNCTION("""COMPUTED_VALUE"""),15.0)</f>
        <v>15</v>
      </c>
      <c r="C16" s="33" t="str">
        <f>IFERROR(__xludf.DUMMYFUNCTION("""COMPUTED_VALUE"""),"A323")</f>
        <v>A323</v>
      </c>
      <c r="D16" s="34" t="str">
        <f>IFERROR(__xludf.DUMMYFUNCTION("""COMPUTED_VALUE"""),"15")</f>
        <v>15</v>
      </c>
      <c r="E16" s="34" t="str">
        <f>IFERROR(__xludf.DUMMYFUNCTION("""COMPUTED_VALUE"""),"VR. ACADEMICA")</f>
        <v>VR. ACADEMICA</v>
      </c>
      <c r="F16" s="34" t="str">
        <f>IFERROR(__xludf.DUMMYFUNCTION("""COMPUTED_VALUE"""),"Secretario(a) C")</f>
        <v>Secretario(a) C</v>
      </c>
      <c r="G16" s="33" t="str">
        <f>IFERROR(__xludf.DUMMYFUNCTION("""COMPUTED_VALUE"""),"SECRETARIA C ( PABELLON FORMA)")</f>
        <v>SECRETARIA C ( PABELLON FORMA)</v>
      </c>
      <c r="H16">
        <f>IFERROR(__xludf.DUMMYFUNCTION("""COMPUTED_VALUE"""),20.0)</f>
        <v>20</v>
      </c>
      <c r="I16" s="34" t="str">
        <f>IFERROR(__xludf.DUMMYFUNCTION("""COMPUTED_VALUE"""),"Jornada Completa")</f>
        <v>Jornada Completa</v>
      </c>
      <c r="J16" s="33" t="str">
        <f>IFERROR(__xludf.DUMMYFUNCTION("""COMPUTED_VALUE"""),"A CONTRATA")</f>
        <v>A CONTRATA</v>
      </c>
      <c r="K16" s="33" t="str">
        <f>IFERROR(__xludf.DUMMYFUNCTION("""COMPUTED_VALUE"""),"ADMINISTRATIVO")</f>
        <v>ADMINISTRATIVO</v>
      </c>
      <c r="L16" s="34" t="str">
        <f>IFERROR(__xludf.DUMMYFUNCTION("""COMPUTED_VALUE"""),"INTERNO")</f>
        <v>INTERNO</v>
      </c>
      <c r="M16" s="34">
        <f>IFERROR(__xludf.DUMMYFUNCTION("""COMPUTED_VALUE"""),1.0)</f>
        <v>1</v>
      </c>
      <c r="N16" s="34" t="str">
        <f>IFERROR(__xludf.DUMMYFUNCTION("""COMPUTED_VALUE"""),"NO")</f>
        <v>NO</v>
      </c>
      <c r="P16">
        <f>IFERROR(__xludf.DUMMYFUNCTION("""COMPUTED_VALUE"""),1.0)</f>
        <v>1</v>
      </c>
      <c r="Q16" s="35">
        <f>IFERROR(__xludf.DUMMYFUNCTION("""COMPUTED_VALUE"""),0.0)</f>
        <v>0</v>
      </c>
      <c r="R16" s="36" t="str">
        <f>IFERROR(__xludf.DUMMYFUNCTION("""COMPUTED_VALUE"""),"SELECCIONADA")</f>
        <v>SELECCIONADA</v>
      </c>
      <c r="S16" s="37">
        <f>IFERROR(__xludf.DUMMYFUNCTION("""COMPUTED_VALUE"""),43637.0)</f>
        <v>43637</v>
      </c>
      <c r="T16" s="34" t="str">
        <f>IFERROR(__xludf.DUMMYFUNCTION("""COMPUTED_VALUE"""),"FLORES FERNANDEZ ANGELICA MARIA")</f>
        <v>FLORES FERNANDEZ ANGELICA MARIA</v>
      </c>
      <c r="V16" t="str">
        <f>IFERROR(__xludf.DUMMYFUNCTION("""COMPUTED_VALUE"""),"10874837-0")</f>
        <v>10874837-0</v>
      </c>
      <c r="W16" t="str">
        <f>IFERROR(__xludf.DUMMYFUNCTION("""COMPUTED_VALUE"""),"SI")</f>
        <v>SI</v>
      </c>
      <c r="X16" t="str">
        <f>IFERROR(__xludf.DUMMYFUNCTION("""COMPUTED_VALUE"""),"Franqueza- Confiabilidad- Integridad")</f>
        <v>Franqueza- Confiabilidad- Integridad</v>
      </c>
      <c r="AA16" s="38">
        <f>IFERROR(__xludf.DUMMYFUNCTION("""COMPUTED_VALUE"""),43581.0)</f>
        <v>43581</v>
      </c>
      <c r="AB16" s="38">
        <f>IFERROR(__xludf.DUMMYFUNCTION("""COMPUTED_VALUE"""),43588.0)</f>
        <v>43588</v>
      </c>
      <c r="AF16" s="39"/>
      <c r="AG16" s="39"/>
      <c r="AH16" s="34" t="str">
        <f>IFERROR(__xludf.DUMMYFUNCTION("""COMPUTED_VALUE"""),"PROCESO DE SELECCIÓN")</f>
        <v>PROCESO DE SELECCIÓN</v>
      </c>
      <c r="AI16" s="34" t="str">
        <f>IFERROR(__xludf.DUMMYFUNCTION("""COMPUTED_VALUE"""),"- ")</f>
        <v>- </v>
      </c>
      <c r="AJ16" s="34"/>
      <c r="AK16" s="34" t="str">
        <f>IFERROR(__xludf.DUMMYFUNCTION("""COMPUTED_VALUE"""),"C")</f>
        <v>C</v>
      </c>
      <c r="AL16">
        <f>IFERROR(__xludf.DUMMYFUNCTION("""COMPUTED_VALUE"""),36.0)</f>
        <v>36</v>
      </c>
      <c r="AM16">
        <f>IFERROR(__xludf.DUMMYFUNCTION("""COMPUTED_VALUE"""),2019.0)</f>
        <v>2019</v>
      </c>
      <c r="AN16" t="str">
        <f t="shared" si="1"/>
        <v>10874837-0</v>
      </c>
    </row>
    <row r="17">
      <c r="A17" s="33">
        <f>IFERROR(__xludf.DUMMYFUNCTION("""COMPUTED_VALUE"""),1.5426721E7)</f>
        <v>15426721</v>
      </c>
      <c r="B17" s="33">
        <f>IFERROR(__xludf.DUMMYFUNCTION("""COMPUTED_VALUE"""),16.0)</f>
        <v>16</v>
      </c>
      <c r="C17" s="33" t="str">
        <f>IFERROR(__xludf.DUMMYFUNCTION("""COMPUTED_VALUE"""),"A324")</f>
        <v>A324</v>
      </c>
      <c r="D17" s="34" t="str">
        <f>IFERROR(__xludf.DUMMYFUNCTION("""COMPUTED_VALUE"""),"15")</f>
        <v>15</v>
      </c>
      <c r="E17" s="34" t="str">
        <f>IFERROR(__xludf.DUMMYFUNCTION("""COMPUTED_VALUE"""),"VR. ACADEMICA")</f>
        <v>VR. ACADEMICA</v>
      </c>
      <c r="F17" s="34" t="str">
        <f>IFERROR(__xludf.DUMMYFUNCTION("""COMPUTED_VALUE"""),"Mayordomo(a)")</f>
        <v>Mayordomo(a)</v>
      </c>
      <c r="G17" s="33" t="str">
        <f>IFERROR(__xludf.DUMMYFUNCTION("""COMPUTED_VALUE"""),"MAYORDOMO PAÑOLERO ( PABELLON FORMA) DIURNO")</f>
        <v>MAYORDOMO PAÑOLERO ( PABELLON FORMA) DIURNO</v>
      </c>
      <c r="H17">
        <f>IFERROR(__xludf.DUMMYFUNCTION("""COMPUTED_VALUE"""),21.0)</f>
        <v>21</v>
      </c>
      <c r="I17" s="34" t="str">
        <f>IFERROR(__xludf.DUMMYFUNCTION("""COMPUTED_VALUE"""),"Jornada Completa")</f>
        <v>Jornada Completa</v>
      </c>
      <c r="J17" s="33" t="str">
        <f>IFERROR(__xludf.DUMMYFUNCTION("""COMPUTED_VALUE"""),"A CONTRATA")</f>
        <v>A CONTRATA</v>
      </c>
      <c r="K17" s="33" t="str">
        <f>IFERROR(__xludf.DUMMYFUNCTION("""COMPUTED_VALUE"""),"AUXILIAR")</f>
        <v>AUXILIAR</v>
      </c>
      <c r="L17" s="34" t="str">
        <f>IFERROR(__xludf.DUMMYFUNCTION("""COMPUTED_VALUE"""),"INTERNO")</f>
        <v>INTERNO</v>
      </c>
      <c r="M17" s="34">
        <f>IFERROR(__xludf.DUMMYFUNCTION("""COMPUTED_VALUE"""),1.0)</f>
        <v>1</v>
      </c>
      <c r="N17" s="34" t="str">
        <f>IFERROR(__xludf.DUMMYFUNCTION("""COMPUTED_VALUE"""),"NO")</f>
        <v>NO</v>
      </c>
      <c r="P17">
        <f>IFERROR(__xludf.DUMMYFUNCTION("""COMPUTED_VALUE"""),1.0)</f>
        <v>1</v>
      </c>
      <c r="Q17" s="35">
        <f>IFERROR(__xludf.DUMMYFUNCTION("""COMPUTED_VALUE"""),0.0)</f>
        <v>0</v>
      </c>
      <c r="R17" s="36" t="str">
        <f>IFERROR(__xludf.DUMMYFUNCTION("""COMPUTED_VALUE"""),"SELECCIONADO")</f>
        <v>SELECCIONADO</v>
      </c>
      <c r="S17" s="37">
        <f>IFERROR(__xludf.DUMMYFUNCTION("""COMPUTED_VALUE"""),43637.0)</f>
        <v>43637</v>
      </c>
      <c r="T17" s="34" t="str">
        <f>IFERROR(__xludf.DUMMYFUNCTION("""COMPUTED_VALUE"""),"RIFFO CAMPOS ALEXIS LEONARDO")</f>
        <v>RIFFO CAMPOS ALEXIS LEONARDO</v>
      </c>
      <c r="V17" t="str">
        <f>IFERROR(__xludf.DUMMYFUNCTION("""COMPUTED_VALUE"""),"15426721-2")</f>
        <v>15426721-2</v>
      </c>
      <c r="W17" t="str">
        <f>IFERROR(__xludf.DUMMYFUNCTION("""COMPUTED_VALUE"""),"SI")</f>
        <v>SI</v>
      </c>
      <c r="X17" t="str">
        <f>IFERROR(__xludf.DUMMYFUNCTION("""COMPUTED_VALUE"""),"Iniciativa")</f>
        <v>Iniciativa</v>
      </c>
      <c r="AA17" s="38">
        <f>IFERROR(__xludf.DUMMYFUNCTION("""COMPUTED_VALUE"""),43581.0)</f>
        <v>43581</v>
      </c>
      <c r="AB17" s="38">
        <f>IFERROR(__xludf.DUMMYFUNCTION("""COMPUTED_VALUE"""),43588.0)</f>
        <v>43588</v>
      </c>
      <c r="AF17" s="39"/>
      <c r="AG17" s="39"/>
      <c r="AH17" s="34" t="str">
        <f>IFERROR(__xludf.DUMMYFUNCTION("""COMPUTED_VALUE"""),"PROCESO DE SELECCIÓN")</f>
        <v>PROCESO DE SELECCIÓN</v>
      </c>
      <c r="AI17" s="34" t="str">
        <f>IFERROR(__xludf.DUMMYFUNCTION("""COMPUTED_VALUE"""),"-")</f>
        <v>-</v>
      </c>
      <c r="AJ17" s="34"/>
      <c r="AK17" s="34" t="str">
        <f>IFERROR(__xludf.DUMMYFUNCTION("""COMPUTED_VALUE"""),"C")</f>
        <v>C</v>
      </c>
      <c r="AL17">
        <f>IFERROR(__xludf.DUMMYFUNCTION("""COMPUTED_VALUE"""),36.0)</f>
        <v>36</v>
      </c>
      <c r="AM17">
        <f>IFERROR(__xludf.DUMMYFUNCTION("""COMPUTED_VALUE"""),2019.0)</f>
        <v>2019</v>
      </c>
      <c r="AN17" t="str">
        <f t="shared" si="1"/>
        <v>15426721-2</v>
      </c>
    </row>
    <row r="18">
      <c r="A18" s="33">
        <f>IFERROR(__xludf.DUMMYFUNCTION("""COMPUTED_VALUE"""),1.7831879E7)</f>
        <v>17831879</v>
      </c>
      <c r="B18" s="33">
        <f>IFERROR(__xludf.DUMMYFUNCTION("""COMPUTED_VALUE"""),17.0)</f>
        <v>17</v>
      </c>
      <c r="C18" s="33" t="str">
        <f>IFERROR(__xludf.DUMMYFUNCTION("""COMPUTED_VALUE"""),"IR2018-19")</f>
        <v>IR2018-19</v>
      </c>
      <c r="D18" s="34" t="str">
        <f>IFERROR(__xludf.DUMMYFUNCTION("""COMPUTED_VALUE"""),"3")</f>
        <v>3</v>
      </c>
      <c r="E18" s="34" t="str">
        <f>IFERROR(__xludf.DUMMYFUNCTION("""COMPUTED_VALUE"""),"UNIDAD DE GESTION DEL CAMPUS")</f>
        <v>UNIDAD DE GESTION DEL CAMPUS</v>
      </c>
      <c r="F18" s="34" t="str">
        <f>IFERROR(__xludf.DUMMYFUNCTION("""COMPUTED_VALUE"""),"Asistente de Mantención")</f>
        <v>Asistente de Mantención</v>
      </c>
      <c r="G18" s="33" t="str">
        <f>IFERROR(__xludf.DUMMYFUNCTION("""COMPUTED_VALUE"""),"ASISTENTE DE MANTENCIÓN ( CERRAJERO)")</f>
        <v>ASISTENTE DE MANTENCIÓN ( CERRAJERO)</v>
      </c>
      <c r="H18">
        <f>IFERROR(__xludf.DUMMYFUNCTION("""COMPUTED_VALUE"""),20.0)</f>
        <v>20</v>
      </c>
      <c r="I18" s="34" t="str">
        <f>IFERROR(__xludf.DUMMYFUNCTION("""COMPUTED_VALUE"""),"Jornada Completa")</f>
        <v>Jornada Completa</v>
      </c>
      <c r="J18" s="33" t="str">
        <f>IFERROR(__xludf.DUMMYFUNCTION("""COMPUTED_VALUE"""),"A CONTRATA")</f>
        <v>A CONTRATA</v>
      </c>
      <c r="K18" s="33" t="str">
        <f>IFERROR(__xludf.DUMMYFUNCTION("""COMPUTED_VALUE"""),"TECNICO")</f>
        <v>TECNICO</v>
      </c>
      <c r="L18" s="34" t="str">
        <f>IFERROR(__xludf.DUMMYFUNCTION("""COMPUTED_VALUE"""),"INTERNO")</f>
        <v>INTERNO</v>
      </c>
      <c r="M18" s="34">
        <f>IFERROR(__xludf.DUMMYFUNCTION("""COMPUTED_VALUE"""),1.0)</f>
        <v>1</v>
      </c>
      <c r="N18" s="34" t="str">
        <f>IFERROR(__xludf.DUMMYFUNCTION("""COMPUTED_VALUE"""),"EXTERNO")</f>
        <v>EXTERNO</v>
      </c>
      <c r="O18">
        <f>IFERROR(__xludf.DUMMYFUNCTION("""COMPUTED_VALUE"""),10.0)</f>
        <v>10</v>
      </c>
      <c r="P18">
        <f>IFERROR(__xludf.DUMMYFUNCTION("""COMPUTED_VALUE"""),6.0)</f>
        <v>6</v>
      </c>
      <c r="Q18" s="35">
        <f>IFERROR(__xludf.DUMMYFUNCTION("""COMPUTED_VALUE"""),1.0)</f>
        <v>1</v>
      </c>
      <c r="R18" s="36" t="str">
        <f>IFERROR(__xludf.DUMMYFUNCTION("""COMPUTED_VALUE"""),"SELECCIONADO")</f>
        <v>SELECCIONADO</v>
      </c>
      <c r="S18" s="37">
        <f>IFERROR(__xludf.DUMMYFUNCTION("""COMPUTED_VALUE"""),43626.0)</f>
        <v>43626</v>
      </c>
      <c r="T18" s="34"/>
      <c r="U18" t="str">
        <f>IFERROR(__xludf.DUMMYFUNCTION("""COMPUTED_VALUE"""),"RIQUELME RIQUELME DANIEL")</f>
        <v>RIQUELME RIQUELME DANIEL</v>
      </c>
      <c r="V18" t="str">
        <f>IFERROR(__xludf.DUMMYFUNCTION("""COMPUTED_VALUE"""),"17831879-9")</f>
        <v>17831879-9</v>
      </c>
      <c r="W18" t="str">
        <f>IFERROR(__xludf.DUMMYFUNCTION("""COMPUTED_VALUE"""),"NO")</f>
        <v>NO</v>
      </c>
      <c r="AA18" s="38">
        <f>IFERROR(__xludf.DUMMYFUNCTION("""COMPUTED_VALUE"""),43577.0)</f>
        <v>43577</v>
      </c>
      <c r="AB18" s="38">
        <f>IFERROR(__xludf.DUMMYFUNCTION("""COMPUTED_VALUE"""),43584.0)</f>
        <v>43584</v>
      </c>
      <c r="AF18" s="39"/>
      <c r="AG18" s="39"/>
      <c r="AH18" s="34" t="str">
        <f>IFERROR(__xludf.DUMMYFUNCTION("""COMPUTED_VALUE"""),"PROCESO DE SELECCIÓN")</f>
        <v>PROCESO DE SELECCIÓN</v>
      </c>
      <c r="AI18" s="34" t="str">
        <f>IFERROR(__xludf.DUMMYFUNCTION("""COMPUTED_VALUE"""),"MENARES ARRIAGADA GUILLERMO")</f>
        <v>MENARES ARRIAGADA GUILLERMO</v>
      </c>
      <c r="AJ18" s="34"/>
      <c r="AK18" s="34" t="str">
        <f>IFERROR(__xludf.DUMMYFUNCTION("""COMPUTED_VALUE"""),"E")</f>
        <v>E</v>
      </c>
      <c r="AL18">
        <f>IFERROR(__xludf.DUMMYFUNCTION("""COMPUTED_VALUE"""),31.0)</f>
        <v>31</v>
      </c>
      <c r="AM18">
        <f>IFERROR(__xludf.DUMMYFUNCTION("""COMPUTED_VALUE"""),2019.0)</f>
        <v>2019</v>
      </c>
      <c r="AN18" t="str">
        <f t="shared" si="1"/>
        <v>17831879-9</v>
      </c>
    </row>
    <row r="19">
      <c r="A19" s="33">
        <f>IFERROR(__xludf.DUMMYFUNCTION("""COMPUTED_VALUE"""),1.6655351E7)</f>
        <v>16655351</v>
      </c>
      <c r="B19" s="33">
        <f>IFERROR(__xludf.DUMMYFUNCTION("""COMPUTED_VALUE"""),18.0)</f>
        <v>18</v>
      </c>
      <c r="C19" s="33" t="str">
        <f>IFERROR(__xludf.DUMMYFUNCTION("""COMPUTED_VALUE"""),"A270_A")</f>
        <v>A270_A</v>
      </c>
      <c r="D19" s="34" t="str">
        <f>IFERROR(__xludf.DUMMYFUNCTION("""COMPUTED_VALUE"""),"22")</f>
        <v>22</v>
      </c>
      <c r="E19" s="34" t="str">
        <f>IFERROR(__xludf.DUMMYFUNCTION("""COMPUTED_VALUE"""),"UNIDAD DE VOCACION ARTISTICA")</f>
        <v>UNIDAD DE VOCACION ARTISTICA</v>
      </c>
      <c r="F19" s="34" t="str">
        <f>IFERROR(__xludf.DUMMYFUNCTION("""COMPUTED_VALUE"""),"Profesional de Extensión")</f>
        <v>Profesional de Extensión</v>
      </c>
      <c r="G19" s="33" t="str">
        <f>IFERROR(__xludf.DUMMYFUNCTION("""COMPUTED_VALUE"""),"PROFESIONAL DE EXTENSION ( DIRECTOR MUSICAL BALLET FOLCLORICO)")</f>
        <v>PROFESIONAL DE EXTENSION ( DIRECTOR MUSICAL BALLET FOLCLORICO)</v>
      </c>
      <c r="H19">
        <f>IFERROR(__xludf.DUMMYFUNCTION("""COMPUTED_VALUE"""),13.0)</f>
        <v>13</v>
      </c>
      <c r="I19" s="34" t="str">
        <f>IFERROR(__xludf.DUMMYFUNCTION("""COMPUTED_VALUE"""),"1/2 Jornada")</f>
        <v>1/2 Jornada</v>
      </c>
      <c r="J19" s="33" t="str">
        <f>IFERROR(__xludf.DUMMYFUNCTION("""COMPUTED_VALUE"""),"A CONTRATA")</f>
        <v>A CONTRATA</v>
      </c>
      <c r="K19" s="33" t="str">
        <f>IFERROR(__xludf.DUMMYFUNCTION("""COMPUTED_VALUE"""),"PROFESIONAL")</f>
        <v>PROFESIONAL</v>
      </c>
      <c r="L19" s="34" t="str">
        <f>IFERROR(__xludf.DUMMYFUNCTION("""COMPUTED_VALUE"""),"INTERNO")</f>
        <v>INTERNO</v>
      </c>
      <c r="M19" s="34">
        <f>IFERROR(__xludf.DUMMYFUNCTION("""COMPUTED_VALUE"""),1.0)</f>
        <v>1</v>
      </c>
      <c r="N19" s="34" t="str">
        <f>IFERROR(__xludf.DUMMYFUNCTION("""COMPUTED_VALUE"""),"EXTERNO")</f>
        <v>EXTERNO</v>
      </c>
      <c r="O19">
        <f>IFERROR(__xludf.DUMMYFUNCTION("""COMPUTED_VALUE"""),5.0)</f>
        <v>5</v>
      </c>
      <c r="P19">
        <f>IFERROR(__xludf.DUMMYFUNCTION("""COMPUTED_VALUE"""),3.0)</f>
        <v>3</v>
      </c>
      <c r="Q19" s="35">
        <f>IFERROR(__xludf.DUMMYFUNCTION("""COMPUTED_VALUE"""),0.0)</f>
        <v>0</v>
      </c>
      <c r="R19" s="36" t="str">
        <f>IFERROR(__xludf.DUMMYFUNCTION("""COMPUTED_VALUE"""),"SELECCIONADA")</f>
        <v>SELECCIONADA</v>
      </c>
      <c r="S19" s="37">
        <f>IFERROR(__xludf.DUMMYFUNCTION("""COMPUTED_VALUE"""),43647.0)</f>
        <v>43647</v>
      </c>
      <c r="T19" s="34"/>
      <c r="U19" t="str">
        <f>IFERROR(__xludf.DUMMYFUNCTION("""COMPUTED_VALUE"""),"CORNEJO JARA OLGA")</f>
        <v>CORNEJO JARA OLGA</v>
      </c>
      <c r="V19" t="str">
        <f>IFERROR(__xludf.DUMMYFUNCTION("""COMPUTED_VALUE"""),"16655351-2")</f>
        <v>16655351-2</v>
      </c>
      <c r="W19" t="str">
        <f>IFERROR(__xludf.DUMMYFUNCTION("""COMPUTED_VALUE"""),"SI")</f>
        <v>SI</v>
      </c>
      <c r="X19" t="str">
        <f>IFERROR(__xludf.DUMMYFUNCTION("""COMPUTED_VALUE"""),"Conciencia organizacional")</f>
        <v>Conciencia organizacional</v>
      </c>
      <c r="AA19" s="38">
        <f>IFERROR(__xludf.DUMMYFUNCTION("""COMPUTED_VALUE"""),43588.0)</f>
        <v>43588</v>
      </c>
      <c r="AB19" s="38">
        <f>IFERROR(__xludf.DUMMYFUNCTION("""COMPUTED_VALUE"""),43597.0)</f>
        <v>43597</v>
      </c>
      <c r="AF19" s="39"/>
      <c r="AG19" s="39"/>
      <c r="AH19" s="34" t="str">
        <f>IFERROR(__xludf.DUMMYFUNCTION("""COMPUTED_VALUE"""),"PROCESO DE SELECCIÓN")</f>
        <v>PROCESO DE SELECCIÓN</v>
      </c>
      <c r="AI19" s="34" t="str">
        <f>IFERROR(__xludf.DUMMYFUNCTION("""COMPUTED_VALUE"""),"ARIAS ALBORNOZ JOSE")</f>
        <v>ARIAS ALBORNOZ JOSE</v>
      </c>
      <c r="AJ19" s="34"/>
      <c r="AK19" s="34" t="str">
        <f>IFERROR(__xludf.DUMMYFUNCTION("""COMPUTED_VALUE"""),"E")</f>
        <v>E</v>
      </c>
      <c r="AL19">
        <f>IFERROR(__xludf.DUMMYFUNCTION("""COMPUTED_VALUE"""),36.0)</f>
        <v>36</v>
      </c>
      <c r="AM19">
        <f>IFERROR(__xludf.DUMMYFUNCTION("""COMPUTED_VALUE"""),2019.0)</f>
        <v>2019</v>
      </c>
      <c r="AN19" t="str">
        <f t="shared" si="1"/>
        <v>16655351-2</v>
      </c>
    </row>
    <row r="20">
      <c r="A20" s="33">
        <f>IFERROR(__xludf.DUMMYFUNCTION("""COMPUTED_VALUE"""),1.0309289E7)</f>
        <v>10309289</v>
      </c>
      <c r="B20" s="33">
        <f>IFERROR(__xludf.DUMMYFUNCTION("""COMPUTED_VALUE"""),19.0)</f>
        <v>19</v>
      </c>
      <c r="C20" s="33" t="str">
        <f>IFERROR(__xludf.DUMMYFUNCTION("""COMPUTED_VALUE"""),"ACTA2019-04")</f>
        <v>ACTA2019-04</v>
      </c>
      <c r="D20" s="34" t="str">
        <f>IFERROR(__xludf.DUMMYFUNCTION("""COMPUTED_VALUE"""),"15")</f>
        <v>15</v>
      </c>
      <c r="E20" s="34" t="str">
        <f>IFERROR(__xludf.DUMMYFUNCTION("""COMPUTED_VALUE"""),"UNIDAD DE BIBLIOTECAS")</f>
        <v>UNIDAD DE BIBLIOTECAS</v>
      </c>
      <c r="F20" s="34" t="str">
        <f>IFERROR(__xludf.DUMMYFUNCTION("""COMPUTED_VALUE"""),"Bibliotecario(a)")</f>
        <v>Bibliotecario(a)</v>
      </c>
      <c r="G20" s="33" t="str">
        <f>IFERROR(__xludf.DUMMYFUNCTION("""COMPUTED_VALUE"""),"BIBLIOTECARIO")</f>
        <v>BIBLIOTECARIO</v>
      </c>
      <c r="H20">
        <f>IFERROR(__xludf.DUMMYFUNCTION("""COMPUTED_VALUE"""),14.0)</f>
        <v>14</v>
      </c>
      <c r="I20" s="34" t="str">
        <f>IFERROR(__xludf.DUMMYFUNCTION("""COMPUTED_VALUE"""),"Jornada Completa")</f>
        <v>Jornada Completa</v>
      </c>
      <c r="J20" s="33" t="str">
        <f>IFERROR(__xludf.DUMMYFUNCTION("""COMPUTED_VALUE"""),"A CONTRATA")</f>
        <v>A CONTRATA</v>
      </c>
      <c r="K20" s="33" t="str">
        <f>IFERROR(__xludf.DUMMYFUNCTION("""COMPUTED_VALUE"""),"PROFESIONAL")</f>
        <v>PROFESIONAL</v>
      </c>
      <c r="L20" s="34" t="str">
        <f>IFERROR(__xludf.DUMMYFUNCTION("""COMPUTED_VALUE"""),"INTERNO")</f>
        <v>INTERNO</v>
      </c>
      <c r="M20" s="34">
        <f>IFERROR(__xludf.DUMMYFUNCTION("""COMPUTED_VALUE"""),0.0)</f>
        <v>0</v>
      </c>
      <c r="N20" s="34" t="str">
        <f>IFERROR(__xludf.DUMMYFUNCTION("""COMPUTED_VALUE"""),"EXTERNO")</f>
        <v>EXTERNO</v>
      </c>
      <c r="O20">
        <f>IFERROR(__xludf.DUMMYFUNCTION("""COMPUTED_VALUE"""),19.0)</f>
        <v>19</v>
      </c>
      <c r="P20">
        <f>IFERROR(__xludf.DUMMYFUNCTION("""COMPUTED_VALUE"""),1.0)</f>
        <v>1</v>
      </c>
      <c r="Q20" s="35">
        <f>IFERROR(__xludf.DUMMYFUNCTION("""COMPUTED_VALUE"""),0.0)</f>
        <v>0</v>
      </c>
      <c r="R20" s="36" t="str">
        <f>IFERROR(__xludf.DUMMYFUNCTION("""COMPUTED_VALUE"""),"SELECCIONADA")</f>
        <v>SELECCIONADA</v>
      </c>
      <c r="S20" s="37">
        <f>IFERROR(__xludf.DUMMYFUNCTION("""COMPUTED_VALUE"""),43640.0)</f>
        <v>43640</v>
      </c>
      <c r="T20" s="34"/>
      <c r="U20" t="str">
        <f>IFERROR(__xludf.DUMMYFUNCTION("""COMPUTED_VALUE"""),"CALDERON SOTO VERONICA")</f>
        <v>CALDERON SOTO VERONICA</v>
      </c>
      <c r="V20" t="str">
        <f>IFERROR(__xludf.DUMMYFUNCTION("""COMPUTED_VALUE"""),"10309289-2")</f>
        <v>10309289-2</v>
      </c>
      <c r="W20" t="str">
        <f>IFERROR(__xludf.DUMMYFUNCTION("""COMPUTED_VALUE"""),"SI")</f>
        <v>SI</v>
      </c>
      <c r="X20" t="str">
        <f>IFERROR(__xludf.DUMMYFUNCTION("""COMPUTED_VALUE"""),"Trabajo en Equipo")</f>
        <v>Trabajo en Equipo</v>
      </c>
      <c r="AA20" s="38">
        <f>IFERROR(__xludf.DUMMYFUNCTION("""COMPUTED_VALUE"""),43593.0)</f>
        <v>43593</v>
      </c>
      <c r="AB20" s="38">
        <f>IFERROR(__xludf.DUMMYFUNCTION("""COMPUTED_VALUE"""),43600.0)</f>
        <v>43600</v>
      </c>
      <c r="AF20" s="39"/>
      <c r="AG20" s="39"/>
      <c r="AH20" s="34" t="str">
        <f>IFERROR(__xludf.DUMMYFUNCTION("""COMPUTED_VALUE"""),"PROCESO DE SELECCIÓN")</f>
        <v>PROCESO DE SELECCIÓN</v>
      </c>
      <c r="AI20" s="34" t="str">
        <f>IFERROR(__xludf.DUMMYFUNCTION("""COMPUTED_VALUE"""),"-")</f>
        <v>-</v>
      </c>
      <c r="AJ20" s="34"/>
      <c r="AK20" s="34" t="str">
        <f>IFERROR(__xludf.DUMMYFUNCTION("""COMPUTED_VALUE"""),"E")</f>
        <v>E</v>
      </c>
      <c r="AL20">
        <f>IFERROR(__xludf.DUMMYFUNCTION("""COMPUTED_VALUE"""),29.0)</f>
        <v>29</v>
      </c>
      <c r="AM20">
        <f>IFERROR(__xludf.DUMMYFUNCTION("""COMPUTED_VALUE"""),2019.0)</f>
        <v>2019</v>
      </c>
      <c r="AN20" t="str">
        <f t="shared" si="1"/>
        <v>10309289-2</v>
      </c>
    </row>
    <row r="21">
      <c r="A21" s="33">
        <f>IFERROR(__xludf.DUMMYFUNCTION("""COMPUTED_VALUE"""),1.3297941E7)</f>
        <v>13297941</v>
      </c>
      <c r="B21" s="33">
        <f>IFERROR(__xludf.DUMMYFUNCTION("""COMPUTED_VALUE"""),20.0)</f>
        <v>20</v>
      </c>
      <c r="C21" s="33" t="str">
        <f>IFERROR(__xludf.DUMMYFUNCTION("""COMPUTED_VALUE"""),"A286")</f>
        <v>A286</v>
      </c>
      <c r="D21" s="34" t="str">
        <f>IFERROR(__xludf.DUMMYFUNCTION("""COMPUTED_VALUE"""),"3")</f>
        <v>3</v>
      </c>
      <c r="E21" s="34" t="str">
        <f>IFERROR(__xludf.DUMMYFUNCTION("""COMPUTED_VALUE"""),"DPTO. DE RECURSOS HUMANOS")</f>
        <v>DPTO. DE RECURSOS HUMANOS</v>
      </c>
      <c r="F21" s="34" t="str">
        <f>IFERROR(__xludf.DUMMYFUNCTION("""COMPUTED_VALUE"""),"Administrativo(a) de Recursos Humanos")</f>
        <v>Administrativo(a) de Recursos Humanos</v>
      </c>
      <c r="G21" s="33" t="str">
        <f>IFERROR(__xludf.DUMMYFUNCTION("""COMPUTED_VALUE"""),"ADMINISTRATIVO DE RECURSOS HUMANOS")</f>
        <v>ADMINISTRATIVO DE RECURSOS HUMANOS</v>
      </c>
      <c r="H21">
        <f>IFERROR(__xludf.DUMMYFUNCTION("""COMPUTED_VALUE"""),17.0)</f>
        <v>17</v>
      </c>
      <c r="I21" s="34" t="str">
        <f>IFERROR(__xludf.DUMMYFUNCTION("""COMPUTED_VALUE"""),"Jornada Completa")</f>
        <v>Jornada Completa</v>
      </c>
      <c r="J21" s="33" t="str">
        <f>IFERROR(__xludf.DUMMYFUNCTION("""COMPUTED_VALUE"""),"A CONTRATA")</f>
        <v>A CONTRATA</v>
      </c>
      <c r="K21" s="33" t="str">
        <f>IFERROR(__xludf.DUMMYFUNCTION("""COMPUTED_VALUE"""),"ADMINISTRATIVO")</f>
        <v>ADMINISTRATIVO</v>
      </c>
      <c r="L21" s="34" t="str">
        <f>IFERROR(__xludf.DUMMYFUNCTION("""COMPUTED_VALUE"""),"INTERNO")</f>
        <v>INTERNO</v>
      </c>
      <c r="M21" s="34">
        <f>IFERROR(__xludf.DUMMYFUNCTION("""COMPUTED_VALUE"""),4.0)</f>
        <v>4</v>
      </c>
      <c r="N21" s="34" t="str">
        <f>IFERROR(__xludf.DUMMYFUNCTION("""COMPUTED_VALUE"""),"NO")</f>
        <v>NO</v>
      </c>
      <c r="P21">
        <f>IFERROR(__xludf.DUMMYFUNCTION("""COMPUTED_VALUE"""),3.0)</f>
        <v>3</v>
      </c>
      <c r="Q21" s="35">
        <f>IFERROR(__xludf.DUMMYFUNCTION("""COMPUTED_VALUE"""),0.0)</f>
        <v>0</v>
      </c>
      <c r="R21" s="36" t="str">
        <f>IFERROR(__xludf.DUMMYFUNCTION("""COMPUTED_VALUE"""),"SELECCIONADO")</f>
        <v>SELECCIONADO</v>
      </c>
      <c r="S21" s="37">
        <f>IFERROR(__xludf.DUMMYFUNCTION("""COMPUTED_VALUE"""),43647.0)</f>
        <v>43647</v>
      </c>
      <c r="T21" s="34" t="str">
        <f>IFERROR(__xludf.DUMMYFUNCTION("""COMPUTED_VALUE"""),"CONTRERAS GONZALEZ LUIS CLAUDIO")</f>
        <v>CONTRERAS GONZALEZ LUIS CLAUDIO</v>
      </c>
      <c r="V21" t="str">
        <f>IFERROR(__xludf.DUMMYFUNCTION("""COMPUTED_VALUE"""),"13297941-3")</f>
        <v>13297941-3</v>
      </c>
      <c r="W21" t="str">
        <f>IFERROR(__xludf.DUMMYFUNCTION("""COMPUTED_VALUE"""),"SI")</f>
        <v>SI</v>
      </c>
      <c r="X21" t="str">
        <f>IFERROR(__xludf.DUMMYFUNCTION("""COMPUTED_VALUE"""),"Trabajo en Equipo")</f>
        <v>Trabajo en Equipo</v>
      </c>
      <c r="AA21" s="38">
        <f>IFERROR(__xludf.DUMMYFUNCTION("""COMPUTED_VALUE"""),43584.0)</f>
        <v>43584</v>
      </c>
      <c r="AB21" s="38">
        <f>IFERROR(__xludf.DUMMYFUNCTION("""COMPUTED_VALUE"""),43594.0)</f>
        <v>43594</v>
      </c>
      <c r="AF21" s="39"/>
      <c r="AG21" s="39"/>
      <c r="AH21" s="34" t="str">
        <f>IFERROR(__xludf.DUMMYFUNCTION("""COMPUTED_VALUE"""),"PROCESO DE SELECCIÓN")</f>
        <v>PROCESO DE SELECCIÓN</v>
      </c>
      <c r="AI21" s="34" t="str">
        <f>IFERROR(__xludf.DUMMYFUNCTION("""COMPUTED_VALUE"""),"MAULEN MANRIQUEZ JOSELYN")</f>
        <v>MAULEN MANRIQUEZ JOSELYN</v>
      </c>
      <c r="AJ21" s="34"/>
      <c r="AK21" s="34" t="str">
        <f>IFERROR(__xludf.DUMMYFUNCTION("""COMPUTED_VALUE"""),"C")</f>
        <v>C</v>
      </c>
      <c r="AL21">
        <f>IFERROR(__xludf.DUMMYFUNCTION("""COMPUTED_VALUE"""),38.0)</f>
        <v>38</v>
      </c>
      <c r="AM21">
        <f>IFERROR(__xludf.DUMMYFUNCTION("""COMPUTED_VALUE"""),2019.0)</f>
        <v>2019</v>
      </c>
      <c r="AN21" t="str">
        <f t="shared" si="1"/>
        <v>13297941-3</v>
      </c>
    </row>
    <row r="22">
      <c r="A22" s="33">
        <f>IFERROR(__xludf.DUMMYFUNCTION("""COMPUTED_VALUE"""),1.184827E7)</f>
        <v>11848270</v>
      </c>
      <c r="B22" s="33">
        <f>IFERROR(__xludf.DUMMYFUNCTION("""COMPUTED_VALUE"""),21.0)</f>
        <v>21</v>
      </c>
      <c r="C22" s="33" t="str">
        <f>IFERROR(__xludf.DUMMYFUNCTION("""COMPUTED_VALUE"""),"A267")</f>
        <v>A267</v>
      </c>
      <c r="D22" s="34" t="str">
        <f>IFERROR(__xludf.DUMMYFUNCTION("""COMPUTED_VALUE"""),"55")</f>
        <v>55</v>
      </c>
      <c r="E22" s="34" t="str">
        <f>IFERROR(__xludf.DUMMYFUNCTION("""COMPUTED_VALUE"""),"DPTO. DE LINGUISTICA Y LITERATURA")</f>
        <v>DPTO. DE LINGUISTICA Y LITERATURA</v>
      </c>
      <c r="F22" s="34" t="str">
        <f>IFERROR(__xludf.DUMMYFUNCTION("""COMPUTED_VALUE"""),"Administrativo(a) Especializado")</f>
        <v>Administrativo(a) Especializado</v>
      </c>
      <c r="G22" s="33" t="str">
        <f>IFERROR(__xludf.DUMMYFUNCTION("""COMPUTED_VALUE"""),"ADMINISTRATIVA ESPECIALIZADA")</f>
        <v>ADMINISTRATIVA ESPECIALIZADA</v>
      </c>
      <c r="H22">
        <f>IFERROR(__xludf.DUMMYFUNCTION("""COMPUTED_VALUE"""),12.0)</f>
        <v>12</v>
      </c>
      <c r="I22" s="34" t="str">
        <f>IFERROR(__xludf.DUMMYFUNCTION("""COMPUTED_VALUE"""),"Jornada Completa")</f>
        <v>Jornada Completa</v>
      </c>
      <c r="J22" s="33" t="str">
        <f>IFERROR(__xludf.DUMMYFUNCTION("""COMPUTED_VALUE"""),"A CONTRATA")</f>
        <v>A CONTRATA</v>
      </c>
      <c r="K22" s="33" t="str">
        <f>IFERROR(__xludf.DUMMYFUNCTION("""COMPUTED_VALUE"""),"ADMINISTRATIVO")</f>
        <v>ADMINISTRATIVO</v>
      </c>
      <c r="L22" s="34" t="str">
        <f>IFERROR(__xludf.DUMMYFUNCTION("""COMPUTED_VALUE"""),"INTERNO")</f>
        <v>INTERNO</v>
      </c>
      <c r="M22" s="34">
        <f>IFERROR(__xludf.DUMMYFUNCTION("""COMPUTED_VALUE"""),11.0)</f>
        <v>11</v>
      </c>
      <c r="N22" s="34" t="str">
        <f>IFERROR(__xludf.DUMMYFUNCTION("""COMPUTED_VALUE"""),"NO")</f>
        <v>NO</v>
      </c>
      <c r="P22">
        <f>IFERROR(__xludf.DUMMYFUNCTION("""COMPUTED_VALUE"""),2.0)</f>
        <v>2</v>
      </c>
      <c r="Q22" s="35">
        <f>IFERROR(__xludf.DUMMYFUNCTION("""COMPUTED_VALUE"""),0.0)</f>
        <v>0</v>
      </c>
      <c r="R22" s="36" t="str">
        <f>IFERROR(__xludf.DUMMYFUNCTION("""COMPUTED_VALUE"""),"SELECCIONADA")</f>
        <v>SELECCIONADA</v>
      </c>
      <c r="S22" s="37">
        <f>IFERROR(__xludf.DUMMYFUNCTION("""COMPUTED_VALUE"""),43647.0)</f>
        <v>43647</v>
      </c>
      <c r="T22" s="34" t="str">
        <f>IFERROR(__xludf.DUMMYFUNCTION("""COMPUTED_VALUE"""),"SARTORI ESCOBAR ALICIA DEL CARMEN")</f>
        <v>SARTORI ESCOBAR ALICIA DEL CARMEN</v>
      </c>
      <c r="V22" t="str">
        <f>IFERROR(__xludf.DUMMYFUNCTION("""COMPUTED_VALUE"""),"11848270-0")</f>
        <v>11848270-0</v>
      </c>
      <c r="W22" t="str">
        <f>IFERROR(__xludf.DUMMYFUNCTION("""COMPUTED_VALUE"""),"SI")</f>
        <v>SI</v>
      </c>
      <c r="X22" t="str">
        <f>IFERROR(__xludf.DUMMYFUNCTION("""COMPUTED_VALUE"""),"Busqueda de Informacion")</f>
        <v>Busqueda de Informacion</v>
      </c>
      <c r="AA22" s="38">
        <f>IFERROR(__xludf.DUMMYFUNCTION("""COMPUTED_VALUE"""),43581.0)</f>
        <v>43581</v>
      </c>
      <c r="AB22" s="38">
        <f>IFERROR(__xludf.DUMMYFUNCTION("""COMPUTED_VALUE"""),43592.0)</f>
        <v>43592</v>
      </c>
      <c r="AF22" s="39"/>
      <c r="AG22" s="39"/>
      <c r="AH22" s="34" t="str">
        <f>IFERROR(__xludf.DUMMYFUNCTION("""COMPUTED_VALUE"""),"PROCESO DE SELECCIÓN")</f>
        <v>PROCESO DE SELECCIÓN</v>
      </c>
      <c r="AI22" s="34" t="str">
        <f>IFERROR(__xludf.DUMMYFUNCTION("""COMPUTED_VALUE"""),"ZENTENO VILLAGRAN MARCIA")</f>
        <v>ZENTENO VILLAGRAN MARCIA</v>
      </c>
      <c r="AJ22" s="34"/>
      <c r="AK22" s="34" t="str">
        <f>IFERROR(__xludf.DUMMYFUNCTION("""COMPUTED_VALUE"""),"C")</f>
        <v>C</v>
      </c>
      <c r="AL22">
        <f>IFERROR(__xludf.DUMMYFUNCTION("""COMPUTED_VALUE"""),40.0)</f>
        <v>40</v>
      </c>
      <c r="AM22">
        <f>IFERROR(__xludf.DUMMYFUNCTION("""COMPUTED_VALUE"""),2019.0)</f>
        <v>2019</v>
      </c>
      <c r="AN22" t="str">
        <f t="shared" si="1"/>
        <v>11848270-0</v>
      </c>
    </row>
    <row r="23">
      <c r="A23" s="33">
        <f>IFERROR(__xludf.DUMMYFUNCTION("""COMPUTED_VALUE"""),1.6146459E7)</f>
        <v>16146459</v>
      </c>
      <c r="B23" s="33">
        <f>IFERROR(__xludf.DUMMYFUNCTION("""COMPUTED_VALUE"""),22.0)</f>
        <v>22</v>
      </c>
      <c r="C23" s="33" t="str">
        <f>IFERROR(__xludf.DUMMYFUNCTION("""COMPUTED_VALUE"""),"A325")</f>
        <v>A325</v>
      </c>
      <c r="D23" s="34" t="str">
        <f>IFERROR(__xludf.DUMMYFUNCTION("""COMPUTED_VALUE"""),"15")</f>
        <v>15</v>
      </c>
      <c r="E23" s="34" t="str">
        <f>IFERROR(__xludf.DUMMYFUNCTION("""COMPUTED_VALUE"""),"VR. ACADEMICA")</f>
        <v>VR. ACADEMICA</v>
      </c>
      <c r="F23" s="34" t="str">
        <f>IFERROR(__xludf.DUMMYFUNCTION("""COMPUTED_VALUE"""),"Mayordomo(a)")</f>
        <v>Mayordomo(a)</v>
      </c>
      <c r="G23" s="33" t="str">
        <f>IFERROR(__xludf.DUMMYFUNCTION("""COMPUTED_VALUE"""),"MAYORDOMO PAÑOLERO ( PABELLON FORMA) VESPERTINO")</f>
        <v>MAYORDOMO PAÑOLERO ( PABELLON FORMA) VESPERTINO</v>
      </c>
      <c r="H23">
        <f>IFERROR(__xludf.DUMMYFUNCTION("""COMPUTED_VALUE"""),21.0)</f>
        <v>21</v>
      </c>
      <c r="I23" s="34" t="str">
        <f>IFERROR(__xludf.DUMMYFUNCTION("""COMPUTED_VALUE"""),"Jornada Completa")</f>
        <v>Jornada Completa</v>
      </c>
      <c r="J23" s="33" t="str">
        <f>IFERROR(__xludf.DUMMYFUNCTION("""COMPUTED_VALUE"""),"A CONTRATA")</f>
        <v>A CONTRATA</v>
      </c>
      <c r="K23" s="33" t="str">
        <f>IFERROR(__xludf.DUMMYFUNCTION("""COMPUTED_VALUE"""),"AUXILIAR")</f>
        <v>AUXILIAR</v>
      </c>
      <c r="L23" s="34" t="str">
        <f>IFERROR(__xludf.DUMMYFUNCTION("""COMPUTED_VALUE"""),"INTERNO")</f>
        <v>INTERNO</v>
      </c>
      <c r="M23" s="34">
        <f>IFERROR(__xludf.DUMMYFUNCTION("""COMPUTED_VALUE"""),1.0)</f>
        <v>1</v>
      </c>
      <c r="N23" s="34" t="str">
        <f>IFERROR(__xludf.DUMMYFUNCTION("""COMPUTED_VALUE"""),"NO")</f>
        <v>NO</v>
      </c>
      <c r="P23">
        <f>IFERROR(__xludf.DUMMYFUNCTION("""COMPUTED_VALUE"""),1.0)</f>
        <v>1</v>
      </c>
      <c r="Q23" s="35">
        <f>IFERROR(__xludf.DUMMYFUNCTION("""COMPUTED_VALUE"""),0.0)</f>
        <v>0</v>
      </c>
      <c r="R23" s="36" t="str">
        <f>IFERROR(__xludf.DUMMYFUNCTION("""COMPUTED_VALUE"""),"SELECCIONADO")</f>
        <v>SELECCIONADO</v>
      </c>
      <c r="S23" s="37">
        <f>IFERROR(__xludf.DUMMYFUNCTION("""COMPUTED_VALUE"""),43647.0)</f>
        <v>43647</v>
      </c>
      <c r="T23" s="34" t="str">
        <f>IFERROR(__xludf.DUMMYFUNCTION("""COMPUTED_VALUE"""),"TOLEDO VILLEGAS GERARDO ENRIQUE")</f>
        <v>TOLEDO VILLEGAS GERARDO ENRIQUE</v>
      </c>
      <c r="V23" t="str">
        <f>IFERROR(__xludf.DUMMYFUNCTION("""COMPUTED_VALUE"""),"16146459-7")</f>
        <v>16146459-7</v>
      </c>
      <c r="W23" t="str">
        <f>IFERROR(__xludf.DUMMYFUNCTION("""COMPUTED_VALUE"""),"SI")</f>
        <v>SI</v>
      </c>
      <c r="X23" t="str">
        <f>IFERROR(__xludf.DUMMYFUNCTION("""COMPUTED_VALUE"""),"Trabajo en Equipo")</f>
        <v>Trabajo en Equipo</v>
      </c>
      <c r="AA23" s="38">
        <f>IFERROR(__xludf.DUMMYFUNCTION("""COMPUTED_VALUE"""),43599.0)</f>
        <v>43599</v>
      </c>
      <c r="AB23" s="38">
        <f>IFERROR(__xludf.DUMMYFUNCTION("""COMPUTED_VALUE"""),43608.0)</f>
        <v>43608</v>
      </c>
      <c r="AF23" s="39"/>
      <c r="AG23" s="39"/>
      <c r="AH23" s="34" t="str">
        <f>IFERROR(__xludf.DUMMYFUNCTION("""COMPUTED_VALUE"""),"PROCESO DE SELECCIÓN")</f>
        <v>PROCESO DE SELECCIÓN</v>
      </c>
      <c r="AI23" s="34" t="str">
        <f>IFERROR(__xludf.DUMMYFUNCTION("""COMPUTED_VALUE"""),"-")</f>
        <v>-</v>
      </c>
      <c r="AJ23" s="34"/>
      <c r="AK23" s="34" t="str">
        <f>IFERROR(__xludf.DUMMYFUNCTION("""COMPUTED_VALUE"""),"C")</f>
        <v>C</v>
      </c>
      <c r="AL23">
        <f>IFERROR(__xludf.DUMMYFUNCTION("""COMPUTED_VALUE"""),28.0)</f>
        <v>28</v>
      </c>
      <c r="AM23">
        <f>IFERROR(__xludf.DUMMYFUNCTION("""COMPUTED_VALUE"""),2019.0)</f>
        <v>2019</v>
      </c>
      <c r="AN23" t="str">
        <f t="shared" si="1"/>
        <v>16146459-7</v>
      </c>
    </row>
    <row r="24">
      <c r="A24" s="33">
        <f>IFERROR(__xludf.DUMMYFUNCTION("""COMPUTED_VALUE"""),1.5608779E7)</f>
        <v>15608779</v>
      </c>
      <c r="B24" s="33">
        <f>IFERROR(__xludf.DUMMYFUNCTION("""COMPUTED_VALUE"""),23.0)</f>
        <v>23</v>
      </c>
      <c r="C24" s="33" t="str">
        <f>IFERROR(__xludf.DUMMYFUNCTION("""COMPUTED_VALUE"""),"A326")</f>
        <v>A326</v>
      </c>
      <c r="D24" s="34" t="str">
        <f>IFERROR(__xludf.DUMMYFUNCTION("""COMPUTED_VALUE"""),"95")</f>
        <v>95</v>
      </c>
      <c r="E24" s="34" t="str">
        <f>IFERROR(__xludf.DUMMYFUNCTION("""COMPUTED_VALUE"""),"FACULTAD DE QUIMICA Y BIOLOGIA")</f>
        <v>FACULTAD DE QUIMICA Y BIOLOGIA</v>
      </c>
      <c r="F24" s="34" t="str">
        <f>IFERROR(__xludf.DUMMYFUNCTION("""COMPUTED_VALUE"""),"Profesional Especializado(a) de Laboratorio")</f>
        <v>Profesional Especializado(a) de Laboratorio</v>
      </c>
      <c r="G24" s="33" t="str">
        <f>IFERROR(__xludf.DUMMYFUNCTION("""COMPUTED_VALUE"""),"PROFESIONAL ESPECIALIZADO DE LABORATORIO ( ESPECIALISTA EQUIPO EQM 160036)")</f>
        <v>PROFESIONAL ESPECIALIZADO DE LABORATORIO ( ESPECIALISTA EQUIPO EQM 160036)</v>
      </c>
      <c r="H24">
        <f>IFERROR(__xludf.DUMMYFUNCTION("""COMPUTED_VALUE"""),11.0)</f>
        <v>11</v>
      </c>
      <c r="I24" s="34" t="str">
        <f>IFERROR(__xludf.DUMMYFUNCTION("""COMPUTED_VALUE"""),"1/2 Jornada")</f>
        <v>1/2 Jornada</v>
      </c>
      <c r="J24" s="33" t="str">
        <f>IFERROR(__xludf.DUMMYFUNCTION("""COMPUTED_VALUE"""),"A CONTRATA")</f>
        <v>A CONTRATA</v>
      </c>
      <c r="K24" s="33" t="str">
        <f>IFERROR(__xludf.DUMMYFUNCTION("""COMPUTED_VALUE"""),"PROFESIONAL")</f>
        <v>PROFESIONAL</v>
      </c>
      <c r="L24" s="34" t="str">
        <f>IFERROR(__xludf.DUMMYFUNCTION("""COMPUTED_VALUE"""),"INTERNO")</f>
        <v>INTERNO</v>
      </c>
      <c r="M24" s="34">
        <f>IFERROR(__xludf.DUMMYFUNCTION("""COMPUTED_VALUE"""),1.0)</f>
        <v>1</v>
      </c>
      <c r="N24" s="34" t="str">
        <f>IFERROR(__xludf.DUMMYFUNCTION("""COMPUTED_VALUE"""),"NO")</f>
        <v>NO</v>
      </c>
      <c r="P24">
        <f>IFERROR(__xludf.DUMMYFUNCTION("""COMPUTED_VALUE"""),1.0)</f>
        <v>1</v>
      </c>
      <c r="Q24" s="35">
        <f>IFERROR(__xludf.DUMMYFUNCTION("""COMPUTED_VALUE"""),0.0)</f>
        <v>0</v>
      </c>
      <c r="R24" s="36" t="str">
        <f>IFERROR(__xludf.DUMMYFUNCTION("""COMPUTED_VALUE"""),"SELECCIONADO")</f>
        <v>SELECCIONADO</v>
      </c>
      <c r="S24" s="37">
        <f>IFERROR(__xludf.DUMMYFUNCTION("""COMPUTED_VALUE"""),43647.0)</f>
        <v>43647</v>
      </c>
      <c r="T24" s="34" t="str">
        <f>IFERROR(__xludf.DUMMYFUNCTION("""COMPUTED_VALUE"""),"SILVA MOLINA CARLOS")</f>
        <v>SILVA MOLINA CARLOS</v>
      </c>
      <c r="V24" t="str">
        <f>IFERROR(__xludf.DUMMYFUNCTION("""COMPUTED_VALUE"""),"15608779-3")</f>
        <v>15608779-3</v>
      </c>
      <c r="W24" t="str">
        <f>IFERROR(__xludf.DUMMYFUNCTION("""COMPUTED_VALUE"""),"SI")</f>
        <v>SI</v>
      </c>
      <c r="X24" t="str">
        <f>IFERROR(__xludf.DUMMYFUNCTION("""COMPUTED_VALUE"""),"Capacidad de Planificacion y Organizacion")</f>
        <v>Capacidad de Planificacion y Organizacion</v>
      </c>
      <c r="AA24" s="38">
        <f>IFERROR(__xludf.DUMMYFUNCTION("""COMPUTED_VALUE"""),43584.0)</f>
        <v>43584</v>
      </c>
      <c r="AB24" s="38">
        <f>IFERROR(__xludf.DUMMYFUNCTION("""COMPUTED_VALUE"""),43594.0)</f>
        <v>43594</v>
      </c>
      <c r="AF24" s="39"/>
      <c r="AG24" s="39"/>
      <c r="AH24" s="34" t="str">
        <f>IFERROR(__xludf.DUMMYFUNCTION("""COMPUTED_VALUE"""),"PROCESO DE SELECCIÓN")</f>
        <v>PROCESO DE SELECCIÓN</v>
      </c>
      <c r="AI24" s="34" t="str">
        <f>IFERROR(__xludf.DUMMYFUNCTION("""COMPUTED_VALUE"""),"-")</f>
        <v>-</v>
      </c>
      <c r="AJ24" s="34"/>
      <c r="AK24" s="34" t="str">
        <f>IFERROR(__xludf.DUMMYFUNCTION("""COMPUTED_VALUE"""),"C")</f>
        <v>C</v>
      </c>
      <c r="AL24">
        <f>IFERROR(__xludf.DUMMYFUNCTION("""COMPUTED_VALUE"""),38.0)</f>
        <v>38</v>
      </c>
      <c r="AM24">
        <f>IFERROR(__xludf.DUMMYFUNCTION("""COMPUTED_VALUE"""),2019.0)</f>
        <v>2019</v>
      </c>
      <c r="AN24" t="str">
        <f t="shared" si="1"/>
        <v>15608779-3</v>
      </c>
    </row>
    <row r="25">
      <c r="A25" s="33">
        <f>IFERROR(__xludf.DUMMYFUNCTION("""COMPUTED_VALUE"""),1.6331696E7)</f>
        <v>16331696</v>
      </c>
      <c r="B25" s="33">
        <f>IFERROR(__xludf.DUMMYFUNCTION("""COMPUTED_VALUE"""),24.0)</f>
        <v>24</v>
      </c>
      <c r="C25" s="33" t="str">
        <f>IFERROR(__xludf.DUMMYFUNCTION("""COMPUTED_VALUE"""),"A290")</f>
        <v>A290</v>
      </c>
      <c r="D25" s="34" t="str">
        <f>IFERROR(__xludf.DUMMYFUNCTION("""COMPUTED_VALUE"""),"15")</f>
        <v>15</v>
      </c>
      <c r="E25" s="34" t="str">
        <f>IFERROR(__xludf.DUMMYFUNCTION("""COMPUTED_VALUE"""),"UNIDAD DE BIBLIOTECAS")</f>
        <v>UNIDAD DE BIBLIOTECAS</v>
      </c>
      <c r="F25" s="34" t="str">
        <f>IFERROR(__xludf.DUMMYFUNCTION("""COMPUTED_VALUE"""),"Bibliotecario(a)")</f>
        <v>Bibliotecario(a)</v>
      </c>
      <c r="G25" s="33" t="str">
        <f>IFERROR(__xludf.DUMMYFUNCTION("""COMPUTED_VALUE"""),"BIBLIOTECARIO")</f>
        <v>BIBLIOTECARIO</v>
      </c>
      <c r="H25">
        <f>IFERROR(__xludf.DUMMYFUNCTION("""COMPUTED_VALUE"""),14.0)</f>
        <v>14</v>
      </c>
      <c r="I25" s="34" t="str">
        <f>IFERROR(__xludf.DUMMYFUNCTION("""COMPUTED_VALUE"""),"Jornada Completa")</f>
        <v>Jornada Completa</v>
      </c>
      <c r="J25" s="33" t="str">
        <f>IFERROR(__xludf.DUMMYFUNCTION("""COMPUTED_VALUE"""),"A CONTRATA")</f>
        <v>A CONTRATA</v>
      </c>
      <c r="K25" s="33" t="str">
        <f>IFERROR(__xludf.DUMMYFUNCTION("""COMPUTED_VALUE"""),"PROFESIONAL")</f>
        <v>PROFESIONAL</v>
      </c>
      <c r="L25" s="34" t="str">
        <f>IFERROR(__xludf.DUMMYFUNCTION("""COMPUTED_VALUE"""),"INTERNO")</f>
        <v>INTERNO</v>
      </c>
      <c r="M25" s="34">
        <f>IFERROR(__xludf.DUMMYFUNCTION("""COMPUTED_VALUE"""),2.0)</f>
        <v>2</v>
      </c>
      <c r="N25" s="34" t="str">
        <f>IFERROR(__xludf.DUMMYFUNCTION("""COMPUTED_VALUE"""),"NO")</f>
        <v>NO</v>
      </c>
      <c r="P25">
        <f>IFERROR(__xludf.DUMMYFUNCTION("""COMPUTED_VALUE"""),1.0)</f>
        <v>1</v>
      </c>
      <c r="Q25" s="35">
        <f>IFERROR(__xludf.DUMMYFUNCTION("""COMPUTED_VALUE"""),0.0)</f>
        <v>0</v>
      </c>
      <c r="R25" s="36" t="str">
        <f>IFERROR(__xludf.DUMMYFUNCTION("""COMPUTED_VALUE"""),"SELECCIONADO")</f>
        <v>SELECCIONADO</v>
      </c>
      <c r="S25" s="37">
        <f>IFERROR(__xludf.DUMMYFUNCTION("""COMPUTED_VALUE"""),43656.0)</f>
        <v>43656</v>
      </c>
      <c r="T25" s="34" t="str">
        <f>IFERROR(__xludf.DUMMYFUNCTION("""COMPUTED_VALUE"""),"FARIAS LARENAS DANILO")</f>
        <v>FARIAS LARENAS DANILO</v>
      </c>
      <c r="V25" t="str">
        <f>IFERROR(__xludf.DUMMYFUNCTION("""COMPUTED_VALUE"""),"16331696-K")</f>
        <v>16331696-K</v>
      </c>
      <c r="W25" t="str">
        <f>IFERROR(__xludf.DUMMYFUNCTION("""COMPUTED_VALUE"""),"SI")</f>
        <v>SI</v>
      </c>
      <c r="X25" t="str">
        <f>IFERROR(__xludf.DUMMYFUNCTION("""COMPUTED_VALUE"""),"Trabajo en Equipo")</f>
        <v>Trabajo en Equipo</v>
      </c>
      <c r="Y25" t="str">
        <f>IFERROR(__xludf.DUMMYFUNCTION("""COMPUTED_VALUE"""),"Preocupacion por el Orden y la Claridad")</f>
        <v>Preocupacion por el Orden y la Claridad</v>
      </c>
      <c r="AA25" s="38">
        <f>IFERROR(__xludf.DUMMYFUNCTION("""COMPUTED_VALUE"""),43598.0)</f>
        <v>43598</v>
      </c>
      <c r="AB25" s="38">
        <f>IFERROR(__xludf.DUMMYFUNCTION("""COMPUTED_VALUE"""),43607.0)</f>
        <v>43607</v>
      </c>
      <c r="AF25" s="39"/>
      <c r="AG25" s="39"/>
      <c r="AH25" s="34" t="str">
        <f>IFERROR(__xludf.DUMMYFUNCTION("""COMPUTED_VALUE"""),"PROCESO DE SELECCIÓN")</f>
        <v>PROCESO DE SELECCIÓN</v>
      </c>
      <c r="AI25" s="34" t="str">
        <f>IFERROR(__xludf.DUMMYFUNCTION("""COMPUTED_VALUE"""),"PICHIHUECHE VIERA PAULINA")</f>
        <v>PICHIHUECHE VIERA PAULINA</v>
      </c>
      <c r="AJ25" s="34"/>
      <c r="AK25" s="34" t="str">
        <f>IFERROR(__xludf.DUMMYFUNCTION("""COMPUTED_VALUE"""),"C")</f>
        <v>C</v>
      </c>
      <c r="AL25">
        <f>IFERROR(__xludf.DUMMYFUNCTION("""COMPUTED_VALUE"""),36.0)</f>
        <v>36</v>
      </c>
      <c r="AM25">
        <f>IFERROR(__xludf.DUMMYFUNCTION("""COMPUTED_VALUE"""),2019.0)</f>
        <v>2019</v>
      </c>
      <c r="AN25" t="str">
        <f t="shared" si="1"/>
        <v>16331696-K</v>
      </c>
    </row>
    <row r="26">
      <c r="A26" s="33">
        <f>IFERROR(__xludf.DUMMYFUNCTION("""COMPUTED_VALUE"""),1.3151557E7)</f>
        <v>13151557</v>
      </c>
      <c r="B26" s="33">
        <f>IFERROR(__xludf.DUMMYFUNCTION("""COMPUTED_VALUE"""),25.0)</f>
        <v>25</v>
      </c>
      <c r="C26" s="33" t="str">
        <f>IFERROR(__xludf.DUMMYFUNCTION("""COMPUTED_VALUE"""),"A281")</f>
        <v>A281</v>
      </c>
      <c r="D26" s="34" t="str">
        <f>IFERROR(__xludf.DUMMYFUNCTION("""COMPUTED_VALUE"""),"3")</f>
        <v>3</v>
      </c>
      <c r="E26" s="34" t="str">
        <f>IFERROR(__xludf.DUMMYFUNCTION("""COMPUTED_VALUE"""),"DPTO. DE FINANZAS Y TESORERIA")</f>
        <v>DPTO. DE FINANZAS Y TESORERIA</v>
      </c>
      <c r="F26" s="34" t="str">
        <f>IFERROR(__xludf.DUMMYFUNCTION("""COMPUTED_VALUE"""),"Analista Contable II")</f>
        <v>Analista Contable II</v>
      </c>
      <c r="G26" s="33" t="str">
        <f>IFERROR(__xludf.DUMMYFUNCTION("""COMPUTED_VALUE"""),"ANALISTA CONTABLE II")</f>
        <v>ANALISTA CONTABLE II</v>
      </c>
      <c r="H26">
        <f>IFERROR(__xludf.DUMMYFUNCTION("""COMPUTED_VALUE"""),13.0)</f>
        <v>13</v>
      </c>
      <c r="I26" s="34" t="str">
        <f>IFERROR(__xludf.DUMMYFUNCTION("""COMPUTED_VALUE"""),"Jornada Completa")</f>
        <v>Jornada Completa</v>
      </c>
      <c r="J26" s="33" t="str">
        <f>IFERROR(__xludf.DUMMYFUNCTION("""COMPUTED_VALUE"""),"A CONTRATA")</f>
        <v>A CONTRATA</v>
      </c>
      <c r="K26" s="33" t="str">
        <f>IFERROR(__xludf.DUMMYFUNCTION("""COMPUTED_VALUE"""),"PROFESIONAL")</f>
        <v>PROFESIONAL</v>
      </c>
      <c r="L26" s="34" t="str">
        <f>IFERROR(__xludf.DUMMYFUNCTION("""COMPUTED_VALUE"""),"INTERNO")</f>
        <v>INTERNO</v>
      </c>
      <c r="M26" s="34">
        <f>IFERROR(__xludf.DUMMYFUNCTION("""COMPUTED_VALUE"""),0.0)</f>
        <v>0</v>
      </c>
      <c r="N26" s="34" t="str">
        <f>IFERROR(__xludf.DUMMYFUNCTION("""COMPUTED_VALUE"""),"EXTERNO")</f>
        <v>EXTERNO</v>
      </c>
      <c r="O26">
        <f>IFERROR(__xludf.DUMMYFUNCTION("""COMPUTED_VALUE"""),17.0)</f>
        <v>17</v>
      </c>
      <c r="P26">
        <f>IFERROR(__xludf.DUMMYFUNCTION("""COMPUTED_VALUE"""),4.0)</f>
        <v>4</v>
      </c>
      <c r="Q26" s="35">
        <f>IFERROR(__xludf.DUMMYFUNCTION("""COMPUTED_VALUE"""),0.0)</f>
        <v>0</v>
      </c>
      <c r="R26" s="36" t="str">
        <f>IFERROR(__xludf.DUMMYFUNCTION("""COMPUTED_VALUE"""),"SELECCIONADO")</f>
        <v>SELECCIONADO</v>
      </c>
      <c r="S26" s="37">
        <f>IFERROR(__xludf.DUMMYFUNCTION("""COMPUTED_VALUE"""),43654.0)</f>
        <v>43654</v>
      </c>
      <c r="T26" s="34"/>
      <c r="U26" t="str">
        <f>IFERROR(__xludf.DUMMYFUNCTION("""COMPUTED_VALUE"""),"DIAZ HUENCHULLAN VICTOR")</f>
        <v>DIAZ HUENCHULLAN VICTOR</v>
      </c>
      <c r="V26" t="str">
        <f>IFERROR(__xludf.DUMMYFUNCTION("""COMPUTED_VALUE"""),"13151557-K")</f>
        <v>13151557-K</v>
      </c>
      <c r="W26" t="str">
        <f>IFERROR(__xludf.DUMMYFUNCTION("""COMPUTED_VALUE"""),"SI")</f>
        <v>SI</v>
      </c>
      <c r="X26" t="str">
        <f>IFERROR(__xludf.DUMMYFUNCTION("""COMPUTED_VALUE"""),"Capacidad de Planificacion y Organizacion")</f>
        <v>Capacidad de Planificacion y Organizacion</v>
      </c>
      <c r="Y26" t="str">
        <f>IFERROR(__xludf.DUMMYFUNCTION("""COMPUTED_VALUE"""),"Iniciativa")</f>
        <v>Iniciativa</v>
      </c>
      <c r="AA26" s="38">
        <f>IFERROR(__xludf.DUMMYFUNCTION("""COMPUTED_VALUE"""),43577.0)</f>
        <v>43577</v>
      </c>
      <c r="AB26" s="38">
        <f>IFERROR(__xludf.DUMMYFUNCTION("""COMPUTED_VALUE"""),43584.0)</f>
        <v>43584</v>
      </c>
      <c r="AF26" s="39"/>
      <c r="AG26" s="39"/>
      <c r="AH26" s="34" t="str">
        <f>IFERROR(__xludf.DUMMYFUNCTION("""COMPUTED_VALUE"""),"PROCESO DE SELECCIÓN")</f>
        <v>PROCESO DE SELECCIÓN</v>
      </c>
      <c r="AI26" s="34" t="str">
        <f>IFERROR(__xludf.DUMMYFUNCTION("""COMPUTED_VALUE"""),"DIAZ MORALES CAROLINA")</f>
        <v>DIAZ MORALES CAROLINA</v>
      </c>
      <c r="AJ26" s="34"/>
      <c r="AK26" s="34" t="str">
        <f>IFERROR(__xludf.DUMMYFUNCTION("""COMPUTED_VALUE"""),"E")</f>
        <v>E</v>
      </c>
      <c r="AL26">
        <f>IFERROR(__xludf.DUMMYFUNCTION("""COMPUTED_VALUE"""),51.0)</f>
        <v>51</v>
      </c>
      <c r="AM26">
        <f>IFERROR(__xludf.DUMMYFUNCTION("""COMPUTED_VALUE"""),2019.0)</f>
        <v>2019</v>
      </c>
      <c r="AN26" t="str">
        <f t="shared" si="1"/>
        <v>13151557-K</v>
      </c>
    </row>
    <row r="27">
      <c r="A27" s="33">
        <f>IFERROR(__xludf.DUMMYFUNCTION("""COMPUTED_VALUE"""),1.4905714E7)</f>
        <v>14905714</v>
      </c>
      <c r="B27" s="33">
        <f>IFERROR(__xludf.DUMMYFUNCTION("""COMPUTED_VALUE"""),26.0)</f>
        <v>26</v>
      </c>
      <c r="C27" s="33" t="str">
        <f>IFERROR(__xludf.DUMMYFUNCTION("""COMPUTED_VALUE"""),"A259")</f>
        <v>A259</v>
      </c>
      <c r="D27" s="34" t="str">
        <f>IFERROR(__xludf.DUMMYFUNCTION("""COMPUTED_VALUE"""),"40")</f>
        <v>40</v>
      </c>
      <c r="E27" s="34" t="str">
        <f>IFERROR(__xludf.DUMMYFUNCTION("""COMPUTED_VALUE"""),"DPTO. DE INGENIERIA INFORMATICA")</f>
        <v>DPTO. DE INGENIERIA INFORMATICA</v>
      </c>
      <c r="F27" s="34" t="str">
        <f>IFERROR(__xludf.DUMMYFUNCTION("""COMPUTED_VALUE"""),"Mayordomo(a)")</f>
        <v>Mayordomo(a)</v>
      </c>
      <c r="G27" s="33" t="str">
        <f>IFERROR(__xludf.DUMMYFUNCTION("""COMPUTED_VALUE"""),"MAYORDOMO")</f>
        <v>MAYORDOMO</v>
      </c>
      <c r="H27">
        <f>IFERROR(__xludf.DUMMYFUNCTION("""COMPUTED_VALUE"""),21.0)</f>
        <v>21</v>
      </c>
      <c r="I27" s="34" t="str">
        <f>IFERROR(__xludf.DUMMYFUNCTION("""COMPUTED_VALUE"""),"Jornada Completa")</f>
        <v>Jornada Completa</v>
      </c>
      <c r="J27" s="33" t="str">
        <f>IFERROR(__xludf.DUMMYFUNCTION("""COMPUTED_VALUE"""),"A CONTRATA")</f>
        <v>A CONTRATA</v>
      </c>
      <c r="K27" s="33" t="str">
        <f>IFERROR(__xludf.DUMMYFUNCTION("""COMPUTED_VALUE"""),"AUXILIAR")</f>
        <v>AUXILIAR</v>
      </c>
      <c r="L27" s="34" t="str">
        <f>IFERROR(__xludf.DUMMYFUNCTION("""COMPUTED_VALUE"""),"INTERNO")</f>
        <v>INTERNO</v>
      </c>
      <c r="M27" s="34">
        <f>IFERROR(__xludf.DUMMYFUNCTION("""COMPUTED_VALUE"""),0.0)</f>
        <v>0</v>
      </c>
      <c r="N27" s="34" t="str">
        <f>IFERROR(__xludf.DUMMYFUNCTION("""COMPUTED_VALUE"""),"EXTERNO")</f>
        <v>EXTERNO</v>
      </c>
      <c r="O27">
        <f>IFERROR(__xludf.DUMMYFUNCTION("""COMPUTED_VALUE"""),10.0)</f>
        <v>10</v>
      </c>
      <c r="P27">
        <f>IFERROR(__xludf.DUMMYFUNCTION("""COMPUTED_VALUE"""),2.0)</f>
        <v>2</v>
      </c>
      <c r="Q27" s="35">
        <f>IFERROR(__xludf.DUMMYFUNCTION("""COMPUTED_VALUE"""),0.0)</f>
        <v>0</v>
      </c>
      <c r="R27" s="36" t="str">
        <f>IFERROR(__xludf.DUMMYFUNCTION("""COMPUTED_VALUE"""),"SELECCIONADO")</f>
        <v>SELECCIONADO</v>
      </c>
      <c r="S27" s="37">
        <f>IFERROR(__xludf.DUMMYFUNCTION("""COMPUTED_VALUE"""),43658.0)</f>
        <v>43658</v>
      </c>
      <c r="T27" s="34"/>
      <c r="U27" t="str">
        <f>IFERROR(__xludf.DUMMYFUNCTION("""COMPUTED_VALUE"""),"VALENZUELA SANDOVAL JONATHAN")</f>
        <v>VALENZUELA SANDOVAL JONATHAN</v>
      </c>
      <c r="V27" t="str">
        <f>IFERROR(__xludf.DUMMYFUNCTION("""COMPUTED_VALUE"""),"14905714-5")</f>
        <v>14905714-5</v>
      </c>
      <c r="W27" t="str">
        <f>IFERROR(__xludf.DUMMYFUNCTION("""COMPUTED_VALUE"""),"NO")</f>
        <v>NO</v>
      </c>
      <c r="AA27" s="38">
        <f>IFERROR(__xludf.DUMMYFUNCTION("""COMPUTED_VALUE"""),43619.0)</f>
        <v>43619</v>
      </c>
      <c r="AB27" s="38">
        <f>IFERROR(__xludf.DUMMYFUNCTION("""COMPUTED_VALUE"""),43626.0)</f>
        <v>43626</v>
      </c>
      <c r="AF27" s="39"/>
      <c r="AG27" s="39"/>
      <c r="AH27" s="34" t="str">
        <f>IFERROR(__xludf.DUMMYFUNCTION("""COMPUTED_VALUE"""),"PROCESO DE SELECCIÓN")</f>
        <v>PROCESO DE SELECCIÓN</v>
      </c>
      <c r="AI27" s="34" t="str">
        <f>IFERROR(__xludf.DUMMYFUNCTION("""COMPUTED_VALUE"""),"CASTRO AGUSTO PEDRO")</f>
        <v>CASTRO AGUSTO PEDRO</v>
      </c>
      <c r="AJ27" s="34"/>
      <c r="AK27" s="34" t="str">
        <f>IFERROR(__xludf.DUMMYFUNCTION("""COMPUTED_VALUE"""),"E")</f>
        <v>E</v>
      </c>
      <c r="AL27">
        <f>IFERROR(__xludf.DUMMYFUNCTION("""COMPUTED_VALUE"""),25.0)</f>
        <v>25</v>
      </c>
      <c r="AM27">
        <f>IFERROR(__xludf.DUMMYFUNCTION("""COMPUTED_VALUE"""),2019.0)</f>
        <v>2019</v>
      </c>
      <c r="AN27" t="str">
        <f t="shared" si="1"/>
        <v>14905714-5</v>
      </c>
    </row>
    <row r="28">
      <c r="A28" s="33">
        <f>IFERROR(__xludf.DUMMYFUNCTION("""COMPUTED_VALUE"""),1.1299063E7)</f>
        <v>11299063</v>
      </c>
      <c r="B28" s="33">
        <f>IFERROR(__xludf.DUMMYFUNCTION("""COMPUTED_VALUE"""),27.0)</f>
        <v>27</v>
      </c>
      <c r="C28" s="33" t="str">
        <f>IFERROR(__xludf.DUMMYFUNCTION("""COMPUTED_VALUE"""),"A302")</f>
        <v>A302</v>
      </c>
      <c r="D28" s="34" t="str">
        <f>IFERROR(__xludf.DUMMYFUNCTION("""COMPUTED_VALUE"""),"15")</f>
        <v>15</v>
      </c>
      <c r="E28" s="34" t="str">
        <f>IFERROR(__xludf.DUMMYFUNCTION("""COMPUTED_VALUE"""),"UNIDAD DE REGISTRO ACADEMICO Y CURRICULAR")</f>
        <v>UNIDAD DE REGISTRO ACADEMICO Y CURRICULAR</v>
      </c>
      <c r="F28" s="34" t="str">
        <f>IFERROR(__xludf.DUMMYFUNCTION("""COMPUTED_VALUE"""),"Administrativo(a) de Registro Curricular")</f>
        <v>Administrativo(a) de Registro Curricular</v>
      </c>
      <c r="G28" s="33" t="str">
        <f>IFERROR(__xludf.DUMMYFUNCTION("""COMPUTED_VALUE"""),"ADMINISTRATIVA DE REGISTRO CURRICULAR ( TITULADORA)")</f>
        <v>ADMINISTRATIVA DE REGISTRO CURRICULAR ( TITULADORA)</v>
      </c>
      <c r="H28">
        <f>IFERROR(__xludf.DUMMYFUNCTION("""COMPUTED_VALUE"""),17.0)</f>
        <v>17</v>
      </c>
      <c r="I28" s="34" t="str">
        <f>IFERROR(__xludf.DUMMYFUNCTION("""COMPUTED_VALUE"""),"Jornada Completa")</f>
        <v>Jornada Completa</v>
      </c>
      <c r="J28" s="33" t="str">
        <f>IFERROR(__xludf.DUMMYFUNCTION("""COMPUTED_VALUE"""),"A CONTRATA")</f>
        <v>A CONTRATA</v>
      </c>
      <c r="K28" s="33" t="str">
        <f>IFERROR(__xludf.DUMMYFUNCTION("""COMPUTED_VALUE"""),"ADMINISTRATIVO")</f>
        <v>ADMINISTRATIVO</v>
      </c>
      <c r="L28" s="34" t="str">
        <f>IFERROR(__xludf.DUMMYFUNCTION("""COMPUTED_VALUE"""),"INTERNO")</f>
        <v>INTERNO</v>
      </c>
      <c r="M28" s="34">
        <f>IFERROR(__xludf.DUMMYFUNCTION("""COMPUTED_VALUE"""),5.0)</f>
        <v>5</v>
      </c>
      <c r="N28" s="34" t="str">
        <f>IFERROR(__xludf.DUMMYFUNCTION("""COMPUTED_VALUE"""),"NO")</f>
        <v>NO</v>
      </c>
      <c r="P28">
        <f>IFERROR(__xludf.DUMMYFUNCTION("""COMPUTED_VALUE"""),3.0)</f>
        <v>3</v>
      </c>
      <c r="Q28" s="35">
        <f>IFERROR(__xludf.DUMMYFUNCTION("""COMPUTED_VALUE"""),0.0)</f>
        <v>0</v>
      </c>
      <c r="R28" s="36" t="str">
        <f>IFERROR(__xludf.DUMMYFUNCTION("""COMPUTED_VALUE"""),"SELECCIONADA")</f>
        <v>SELECCIONADA</v>
      </c>
      <c r="S28" s="37">
        <f>IFERROR(__xludf.DUMMYFUNCTION("""COMPUTED_VALUE"""),43657.0)</f>
        <v>43657</v>
      </c>
      <c r="T28" s="34" t="str">
        <f>IFERROR(__xludf.DUMMYFUNCTION("""COMPUTED_VALUE"""),"VARGAS SERRANO LUIS OSVALDO")</f>
        <v>VARGAS SERRANO LUIS OSVALDO</v>
      </c>
      <c r="V28" t="str">
        <f>IFERROR(__xludf.DUMMYFUNCTION("""COMPUTED_VALUE"""),"11299063-1")</f>
        <v>11299063-1</v>
      </c>
      <c r="W28" t="str">
        <f>IFERROR(__xludf.DUMMYFUNCTION("""COMPUTED_VALUE"""),"SI")</f>
        <v>SI</v>
      </c>
      <c r="X28" t="str">
        <f>IFERROR(__xludf.DUMMYFUNCTION("""COMPUTED_VALUE"""),"Trabajo en Equipo")</f>
        <v>Trabajo en Equipo</v>
      </c>
      <c r="Y28" t="str">
        <f>IFERROR(__xludf.DUMMYFUNCTION("""COMPUTED_VALUE"""),"Orientacion a los Resultados")</f>
        <v>Orientacion a los Resultados</v>
      </c>
      <c r="AA28" s="38">
        <f>IFERROR(__xludf.DUMMYFUNCTION("""COMPUTED_VALUE"""),43563.0)</f>
        <v>43563</v>
      </c>
      <c r="AB28" s="38">
        <f>IFERROR(__xludf.DUMMYFUNCTION("""COMPUTED_VALUE"""),43570.0)</f>
        <v>43570</v>
      </c>
      <c r="AF28" s="39"/>
      <c r="AG28" s="39"/>
      <c r="AH28" s="34" t="str">
        <f>IFERROR(__xludf.DUMMYFUNCTION("""COMPUTED_VALUE"""),"PROCESO DE SELECCIÓN")</f>
        <v>PROCESO DE SELECCIÓN</v>
      </c>
      <c r="AI28" s="34" t="str">
        <f>IFERROR(__xludf.DUMMYFUNCTION("""COMPUTED_VALUE"""),"MATUS ARANEDA JUAN")</f>
        <v>MATUS ARANEDA JUAN</v>
      </c>
      <c r="AJ28" s="34"/>
      <c r="AK28" s="34" t="str">
        <f>IFERROR(__xludf.DUMMYFUNCTION("""COMPUTED_VALUE"""),"C")</f>
        <v>C</v>
      </c>
      <c r="AL28">
        <f>IFERROR(__xludf.DUMMYFUNCTION("""COMPUTED_VALUE"""),64.0)</f>
        <v>64</v>
      </c>
      <c r="AM28">
        <f>IFERROR(__xludf.DUMMYFUNCTION("""COMPUTED_VALUE"""),2019.0)</f>
        <v>2019</v>
      </c>
      <c r="AN28" t="str">
        <f t="shared" si="1"/>
        <v>11299063-1</v>
      </c>
    </row>
    <row r="29">
      <c r="A29" s="33">
        <f>IFERROR(__xludf.DUMMYFUNCTION("""COMPUTED_VALUE"""),1.5083887E7)</f>
        <v>15083887</v>
      </c>
      <c r="B29" s="33">
        <f>IFERROR(__xludf.DUMMYFUNCTION("""COMPUTED_VALUE"""),28.0)</f>
        <v>28</v>
      </c>
      <c r="C29" s="33" t="str">
        <f>IFERROR(__xludf.DUMMYFUNCTION("""COMPUTED_VALUE"""),"A308")</f>
        <v>A308</v>
      </c>
      <c r="D29" s="34" t="str">
        <f>IFERROR(__xludf.DUMMYFUNCTION("""COMPUTED_VALUE"""),"83")</f>
        <v>83</v>
      </c>
      <c r="E29" s="34" t="str">
        <f>IFERROR(__xludf.DUMMYFUNCTION("""COMPUTED_VALUE"""),"ESCUELA DE MEDICINA")</f>
        <v>ESCUELA DE MEDICINA</v>
      </c>
      <c r="F29" s="34" t="str">
        <f>IFERROR(__xludf.DUMMYFUNCTION("""COMPUTED_VALUE"""),"Secretario(a) B")</f>
        <v>Secretario(a) B</v>
      </c>
      <c r="G29" s="33" t="str">
        <f>IFERROR(__xludf.DUMMYFUNCTION("""COMPUTED_VALUE"""),"SECRETARIA B")</f>
        <v>SECRETARIA B</v>
      </c>
      <c r="H29">
        <f>IFERROR(__xludf.DUMMYFUNCTION("""COMPUTED_VALUE"""),17.0)</f>
        <v>17</v>
      </c>
      <c r="I29" s="34" t="str">
        <f>IFERROR(__xludf.DUMMYFUNCTION("""COMPUTED_VALUE"""),"Jornada Completa")</f>
        <v>Jornada Completa</v>
      </c>
      <c r="J29" s="33" t="str">
        <f>IFERROR(__xludf.DUMMYFUNCTION("""COMPUTED_VALUE"""),"A CONTRATA")</f>
        <v>A CONTRATA</v>
      </c>
      <c r="K29" s="33" t="str">
        <f>IFERROR(__xludf.DUMMYFUNCTION("""COMPUTED_VALUE"""),"ADMINISTRATIVO")</f>
        <v>ADMINISTRATIVO</v>
      </c>
      <c r="L29" s="34" t="str">
        <f>IFERROR(__xludf.DUMMYFUNCTION("""COMPUTED_VALUE"""),"INTERNO")</f>
        <v>INTERNO</v>
      </c>
      <c r="M29" s="34">
        <f>IFERROR(__xludf.DUMMYFUNCTION("""COMPUTED_VALUE"""),3.0)</f>
        <v>3</v>
      </c>
      <c r="N29" s="34" t="str">
        <f>IFERROR(__xludf.DUMMYFUNCTION("""COMPUTED_VALUE"""),"NO")</f>
        <v>NO</v>
      </c>
      <c r="P29">
        <f>IFERROR(__xludf.DUMMYFUNCTION("""COMPUTED_VALUE"""),1.0)</f>
        <v>1</v>
      </c>
      <c r="Q29" s="35">
        <f>IFERROR(__xludf.DUMMYFUNCTION("""COMPUTED_VALUE"""),0.0)</f>
        <v>0</v>
      </c>
      <c r="R29" s="36" t="str">
        <f>IFERROR(__xludf.DUMMYFUNCTION("""COMPUTED_VALUE"""),"SELECCIONADA")</f>
        <v>SELECCIONADA</v>
      </c>
      <c r="S29" s="37">
        <f>IFERROR(__xludf.DUMMYFUNCTION("""COMPUTED_VALUE"""),43654.0)</f>
        <v>43654</v>
      </c>
      <c r="T29" s="34" t="str">
        <f>IFERROR(__xludf.DUMMYFUNCTION("""COMPUTED_VALUE"""),"MUÑOZ GUERRA MARIBEL")</f>
        <v>MUÑOZ GUERRA MARIBEL</v>
      </c>
      <c r="V29" t="str">
        <f>IFERROR(__xludf.DUMMYFUNCTION("""COMPUTED_VALUE"""),"15083887-8")</f>
        <v>15083887-8</v>
      </c>
      <c r="W29" t="str">
        <f>IFERROR(__xludf.DUMMYFUNCTION("""COMPUTED_VALUE"""),"SI")</f>
        <v>SI</v>
      </c>
      <c r="X29" t="str">
        <f>IFERROR(__xludf.DUMMYFUNCTION("""COMPUTED_VALUE"""),"Trabajo en Equipo")</f>
        <v>Trabajo en Equipo</v>
      </c>
      <c r="AA29" s="38">
        <f>IFERROR(__xludf.DUMMYFUNCTION("""COMPUTED_VALUE"""),43621.0)</f>
        <v>43621</v>
      </c>
      <c r="AB29" s="38">
        <f>IFERROR(__xludf.DUMMYFUNCTION("""COMPUTED_VALUE"""),43623.0)</f>
        <v>43623</v>
      </c>
      <c r="AF29" s="39"/>
      <c r="AG29" s="39"/>
      <c r="AH29" s="34" t="str">
        <f>IFERROR(__xludf.DUMMYFUNCTION("""COMPUTED_VALUE"""),"PROCESO DE SELECCIÓN")</f>
        <v>PROCESO DE SELECCIÓN</v>
      </c>
      <c r="AI29" s="34" t="str">
        <f>IFERROR(__xludf.DUMMYFUNCTION("""COMPUTED_VALUE"""),"OLMEDO QUEVEDO ELIZABETH")</f>
        <v>OLMEDO QUEVEDO ELIZABETH</v>
      </c>
      <c r="AJ29" s="34"/>
      <c r="AK29" s="34" t="str">
        <f>IFERROR(__xludf.DUMMYFUNCTION("""COMPUTED_VALUE"""),"C")</f>
        <v>C</v>
      </c>
      <c r="AL29">
        <f>IFERROR(__xludf.DUMMYFUNCTION("""COMPUTED_VALUE"""),22.0)</f>
        <v>22</v>
      </c>
      <c r="AM29">
        <f>IFERROR(__xludf.DUMMYFUNCTION("""COMPUTED_VALUE"""),2019.0)</f>
        <v>2019</v>
      </c>
      <c r="AN29" t="str">
        <f t="shared" si="1"/>
        <v>15083887-8</v>
      </c>
    </row>
    <row r="30">
      <c r="A30" s="33">
        <f>IFERROR(__xludf.DUMMYFUNCTION("""COMPUTED_VALUE"""),1.8394658E7)</f>
        <v>18394658</v>
      </c>
      <c r="B30" s="33">
        <f>IFERROR(__xludf.DUMMYFUNCTION("""COMPUTED_VALUE"""),29.0)</f>
        <v>29</v>
      </c>
      <c r="C30" s="33" t="str">
        <f>IFERROR(__xludf.DUMMYFUNCTION("""COMPUTED_VALUE"""),"A353")</f>
        <v>A353</v>
      </c>
      <c r="D30" s="34" t="str">
        <f>IFERROR(__xludf.DUMMYFUNCTION("""COMPUTED_VALUE"""),"15")</f>
        <v>15</v>
      </c>
      <c r="E30" s="34" t="str">
        <f>IFERROR(__xludf.DUMMYFUNCTION("""COMPUTED_VALUE"""),"UNIDAD DE REGISTRO ACADEMICO Y CURRICULAR")</f>
        <v>UNIDAD DE REGISTRO ACADEMICO Y CURRICULAR</v>
      </c>
      <c r="F30" s="34" t="str">
        <f>IFERROR(__xludf.DUMMYFUNCTION("""COMPUTED_VALUE"""),"Analista de Gestión II")</f>
        <v>Analista de Gestión II</v>
      </c>
      <c r="G30" s="33" t="str">
        <f>IFERROR(__xludf.DUMMYFUNCTION("""COMPUTED_VALUE"""),"ANALISTA DE GESTION II ( ANALISTA CURRICULAR)")</f>
        <v>ANALISTA DE GESTION II ( ANALISTA CURRICULAR)</v>
      </c>
      <c r="H30">
        <f>IFERROR(__xludf.DUMMYFUNCTION("""COMPUTED_VALUE"""),13.0)</f>
        <v>13</v>
      </c>
      <c r="I30" s="34" t="str">
        <f>IFERROR(__xludf.DUMMYFUNCTION("""COMPUTED_VALUE"""),"Jornada Completa")</f>
        <v>Jornada Completa</v>
      </c>
      <c r="J30" s="33" t="str">
        <f>IFERROR(__xludf.DUMMYFUNCTION("""COMPUTED_VALUE"""),"A CONTRATA")</f>
        <v>A CONTRATA</v>
      </c>
      <c r="K30" s="33" t="str">
        <f>IFERROR(__xludf.DUMMYFUNCTION("""COMPUTED_VALUE"""),"PROFESIONAL")</f>
        <v>PROFESIONAL</v>
      </c>
      <c r="L30" s="34" t="str">
        <f>IFERROR(__xludf.DUMMYFUNCTION("""COMPUTED_VALUE"""),"INTERNO")</f>
        <v>INTERNO</v>
      </c>
      <c r="M30" s="34">
        <f>IFERROR(__xludf.DUMMYFUNCTION("""COMPUTED_VALUE"""),7.0)</f>
        <v>7</v>
      </c>
      <c r="N30" s="34" t="str">
        <f>IFERROR(__xludf.DUMMYFUNCTION("""COMPUTED_VALUE"""),"NO")</f>
        <v>NO</v>
      </c>
      <c r="P30">
        <f>IFERROR(__xludf.DUMMYFUNCTION("""COMPUTED_VALUE"""),1.0)</f>
        <v>1</v>
      </c>
      <c r="Q30" s="35">
        <f>IFERROR(__xludf.DUMMYFUNCTION("""COMPUTED_VALUE"""),0.0)</f>
        <v>0</v>
      </c>
      <c r="R30" s="36" t="str">
        <f>IFERROR(__xludf.DUMMYFUNCTION("""COMPUTED_VALUE"""),"SELECCIONADO")</f>
        <v>SELECCIONADO</v>
      </c>
      <c r="S30" s="37">
        <f>IFERROR(__xludf.DUMMYFUNCTION("""COMPUTED_VALUE"""),43663.0)</f>
        <v>43663</v>
      </c>
      <c r="T30" s="34" t="str">
        <f>IFERROR(__xludf.DUMMYFUNCTION("""COMPUTED_VALUE"""),"CALDERON QUEZADA MATIAS")</f>
        <v>CALDERON QUEZADA MATIAS</v>
      </c>
      <c r="V30" t="str">
        <f>IFERROR(__xludf.DUMMYFUNCTION("""COMPUTED_VALUE"""),"18394658-7")</f>
        <v>18394658-7</v>
      </c>
      <c r="W30" t="str">
        <f>IFERROR(__xludf.DUMMYFUNCTION("""COMPUTED_VALUE"""),"NO")</f>
        <v>NO</v>
      </c>
      <c r="X30" t="str">
        <f>IFERROR(__xludf.DUMMYFUNCTION("""COMPUTED_VALUE"""),"Iniciativa")</f>
        <v>Iniciativa</v>
      </c>
      <c r="AA30" s="38">
        <f>IFERROR(__xludf.DUMMYFUNCTION("""COMPUTED_VALUE"""),43621.0)</f>
        <v>43621</v>
      </c>
      <c r="AB30" s="38">
        <f>IFERROR(__xludf.DUMMYFUNCTION("""COMPUTED_VALUE"""),43628.0)</f>
        <v>43628</v>
      </c>
      <c r="AF30" s="39"/>
      <c r="AG30" s="39"/>
      <c r="AH30" s="34" t="str">
        <f>IFERROR(__xludf.DUMMYFUNCTION("""COMPUTED_VALUE"""),"PROCESO DE SELECCIÓN")</f>
        <v>PROCESO DE SELECCIÓN</v>
      </c>
      <c r="AI30" s="34" t="str">
        <f>IFERROR(__xludf.DUMMYFUNCTION("""COMPUTED_VALUE"""),"CUEVAS GALLARDO MARIA")</f>
        <v>CUEVAS GALLARDO MARIA</v>
      </c>
      <c r="AJ30" s="34"/>
      <c r="AK30" s="34" t="str">
        <f>IFERROR(__xludf.DUMMYFUNCTION("""COMPUTED_VALUE"""),"C")</f>
        <v>C</v>
      </c>
      <c r="AL30">
        <f>IFERROR(__xludf.DUMMYFUNCTION("""COMPUTED_VALUE"""),26.0)</f>
        <v>26</v>
      </c>
      <c r="AM30">
        <f>IFERROR(__xludf.DUMMYFUNCTION("""COMPUTED_VALUE"""),2019.0)</f>
        <v>2019</v>
      </c>
      <c r="AN30" t="str">
        <f t="shared" si="1"/>
        <v>18394658-7</v>
      </c>
    </row>
    <row r="31">
      <c r="A31" s="33">
        <f>IFERROR(__xludf.DUMMYFUNCTION("""COMPUTED_VALUE"""),1.4431876E7)</f>
        <v>14431876</v>
      </c>
      <c r="B31" s="33">
        <f>IFERROR(__xludf.DUMMYFUNCTION("""COMPUTED_VALUE"""),30.0)</f>
        <v>30</v>
      </c>
      <c r="C31" s="33" t="str">
        <f>IFERROR(__xludf.DUMMYFUNCTION("""COMPUTED_VALUE"""),"A317")</f>
        <v>A317</v>
      </c>
      <c r="D31" s="34" t="str">
        <f>IFERROR(__xludf.DUMMYFUNCTION("""COMPUTED_VALUE"""),"3")</f>
        <v>3</v>
      </c>
      <c r="E31" s="34" t="str">
        <f>IFERROR(__xludf.DUMMYFUNCTION("""COMPUTED_VALUE"""),"PRORRECTORIA")</f>
        <v>PRORRECTORIA</v>
      </c>
      <c r="F31" s="34" t="str">
        <f>IFERROR(__xludf.DUMMYFUNCTION("""COMPUTED_VALUE"""),"Mayordomo(a)")</f>
        <v>Mayordomo(a)</v>
      </c>
      <c r="G31" s="33" t="str">
        <f>IFERROR(__xludf.DUMMYFUNCTION("""COMPUTED_VALUE"""),"MAYORDOMO")</f>
        <v>MAYORDOMO</v>
      </c>
      <c r="H31">
        <f>IFERROR(__xludf.DUMMYFUNCTION("""COMPUTED_VALUE"""),21.0)</f>
        <v>21</v>
      </c>
      <c r="I31" s="34" t="str">
        <f>IFERROR(__xludf.DUMMYFUNCTION("""COMPUTED_VALUE"""),"Jornada Completa")</f>
        <v>Jornada Completa</v>
      </c>
      <c r="J31" s="33" t="str">
        <f>IFERROR(__xludf.DUMMYFUNCTION("""COMPUTED_VALUE"""),"A CONTRATA")</f>
        <v>A CONTRATA</v>
      </c>
      <c r="K31" s="33" t="str">
        <f>IFERROR(__xludf.DUMMYFUNCTION("""COMPUTED_VALUE"""),"AUXILIAR")</f>
        <v>AUXILIAR</v>
      </c>
      <c r="L31" s="34" t="str">
        <f>IFERROR(__xludf.DUMMYFUNCTION("""COMPUTED_VALUE"""),"INTERNO")</f>
        <v>INTERNO</v>
      </c>
      <c r="M31" s="34">
        <f>IFERROR(__xludf.DUMMYFUNCTION("""COMPUTED_VALUE"""),0.0)</f>
        <v>0</v>
      </c>
      <c r="N31" s="34" t="str">
        <f>IFERROR(__xludf.DUMMYFUNCTION("""COMPUTED_VALUE"""),"EXTERNO")</f>
        <v>EXTERNO</v>
      </c>
      <c r="O31">
        <f>IFERROR(__xludf.DUMMYFUNCTION("""COMPUTED_VALUE"""),13.0)</f>
        <v>13</v>
      </c>
      <c r="P31">
        <f>IFERROR(__xludf.DUMMYFUNCTION("""COMPUTED_VALUE"""),3.0)</f>
        <v>3</v>
      </c>
      <c r="Q31" s="35">
        <f>IFERROR(__xludf.DUMMYFUNCTION("""COMPUTED_VALUE"""),0.0)</f>
        <v>0</v>
      </c>
      <c r="R31" s="36" t="str">
        <f>IFERROR(__xludf.DUMMYFUNCTION("""COMPUTED_VALUE"""),"SELECCIONADO")</f>
        <v>SELECCIONADO</v>
      </c>
      <c r="S31" s="37">
        <f>IFERROR(__xludf.DUMMYFUNCTION("""COMPUTED_VALUE"""),43668.0)</f>
        <v>43668</v>
      </c>
      <c r="T31" s="34"/>
      <c r="U31" t="str">
        <f>IFERROR(__xludf.DUMMYFUNCTION("""COMPUTED_VALUE"""),"GAMBOA SILVA SERGIO")</f>
        <v>GAMBOA SILVA SERGIO</v>
      </c>
      <c r="V31" t="str">
        <f>IFERROR(__xludf.DUMMYFUNCTION("""COMPUTED_VALUE"""),"14431876-5")</f>
        <v>14431876-5</v>
      </c>
      <c r="W31" t="str">
        <f>IFERROR(__xludf.DUMMYFUNCTION("""COMPUTED_VALUE"""),"SI")</f>
        <v>SI</v>
      </c>
      <c r="X31" t="str">
        <f>IFERROR(__xludf.DUMMYFUNCTION("""COMPUTED_VALUE"""),"Capacidad de Planificacion y Organizacion")</f>
        <v>Capacidad de Planificacion y Organizacion</v>
      </c>
      <c r="AA31" s="38">
        <f>IFERROR(__xludf.DUMMYFUNCTION("""COMPUTED_VALUE"""),43598.0)</f>
        <v>43598</v>
      </c>
      <c r="AB31" s="38">
        <f>IFERROR(__xludf.DUMMYFUNCTION("""COMPUTED_VALUE"""),43606.0)</f>
        <v>43606</v>
      </c>
      <c r="AF31" s="39"/>
      <c r="AG31" s="39"/>
      <c r="AH31" s="34" t="str">
        <f>IFERROR(__xludf.DUMMYFUNCTION("""COMPUTED_VALUE"""),"PROCESO DE SELECCIÓN")</f>
        <v>PROCESO DE SELECCIÓN</v>
      </c>
      <c r="AI31" s="34" t="str">
        <f>IFERROR(__xludf.DUMMYFUNCTION("""COMPUTED_VALUE"""),"MUÑOZ CESPEDES FERNANDO")</f>
        <v>MUÑOZ CESPEDES FERNANDO</v>
      </c>
      <c r="AJ31" s="34"/>
      <c r="AK31" s="34" t="str">
        <f>IFERROR(__xludf.DUMMYFUNCTION("""COMPUTED_VALUE"""),"E")</f>
        <v>E</v>
      </c>
      <c r="AL31">
        <f>IFERROR(__xludf.DUMMYFUNCTION("""COMPUTED_VALUE"""),45.0)</f>
        <v>45</v>
      </c>
      <c r="AM31">
        <f>IFERROR(__xludf.DUMMYFUNCTION("""COMPUTED_VALUE"""),2019.0)</f>
        <v>2019</v>
      </c>
      <c r="AN31" t="str">
        <f t="shared" si="1"/>
        <v>14431876-5</v>
      </c>
    </row>
    <row r="32">
      <c r="A32" s="33">
        <f>IFERROR(__xludf.DUMMYFUNCTION("""COMPUTED_VALUE"""),1.6115052E7)</f>
        <v>16115052</v>
      </c>
      <c r="B32" s="33">
        <f>IFERROR(__xludf.DUMMYFUNCTION("""COMPUTED_VALUE"""),31.0)</f>
        <v>31</v>
      </c>
      <c r="C32" s="33" t="str">
        <f>IFERROR(__xludf.DUMMYFUNCTION("""COMPUTED_VALUE"""),"A243")</f>
        <v>A243</v>
      </c>
      <c r="D32" s="34" t="str">
        <f>IFERROR(__xludf.DUMMYFUNCTION("""COMPUTED_VALUE"""),"15")</f>
        <v>15</v>
      </c>
      <c r="E32" s="34" t="str">
        <f>IFERROR(__xludf.DUMMYFUNCTION("""COMPUTED_VALUE"""),"UNIDAD DE BIBLIOTECAS")</f>
        <v>UNIDAD DE BIBLIOTECAS</v>
      </c>
      <c r="F32" s="34" t="str">
        <f>IFERROR(__xludf.DUMMYFUNCTION("""COMPUTED_VALUE"""),"Mayordomo(a)")</f>
        <v>Mayordomo(a)</v>
      </c>
      <c r="G32" s="33" t="str">
        <f>IFERROR(__xludf.DUMMYFUNCTION("""COMPUTED_VALUE"""),"MAYORDOMO")</f>
        <v>MAYORDOMO</v>
      </c>
      <c r="H32">
        <f>IFERROR(__xludf.DUMMYFUNCTION("""COMPUTED_VALUE"""),21.0)</f>
        <v>21</v>
      </c>
      <c r="I32" s="34" t="str">
        <f>IFERROR(__xludf.DUMMYFUNCTION("""COMPUTED_VALUE"""),"Jornada Completa")</f>
        <v>Jornada Completa</v>
      </c>
      <c r="J32" s="33" t="str">
        <f>IFERROR(__xludf.DUMMYFUNCTION("""COMPUTED_VALUE"""),"A CONTRATA")</f>
        <v>A CONTRATA</v>
      </c>
      <c r="K32" s="33" t="str">
        <f>IFERROR(__xludf.DUMMYFUNCTION("""COMPUTED_VALUE"""),"AUXILIAR")</f>
        <v>AUXILIAR</v>
      </c>
      <c r="L32" s="34" t="str">
        <f>IFERROR(__xludf.DUMMYFUNCTION("""COMPUTED_VALUE"""),"INTERNO")</f>
        <v>INTERNO</v>
      </c>
      <c r="M32" s="34">
        <f>IFERROR(__xludf.DUMMYFUNCTION("""COMPUTED_VALUE"""),0.0)</f>
        <v>0</v>
      </c>
      <c r="N32" s="34" t="str">
        <f>IFERROR(__xludf.DUMMYFUNCTION("""COMPUTED_VALUE"""),"EXTERNO")</f>
        <v>EXTERNO</v>
      </c>
      <c r="O32">
        <f>IFERROR(__xludf.DUMMYFUNCTION("""COMPUTED_VALUE"""),13.0)</f>
        <v>13</v>
      </c>
      <c r="P32">
        <f>IFERROR(__xludf.DUMMYFUNCTION("""COMPUTED_VALUE"""),1.0)</f>
        <v>1</v>
      </c>
      <c r="Q32" s="35">
        <f>IFERROR(__xludf.DUMMYFUNCTION("""COMPUTED_VALUE"""),0.0)</f>
        <v>0</v>
      </c>
      <c r="R32" s="36" t="str">
        <f>IFERROR(__xludf.DUMMYFUNCTION("""COMPUTED_VALUE"""),"SELECCIONADO")</f>
        <v>SELECCIONADO</v>
      </c>
      <c r="S32" s="37">
        <f>IFERROR(__xludf.DUMMYFUNCTION("""COMPUTED_VALUE"""),43675.0)</f>
        <v>43675</v>
      </c>
      <c r="T32" s="34"/>
      <c r="U32" t="str">
        <f>IFERROR(__xludf.DUMMYFUNCTION("""COMPUTED_VALUE"""),"SILVA SILVA ANTONIO")</f>
        <v>SILVA SILVA ANTONIO</v>
      </c>
      <c r="V32" t="str">
        <f>IFERROR(__xludf.DUMMYFUNCTION("""COMPUTED_VALUE"""),"16115052-5")</f>
        <v>16115052-5</v>
      </c>
      <c r="W32" t="str">
        <f>IFERROR(__xludf.DUMMYFUNCTION("""COMPUTED_VALUE"""),"SI")</f>
        <v>SI</v>
      </c>
      <c r="X32" t="str">
        <f>IFERROR(__xludf.DUMMYFUNCTION("""COMPUTED_VALUE"""),"Iniciativa")</f>
        <v>Iniciativa</v>
      </c>
      <c r="AA32" s="38">
        <f>IFERROR(__xludf.DUMMYFUNCTION("""COMPUTED_VALUE"""),43619.0)</f>
        <v>43619</v>
      </c>
      <c r="AB32" s="38">
        <f>IFERROR(__xludf.DUMMYFUNCTION("""COMPUTED_VALUE"""),43626.0)</f>
        <v>43626</v>
      </c>
      <c r="AF32" s="39"/>
      <c r="AG32" s="39"/>
      <c r="AH32" s="34" t="str">
        <f>IFERROR(__xludf.DUMMYFUNCTION("""COMPUTED_VALUE"""),"PROCESO DE SELECCIÓN")</f>
        <v>PROCESO DE SELECCIÓN</v>
      </c>
      <c r="AI32" s="34" t="str">
        <f>IFERROR(__xludf.DUMMYFUNCTION("""COMPUTED_VALUE"""),"CERDA ARANCIBIA SUSANA")</f>
        <v>CERDA ARANCIBIA SUSANA</v>
      </c>
      <c r="AJ32" s="34"/>
      <c r="AK32" s="34" t="str">
        <f>IFERROR(__xludf.DUMMYFUNCTION("""COMPUTED_VALUE"""),"E")</f>
        <v>E</v>
      </c>
      <c r="AL32">
        <f>IFERROR(__xludf.DUMMYFUNCTION("""COMPUTED_VALUE"""),36.0)</f>
        <v>36</v>
      </c>
      <c r="AM32">
        <f>IFERROR(__xludf.DUMMYFUNCTION("""COMPUTED_VALUE"""),2019.0)</f>
        <v>2019</v>
      </c>
      <c r="AN32" t="str">
        <f t="shared" si="1"/>
        <v>16115052-5</v>
      </c>
    </row>
    <row r="33">
      <c r="A33" s="33">
        <f>IFERROR(__xludf.DUMMYFUNCTION("""COMPUTED_VALUE"""),1.5444672E7)</f>
        <v>15444672</v>
      </c>
      <c r="B33" s="33">
        <f>IFERROR(__xludf.DUMMYFUNCTION("""COMPUTED_VALUE"""),17.0)</f>
        <v>17</v>
      </c>
      <c r="C33" s="33" t="str">
        <f>IFERROR(__xludf.DUMMYFUNCTION("""COMPUTED_VALUE"""),"IR2018-19")</f>
        <v>IR2018-19</v>
      </c>
      <c r="D33" s="34" t="str">
        <f>IFERROR(__xludf.DUMMYFUNCTION("""COMPUTED_VALUE"""),"3")</f>
        <v>3</v>
      </c>
      <c r="E33" s="34" t="str">
        <f>IFERROR(__xludf.DUMMYFUNCTION("""COMPUTED_VALUE"""),"UNIDAD DE GESTION DEL CAMPUS")</f>
        <v>UNIDAD DE GESTION DEL CAMPUS</v>
      </c>
      <c r="F33" s="34" t="str">
        <f>IFERROR(__xludf.DUMMYFUNCTION("""COMPUTED_VALUE"""),"Asistente de Mantención")</f>
        <v>Asistente de Mantención</v>
      </c>
      <c r="G33" s="33" t="str">
        <f>IFERROR(__xludf.DUMMYFUNCTION("""COMPUTED_VALUE"""),"ASISTENTE DE MANTENCIÓN ( CERRAJERO)")</f>
        <v>ASISTENTE DE MANTENCIÓN ( CERRAJERO)</v>
      </c>
      <c r="H33">
        <f>IFERROR(__xludf.DUMMYFUNCTION("""COMPUTED_VALUE"""),20.0)</f>
        <v>20</v>
      </c>
      <c r="I33" s="34" t="str">
        <f>IFERROR(__xludf.DUMMYFUNCTION("""COMPUTED_VALUE"""),"Jornada Completa")</f>
        <v>Jornada Completa</v>
      </c>
      <c r="J33" s="33" t="str">
        <f>IFERROR(__xludf.DUMMYFUNCTION("""COMPUTED_VALUE"""),"A CONTRATA")</f>
        <v>A CONTRATA</v>
      </c>
      <c r="K33" s="33" t="str">
        <f>IFERROR(__xludf.DUMMYFUNCTION("""COMPUTED_VALUE"""),"TECNICO")</f>
        <v>TECNICO</v>
      </c>
      <c r="L33" s="34" t="str">
        <f>IFERROR(__xludf.DUMMYFUNCTION("""COMPUTED_VALUE"""),"INTERNO")</f>
        <v>INTERNO</v>
      </c>
      <c r="M33" s="34">
        <f>IFERROR(__xludf.DUMMYFUNCTION("""COMPUTED_VALUE"""),1.0)</f>
        <v>1</v>
      </c>
      <c r="N33" s="34" t="str">
        <f>IFERROR(__xludf.DUMMYFUNCTION("""COMPUTED_VALUE"""),"EXTERNO")</f>
        <v>EXTERNO</v>
      </c>
      <c r="O33">
        <f>IFERROR(__xludf.DUMMYFUNCTION("""COMPUTED_VALUE"""),10.0)</f>
        <v>10</v>
      </c>
      <c r="P33">
        <f>IFERROR(__xludf.DUMMYFUNCTION("""COMPUTED_VALUE"""),6.0)</f>
        <v>6</v>
      </c>
      <c r="Q33" s="35">
        <f>IFERROR(__xludf.DUMMYFUNCTION("""COMPUTED_VALUE"""),1.0)</f>
        <v>1</v>
      </c>
      <c r="R33" s="36" t="str">
        <f>IFERROR(__xludf.DUMMYFUNCTION("""COMPUTED_VALUE"""),"SELECCIONADO")</f>
        <v>SELECCIONADO</v>
      </c>
      <c r="S33" s="37">
        <f>IFERROR(__xludf.DUMMYFUNCTION("""COMPUTED_VALUE"""),43626.0)</f>
        <v>43626</v>
      </c>
      <c r="T33" s="34"/>
      <c r="U33" t="str">
        <f>IFERROR(__xludf.DUMMYFUNCTION("""COMPUTED_VALUE"""),"CACERES BASTIAS MANUEL")</f>
        <v>CACERES BASTIAS MANUEL</v>
      </c>
      <c r="V33" t="str">
        <f>IFERROR(__xludf.DUMMYFUNCTION("""COMPUTED_VALUE"""),"15444672-9")</f>
        <v>15444672-9</v>
      </c>
      <c r="W33" t="str">
        <f>IFERROR(__xludf.DUMMYFUNCTION("""COMPUTED_VALUE"""),"SI")</f>
        <v>SI</v>
      </c>
      <c r="X33" t="str">
        <f>IFERROR(__xludf.DUMMYFUNCTION("""COMPUTED_VALUE"""),"Orientacion a los Resultados")</f>
        <v>Orientacion a los Resultados</v>
      </c>
      <c r="AA33" s="38">
        <f>IFERROR(__xludf.DUMMYFUNCTION("""COMPUTED_VALUE"""),43577.0)</f>
        <v>43577</v>
      </c>
      <c r="AB33" s="38">
        <f>IFERROR(__xludf.DUMMYFUNCTION("""COMPUTED_VALUE"""),43584.0)</f>
        <v>43584</v>
      </c>
      <c r="AF33" s="39"/>
      <c r="AG33" s="39"/>
      <c r="AH33" s="34" t="str">
        <f>IFERROR(__xludf.DUMMYFUNCTION("""COMPUTED_VALUE"""),"PROCESO DE SELECCIÓN")</f>
        <v>PROCESO DE SELECCIÓN</v>
      </c>
      <c r="AI33" s="34" t="str">
        <f>IFERROR(__xludf.DUMMYFUNCTION("""COMPUTED_VALUE"""),"MUÑOZ SILVA LUIS")</f>
        <v>MUÑOZ SILVA LUIS</v>
      </c>
      <c r="AJ33" s="34"/>
      <c r="AK33" s="34" t="str">
        <f>IFERROR(__xludf.DUMMYFUNCTION("""COMPUTED_VALUE"""),"E")</f>
        <v>E</v>
      </c>
      <c r="AL33">
        <f>IFERROR(__xludf.DUMMYFUNCTION("""COMPUTED_VALUE"""),31.0)</f>
        <v>31</v>
      </c>
      <c r="AM33">
        <f>IFERROR(__xludf.DUMMYFUNCTION("""COMPUTED_VALUE"""),2019.0)</f>
        <v>2019</v>
      </c>
      <c r="AN33" t="str">
        <f t="shared" si="1"/>
        <v>15444672-9</v>
      </c>
    </row>
    <row r="34">
      <c r="A34" s="33">
        <f>IFERROR(__xludf.DUMMYFUNCTION("""COMPUTED_VALUE"""),1.8060136E7)</f>
        <v>18060136</v>
      </c>
      <c r="B34" s="33">
        <f>IFERROR(__xludf.DUMMYFUNCTION("""COMPUTED_VALUE"""),33.0)</f>
        <v>33</v>
      </c>
      <c r="C34" s="33" t="str">
        <f>IFERROR(__xludf.DUMMYFUNCTION("""COMPUTED_VALUE"""),"A316")</f>
        <v>A316</v>
      </c>
      <c r="D34" s="34" t="str">
        <f>IFERROR(__xludf.DUMMYFUNCTION("""COMPUTED_VALUE"""),"3")</f>
        <v>3</v>
      </c>
      <c r="E34" s="34" t="str">
        <f>IFERROR(__xludf.DUMMYFUNCTION("""COMPUTED_VALUE"""),"UNIDAD DE BIENESTAR DEL PERSONAL")</f>
        <v>UNIDAD DE BIENESTAR DEL PERSONAL</v>
      </c>
      <c r="F34" s="34" t="str">
        <f>IFERROR(__xludf.DUMMYFUNCTION("""COMPUTED_VALUE"""),"Jefe(a) de Sección")</f>
        <v>Jefe(a) de Sección</v>
      </c>
      <c r="G34" s="33" t="str">
        <f>IFERROR(__xludf.DUMMYFUNCTION("""COMPUTED_VALUE"""),"JEFA DE SECCIÓN SERVICIO SOCIAL")</f>
        <v>JEFA DE SECCIÓN SERVICIO SOCIAL</v>
      </c>
      <c r="H34">
        <f>IFERROR(__xludf.DUMMYFUNCTION("""COMPUTED_VALUE"""),10.0)</f>
        <v>10</v>
      </c>
      <c r="I34" s="34" t="str">
        <f>IFERROR(__xludf.DUMMYFUNCTION("""COMPUTED_VALUE"""),"Jornada Completa")</f>
        <v>Jornada Completa</v>
      </c>
      <c r="J34" s="33" t="str">
        <f>IFERROR(__xludf.DUMMYFUNCTION("""COMPUTED_VALUE"""),"A CONTRATA")</f>
        <v>A CONTRATA</v>
      </c>
      <c r="K34" s="33" t="str">
        <f>IFERROR(__xludf.DUMMYFUNCTION("""COMPUTED_VALUE"""),"PROFESIONAL")</f>
        <v>PROFESIONAL</v>
      </c>
      <c r="L34" s="34" t="str">
        <f>IFERROR(__xludf.DUMMYFUNCTION("""COMPUTED_VALUE"""),"INTERNO")</f>
        <v>INTERNO</v>
      </c>
      <c r="M34" s="34">
        <f>IFERROR(__xludf.DUMMYFUNCTION("""COMPUTED_VALUE"""),2.0)</f>
        <v>2</v>
      </c>
      <c r="N34" s="34" t="str">
        <f>IFERROR(__xludf.DUMMYFUNCTION("""COMPUTED_VALUE"""),"NO")</f>
        <v>NO</v>
      </c>
      <c r="O34">
        <f>IFERROR(__xludf.DUMMYFUNCTION("""COMPUTED_VALUE"""),0.0)</f>
        <v>0</v>
      </c>
      <c r="P34">
        <f>IFERROR(__xludf.DUMMYFUNCTION("""COMPUTED_VALUE"""),1.0)</f>
        <v>1</v>
      </c>
      <c r="Q34" s="35">
        <f>IFERROR(__xludf.DUMMYFUNCTION("""COMPUTED_VALUE"""),0.0)</f>
        <v>0</v>
      </c>
      <c r="R34" s="36" t="str">
        <f>IFERROR(__xludf.DUMMYFUNCTION("""COMPUTED_VALUE"""),"SELECCIONADA")</f>
        <v>SELECCIONADA</v>
      </c>
      <c r="S34" s="37">
        <f>IFERROR(__xludf.DUMMYFUNCTION("""COMPUTED_VALUE"""),43682.0)</f>
        <v>43682</v>
      </c>
      <c r="T34" s="34" t="str">
        <f>IFERROR(__xludf.DUMMYFUNCTION("""COMPUTED_VALUE"""),"MULLER GOMEZ SILVIA PATRICIA")</f>
        <v>MULLER GOMEZ SILVIA PATRICIA</v>
      </c>
      <c r="V34" t="str">
        <f>IFERROR(__xludf.DUMMYFUNCTION("""COMPUTED_VALUE"""),"18.060.136-8")</f>
        <v>18.060.136-8</v>
      </c>
      <c r="W34" t="str">
        <f>IFERROR(__xludf.DUMMYFUNCTION("""COMPUTED_VALUE"""),"SI")</f>
        <v>SI</v>
      </c>
      <c r="X34" t="str">
        <f>IFERROR(__xludf.DUMMYFUNCTION("""COMPUTED_VALUE"""),"Trabajo en Equipo")</f>
        <v>Trabajo en Equipo</v>
      </c>
      <c r="AA34" s="38">
        <f>IFERROR(__xludf.DUMMYFUNCTION("""COMPUTED_VALUE"""),43600.0)</f>
        <v>43600</v>
      </c>
      <c r="AB34" s="38">
        <f>IFERROR(__xludf.DUMMYFUNCTION("""COMPUTED_VALUE"""),43608.0)</f>
        <v>43608</v>
      </c>
      <c r="AF34" s="39"/>
      <c r="AG34" s="39"/>
      <c r="AH34" s="34" t="str">
        <f>IFERROR(__xludf.DUMMYFUNCTION("""COMPUTED_VALUE"""),"PROCESO DE SELECCIÓN")</f>
        <v>PROCESO DE SELECCIÓN</v>
      </c>
      <c r="AI34" s="34" t="str">
        <f>IFERROR(__xludf.DUMMYFUNCTION("""COMPUTED_VALUE"""),"DIAZ LARA DANIELA")</f>
        <v>DIAZ LARA DANIELA</v>
      </c>
      <c r="AJ34" s="34"/>
      <c r="AK34" s="34" t="str">
        <f>IFERROR(__xludf.DUMMYFUNCTION("""COMPUTED_VALUE"""),"C")</f>
        <v>C</v>
      </c>
      <c r="AL34">
        <f>IFERROR(__xludf.DUMMYFUNCTION("""COMPUTED_VALUE"""),53.0)</f>
        <v>53</v>
      </c>
      <c r="AM34">
        <f>IFERROR(__xludf.DUMMYFUNCTION("""COMPUTED_VALUE"""),2019.0)</f>
        <v>2019</v>
      </c>
      <c r="AN34" t="str">
        <f t="shared" si="1"/>
        <v>18.060.136-8</v>
      </c>
    </row>
    <row r="35">
      <c r="A35" s="33">
        <f>IFERROR(__xludf.DUMMYFUNCTION("""COMPUTED_VALUE"""),1.0487286E7)</f>
        <v>10487286</v>
      </c>
      <c r="B35" s="33">
        <f>IFERROR(__xludf.DUMMYFUNCTION("""COMPUTED_VALUE"""),34.0)</f>
        <v>34</v>
      </c>
      <c r="C35" s="33" t="str">
        <f>IFERROR(__xludf.DUMMYFUNCTION("""COMPUTED_VALUE"""),"A382")</f>
        <v>A382</v>
      </c>
      <c r="D35" s="34" t="str">
        <f>IFERROR(__xludf.DUMMYFUNCTION("""COMPUTED_VALUE"""),"120")</f>
        <v>120</v>
      </c>
      <c r="E35" s="34" t="str">
        <f>IFERROR(__xludf.DUMMYFUNCTION("""COMPUTED_VALUE"""),"DPTO. DE COMUNICACIONES")</f>
        <v>DPTO. DE COMUNICACIONES</v>
      </c>
      <c r="F35" s="34" t="str">
        <f>IFERROR(__xludf.DUMMYFUNCTION("""COMPUTED_VALUE"""),"Editor(a)")</f>
        <v>Editor(a)</v>
      </c>
      <c r="G35" s="33" t="str">
        <f>IFERROR(__xludf.DUMMYFUNCTION("""COMPUTED_VALUE"""),"EDITOR DIARIO INSTITUCIONAL")</f>
        <v>EDITOR DIARIO INSTITUCIONAL</v>
      </c>
      <c r="H35">
        <f>IFERROR(__xludf.DUMMYFUNCTION("""COMPUTED_VALUE"""),10.0)</f>
        <v>10</v>
      </c>
      <c r="I35" s="34" t="str">
        <f>IFERROR(__xludf.DUMMYFUNCTION("""COMPUTED_VALUE"""),"Jornada Completa")</f>
        <v>Jornada Completa</v>
      </c>
      <c r="J35" s="33" t="str">
        <f>IFERROR(__xludf.DUMMYFUNCTION("""COMPUTED_VALUE"""),"A CONTRATA")</f>
        <v>A CONTRATA</v>
      </c>
      <c r="K35" s="33" t="str">
        <f>IFERROR(__xludf.DUMMYFUNCTION("""COMPUTED_VALUE"""),"PROFESIONAL")</f>
        <v>PROFESIONAL</v>
      </c>
      <c r="L35" s="34" t="str">
        <f>IFERROR(__xludf.DUMMYFUNCTION("""COMPUTED_VALUE"""),"NO")</f>
        <v>NO</v>
      </c>
      <c r="M35" s="34">
        <f>IFERROR(__xludf.DUMMYFUNCTION("""COMPUTED_VALUE"""),0.0)</f>
        <v>0</v>
      </c>
      <c r="N35" s="34" t="str">
        <f>IFERROR(__xludf.DUMMYFUNCTION("""COMPUTED_VALUE"""),"EXTERNO")</f>
        <v>EXTERNO</v>
      </c>
      <c r="O35">
        <f>IFERROR(__xludf.DUMMYFUNCTION("""COMPUTED_VALUE"""),14.0)</f>
        <v>14</v>
      </c>
      <c r="P35">
        <f>IFERROR(__xludf.DUMMYFUNCTION("""COMPUTED_VALUE"""),1.0)</f>
        <v>1</v>
      </c>
      <c r="Q35" s="35">
        <f>IFERROR(__xludf.DUMMYFUNCTION("""COMPUTED_VALUE"""),0.0)</f>
        <v>0</v>
      </c>
      <c r="R35" s="36" t="str">
        <f>IFERROR(__xludf.DUMMYFUNCTION("""COMPUTED_VALUE"""),"SELECCIONADO")</f>
        <v>SELECCIONADO</v>
      </c>
      <c r="S35" s="37">
        <f>IFERROR(__xludf.DUMMYFUNCTION("""COMPUTED_VALUE"""),43678.0)</f>
        <v>43678</v>
      </c>
      <c r="T35" s="34"/>
      <c r="U35" t="str">
        <f>IFERROR(__xludf.DUMMYFUNCTION("""COMPUTED_VALUE"""),"FLORES GALVEZ JOSE")</f>
        <v>FLORES GALVEZ JOSE</v>
      </c>
      <c r="V35" t="str">
        <f>IFERROR(__xludf.DUMMYFUNCTION("""COMPUTED_VALUE"""),"10487286-7")</f>
        <v>10487286-7</v>
      </c>
      <c r="W35" t="str">
        <f>IFERROR(__xludf.DUMMYFUNCTION("""COMPUTED_VALUE"""),"SI")</f>
        <v>SI</v>
      </c>
      <c r="X35" t="str">
        <f>IFERROR(__xludf.DUMMYFUNCTION("""COMPUTED_VALUE"""),"Capacidad de Planificacion y Organizacion")</f>
        <v>Capacidad de Planificacion y Organizacion</v>
      </c>
      <c r="AA35" s="38">
        <f>IFERROR(__xludf.DUMMYFUNCTION("""COMPUTED_VALUE"""),43654.0)</f>
        <v>43654</v>
      </c>
      <c r="AB35" s="38">
        <f>IFERROR(__xludf.DUMMYFUNCTION("""COMPUTED_VALUE"""),43656.0)</f>
        <v>43656</v>
      </c>
      <c r="AF35" s="39"/>
      <c r="AG35" s="39"/>
      <c r="AH35" s="34" t="str">
        <f>IFERROR(__xludf.DUMMYFUNCTION("""COMPUTED_VALUE"""),"PROCESO DE SELECCIÓN")</f>
        <v>PROCESO DE SELECCIÓN</v>
      </c>
      <c r="AI35" s="34" t="str">
        <f>IFERROR(__xludf.DUMMYFUNCTION("""COMPUTED_VALUE"""),"DOUZET JELDRES PABLO")</f>
        <v>DOUZET JELDRES PABLO</v>
      </c>
      <c r="AJ35" s="34"/>
      <c r="AK35" s="34" t="str">
        <f>IFERROR(__xludf.DUMMYFUNCTION("""COMPUTED_VALUE"""),"C")</f>
        <v>C</v>
      </c>
      <c r="AL35">
        <f>IFERROR(__xludf.DUMMYFUNCTION("""COMPUTED_VALUE"""),17.0)</f>
        <v>17</v>
      </c>
      <c r="AM35">
        <f>IFERROR(__xludf.DUMMYFUNCTION("""COMPUTED_VALUE"""),2019.0)</f>
        <v>2019</v>
      </c>
      <c r="AN35" t="str">
        <f t="shared" si="1"/>
        <v>10487286-7</v>
      </c>
    </row>
    <row r="36">
      <c r="A36" s="33">
        <f>IFERROR(__xludf.DUMMYFUNCTION("""COMPUTED_VALUE"""),1.1627295E7)</f>
        <v>11627295</v>
      </c>
      <c r="B36" s="33">
        <f>IFERROR(__xludf.DUMMYFUNCTION("""COMPUTED_VALUE"""),35.0)</f>
        <v>35</v>
      </c>
      <c r="C36" s="33" t="str">
        <f>IFERROR(__xludf.DUMMYFUNCTION("""COMPUTED_VALUE"""),"A342")</f>
        <v>A342</v>
      </c>
      <c r="D36" s="34" t="str">
        <f>IFERROR(__xludf.DUMMYFUNCTION("""COMPUTED_VALUE"""),"22")</f>
        <v>22</v>
      </c>
      <c r="E36" s="34" t="str">
        <f>IFERROR(__xludf.DUMMYFUNCTION("""COMPUTED_VALUE"""),"UNIDAD DE VOCACION ARTISTICA")</f>
        <v>UNIDAD DE VOCACION ARTISTICA</v>
      </c>
      <c r="F36" s="34" t="str">
        <f>IFERROR(__xludf.DUMMYFUNCTION("""COMPUTED_VALUE"""),"Jefe(a) de Sección")</f>
        <v>Jefe(a) de Sección</v>
      </c>
      <c r="G36" s="33" t="str">
        <f>IFERROR(__xludf.DUMMYFUNCTION("""COMPUTED_VALUE"""),"JEFA DE SECCION ( CURSOS CULTURALES DE FORMACION INTEGRAL CCFI")</f>
        <v>JEFA DE SECCION ( CURSOS CULTURALES DE FORMACION INTEGRAL CCFI</v>
      </c>
      <c r="H36">
        <f>IFERROR(__xludf.DUMMYFUNCTION("""COMPUTED_VALUE"""),10.0)</f>
        <v>10</v>
      </c>
      <c r="I36" s="34" t="str">
        <f>IFERROR(__xludf.DUMMYFUNCTION("""COMPUTED_VALUE"""),"1/2 Jornada")</f>
        <v>1/2 Jornada</v>
      </c>
      <c r="J36" s="33" t="str">
        <f>IFERROR(__xludf.DUMMYFUNCTION("""COMPUTED_VALUE"""),"A CONTRATA")</f>
        <v>A CONTRATA</v>
      </c>
      <c r="K36" s="33" t="str">
        <f>IFERROR(__xludf.DUMMYFUNCTION("""COMPUTED_VALUE"""),"PROFESIONAL")</f>
        <v>PROFESIONAL</v>
      </c>
      <c r="L36" s="34" t="str">
        <f>IFERROR(__xludf.DUMMYFUNCTION("""COMPUTED_VALUE"""),"INTERNO")</f>
        <v>INTERNO</v>
      </c>
      <c r="M36" s="34">
        <f>IFERROR(__xludf.DUMMYFUNCTION("""COMPUTED_VALUE"""),5.0)</f>
        <v>5</v>
      </c>
      <c r="N36" s="34" t="str">
        <f>IFERROR(__xludf.DUMMYFUNCTION("""COMPUTED_VALUE"""),"NO")</f>
        <v>NO</v>
      </c>
      <c r="O36">
        <f>IFERROR(__xludf.DUMMYFUNCTION("""COMPUTED_VALUE"""),5.0)</f>
        <v>5</v>
      </c>
      <c r="P36">
        <f>IFERROR(__xludf.DUMMYFUNCTION("""COMPUTED_VALUE"""),2.0)</f>
        <v>2</v>
      </c>
      <c r="Q36" s="35">
        <f>IFERROR(__xludf.DUMMYFUNCTION("""COMPUTED_VALUE"""),0.0)</f>
        <v>0</v>
      </c>
      <c r="R36" s="36" t="str">
        <f>IFERROR(__xludf.DUMMYFUNCTION("""COMPUTED_VALUE"""),"SELECCIONADA")</f>
        <v>SELECCIONADA</v>
      </c>
      <c r="S36" s="37">
        <f>IFERROR(__xludf.DUMMYFUNCTION("""COMPUTED_VALUE"""),43682.0)</f>
        <v>43682</v>
      </c>
      <c r="T36" s="34" t="str">
        <f>IFERROR(__xludf.DUMMYFUNCTION("""COMPUTED_VALUE"""),"ARAVENA TORRES SUSANA")</f>
        <v>ARAVENA TORRES SUSANA</v>
      </c>
      <c r="V36" t="str">
        <f>IFERROR(__xludf.DUMMYFUNCTION("""COMPUTED_VALUE"""),"11627295-4")</f>
        <v>11627295-4</v>
      </c>
      <c r="W36" t="str">
        <f>IFERROR(__xludf.DUMMYFUNCTION("""COMPUTED_VALUE"""),"SI")</f>
        <v>SI</v>
      </c>
      <c r="X36" t="str">
        <f>IFERROR(__xludf.DUMMYFUNCTION("""COMPUTED_VALUE"""),"Capacidad de Planificacion y Organizacion")</f>
        <v>Capacidad de Planificacion y Organizacion</v>
      </c>
      <c r="Y36" t="str">
        <f>IFERROR(__xludf.DUMMYFUNCTION("""COMPUTED_VALUE"""),"Trabajo en Equipo")</f>
        <v>Trabajo en Equipo</v>
      </c>
      <c r="AA36" s="38">
        <f>IFERROR(__xludf.DUMMYFUNCTION("""COMPUTED_VALUE"""),43627.0)</f>
        <v>43627</v>
      </c>
      <c r="AB36" s="38">
        <f>IFERROR(__xludf.DUMMYFUNCTION("""COMPUTED_VALUE"""),43630.0)</f>
        <v>43630</v>
      </c>
      <c r="AF36" s="39"/>
      <c r="AG36" s="39"/>
      <c r="AH36" s="34" t="str">
        <f>IFERROR(__xludf.DUMMYFUNCTION("""COMPUTED_VALUE"""),"PROCESO DE SELECCIÓN")</f>
        <v>PROCESO DE SELECCIÓN</v>
      </c>
      <c r="AI36" s="34" t="str">
        <f>IFERROR(__xludf.DUMMYFUNCTION("""COMPUTED_VALUE"""),"COVARRUBIAS PIZARRO GLORIA")</f>
        <v>COVARRUBIAS PIZARRO GLORIA</v>
      </c>
      <c r="AJ36" s="34"/>
      <c r="AK36" s="34" t="str">
        <f>IFERROR(__xludf.DUMMYFUNCTION("""COMPUTED_VALUE"""),"C")</f>
        <v>C</v>
      </c>
      <c r="AL36">
        <f>IFERROR(__xludf.DUMMYFUNCTION("""COMPUTED_VALUE"""),37.0)</f>
        <v>37</v>
      </c>
      <c r="AM36">
        <f>IFERROR(__xludf.DUMMYFUNCTION("""COMPUTED_VALUE"""),2019.0)</f>
        <v>2019</v>
      </c>
      <c r="AN36" t="str">
        <f t="shared" si="1"/>
        <v>11627295-4</v>
      </c>
    </row>
    <row r="37">
      <c r="A37" s="33">
        <f>IFERROR(__xludf.DUMMYFUNCTION("""COMPUTED_VALUE"""),1.2109393E7)</f>
        <v>12109393</v>
      </c>
      <c r="B37" s="33">
        <f>IFERROR(__xludf.DUMMYFUNCTION("""COMPUTED_VALUE"""),36.0)</f>
        <v>36</v>
      </c>
      <c r="C37" s="33" t="str">
        <f>IFERROR(__xludf.DUMMYFUNCTION("""COMPUTED_VALUE"""),"A374")</f>
        <v>A374</v>
      </c>
      <c r="D37" s="34" t="str">
        <f>IFERROR(__xludf.DUMMYFUNCTION("""COMPUTED_VALUE"""),"15")</f>
        <v>15</v>
      </c>
      <c r="E37" s="34" t="str">
        <f>IFERROR(__xludf.DUMMYFUNCTION("""COMPUTED_VALUE"""),"PROGRAMA BACHILLERATO")</f>
        <v>PROGRAMA BACHILLERATO</v>
      </c>
      <c r="F37" s="34" t="str">
        <f>IFERROR(__xludf.DUMMYFUNCTION("""COMPUTED_VALUE"""),"Analista de Gestión I")</f>
        <v>Analista de Gestión I</v>
      </c>
      <c r="G37" s="33" t="str">
        <f>IFERROR(__xludf.DUMMYFUNCTION("""COMPUTED_VALUE"""),"ANALISTA DE GESTION I ( COORDINADOR DOCENTE)")</f>
        <v>ANALISTA DE GESTION I ( COORDINADOR DOCENTE)</v>
      </c>
      <c r="H37">
        <f>IFERROR(__xludf.DUMMYFUNCTION("""COMPUTED_VALUE"""),10.0)</f>
        <v>10</v>
      </c>
      <c r="I37" s="34" t="str">
        <f>IFERROR(__xludf.DUMMYFUNCTION("""COMPUTED_VALUE"""),"1/2 Jornada")</f>
        <v>1/2 Jornada</v>
      </c>
      <c r="J37" s="33" t="str">
        <f>IFERROR(__xludf.DUMMYFUNCTION("""COMPUTED_VALUE"""),"A CONTRATA")</f>
        <v>A CONTRATA</v>
      </c>
      <c r="K37" s="33" t="str">
        <f>IFERROR(__xludf.DUMMYFUNCTION("""COMPUTED_VALUE"""),"PROFESIONAL")</f>
        <v>PROFESIONAL</v>
      </c>
      <c r="L37" s="34" t="str">
        <f>IFERROR(__xludf.DUMMYFUNCTION("""COMPUTED_VALUE"""),"INTERNO")</f>
        <v>INTERNO</v>
      </c>
      <c r="M37" s="34">
        <f>IFERROR(__xludf.DUMMYFUNCTION("""COMPUTED_VALUE"""),3.0)</f>
        <v>3</v>
      </c>
      <c r="N37" s="34" t="str">
        <f>IFERROR(__xludf.DUMMYFUNCTION("""COMPUTED_VALUE"""),"NO")</f>
        <v>NO</v>
      </c>
      <c r="P37">
        <f>IFERROR(__xludf.DUMMYFUNCTION("""COMPUTED_VALUE"""),1.0)</f>
        <v>1</v>
      </c>
      <c r="Q37" s="35">
        <f>IFERROR(__xludf.DUMMYFUNCTION("""COMPUTED_VALUE"""),0.0)</f>
        <v>0</v>
      </c>
      <c r="R37" s="36" t="str">
        <f>IFERROR(__xludf.DUMMYFUNCTION("""COMPUTED_VALUE"""),"SELECCIONADO")</f>
        <v>SELECCIONADO</v>
      </c>
      <c r="S37" s="37">
        <f>IFERROR(__xludf.DUMMYFUNCTION("""COMPUTED_VALUE"""),43686.0)</f>
        <v>43686</v>
      </c>
      <c r="T37" s="34" t="str">
        <f>IFERROR(__xludf.DUMMYFUNCTION("""COMPUTED_VALUE"""),"BOSSART ROJAS JAVIER")</f>
        <v>BOSSART ROJAS JAVIER</v>
      </c>
      <c r="V37" t="str">
        <f>IFERROR(__xludf.DUMMYFUNCTION("""COMPUTED_VALUE"""),"12109393-6")</f>
        <v>12109393-6</v>
      </c>
      <c r="W37" t="str">
        <f>IFERROR(__xludf.DUMMYFUNCTION("""COMPUTED_VALUE"""),"SI")</f>
        <v>SI</v>
      </c>
      <c r="X37" t="str">
        <f>IFERROR(__xludf.DUMMYFUNCTION("""COMPUTED_VALUE"""),"Capacidad de Planificacion y Organizacion")</f>
        <v>Capacidad de Planificacion y Organizacion</v>
      </c>
      <c r="Y37" t="str">
        <f>IFERROR(__xludf.DUMMYFUNCTION("""COMPUTED_VALUE"""),"Orientacion a los Resultados")</f>
        <v>Orientacion a los Resultados</v>
      </c>
      <c r="AA37" s="38">
        <f>IFERROR(__xludf.DUMMYFUNCTION("""COMPUTED_VALUE"""),43643.0)</f>
        <v>43643</v>
      </c>
      <c r="AB37" s="38">
        <f>IFERROR(__xludf.DUMMYFUNCTION("""COMPUTED_VALUE"""),43651.0)</f>
        <v>43651</v>
      </c>
      <c r="AF37" s="39"/>
      <c r="AG37" s="39"/>
      <c r="AH37" s="34" t="str">
        <f>IFERROR(__xludf.DUMMYFUNCTION("""COMPUTED_VALUE"""),"PROCESO DE SELECCIÓN")</f>
        <v>PROCESO DE SELECCIÓN</v>
      </c>
      <c r="AI37" s="34" t="str">
        <f>IFERROR(__xludf.DUMMYFUNCTION("""COMPUTED_VALUE"""),"URBINA RODRIGUEZ FRANCISCO")</f>
        <v>URBINA RODRIGUEZ FRANCISCO</v>
      </c>
      <c r="AJ37" s="34"/>
      <c r="AK37" s="34" t="str">
        <f>IFERROR(__xludf.DUMMYFUNCTION("""COMPUTED_VALUE"""),"C")</f>
        <v>C</v>
      </c>
      <c r="AL37">
        <f>IFERROR(__xludf.DUMMYFUNCTION("""COMPUTED_VALUE"""),26.0)</f>
        <v>26</v>
      </c>
      <c r="AM37">
        <f>IFERROR(__xludf.DUMMYFUNCTION("""COMPUTED_VALUE"""),2019.0)</f>
        <v>2019</v>
      </c>
      <c r="AN37" t="str">
        <f t="shared" si="1"/>
        <v>12109393-6</v>
      </c>
    </row>
    <row r="38">
      <c r="A38" s="33">
        <f>IFERROR(__xludf.DUMMYFUNCTION("""COMPUTED_VALUE"""),1.2905498E7)</f>
        <v>12905498</v>
      </c>
      <c r="B38" s="33">
        <f>IFERROR(__xludf.DUMMYFUNCTION("""COMPUTED_VALUE"""),37.0)</f>
        <v>37</v>
      </c>
      <c r="C38" s="33" t="str">
        <f>IFERROR(__xludf.DUMMYFUNCTION("""COMPUTED_VALUE"""),"A305")</f>
        <v>A305</v>
      </c>
      <c r="D38" s="34" t="str">
        <f>IFERROR(__xludf.DUMMYFUNCTION("""COMPUTED_VALUE"""),"15")</f>
        <v>15</v>
      </c>
      <c r="E38" s="34" t="str">
        <f>IFERROR(__xludf.DUMMYFUNCTION("""COMPUTED_VALUE"""),"UNIDAD DE REGISTRO ACADEMICO Y CURRICULAR")</f>
        <v>UNIDAD DE REGISTRO ACADEMICO Y CURRICULAR</v>
      </c>
      <c r="F38" s="34" t="str">
        <f>IFERROR(__xludf.DUMMYFUNCTION("""COMPUTED_VALUE"""),"Secretario(a) B")</f>
        <v>Secretario(a) B</v>
      </c>
      <c r="G38" s="33" t="str">
        <f>IFERROR(__xludf.DUMMYFUNCTION("""COMPUTED_VALUE"""),"SECRETARIA B")</f>
        <v>SECRETARIA B</v>
      </c>
      <c r="H38">
        <f>IFERROR(__xludf.DUMMYFUNCTION("""COMPUTED_VALUE"""),17.0)</f>
        <v>17</v>
      </c>
      <c r="I38" s="34" t="str">
        <f>IFERROR(__xludf.DUMMYFUNCTION("""COMPUTED_VALUE"""),"Jornada Completa")</f>
        <v>Jornada Completa</v>
      </c>
      <c r="J38" s="33" t="str">
        <f>IFERROR(__xludf.DUMMYFUNCTION("""COMPUTED_VALUE"""),"A CONTRATA")</f>
        <v>A CONTRATA</v>
      </c>
      <c r="K38" s="33" t="str">
        <f>IFERROR(__xludf.DUMMYFUNCTION("""COMPUTED_VALUE"""),"ADMINISTRATIVO")</f>
        <v>ADMINISTRATIVO</v>
      </c>
      <c r="L38" s="34" t="str">
        <f>IFERROR(__xludf.DUMMYFUNCTION("""COMPUTED_VALUE"""),"INTERNO")</f>
        <v>INTERNO</v>
      </c>
      <c r="M38" s="34">
        <f>IFERROR(__xludf.DUMMYFUNCTION("""COMPUTED_VALUE"""),1.0)</f>
        <v>1</v>
      </c>
      <c r="N38" s="34" t="str">
        <f>IFERROR(__xludf.DUMMYFUNCTION("""COMPUTED_VALUE"""),"NO")</f>
        <v>NO</v>
      </c>
      <c r="P38">
        <f>IFERROR(__xludf.DUMMYFUNCTION("""COMPUTED_VALUE"""),1.0)</f>
        <v>1</v>
      </c>
      <c r="Q38" s="35">
        <f>IFERROR(__xludf.DUMMYFUNCTION("""COMPUTED_VALUE"""),0.0)</f>
        <v>0</v>
      </c>
      <c r="R38" s="36" t="str">
        <f>IFERROR(__xludf.DUMMYFUNCTION("""COMPUTED_VALUE"""),"SELECCIONADA")</f>
        <v>SELECCIONADA</v>
      </c>
      <c r="S38" s="37">
        <f>IFERROR(__xludf.DUMMYFUNCTION("""COMPUTED_VALUE"""),43683.0)</f>
        <v>43683</v>
      </c>
      <c r="T38" s="34" t="str">
        <f>IFERROR(__xludf.DUMMYFUNCTION("""COMPUTED_VALUE"""),"ROSALES CARMONA ANA ROSA")</f>
        <v>ROSALES CARMONA ANA ROSA</v>
      </c>
      <c r="V38" t="str">
        <f>IFERROR(__xludf.DUMMYFUNCTION("""COMPUTED_VALUE"""),"12905498-0")</f>
        <v>12905498-0</v>
      </c>
      <c r="W38" t="str">
        <f>IFERROR(__xludf.DUMMYFUNCTION("""COMPUTED_VALUE"""),"SI")</f>
        <v>SI</v>
      </c>
      <c r="X38" t="str">
        <f>IFERROR(__xludf.DUMMYFUNCTION("""COMPUTED_VALUE"""),"Franqueza- Confiabilidad- Integridad")</f>
        <v>Franqueza- Confiabilidad- Integridad</v>
      </c>
      <c r="AA38" s="38">
        <f>IFERROR(__xludf.DUMMYFUNCTION("""COMPUTED_VALUE"""),43637.0)</f>
        <v>43637</v>
      </c>
      <c r="AB38" s="38">
        <f>IFERROR(__xludf.DUMMYFUNCTION("""COMPUTED_VALUE"""),43644.0)</f>
        <v>43644</v>
      </c>
      <c r="AF38" s="39"/>
      <c r="AG38" s="39"/>
      <c r="AH38" s="34" t="str">
        <f>IFERROR(__xludf.DUMMYFUNCTION("""COMPUTED_VALUE"""),"PROCESO DE SELECCIÓN")</f>
        <v>PROCESO DE SELECCIÓN</v>
      </c>
      <c r="AI38" s="34" t="str">
        <f>IFERROR(__xludf.DUMMYFUNCTION("""COMPUTED_VALUE"""),"-")</f>
        <v>-</v>
      </c>
      <c r="AJ38" s="34"/>
      <c r="AK38" s="34" t="str">
        <f>IFERROR(__xludf.DUMMYFUNCTION("""COMPUTED_VALUE"""),"C")</f>
        <v>C</v>
      </c>
      <c r="AL38">
        <f>IFERROR(__xludf.DUMMYFUNCTION("""COMPUTED_VALUE"""),28.0)</f>
        <v>28</v>
      </c>
      <c r="AM38">
        <f>IFERROR(__xludf.DUMMYFUNCTION("""COMPUTED_VALUE"""),2019.0)</f>
        <v>2019</v>
      </c>
      <c r="AN38" t="str">
        <f t="shared" si="1"/>
        <v>12905498-0</v>
      </c>
    </row>
    <row r="39">
      <c r="A39" s="33">
        <f>IFERROR(__xludf.DUMMYFUNCTION("""COMPUTED_VALUE"""),1.6379746E7)</f>
        <v>16379746</v>
      </c>
      <c r="B39" s="33">
        <f>IFERROR(__xludf.DUMMYFUNCTION("""COMPUTED_VALUE"""),38.0)</f>
        <v>38</v>
      </c>
      <c r="C39" s="33" t="str">
        <f>IFERROR(__xludf.DUMMYFUNCTION("""COMPUTED_VALUE"""),"ACTA2019-23")</f>
        <v>ACTA2019-23</v>
      </c>
      <c r="D39" s="34" t="str">
        <f>IFERROR(__xludf.DUMMYFUNCTION("""COMPUTED_VALUE"""),"15")</f>
        <v>15</v>
      </c>
      <c r="E39" s="34" t="str">
        <f>IFERROR(__xludf.DUMMYFUNCTION("""COMPUTED_VALUE"""),"ESCUELA DE ARQUITECTURA")</f>
        <v>ESCUELA DE ARQUITECTURA</v>
      </c>
      <c r="F39" s="34" t="str">
        <f>IFERROR(__xludf.DUMMYFUNCTION("""COMPUTED_VALUE"""),"Asistente de Laboratorio")</f>
        <v>Asistente de Laboratorio</v>
      </c>
      <c r="G39" s="33" t="str">
        <f>IFERROR(__xludf.DUMMYFUNCTION("""COMPUTED_VALUE"""),"ASISTENTE DE LABORATORIO")</f>
        <v>ASISTENTE DE LABORATORIO</v>
      </c>
      <c r="H39">
        <f>IFERROR(__xludf.DUMMYFUNCTION("""COMPUTED_VALUE"""),20.0)</f>
        <v>20</v>
      </c>
      <c r="I39" s="34" t="str">
        <f>IFERROR(__xludf.DUMMYFUNCTION("""COMPUTED_VALUE"""),"Jornada Completa")</f>
        <v>Jornada Completa</v>
      </c>
      <c r="J39" s="33" t="str">
        <f>IFERROR(__xludf.DUMMYFUNCTION("""COMPUTED_VALUE"""),"A CONTRATA")</f>
        <v>A CONTRATA</v>
      </c>
      <c r="K39" s="33" t="str">
        <f>IFERROR(__xludf.DUMMYFUNCTION("""COMPUTED_VALUE"""),"TECNICO")</f>
        <v>TECNICO</v>
      </c>
      <c r="L39" s="34" t="str">
        <f>IFERROR(__xludf.DUMMYFUNCTION("""COMPUTED_VALUE"""),"INTERNO")</f>
        <v>INTERNO</v>
      </c>
      <c r="M39" s="34">
        <f>IFERROR(__xludf.DUMMYFUNCTION("""COMPUTED_VALUE"""),1.0)</f>
        <v>1</v>
      </c>
      <c r="N39" s="34" t="str">
        <f>IFERROR(__xludf.DUMMYFUNCTION("""COMPUTED_VALUE"""),"NO")</f>
        <v>NO</v>
      </c>
      <c r="P39">
        <f>IFERROR(__xludf.DUMMYFUNCTION("""COMPUTED_VALUE"""),1.0)</f>
        <v>1</v>
      </c>
      <c r="Q39" s="35">
        <f>IFERROR(__xludf.DUMMYFUNCTION("""COMPUTED_VALUE"""),0.0)</f>
        <v>0</v>
      </c>
      <c r="R39" s="36" t="str">
        <f>IFERROR(__xludf.DUMMYFUNCTION("""COMPUTED_VALUE"""),"SELECCIONADO")</f>
        <v>SELECCIONADO</v>
      </c>
      <c r="S39" s="37">
        <f>IFERROR(__xludf.DUMMYFUNCTION("""COMPUTED_VALUE"""),43678.0)</f>
        <v>43678</v>
      </c>
      <c r="T39" s="34" t="str">
        <f>IFERROR(__xludf.DUMMYFUNCTION("""COMPUTED_VALUE"""),"LLANOS BARRERA CHRISTIAN ALEXIS")</f>
        <v>LLANOS BARRERA CHRISTIAN ALEXIS</v>
      </c>
      <c r="V39" t="str">
        <f>IFERROR(__xludf.DUMMYFUNCTION("""COMPUTED_VALUE"""),"16379746-1")</f>
        <v>16379746-1</v>
      </c>
      <c r="W39" t="str">
        <f>IFERROR(__xludf.DUMMYFUNCTION("""COMPUTED_VALUE"""),"NO")</f>
        <v>NO</v>
      </c>
      <c r="AA39" s="38">
        <f>IFERROR(__xludf.DUMMYFUNCTION("""COMPUTED_VALUE"""),43588.0)</f>
        <v>43588</v>
      </c>
      <c r="AB39" s="38">
        <f>IFERROR(__xludf.DUMMYFUNCTION("""COMPUTED_VALUE"""),43595.0)</f>
        <v>43595</v>
      </c>
      <c r="AF39" s="39"/>
      <c r="AG39" s="39"/>
      <c r="AH39" s="34" t="str">
        <f>IFERROR(__xludf.DUMMYFUNCTION("""COMPUTED_VALUE"""),"PROCESO DE SELECCIÓN")</f>
        <v>PROCESO DE SELECCIÓN</v>
      </c>
      <c r="AI39" s="34" t="str">
        <f>IFERROR(__xludf.DUMMYFUNCTION("""COMPUTED_VALUE"""),"-")</f>
        <v>-</v>
      </c>
      <c r="AJ39" s="34"/>
      <c r="AK39" s="34" t="str">
        <f>IFERROR(__xludf.DUMMYFUNCTION("""COMPUTED_VALUE"""),"C")</f>
        <v>C</v>
      </c>
      <c r="AL39">
        <f>IFERROR(__xludf.DUMMYFUNCTION("""COMPUTED_VALUE"""),60.0)</f>
        <v>60</v>
      </c>
      <c r="AM39">
        <f>IFERROR(__xludf.DUMMYFUNCTION("""COMPUTED_VALUE"""),2019.0)</f>
        <v>2019</v>
      </c>
      <c r="AN39" t="str">
        <f t="shared" si="1"/>
        <v>16379746-1</v>
      </c>
    </row>
    <row r="40">
      <c r="A40" s="33">
        <f>IFERROR(__xludf.DUMMYFUNCTION("""COMPUTED_VALUE"""),1.7845827E7)</f>
        <v>17845827</v>
      </c>
      <c r="B40" s="33">
        <f>IFERROR(__xludf.DUMMYFUNCTION("""COMPUTED_VALUE"""),39.0)</f>
        <v>39</v>
      </c>
      <c r="C40" s="33" t="str">
        <f>IFERROR(__xludf.DUMMYFUNCTION("""COMPUTED_VALUE"""),"ACTA2019-05")</f>
        <v>ACTA2019-05</v>
      </c>
      <c r="D40" s="34" t="str">
        <f>IFERROR(__xludf.DUMMYFUNCTION("""COMPUTED_VALUE"""),"15")</f>
        <v>15</v>
      </c>
      <c r="E40" s="34" t="str">
        <f>IFERROR(__xludf.DUMMYFUNCTION("""COMPUTED_VALUE"""),"UNIDAD DE BIBLIOTECAS")</f>
        <v>UNIDAD DE BIBLIOTECAS</v>
      </c>
      <c r="F40" s="34" t="str">
        <f>IFERROR(__xludf.DUMMYFUNCTION("""COMPUTED_VALUE"""),"Asistente de Biblioteca")</f>
        <v>Asistente de Biblioteca</v>
      </c>
      <c r="G40" s="33" t="str">
        <f>IFERROR(__xludf.DUMMYFUNCTION("""COMPUTED_VALUE"""),"ASISTENTE DE BIBLIOTECA")</f>
        <v>ASISTENTE DE BIBLIOTECA</v>
      </c>
      <c r="H40">
        <f>IFERROR(__xludf.DUMMYFUNCTION("""COMPUTED_VALUE"""),20.0)</f>
        <v>20</v>
      </c>
      <c r="I40" s="34" t="str">
        <f>IFERROR(__xludf.DUMMYFUNCTION("""COMPUTED_VALUE"""),"Jornada Completa")</f>
        <v>Jornada Completa</v>
      </c>
      <c r="J40" s="33" t="str">
        <f>IFERROR(__xludf.DUMMYFUNCTION("""COMPUTED_VALUE"""),"A CONTRATA")</f>
        <v>A CONTRATA</v>
      </c>
      <c r="K40" s="33" t="str">
        <f>IFERROR(__xludf.DUMMYFUNCTION("""COMPUTED_VALUE"""),"ADMINISTRATIVO")</f>
        <v>ADMINISTRATIVO</v>
      </c>
      <c r="L40" s="34" t="str">
        <f>IFERROR(__xludf.DUMMYFUNCTION("""COMPUTED_VALUE"""),"INTERNO")</f>
        <v>INTERNO</v>
      </c>
      <c r="M40" s="34">
        <f>IFERROR(__xludf.DUMMYFUNCTION("""COMPUTED_VALUE"""),2.0)</f>
        <v>2</v>
      </c>
      <c r="N40" s="34" t="str">
        <f>IFERROR(__xludf.DUMMYFUNCTION("""COMPUTED_VALUE"""),"EXTERNO")</f>
        <v>EXTERNO</v>
      </c>
      <c r="O40">
        <f>IFERROR(__xludf.DUMMYFUNCTION("""COMPUTED_VALUE"""),15.0)</f>
        <v>15</v>
      </c>
      <c r="P40">
        <f>IFERROR(__xludf.DUMMYFUNCTION("""COMPUTED_VALUE"""),1.0)</f>
        <v>1</v>
      </c>
      <c r="Q40" s="35">
        <f>IFERROR(__xludf.DUMMYFUNCTION("""COMPUTED_VALUE"""),0.0)</f>
        <v>0</v>
      </c>
      <c r="R40" s="36" t="str">
        <f>IFERROR(__xludf.DUMMYFUNCTION("""COMPUTED_VALUE"""),"SELECCIONADA")</f>
        <v>SELECCIONADA</v>
      </c>
      <c r="S40" s="37">
        <f>IFERROR(__xludf.DUMMYFUNCTION("""COMPUTED_VALUE"""),43689.0)</f>
        <v>43689</v>
      </c>
      <c r="T40" s="34"/>
      <c r="U40" t="str">
        <f>IFERROR(__xludf.DUMMYFUNCTION("""COMPUTED_VALUE"""),"HUIRCAN BRAVO SAMARIA")</f>
        <v>HUIRCAN BRAVO SAMARIA</v>
      </c>
      <c r="V40" t="str">
        <f>IFERROR(__xludf.DUMMYFUNCTION("""COMPUTED_VALUE"""),"17845827-2")</f>
        <v>17845827-2</v>
      </c>
      <c r="W40" t="str">
        <f>IFERROR(__xludf.DUMMYFUNCTION("""COMPUTED_VALUE"""),"NO")</f>
        <v>NO</v>
      </c>
      <c r="AA40" s="38">
        <f>IFERROR(__xludf.DUMMYFUNCTION("""COMPUTED_VALUE"""),43619.0)</f>
        <v>43619</v>
      </c>
      <c r="AB40" s="38">
        <f>IFERROR(__xludf.DUMMYFUNCTION("""COMPUTED_VALUE"""),43626.0)</f>
        <v>43626</v>
      </c>
      <c r="AF40" s="39"/>
      <c r="AG40" s="39"/>
      <c r="AH40" s="34" t="str">
        <f>IFERROR(__xludf.DUMMYFUNCTION("""COMPUTED_VALUE"""),"PROCESO DE SELECCIÓN")</f>
        <v>PROCESO DE SELECCIÓN</v>
      </c>
      <c r="AI40" s="34" t="str">
        <f>IFERROR(__xludf.DUMMYFUNCTION("""COMPUTED_VALUE"""),"-")</f>
        <v>-</v>
      </c>
      <c r="AJ40" s="34"/>
      <c r="AK40" s="34" t="str">
        <f>IFERROR(__xludf.DUMMYFUNCTION("""COMPUTED_VALUE"""),"E")</f>
        <v>E</v>
      </c>
      <c r="AL40">
        <f>IFERROR(__xludf.DUMMYFUNCTION("""COMPUTED_VALUE"""),46.0)</f>
        <v>46</v>
      </c>
      <c r="AM40">
        <f>IFERROR(__xludf.DUMMYFUNCTION("""COMPUTED_VALUE"""),2019.0)</f>
        <v>2019</v>
      </c>
      <c r="AN40" t="str">
        <f t="shared" si="1"/>
        <v>17845827-2</v>
      </c>
    </row>
    <row r="41">
      <c r="A41" s="33">
        <f>IFERROR(__xludf.DUMMYFUNCTION("""COMPUTED_VALUE"""),1.2661966E7)</f>
        <v>12661966</v>
      </c>
      <c r="B41" s="33">
        <f>IFERROR(__xludf.DUMMYFUNCTION("""COMPUTED_VALUE"""),40.0)</f>
        <v>40</v>
      </c>
      <c r="C41" s="33" t="str">
        <f>IFERROR(__xludf.DUMMYFUNCTION("""COMPUTED_VALUE"""),"A303")</f>
        <v>A303</v>
      </c>
      <c r="D41" s="34" t="str">
        <f>IFERROR(__xludf.DUMMYFUNCTION("""COMPUTED_VALUE"""),"15")</f>
        <v>15</v>
      </c>
      <c r="E41" s="34" t="str">
        <f>IFERROR(__xludf.DUMMYFUNCTION("""COMPUTED_VALUE"""),"UNIDAD DE REGISTRO ACADEMICO Y CURRICULAR")</f>
        <v>UNIDAD DE REGISTRO ACADEMICO Y CURRICULAR</v>
      </c>
      <c r="F41" s="34" t="str">
        <f>IFERROR(__xludf.DUMMYFUNCTION("""COMPUTED_VALUE"""),"Analista de Gestión I")</f>
        <v>Analista de Gestión I</v>
      </c>
      <c r="G41" s="33" t="str">
        <f>IFERROR(__xludf.DUMMYFUNCTION("""COMPUTED_VALUE"""),"ANALISTA DE GESTION I")</f>
        <v>ANALISTA DE GESTION I</v>
      </c>
      <c r="H41">
        <f>IFERROR(__xludf.DUMMYFUNCTION("""COMPUTED_VALUE"""),10.0)</f>
        <v>10</v>
      </c>
      <c r="I41" s="34" t="str">
        <f>IFERROR(__xludf.DUMMYFUNCTION("""COMPUTED_VALUE"""),"Jornada Completa")</f>
        <v>Jornada Completa</v>
      </c>
      <c r="J41" s="33" t="str">
        <f>IFERROR(__xludf.DUMMYFUNCTION("""COMPUTED_VALUE"""),"A CONTRATA")</f>
        <v>A CONTRATA</v>
      </c>
      <c r="K41" s="33" t="str">
        <f>IFERROR(__xludf.DUMMYFUNCTION("""COMPUTED_VALUE"""),"PROFESIONAL")</f>
        <v>PROFESIONAL</v>
      </c>
      <c r="L41" s="34" t="str">
        <f>IFERROR(__xludf.DUMMYFUNCTION("""COMPUTED_VALUE"""),"INTERNO")</f>
        <v>INTERNO</v>
      </c>
      <c r="M41" s="34">
        <f>IFERROR(__xludf.DUMMYFUNCTION("""COMPUTED_VALUE"""),4.0)</f>
        <v>4</v>
      </c>
      <c r="N41" s="34" t="str">
        <f>IFERROR(__xludf.DUMMYFUNCTION("""COMPUTED_VALUE"""),"NO")</f>
        <v>NO</v>
      </c>
      <c r="P41">
        <f>IFERROR(__xludf.DUMMYFUNCTION("""COMPUTED_VALUE"""),2.0)</f>
        <v>2</v>
      </c>
      <c r="Q41" s="35">
        <f>IFERROR(__xludf.DUMMYFUNCTION("""COMPUTED_VALUE"""),0.0)</f>
        <v>0</v>
      </c>
      <c r="R41" s="36" t="str">
        <f>IFERROR(__xludf.DUMMYFUNCTION("""COMPUTED_VALUE"""),"SELECCIONADO")</f>
        <v>SELECCIONADO</v>
      </c>
      <c r="S41" s="37">
        <f>IFERROR(__xludf.DUMMYFUNCTION("""COMPUTED_VALUE"""),43698.0)</f>
        <v>43698</v>
      </c>
      <c r="T41" s="34" t="str">
        <f>IFERROR(__xludf.DUMMYFUNCTION("""COMPUTED_VALUE"""),"URBINA RODRIGUEZ FRANCISCO")</f>
        <v>URBINA RODRIGUEZ FRANCISCO</v>
      </c>
      <c r="V41" t="str">
        <f>IFERROR(__xludf.DUMMYFUNCTION("""COMPUTED_VALUE"""),"12661966-9")</f>
        <v>12661966-9</v>
      </c>
      <c r="W41" t="str">
        <f>IFERROR(__xludf.DUMMYFUNCTION("""COMPUTED_VALUE"""),"SI")</f>
        <v>SI</v>
      </c>
      <c r="X41" t="str">
        <f>IFERROR(__xludf.DUMMYFUNCTION("""COMPUTED_VALUE"""),"Capacidad de Planificacion y Organizacion")</f>
        <v>Capacidad de Planificacion y Organizacion</v>
      </c>
      <c r="Y41" t="str">
        <f>IFERROR(__xludf.DUMMYFUNCTION("""COMPUTED_VALUE"""),"Pensamiento Analitico")</f>
        <v>Pensamiento Analitico</v>
      </c>
      <c r="AA41" s="38">
        <f>IFERROR(__xludf.DUMMYFUNCTION("""COMPUTED_VALUE"""),43637.0)</f>
        <v>43637</v>
      </c>
      <c r="AB41" s="38">
        <f>IFERROR(__xludf.DUMMYFUNCTION("""COMPUTED_VALUE"""),43644.0)</f>
        <v>43644</v>
      </c>
      <c r="AF41" s="39"/>
      <c r="AG41" s="39"/>
      <c r="AH41" s="34" t="str">
        <f>IFERROR(__xludf.DUMMYFUNCTION("""COMPUTED_VALUE"""),"PROCESO DE SELECCIÓN")</f>
        <v>PROCESO DE SELECCIÓN</v>
      </c>
      <c r="AI41" s="34" t="str">
        <f>IFERROR(__xludf.DUMMYFUNCTION("""COMPUTED_VALUE"""),"-")</f>
        <v>-</v>
      </c>
      <c r="AJ41" s="34"/>
      <c r="AK41" s="34" t="str">
        <f>IFERROR(__xludf.DUMMYFUNCTION("""COMPUTED_VALUE"""),"C")</f>
        <v>C</v>
      </c>
      <c r="AL41">
        <f>IFERROR(__xludf.DUMMYFUNCTION("""COMPUTED_VALUE"""),39.0)</f>
        <v>39</v>
      </c>
      <c r="AM41">
        <f>IFERROR(__xludf.DUMMYFUNCTION("""COMPUTED_VALUE"""),2019.0)</f>
        <v>2019</v>
      </c>
      <c r="AN41" t="str">
        <f t="shared" si="1"/>
        <v>12661966-9</v>
      </c>
    </row>
    <row r="42">
      <c r="A42" s="33">
        <f>IFERROR(__xludf.DUMMYFUNCTION("""COMPUTED_VALUE"""),1.5723E7)</f>
        <v>15723000</v>
      </c>
      <c r="B42" s="33">
        <f>IFERROR(__xludf.DUMMYFUNCTION("""COMPUTED_VALUE"""),41.0)</f>
        <v>41</v>
      </c>
      <c r="C42" s="33" t="str">
        <f>IFERROR(__xludf.DUMMYFUNCTION("""COMPUTED_VALUE"""),"A359")</f>
        <v>A359</v>
      </c>
      <c r="D42" s="34" t="str">
        <f>IFERROR(__xludf.DUMMYFUNCTION("""COMPUTED_VALUE"""),"3")</f>
        <v>3</v>
      </c>
      <c r="E42" s="34" t="str">
        <f>IFERROR(__xludf.DUMMYFUNCTION("""COMPUTED_VALUE"""),"UNIDAD DE ADQUISICIONES")</f>
        <v>UNIDAD DE ADQUISICIONES</v>
      </c>
      <c r="F42" s="34" t="str">
        <f>IFERROR(__xludf.DUMMYFUNCTION("""COMPUTED_VALUE"""),"Analista de Gestión II")</f>
        <v>Analista de Gestión II</v>
      </c>
      <c r="G42" s="33" t="str">
        <f>IFERROR(__xludf.DUMMYFUNCTION("""COMPUTED_VALUE"""),"ANALISTA DE GESTION II ( ENCARGADO/A DE COMPRAS)")</f>
        <v>ANALISTA DE GESTION II ( ENCARGADO/A DE COMPRAS)</v>
      </c>
      <c r="H42">
        <f>IFERROR(__xludf.DUMMYFUNCTION("""COMPUTED_VALUE"""),13.0)</f>
        <v>13</v>
      </c>
      <c r="I42" s="34" t="str">
        <f>IFERROR(__xludf.DUMMYFUNCTION("""COMPUTED_VALUE"""),"Jornada Completa")</f>
        <v>Jornada Completa</v>
      </c>
      <c r="J42" s="33" t="str">
        <f>IFERROR(__xludf.DUMMYFUNCTION("""COMPUTED_VALUE"""),"A CONTRATA")</f>
        <v>A CONTRATA</v>
      </c>
      <c r="K42" s="33" t="str">
        <f>IFERROR(__xludf.DUMMYFUNCTION("""COMPUTED_VALUE"""),"PROFESIONAL")</f>
        <v>PROFESIONAL</v>
      </c>
      <c r="L42" s="34" t="str">
        <f>IFERROR(__xludf.DUMMYFUNCTION("""COMPUTED_VALUE"""),"INTERNO")</f>
        <v>INTERNO</v>
      </c>
      <c r="M42" s="34">
        <f>IFERROR(__xludf.DUMMYFUNCTION("""COMPUTED_VALUE"""),2.0)</f>
        <v>2</v>
      </c>
      <c r="N42" s="34" t="str">
        <f>IFERROR(__xludf.DUMMYFUNCTION("""COMPUTED_VALUE"""),"NO")</f>
        <v>NO</v>
      </c>
      <c r="P42">
        <f>IFERROR(__xludf.DUMMYFUNCTION("""COMPUTED_VALUE"""),2.0)</f>
        <v>2</v>
      </c>
      <c r="Q42" s="35">
        <f>IFERROR(__xludf.DUMMYFUNCTION("""COMPUTED_VALUE"""),0.0)</f>
        <v>0</v>
      </c>
      <c r="R42" s="36" t="str">
        <f>IFERROR(__xludf.DUMMYFUNCTION("""COMPUTED_VALUE"""),"SELECCIONADA")</f>
        <v>SELECCIONADA</v>
      </c>
      <c r="S42" s="37">
        <f>IFERROR(__xludf.DUMMYFUNCTION("""COMPUTED_VALUE"""),43703.0)</f>
        <v>43703</v>
      </c>
      <c r="T42" s="34" t="str">
        <f>IFERROR(__xludf.DUMMYFUNCTION("""COMPUTED_VALUE"""),"RUBIO POLANCO STEPHANIE ROSA MARIA")</f>
        <v>RUBIO POLANCO STEPHANIE ROSA MARIA</v>
      </c>
      <c r="V42" t="str">
        <f>IFERROR(__xludf.DUMMYFUNCTION("""COMPUTED_VALUE"""),"15723000-K")</f>
        <v>15723000-K</v>
      </c>
      <c r="W42" t="str">
        <f>IFERROR(__xludf.DUMMYFUNCTION("""COMPUTED_VALUE"""),"SI")</f>
        <v>SI</v>
      </c>
      <c r="X42" t="str">
        <f>IFERROR(__xludf.DUMMYFUNCTION("""COMPUTED_VALUE"""),"Capacidad de Planificacion y Organizacion")</f>
        <v>Capacidad de Planificacion y Organizacion</v>
      </c>
      <c r="AA42" s="38">
        <f>IFERROR(__xludf.DUMMYFUNCTION("""COMPUTED_VALUE"""),43627.0)</f>
        <v>43627</v>
      </c>
      <c r="AB42" s="38">
        <f>IFERROR(__xludf.DUMMYFUNCTION("""COMPUTED_VALUE"""),43636.0)</f>
        <v>43636</v>
      </c>
      <c r="AF42" s="39"/>
      <c r="AG42" s="39"/>
      <c r="AH42" s="34" t="str">
        <f>IFERROR(__xludf.DUMMYFUNCTION("""COMPUTED_VALUE"""),"PROCESO DE SELECCIÓN")</f>
        <v>PROCESO DE SELECCIÓN</v>
      </c>
      <c r="AI42" s="34" t="str">
        <f>IFERROR(__xludf.DUMMYFUNCTION("""COMPUTED_VALUE"""),"ORTIZ DINAMARCA PEDRO ")</f>
        <v>ORTIZ DINAMARCA PEDRO </v>
      </c>
      <c r="AJ42" s="34"/>
      <c r="AK42" s="34" t="str">
        <f>IFERROR(__xludf.DUMMYFUNCTION("""COMPUTED_VALUE"""),"C")</f>
        <v>C</v>
      </c>
      <c r="AL42">
        <f>IFERROR(__xludf.DUMMYFUNCTION("""COMPUTED_VALUE"""),48.0)</f>
        <v>48</v>
      </c>
      <c r="AM42">
        <f>IFERROR(__xludf.DUMMYFUNCTION("""COMPUTED_VALUE"""),2019.0)</f>
        <v>2019</v>
      </c>
      <c r="AN42" t="str">
        <f t="shared" si="1"/>
        <v>15723000-K</v>
      </c>
    </row>
    <row r="43">
      <c r="A43" s="33">
        <f>IFERROR(__xludf.DUMMYFUNCTION("""COMPUTED_VALUE"""),1.5282232E7)</f>
        <v>15282232</v>
      </c>
      <c r="B43" s="33">
        <f>IFERROR(__xludf.DUMMYFUNCTION("""COMPUTED_VALUE"""),42.0)</f>
        <v>42</v>
      </c>
      <c r="C43" s="33" t="str">
        <f>IFERROR(__xludf.DUMMYFUNCTION("""COMPUTED_VALUE"""),"A358")</f>
        <v>A358</v>
      </c>
      <c r="D43" s="34" t="str">
        <f>IFERROR(__xludf.DUMMYFUNCTION("""COMPUTED_VALUE"""),"40")</f>
        <v>40</v>
      </c>
      <c r="E43" s="34" t="str">
        <f>IFERROR(__xludf.DUMMYFUNCTION("""COMPUTED_VALUE"""),"FACULTAD DE INGENIERIA")</f>
        <v>FACULTAD DE INGENIERIA</v>
      </c>
      <c r="F43" s="34" t="str">
        <f>IFERROR(__xludf.DUMMYFUNCTION("""COMPUTED_VALUE"""),"Jefe(a) de Área")</f>
        <v>Jefe(a) de Área</v>
      </c>
      <c r="G43" s="33" t="str">
        <f>IFERROR(__xludf.DUMMYFUNCTION("""COMPUTED_VALUE"""),"JEFE DE AREA ( GESTION ACADEMICA Y PLANES DE ESTUDIO)")</f>
        <v>JEFE DE AREA ( GESTION ACADEMICA Y PLANES DE ESTUDIO)</v>
      </c>
      <c r="H43">
        <f>IFERROR(__xludf.DUMMYFUNCTION("""COMPUTED_VALUE"""),6.0)</f>
        <v>6</v>
      </c>
      <c r="I43" s="34" t="str">
        <f>IFERROR(__xludf.DUMMYFUNCTION("""COMPUTED_VALUE"""),"Jornada Completa")</f>
        <v>Jornada Completa</v>
      </c>
      <c r="J43" s="33" t="str">
        <f>IFERROR(__xludf.DUMMYFUNCTION("""COMPUTED_VALUE"""),"A CONTRATA")</f>
        <v>A CONTRATA</v>
      </c>
      <c r="K43" s="33" t="str">
        <f>IFERROR(__xludf.DUMMYFUNCTION("""COMPUTED_VALUE"""),"PROFESIONAL")</f>
        <v>PROFESIONAL</v>
      </c>
      <c r="L43" s="34" t="str">
        <f>IFERROR(__xludf.DUMMYFUNCTION("""COMPUTED_VALUE"""),"INTERNO")</f>
        <v>INTERNO</v>
      </c>
      <c r="M43" s="34">
        <f>IFERROR(__xludf.DUMMYFUNCTION("""COMPUTED_VALUE"""),13.0)</f>
        <v>13</v>
      </c>
      <c r="N43" s="34" t="str">
        <f>IFERROR(__xludf.DUMMYFUNCTION("""COMPUTED_VALUE"""),"NO")</f>
        <v>NO</v>
      </c>
      <c r="P43">
        <f>IFERROR(__xludf.DUMMYFUNCTION("""COMPUTED_VALUE"""),1.0)</f>
        <v>1</v>
      </c>
      <c r="Q43" s="35">
        <f>IFERROR(__xludf.DUMMYFUNCTION("""COMPUTED_VALUE"""),0.0)</f>
        <v>0</v>
      </c>
      <c r="R43" s="36" t="str">
        <f>IFERROR(__xludf.DUMMYFUNCTION("""COMPUTED_VALUE"""),"SELECCIONADO")</f>
        <v>SELECCIONADO</v>
      </c>
      <c r="S43" s="37">
        <f>IFERROR(__xludf.DUMMYFUNCTION("""COMPUTED_VALUE"""),43703.0)</f>
        <v>43703</v>
      </c>
      <c r="T43" s="34" t="str">
        <f>IFERROR(__xludf.DUMMYFUNCTION("""COMPUTED_VALUE"""),"GODOY MANSILLA GONZALO")</f>
        <v>GODOY MANSILLA GONZALO</v>
      </c>
      <c r="V43" t="str">
        <f>IFERROR(__xludf.DUMMYFUNCTION("""COMPUTED_VALUE"""),"15282232-4")</f>
        <v>15282232-4</v>
      </c>
      <c r="W43" t="str">
        <f>IFERROR(__xludf.DUMMYFUNCTION("""COMPUTED_VALUE"""),"SI")</f>
        <v>SI</v>
      </c>
      <c r="X43" t="str">
        <f>IFERROR(__xludf.DUMMYFUNCTION("""COMPUTED_VALUE"""),"Orientacion a los Resultados")</f>
        <v>Orientacion a los Resultados</v>
      </c>
      <c r="AA43" s="38">
        <f>IFERROR(__xludf.DUMMYFUNCTION("""COMPUTED_VALUE"""),43637.0)</f>
        <v>43637</v>
      </c>
      <c r="AB43" s="38">
        <f>IFERROR(__xludf.DUMMYFUNCTION("""COMPUTED_VALUE"""),43644.0)</f>
        <v>43644</v>
      </c>
      <c r="AF43" s="39"/>
      <c r="AG43" s="39"/>
      <c r="AH43" s="34" t="str">
        <f>IFERROR(__xludf.DUMMYFUNCTION("""COMPUTED_VALUE"""),"PROCESO DE SELECCIÓN")</f>
        <v>PROCESO DE SELECCIÓN</v>
      </c>
      <c r="AI43" s="34" t="str">
        <f>IFERROR(__xludf.DUMMYFUNCTION("""COMPUTED_VALUE"""),"CORON TORRES OSCAR")</f>
        <v>CORON TORRES OSCAR</v>
      </c>
      <c r="AJ43" s="34"/>
      <c r="AK43" s="34" t="str">
        <f>IFERROR(__xludf.DUMMYFUNCTION("""COMPUTED_VALUE"""),"C")</f>
        <v>C</v>
      </c>
      <c r="AL43">
        <f>IFERROR(__xludf.DUMMYFUNCTION("""COMPUTED_VALUE"""),42.0)</f>
        <v>42</v>
      </c>
      <c r="AM43">
        <f>IFERROR(__xludf.DUMMYFUNCTION("""COMPUTED_VALUE"""),2019.0)</f>
        <v>2019</v>
      </c>
      <c r="AN43" t="str">
        <f t="shared" si="1"/>
        <v>15282232-4</v>
      </c>
    </row>
    <row r="44">
      <c r="A44" s="33">
        <f>IFERROR(__xludf.DUMMYFUNCTION("""COMPUTED_VALUE"""),1.8057011E7)</f>
        <v>18057011</v>
      </c>
      <c r="B44" s="33">
        <f>IFERROR(__xludf.DUMMYFUNCTION("""COMPUTED_VALUE"""),43.0)</f>
        <v>43</v>
      </c>
      <c r="C44" s="33" t="str">
        <f>IFERROR(__xludf.DUMMYFUNCTION("""COMPUTED_VALUE"""),"A364")</f>
        <v>A364</v>
      </c>
      <c r="D44" s="34" t="str">
        <f>IFERROR(__xludf.DUMMYFUNCTION("""COMPUTED_VALUE"""),"3")</f>
        <v>3</v>
      </c>
      <c r="E44" s="34" t="str">
        <f>IFERROR(__xludf.DUMMYFUNCTION("""COMPUTED_VALUE"""),"UNIDAD DE GESTION DEL CAMPUS")</f>
        <v>UNIDAD DE GESTION DEL CAMPUS</v>
      </c>
      <c r="F44" s="34" t="str">
        <f>IFERROR(__xludf.DUMMYFUNCTION("""COMPUTED_VALUE"""),"Técnico(a) Eléctrico")</f>
        <v>Técnico(a) Eléctrico</v>
      </c>
      <c r="G44" s="33" t="str">
        <f>IFERROR(__xludf.DUMMYFUNCTION("""COMPUTED_VALUE"""),"TECNICO ELECTRICO")</f>
        <v>TECNICO ELECTRICO</v>
      </c>
      <c r="H44">
        <f>IFERROR(__xludf.DUMMYFUNCTION("""COMPUTED_VALUE"""),17.0)</f>
        <v>17</v>
      </c>
      <c r="I44" s="34" t="str">
        <f>IFERROR(__xludf.DUMMYFUNCTION("""COMPUTED_VALUE"""),"Jornada Completa")</f>
        <v>Jornada Completa</v>
      </c>
      <c r="J44" s="33" t="str">
        <f>IFERROR(__xludf.DUMMYFUNCTION("""COMPUTED_VALUE"""),"A CONTRATA")</f>
        <v>A CONTRATA</v>
      </c>
      <c r="K44" s="33" t="str">
        <f>IFERROR(__xludf.DUMMYFUNCTION("""COMPUTED_VALUE"""),"TECNICO")</f>
        <v>TECNICO</v>
      </c>
      <c r="L44" s="34" t="str">
        <f>IFERROR(__xludf.DUMMYFUNCTION("""COMPUTED_VALUE"""),"INTERNO")</f>
        <v>INTERNO</v>
      </c>
      <c r="M44" s="34">
        <f>IFERROR(__xludf.DUMMYFUNCTION("""COMPUTED_VALUE"""),1.0)</f>
        <v>1</v>
      </c>
      <c r="N44" s="34" t="str">
        <f>IFERROR(__xludf.DUMMYFUNCTION("""COMPUTED_VALUE"""),"NO")</f>
        <v>NO</v>
      </c>
      <c r="P44">
        <f>IFERROR(__xludf.DUMMYFUNCTION("""COMPUTED_VALUE"""),1.0)</f>
        <v>1</v>
      </c>
      <c r="Q44" s="35">
        <f>IFERROR(__xludf.DUMMYFUNCTION("""COMPUTED_VALUE"""),0.0)</f>
        <v>0</v>
      </c>
      <c r="R44" s="36" t="str">
        <f>IFERROR(__xludf.DUMMYFUNCTION("""COMPUTED_VALUE"""),"SELECCIONADO")</f>
        <v>SELECCIONADO</v>
      </c>
      <c r="S44" s="37">
        <f>IFERROR(__xludf.DUMMYFUNCTION("""COMPUTED_VALUE"""),43703.0)</f>
        <v>43703</v>
      </c>
      <c r="T44" s="34" t="str">
        <f>IFERROR(__xludf.DUMMYFUNCTION("""COMPUTED_VALUE"""),"BORQUEZ SALAZAR SEBASTIAN ANDRES")</f>
        <v>BORQUEZ SALAZAR SEBASTIAN ANDRES</v>
      </c>
      <c r="V44" t="str">
        <f>IFERROR(__xludf.DUMMYFUNCTION("""COMPUTED_VALUE"""),"18057011-K")</f>
        <v>18057011-K</v>
      </c>
      <c r="W44" t="str">
        <f>IFERROR(__xludf.DUMMYFUNCTION("""COMPUTED_VALUE"""),"SI")</f>
        <v>SI</v>
      </c>
      <c r="X44" t="str">
        <f>IFERROR(__xludf.DUMMYFUNCTION("""COMPUTED_VALUE"""),"Orientacion a los Resultados")</f>
        <v>Orientacion a los Resultados</v>
      </c>
      <c r="AA44" s="38">
        <f>IFERROR(__xludf.DUMMYFUNCTION("""COMPUTED_VALUE"""),43633.0)</f>
        <v>43633</v>
      </c>
      <c r="AB44" s="38">
        <f>IFERROR(__xludf.DUMMYFUNCTION("""COMPUTED_VALUE"""),43640.0)</f>
        <v>43640</v>
      </c>
      <c r="AF44" s="39"/>
      <c r="AG44" s="39"/>
      <c r="AH44" s="34" t="str">
        <f>IFERROR(__xludf.DUMMYFUNCTION("""COMPUTED_VALUE"""),"PROCESO DE SELECCIÓN")</f>
        <v>PROCESO DE SELECCIÓN</v>
      </c>
      <c r="AI44" s="34" t="str">
        <f>IFERROR(__xludf.DUMMYFUNCTION("""COMPUTED_VALUE"""),"MARABOLI HORMAZABAL CRISTIAN")</f>
        <v>MARABOLI HORMAZABAL CRISTIAN</v>
      </c>
      <c r="AJ44" s="34"/>
      <c r="AK44" s="34" t="str">
        <f>IFERROR(__xludf.DUMMYFUNCTION("""COMPUTED_VALUE"""),"C")</f>
        <v>C</v>
      </c>
      <c r="AL44">
        <f>IFERROR(__xludf.DUMMYFUNCTION("""COMPUTED_VALUE"""),46.0)</f>
        <v>46</v>
      </c>
      <c r="AM44">
        <f>IFERROR(__xludf.DUMMYFUNCTION("""COMPUTED_VALUE"""),2019.0)</f>
        <v>2019</v>
      </c>
      <c r="AN44" t="str">
        <f t="shared" si="1"/>
        <v>18057011-K</v>
      </c>
    </row>
    <row r="45">
      <c r="A45" s="33">
        <f>IFERROR(__xludf.DUMMYFUNCTION("""COMPUTED_VALUE"""),1.8089232E7)</f>
        <v>18089232</v>
      </c>
      <c r="B45" s="33">
        <f>IFERROR(__xludf.DUMMYFUNCTION("""COMPUTED_VALUE"""),44.0)</f>
        <v>44</v>
      </c>
      <c r="C45" s="33" t="str">
        <f>IFERROR(__xludf.DUMMYFUNCTION("""COMPUTED_VALUE"""),"A368")</f>
        <v>A368</v>
      </c>
      <c r="D45" s="34" t="str">
        <f>IFERROR(__xludf.DUMMYFUNCTION("""COMPUTED_VALUE"""),"3")</f>
        <v>3</v>
      </c>
      <c r="E45" s="34" t="str">
        <f>IFERROR(__xludf.DUMMYFUNCTION("""COMPUTED_VALUE"""),"UNIDAD DE PROYECTO UNICYT")</f>
        <v>UNIDAD DE PROYECTO UNICYT</v>
      </c>
      <c r="F45" s="34" t="str">
        <f>IFERROR(__xludf.DUMMYFUNCTION("""COMPUTED_VALUE"""),"Psicólogo(a)")</f>
        <v>Psicólogo(a)</v>
      </c>
      <c r="G45" s="33" t="str">
        <f>IFERROR(__xludf.DUMMYFUNCTION("""COMPUTED_VALUE"""),"PSICOLOGO PROYECTO USA1811")</f>
        <v>PSICOLOGO PROYECTO USA1811</v>
      </c>
      <c r="H45">
        <f>IFERROR(__xludf.DUMMYFUNCTION("""COMPUTED_VALUE"""),9.0)</f>
        <v>9</v>
      </c>
      <c r="I45" s="34" t="str">
        <f>IFERROR(__xludf.DUMMYFUNCTION("""COMPUTED_VALUE"""),"1/4 Jornada")</f>
        <v>1/4 Jornada</v>
      </c>
      <c r="J45" s="33" t="str">
        <f>IFERROR(__xludf.DUMMYFUNCTION("""COMPUTED_VALUE"""),"A CONTRATA")</f>
        <v>A CONTRATA</v>
      </c>
      <c r="K45" s="33" t="str">
        <f>IFERROR(__xludf.DUMMYFUNCTION("""COMPUTED_VALUE"""),"PROFESIONAL")</f>
        <v>PROFESIONAL</v>
      </c>
      <c r="L45" s="34" t="str">
        <f>IFERROR(__xludf.DUMMYFUNCTION("""COMPUTED_VALUE"""),"NO")</f>
        <v>NO</v>
      </c>
      <c r="M45" s="34">
        <f>IFERROR(__xludf.DUMMYFUNCTION("""COMPUTED_VALUE"""),0.0)</f>
        <v>0</v>
      </c>
      <c r="N45" s="34" t="str">
        <f>IFERROR(__xludf.DUMMYFUNCTION("""COMPUTED_VALUE"""),"EXTERNO")</f>
        <v>EXTERNO</v>
      </c>
      <c r="O45">
        <f>IFERROR(__xludf.DUMMYFUNCTION("""COMPUTED_VALUE"""),59.0)</f>
        <v>59</v>
      </c>
      <c r="P45">
        <f>IFERROR(__xludf.DUMMYFUNCTION("""COMPUTED_VALUE"""),2.0)</f>
        <v>2</v>
      </c>
      <c r="Q45" s="35">
        <f>IFERROR(__xludf.DUMMYFUNCTION("""COMPUTED_VALUE"""),0.0)</f>
        <v>0</v>
      </c>
      <c r="R45" s="36" t="str">
        <f>IFERROR(__xludf.DUMMYFUNCTION("""COMPUTED_VALUE"""),"SELECCIONADO")</f>
        <v>SELECCIONADO</v>
      </c>
      <c r="S45" s="37">
        <f>IFERROR(__xludf.DUMMYFUNCTION("""COMPUTED_VALUE"""),43698.0)</f>
        <v>43698</v>
      </c>
      <c r="T45" s="34"/>
      <c r="U45" t="str">
        <f>IFERROR(__xludf.DUMMYFUNCTION("""COMPUTED_VALUE"""),"TOLOZA DIAZ FELIPE")</f>
        <v>TOLOZA DIAZ FELIPE</v>
      </c>
      <c r="V45" t="str">
        <f>IFERROR(__xludf.DUMMYFUNCTION("""COMPUTED_VALUE"""),"18089232-K")</f>
        <v>18089232-K</v>
      </c>
      <c r="W45" t="str">
        <f>IFERROR(__xludf.DUMMYFUNCTION("""COMPUTED_VALUE"""),"SI")</f>
        <v>SI</v>
      </c>
      <c r="X45" t="str">
        <f>IFERROR(__xludf.DUMMYFUNCTION("""COMPUTED_VALUE"""),"Capacidad de Planificacion y Organizacion")</f>
        <v>Capacidad de Planificacion y Organizacion</v>
      </c>
      <c r="AA45" s="38">
        <f>IFERROR(__xludf.DUMMYFUNCTION("""COMPUTED_VALUE"""),43627.0)</f>
        <v>43627</v>
      </c>
      <c r="AB45" s="38">
        <f>IFERROR(__xludf.DUMMYFUNCTION("""COMPUTED_VALUE"""),43635.0)</f>
        <v>43635</v>
      </c>
      <c r="AF45" s="39"/>
      <c r="AG45" s="39" t="str">
        <f>IFERROR(__xludf.DUMMYFUNCTION("""COMPUTED_VALUE"""),"PROCESO NO PUBLICADO EN PAGINA")</f>
        <v>PROCESO NO PUBLICADO EN PAGINA</v>
      </c>
      <c r="AH45" s="34"/>
      <c r="AI45" s="34"/>
      <c r="AJ45" s="34"/>
      <c r="AK45" s="34"/>
      <c r="AL45">
        <f>IFERROR(__xludf.DUMMYFUNCTION("""COMPUTED_VALUE"""),46.0)</f>
        <v>46</v>
      </c>
      <c r="AM45">
        <f>IFERROR(__xludf.DUMMYFUNCTION("""COMPUTED_VALUE"""),2019.0)</f>
        <v>2019</v>
      </c>
      <c r="AN45" t="str">
        <f t="shared" si="1"/>
        <v>18089232-K</v>
      </c>
    </row>
    <row r="46">
      <c r="A46" s="33">
        <f>IFERROR(__xludf.DUMMYFUNCTION("""COMPUTED_VALUE"""),1.7677806E7)</f>
        <v>17677806</v>
      </c>
      <c r="B46" s="33">
        <f>IFERROR(__xludf.DUMMYFUNCTION("""COMPUTED_VALUE"""),45.0)</f>
        <v>45</v>
      </c>
      <c r="C46" s="33" t="str">
        <f>IFERROR(__xludf.DUMMYFUNCTION("""COMPUTED_VALUE"""),"ACTA2019-26")</f>
        <v>ACTA2019-26</v>
      </c>
      <c r="D46" s="34" t="str">
        <f>IFERROR(__xludf.DUMMYFUNCTION("""COMPUTED_VALUE"""),"120")</f>
        <v>120</v>
      </c>
      <c r="E46" s="34" t="str">
        <f>IFERROR(__xludf.DUMMYFUNCTION("""COMPUTED_VALUE"""),"DPTO. DE COMUNICACIONES")</f>
        <v>DPTO. DE COMUNICACIONES</v>
      </c>
      <c r="F46" s="34" t="str">
        <f>IFERROR(__xludf.DUMMYFUNCTION("""COMPUTED_VALUE"""),"Encargado(a) de Vinculación con el Medio")</f>
        <v>Encargado(a) de Vinculación con el Medio</v>
      </c>
      <c r="G46" s="33" t="str">
        <f>IFERROR(__xludf.DUMMYFUNCTION("""COMPUTED_VALUE"""),"ENCARGADO DE VINCULACION CON EL MEDIO")</f>
        <v>ENCARGADO DE VINCULACION CON EL MEDIO</v>
      </c>
      <c r="H46">
        <f>IFERROR(__xludf.DUMMYFUNCTION("""COMPUTED_VALUE"""),13.0)</f>
        <v>13</v>
      </c>
      <c r="I46" s="34" t="str">
        <f>IFERROR(__xludf.DUMMYFUNCTION("""COMPUTED_VALUE"""),"Jornada Completa")</f>
        <v>Jornada Completa</v>
      </c>
      <c r="J46" s="33" t="str">
        <f>IFERROR(__xludf.DUMMYFUNCTION("""COMPUTED_VALUE"""),"A CONTRATA")</f>
        <v>A CONTRATA</v>
      </c>
      <c r="K46" s="33" t="str">
        <f>IFERROR(__xludf.DUMMYFUNCTION("""COMPUTED_VALUE"""),"PROFESIONAL")</f>
        <v>PROFESIONAL</v>
      </c>
      <c r="L46" s="34" t="str">
        <f>IFERROR(__xludf.DUMMYFUNCTION("""COMPUTED_VALUE"""),"NO")</f>
        <v>NO</v>
      </c>
      <c r="M46" s="34">
        <f>IFERROR(__xludf.DUMMYFUNCTION("""COMPUTED_VALUE"""),0.0)</f>
        <v>0</v>
      </c>
      <c r="N46" s="34" t="str">
        <f>IFERROR(__xludf.DUMMYFUNCTION("""COMPUTED_VALUE"""),"EXTERNO")</f>
        <v>EXTERNO</v>
      </c>
      <c r="O46">
        <f>IFERROR(__xludf.DUMMYFUNCTION("""COMPUTED_VALUE"""),32.0)</f>
        <v>32</v>
      </c>
      <c r="P46">
        <f>IFERROR(__xludf.DUMMYFUNCTION("""COMPUTED_VALUE"""),3.0)</f>
        <v>3</v>
      </c>
      <c r="Q46" s="35">
        <f>IFERROR(__xludf.DUMMYFUNCTION("""COMPUTED_VALUE"""),0.0)</f>
        <v>0</v>
      </c>
      <c r="R46" s="36" t="str">
        <f>IFERROR(__xludf.DUMMYFUNCTION("""COMPUTED_VALUE"""),"SELECCIONADO")</f>
        <v>SELECCIONADO</v>
      </c>
      <c r="S46" s="37">
        <f>IFERROR(__xludf.DUMMYFUNCTION("""COMPUTED_VALUE"""),43598.0)</f>
        <v>43598</v>
      </c>
      <c r="T46" s="34"/>
      <c r="U46" t="str">
        <f>IFERROR(__xludf.DUMMYFUNCTION("""COMPUTED_VALUE"""),"SEPULVEDA FARIAS MATIAS")</f>
        <v>SEPULVEDA FARIAS MATIAS</v>
      </c>
      <c r="V46" t="str">
        <f>IFERROR(__xludf.DUMMYFUNCTION("""COMPUTED_VALUE"""),"17677806-7")</f>
        <v>17677806-7</v>
      </c>
      <c r="W46" t="str">
        <f>IFERROR(__xludf.DUMMYFUNCTION("""COMPUTED_VALUE"""),"SI")</f>
        <v>SI</v>
      </c>
      <c r="X46" t="str">
        <f>IFERROR(__xludf.DUMMYFUNCTION("""COMPUTED_VALUE"""),"Capacidad de Planificacion y Organizacion")</f>
        <v>Capacidad de Planificacion y Organizacion</v>
      </c>
      <c r="AA46" s="38">
        <f>IFERROR(__xludf.DUMMYFUNCTION("""COMPUTED_VALUE"""),43560.0)</f>
        <v>43560</v>
      </c>
      <c r="AB46" s="38">
        <f>IFERROR(__xludf.DUMMYFUNCTION("""COMPUTED_VALUE"""),43567.0)</f>
        <v>43567</v>
      </c>
      <c r="AF46" s="39"/>
      <c r="AG46" s="39"/>
      <c r="AH46" s="34" t="str">
        <f>IFERROR(__xludf.DUMMYFUNCTION("""COMPUTED_VALUE"""),"PROCESO DE SELECCIÓN")</f>
        <v>PROCESO DE SELECCIÓN</v>
      </c>
      <c r="AI46" s="34" t="str">
        <f>IFERROR(__xludf.DUMMYFUNCTION("""COMPUTED_VALUE"""),"RIVERA CATALAN JACQUELINE")</f>
        <v>RIVERA CATALAN JACQUELINE</v>
      </c>
      <c r="AJ46" s="34"/>
      <c r="AK46" s="34" t="str">
        <f>IFERROR(__xludf.DUMMYFUNCTION("""COMPUTED_VALUE"""),"E")</f>
        <v>E</v>
      </c>
      <c r="AL46">
        <f>IFERROR(__xludf.DUMMYFUNCTION("""COMPUTED_VALUE"""),22.0)</f>
        <v>22</v>
      </c>
      <c r="AM46">
        <f>IFERROR(__xludf.DUMMYFUNCTION("""COMPUTED_VALUE"""),2019.0)</f>
        <v>2019</v>
      </c>
      <c r="AN46" t="str">
        <f t="shared" si="1"/>
        <v>17677806-7</v>
      </c>
    </row>
    <row r="47">
      <c r="A47" s="33">
        <f>IFERROR(__xludf.DUMMYFUNCTION("""COMPUTED_VALUE"""),1.1851134E7)</f>
        <v>11851134</v>
      </c>
      <c r="B47" s="33">
        <f>IFERROR(__xludf.DUMMYFUNCTION("""COMPUTED_VALUE"""),46.0)</f>
        <v>46</v>
      </c>
      <c r="C47" s="33" t="str">
        <f>IFERROR(__xludf.DUMMYFUNCTION("""COMPUTED_VALUE"""),"A346")</f>
        <v>A346</v>
      </c>
      <c r="D47" s="34" t="str">
        <f>IFERROR(__xludf.DUMMYFUNCTION("""COMPUTED_VALUE"""),"125")</f>
        <v>125</v>
      </c>
      <c r="E47" s="34" t="str">
        <f>IFERROR(__xludf.DUMMYFUNCTION("""COMPUTED_VALUE"""),"FACULTAD DE DERECHO")</f>
        <v>FACULTAD DE DERECHO</v>
      </c>
      <c r="F47" s="34" t="str">
        <f>IFERROR(__xludf.DUMMYFUNCTION("""COMPUTED_VALUE"""),"Secretario(a) B")</f>
        <v>Secretario(a) B</v>
      </c>
      <c r="G47" s="33" t="str">
        <f>IFERROR(__xludf.DUMMYFUNCTION("""COMPUTED_VALUE"""),"SECRETARIA B ( DEPARTAMENTOS DERECHO PUBLICO Y PRIVADO, CIENCIAS DE DERECHO")</f>
        <v>SECRETARIA B ( DEPARTAMENTOS DERECHO PUBLICO Y PRIVADO, CIENCIAS DE DERECHO</v>
      </c>
      <c r="H47">
        <f>IFERROR(__xludf.DUMMYFUNCTION("""COMPUTED_VALUE"""),17.0)</f>
        <v>17</v>
      </c>
      <c r="I47" s="34" t="str">
        <f>IFERROR(__xludf.DUMMYFUNCTION("""COMPUTED_VALUE"""),"Jornada Completa")</f>
        <v>Jornada Completa</v>
      </c>
      <c r="J47" s="33" t="str">
        <f>IFERROR(__xludf.DUMMYFUNCTION("""COMPUTED_VALUE"""),"A CONTRATA")</f>
        <v>A CONTRATA</v>
      </c>
      <c r="K47" s="33" t="str">
        <f>IFERROR(__xludf.DUMMYFUNCTION("""COMPUTED_VALUE"""),"ADMINISTRATIVO")</f>
        <v>ADMINISTRATIVO</v>
      </c>
      <c r="L47" s="34" t="str">
        <f>IFERROR(__xludf.DUMMYFUNCTION("""COMPUTED_VALUE"""),"INTERNO")</f>
        <v>INTERNO</v>
      </c>
      <c r="M47" s="34">
        <f>IFERROR(__xludf.DUMMYFUNCTION("""COMPUTED_VALUE"""),4.0)</f>
        <v>4</v>
      </c>
      <c r="N47" s="34" t="str">
        <f>IFERROR(__xludf.DUMMYFUNCTION("""COMPUTED_VALUE"""),"NO")</f>
        <v>NO</v>
      </c>
      <c r="P47">
        <f>IFERROR(__xludf.DUMMYFUNCTION("""COMPUTED_VALUE"""),2.0)</f>
        <v>2</v>
      </c>
      <c r="Q47" s="35">
        <f>IFERROR(__xludf.DUMMYFUNCTION("""COMPUTED_VALUE"""),0.0)</f>
        <v>0</v>
      </c>
      <c r="R47" s="36" t="str">
        <f>IFERROR(__xludf.DUMMYFUNCTION("""COMPUTED_VALUE"""),"SELECCIONADA")</f>
        <v>SELECCIONADA</v>
      </c>
      <c r="S47" s="37">
        <f>IFERROR(__xludf.DUMMYFUNCTION("""COMPUTED_VALUE"""),43689.0)</f>
        <v>43689</v>
      </c>
      <c r="T47" s="34" t="str">
        <f>IFERROR(__xludf.DUMMYFUNCTION("""COMPUTED_VALUE"""),"FIGUEROA GONZALEZ TERESA DEL CARMEN")</f>
        <v>FIGUEROA GONZALEZ TERESA DEL CARMEN</v>
      </c>
      <c r="V47" t="str">
        <f>IFERROR(__xludf.DUMMYFUNCTION("""COMPUTED_VALUE"""),"11851134-4")</f>
        <v>11851134-4</v>
      </c>
      <c r="W47" t="str">
        <f>IFERROR(__xludf.DUMMYFUNCTION("""COMPUTED_VALUE"""),"SI")</f>
        <v>SI</v>
      </c>
      <c r="X47" t="str">
        <f>IFERROR(__xludf.DUMMYFUNCTION("""COMPUTED_VALUE"""),"Franqueza- Confiabilidad- Integridad")</f>
        <v>Franqueza- Confiabilidad- Integridad</v>
      </c>
      <c r="AA47" s="38">
        <f>IFERROR(__xludf.DUMMYFUNCTION("""COMPUTED_VALUE"""),43621.0)</f>
        <v>43621</v>
      </c>
      <c r="AB47" s="38">
        <f>IFERROR(__xludf.DUMMYFUNCTION("""COMPUTED_VALUE"""),43628.0)</f>
        <v>43628</v>
      </c>
      <c r="AF47" s="39"/>
      <c r="AG47" s="39"/>
      <c r="AH47" s="34" t="str">
        <f>IFERROR(__xludf.DUMMYFUNCTION("""COMPUTED_VALUE"""),"PROCESO DE SELECCIÓN")</f>
        <v>PROCESO DE SELECCIÓN</v>
      </c>
      <c r="AI47" s="34" t="str">
        <f>IFERROR(__xludf.DUMMYFUNCTION("""COMPUTED_VALUE"""),"-")</f>
        <v>-</v>
      </c>
      <c r="AJ47" s="34"/>
      <c r="AK47" s="34" t="str">
        <f>IFERROR(__xludf.DUMMYFUNCTION("""COMPUTED_VALUE"""),"C")</f>
        <v>C</v>
      </c>
      <c r="AL47">
        <f>IFERROR(__xludf.DUMMYFUNCTION("""COMPUTED_VALUE"""),44.0)</f>
        <v>44</v>
      </c>
      <c r="AM47">
        <f>IFERROR(__xludf.DUMMYFUNCTION("""COMPUTED_VALUE"""),2019.0)</f>
        <v>2019</v>
      </c>
      <c r="AN47" t="str">
        <f t="shared" si="1"/>
        <v>11851134-4</v>
      </c>
    </row>
    <row r="48">
      <c r="A48" s="33">
        <f>IFERROR(__xludf.DUMMYFUNCTION("""COMPUTED_VALUE"""),1.550534E7)</f>
        <v>15505340</v>
      </c>
      <c r="B48" s="33">
        <f>IFERROR(__xludf.DUMMYFUNCTION("""COMPUTED_VALUE"""),47.0)</f>
        <v>47</v>
      </c>
      <c r="C48" s="33" t="str">
        <f>IFERROR(__xludf.DUMMYFUNCTION("""COMPUTED_VALUE"""),"A306")</f>
        <v>A306</v>
      </c>
      <c r="D48" s="34" t="str">
        <f>IFERROR(__xludf.DUMMYFUNCTION("""COMPUTED_VALUE"""),"11")</f>
        <v>11</v>
      </c>
      <c r="E48" s="34" t="str">
        <f>IFERROR(__xludf.DUMMYFUNCTION("""COMPUTED_VALUE"""),"VR. DE INVEST. DESARR E INNOVACION")</f>
        <v>VR. DE INVEST. DESARR E INNOVACION</v>
      </c>
      <c r="F48" s="34" t="str">
        <f>IFERROR(__xludf.DUMMYFUNCTION("""COMPUTED_VALUE"""),"Administrativo(a) de Apoyo")</f>
        <v>Administrativo(a) de Apoyo</v>
      </c>
      <c r="G48" s="33" t="str">
        <f>IFERROR(__xludf.DUMMYFUNCTION("""COMPUTED_VALUE"""),"ADMINISTRATIVO DE APOYO")</f>
        <v>ADMINISTRATIVO DE APOYO</v>
      </c>
      <c r="H48">
        <f>IFERROR(__xludf.DUMMYFUNCTION("""COMPUTED_VALUE"""),20.0)</f>
        <v>20</v>
      </c>
      <c r="I48" s="34" t="str">
        <f>IFERROR(__xludf.DUMMYFUNCTION("""COMPUTED_VALUE"""),"Jornada Completa")</f>
        <v>Jornada Completa</v>
      </c>
      <c r="J48" s="33" t="str">
        <f>IFERROR(__xludf.DUMMYFUNCTION("""COMPUTED_VALUE"""),"A CONTRATA")</f>
        <v>A CONTRATA</v>
      </c>
      <c r="K48" s="33" t="str">
        <f>IFERROR(__xludf.DUMMYFUNCTION("""COMPUTED_VALUE"""),"ADMINISTRATIVO")</f>
        <v>ADMINISTRATIVO</v>
      </c>
      <c r="L48" s="34" t="str">
        <f>IFERROR(__xludf.DUMMYFUNCTION("""COMPUTED_VALUE"""),"INTERNO")</f>
        <v>INTERNO</v>
      </c>
      <c r="M48" s="34">
        <f>IFERROR(__xludf.DUMMYFUNCTION("""COMPUTED_VALUE"""),1.0)</f>
        <v>1</v>
      </c>
      <c r="N48" s="34" t="str">
        <f>IFERROR(__xludf.DUMMYFUNCTION("""COMPUTED_VALUE"""),"NO")</f>
        <v>NO</v>
      </c>
      <c r="P48">
        <f>IFERROR(__xludf.DUMMYFUNCTION("""COMPUTED_VALUE"""),1.0)</f>
        <v>1</v>
      </c>
      <c r="Q48" s="35">
        <f>IFERROR(__xludf.DUMMYFUNCTION("""COMPUTED_VALUE"""),0.0)</f>
        <v>0</v>
      </c>
      <c r="R48" s="36" t="str">
        <f>IFERROR(__xludf.DUMMYFUNCTION("""COMPUTED_VALUE"""),"SELECCIONADO")</f>
        <v>SELECCIONADO</v>
      </c>
      <c r="S48" s="37">
        <f>IFERROR(__xludf.DUMMYFUNCTION("""COMPUTED_VALUE"""),43675.0)</f>
        <v>43675</v>
      </c>
      <c r="T48" s="34" t="str">
        <f>IFERROR(__xludf.DUMMYFUNCTION("""COMPUTED_VALUE"""),"ROJAS MARTINEZ MAURICIO ESTEBAN")</f>
        <v>ROJAS MARTINEZ MAURICIO ESTEBAN</v>
      </c>
      <c r="V48" t="str">
        <f>IFERROR(__xludf.DUMMYFUNCTION("""COMPUTED_VALUE"""),"15505340-2")</f>
        <v>15505340-2</v>
      </c>
      <c r="W48" t="str">
        <f>IFERROR(__xludf.DUMMYFUNCTION("""COMPUTED_VALUE"""),"SI")</f>
        <v>SI</v>
      </c>
      <c r="X48" t="str">
        <f>IFERROR(__xludf.DUMMYFUNCTION("""COMPUTED_VALUE"""),"Trabajo en Equipo")</f>
        <v>Trabajo en Equipo</v>
      </c>
      <c r="AA48" s="38">
        <f>IFERROR(__xludf.DUMMYFUNCTION("""COMPUTED_VALUE"""),43584.0)</f>
        <v>43584</v>
      </c>
      <c r="AB48" s="38">
        <f>IFERROR(__xludf.DUMMYFUNCTION("""COMPUTED_VALUE"""),43594.0)</f>
        <v>43594</v>
      </c>
      <c r="AF48" s="39"/>
      <c r="AG48" s="39"/>
      <c r="AH48" s="34" t="str">
        <f>IFERROR(__xludf.DUMMYFUNCTION("""COMPUTED_VALUE"""),"PROCESO DE SELECCIÓN")</f>
        <v>PROCESO DE SELECCIÓN</v>
      </c>
      <c r="AI48" s="34" t="str">
        <f>IFERROR(__xludf.DUMMYFUNCTION("""COMPUTED_VALUE"""),"HORMAZABAL CHAVEZ MAIRA")</f>
        <v>HORMAZABAL CHAVEZ MAIRA</v>
      </c>
      <c r="AJ48" s="34"/>
      <c r="AK48" s="34" t="str">
        <f>IFERROR(__xludf.DUMMYFUNCTION("""COMPUTED_VALUE"""),"C")</f>
        <v>C</v>
      </c>
      <c r="AL48">
        <f>IFERROR(__xludf.DUMMYFUNCTION("""COMPUTED_VALUE"""),58.0)</f>
        <v>58</v>
      </c>
      <c r="AM48">
        <f>IFERROR(__xludf.DUMMYFUNCTION("""COMPUTED_VALUE"""),2019.0)</f>
        <v>2019</v>
      </c>
      <c r="AN48" t="str">
        <f t="shared" si="1"/>
        <v>15505340-2</v>
      </c>
    </row>
    <row r="49">
      <c r="A49" s="33">
        <f>IFERROR(__xludf.DUMMYFUNCTION("""COMPUTED_VALUE"""),1.6300797E7)</f>
        <v>16300797</v>
      </c>
      <c r="B49" s="33">
        <f>IFERROR(__xludf.DUMMYFUNCTION("""COMPUTED_VALUE"""),48.0)</f>
        <v>48</v>
      </c>
      <c r="C49" s="33" t="str">
        <f>IFERROR(__xludf.DUMMYFUNCTION("""COMPUTED_VALUE"""),"A240")</f>
        <v>A240</v>
      </c>
      <c r="D49" s="34" t="str">
        <f>IFERROR(__xludf.DUMMYFUNCTION("""COMPUTED_VALUE"""),"55")</f>
        <v>55</v>
      </c>
      <c r="E49" s="34" t="str">
        <f>IFERROR(__xludf.DUMMYFUNCTION("""COMPUTED_VALUE"""),"ESCUELA DE PSICOLOGIA")</f>
        <v>ESCUELA DE PSICOLOGIA</v>
      </c>
      <c r="F49" s="34" t="str">
        <f>IFERROR(__xludf.DUMMYFUNCTION("""COMPUTED_VALUE"""),"Psicólogo(a)")</f>
        <v>Psicólogo(a)</v>
      </c>
      <c r="G49" s="33" t="str">
        <f>IFERROR(__xludf.DUMMYFUNCTION("""COMPUTED_VALUE"""),"PSICOLOGO (CAP)")</f>
        <v>PSICOLOGO (CAP)</v>
      </c>
      <c r="H49">
        <f>IFERROR(__xludf.DUMMYFUNCTION("""COMPUTED_VALUE"""),13.0)</f>
        <v>13</v>
      </c>
      <c r="I49" s="34" t="str">
        <f>IFERROR(__xludf.DUMMYFUNCTION("""COMPUTED_VALUE"""),"1/4 Jornada")</f>
        <v>1/4 Jornada</v>
      </c>
      <c r="J49" s="33" t="str">
        <f>IFERROR(__xludf.DUMMYFUNCTION("""COMPUTED_VALUE"""),"A CONTRATA")</f>
        <v>A CONTRATA</v>
      </c>
      <c r="K49" s="33" t="str">
        <f>IFERROR(__xludf.DUMMYFUNCTION("""COMPUTED_VALUE"""),"PROFESIONAL")</f>
        <v>PROFESIONAL</v>
      </c>
      <c r="L49" s="34" t="str">
        <f>IFERROR(__xludf.DUMMYFUNCTION("""COMPUTED_VALUE"""),"INTERNO")</f>
        <v>INTERNO</v>
      </c>
      <c r="M49" s="34"/>
      <c r="N49" s="34" t="str">
        <f>IFERROR(__xludf.DUMMYFUNCTION("""COMPUTED_VALUE"""),"EXTERNO")</f>
        <v>EXTERNO</v>
      </c>
      <c r="O49">
        <f>IFERROR(__xludf.DUMMYFUNCTION("""COMPUTED_VALUE"""),70.0)</f>
        <v>70</v>
      </c>
      <c r="P49">
        <f>IFERROR(__xludf.DUMMYFUNCTION("""COMPUTED_VALUE"""),5.0)</f>
        <v>5</v>
      </c>
      <c r="Q49" s="35">
        <f>IFERROR(__xludf.DUMMYFUNCTION("""COMPUTED_VALUE"""),1.0)</f>
        <v>1</v>
      </c>
      <c r="R49" s="36" t="str">
        <f>IFERROR(__xludf.DUMMYFUNCTION("""COMPUTED_VALUE"""),"SELECCIONADO")</f>
        <v>SELECCIONADO</v>
      </c>
      <c r="S49" s="37">
        <f>IFERROR(__xludf.DUMMYFUNCTION("""COMPUTED_VALUE"""),43686.0)</f>
        <v>43686</v>
      </c>
      <c r="T49" s="34"/>
      <c r="U49" t="str">
        <f>IFERROR(__xludf.DUMMYFUNCTION("""COMPUTED_VALUE"""),"REYES LOZANO CLAUDIO")</f>
        <v>REYES LOZANO CLAUDIO</v>
      </c>
      <c r="V49" t="str">
        <f>IFERROR(__xludf.DUMMYFUNCTION("""COMPUTED_VALUE"""),"16300797-5")</f>
        <v>16300797-5</v>
      </c>
      <c r="W49" t="str">
        <f>IFERROR(__xludf.DUMMYFUNCTION("""COMPUTED_VALUE"""),"NO")</f>
        <v>NO</v>
      </c>
      <c r="AA49" s="38">
        <f>IFERROR(__xludf.DUMMYFUNCTION("""COMPUTED_VALUE"""),43627.0)</f>
        <v>43627</v>
      </c>
      <c r="AB49" s="38">
        <f>IFERROR(__xludf.DUMMYFUNCTION("""COMPUTED_VALUE"""),43636.0)</f>
        <v>43636</v>
      </c>
      <c r="AF49" s="39"/>
      <c r="AG49" s="39"/>
      <c r="AH49" s="34" t="str">
        <f>IFERROR(__xludf.DUMMYFUNCTION("""COMPUTED_VALUE"""),"PROCESO DE SELECCIÓN")</f>
        <v>PROCESO DE SELECCIÓN</v>
      </c>
      <c r="AI49" s="34" t="str">
        <f>IFERROR(__xludf.DUMMYFUNCTION("""COMPUTED_VALUE"""),"DIAZ GARCIA HUIDOBRO MARCELA")</f>
        <v>DIAZ GARCIA HUIDOBRO MARCELA</v>
      </c>
      <c r="AJ49" s="34"/>
      <c r="AK49" s="34" t="str">
        <f>IFERROR(__xludf.DUMMYFUNCTION("""COMPUTED_VALUE"""),"E")</f>
        <v>E</v>
      </c>
      <c r="AL49">
        <f>IFERROR(__xludf.DUMMYFUNCTION("""COMPUTED_VALUE"""),37.0)</f>
        <v>37</v>
      </c>
      <c r="AM49">
        <f>IFERROR(__xludf.DUMMYFUNCTION("""COMPUTED_VALUE"""),2019.0)</f>
        <v>2019</v>
      </c>
      <c r="AN49" t="str">
        <f t="shared" si="1"/>
        <v>16300797-5</v>
      </c>
    </row>
    <row r="50">
      <c r="A50" s="33">
        <f>IFERROR(__xludf.DUMMYFUNCTION("""COMPUTED_VALUE"""),1.9063037E7)</f>
        <v>19063037</v>
      </c>
      <c r="B50" s="33">
        <f>IFERROR(__xludf.DUMMYFUNCTION("""COMPUTED_VALUE"""),49.0)</f>
        <v>49</v>
      </c>
      <c r="C50" s="33" t="str">
        <f>IFERROR(__xludf.DUMMYFUNCTION("""COMPUTED_VALUE"""),"ACTA2019-24")</f>
        <v>ACTA2019-24</v>
      </c>
      <c r="D50" s="34" t="str">
        <f>IFERROR(__xludf.DUMMYFUNCTION("""COMPUTED_VALUE"""),"83")</f>
        <v>83</v>
      </c>
      <c r="E50" s="34" t="str">
        <f>IFERROR(__xludf.DUMMYFUNCTION("""COMPUTED_VALUE"""),"FACULTAD DE CIENCIAS MEDICAS")</f>
        <v>FACULTAD DE CIENCIAS MEDICAS</v>
      </c>
      <c r="F50" s="34" t="str">
        <f>IFERROR(__xludf.DUMMYFUNCTION("""COMPUTED_VALUE"""),"Administrativo(a) de Registro Curricular")</f>
        <v>Administrativo(a) de Registro Curricular</v>
      </c>
      <c r="G50" s="33" t="str">
        <f>IFERROR(__xludf.DUMMYFUNCTION("""COMPUTED_VALUE"""),"ADMINISTRATIVO DE REGISTRO CURRICULAR")</f>
        <v>ADMINISTRATIVO DE REGISTRO CURRICULAR</v>
      </c>
      <c r="H50">
        <f>IFERROR(__xludf.DUMMYFUNCTION("""COMPUTED_VALUE"""),17.0)</f>
        <v>17</v>
      </c>
      <c r="I50" s="34" t="str">
        <f>IFERROR(__xludf.DUMMYFUNCTION("""COMPUTED_VALUE"""),"Jornada Completa")</f>
        <v>Jornada Completa</v>
      </c>
      <c r="J50" s="33" t="str">
        <f>IFERROR(__xludf.DUMMYFUNCTION("""COMPUTED_VALUE"""),"A CONTRATA")</f>
        <v>A CONTRATA</v>
      </c>
      <c r="K50" s="33" t="str">
        <f>IFERROR(__xludf.DUMMYFUNCTION("""COMPUTED_VALUE"""),"ADMINISTRATIVO")</f>
        <v>ADMINISTRATIVO</v>
      </c>
      <c r="L50" s="34" t="str">
        <f>IFERROR(__xludf.DUMMYFUNCTION("""COMPUTED_VALUE"""),"INTERNO")</f>
        <v>INTERNO</v>
      </c>
      <c r="M50" s="34">
        <f>IFERROR(__xludf.DUMMYFUNCTION("""COMPUTED_VALUE"""),8.0)</f>
        <v>8</v>
      </c>
      <c r="N50" s="34" t="str">
        <f>IFERROR(__xludf.DUMMYFUNCTION("""COMPUTED_VALUE"""),"NO")</f>
        <v>NO</v>
      </c>
      <c r="P50">
        <f>IFERROR(__xludf.DUMMYFUNCTION("""COMPUTED_VALUE"""),3.0)</f>
        <v>3</v>
      </c>
      <c r="Q50" s="35">
        <f>IFERROR(__xludf.DUMMYFUNCTION("""COMPUTED_VALUE"""),0.0)</f>
        <v>0</v>
      </c>
      <c r="R50" s="36" t="str">
        <f>IFERROR(__xludf.DUMMYFUNCTION("""COMPUTED_VALUE"""),"SELECCIONADO")</f>
        <v>SELECCIONADO</v>
      </c>
      <c r="S50" s="37">
        <f>IFERROR(__xludf.DUMMYFUNCTION("""COMPUTED_VALUE"""),43650.0)</f>
        <v>43650</v>
      </c>
      <c r="T50" s="34" t="str">
        <f>IFERROR(__xludf.DUMMYFUNCTION("""COMPUTED_VALUE"""),"AHUMADA CASTILLO DANILO ALEJANDRO")</f>
        <v>AHUMADA CASTILLO DANILO ALEJANDRO</v>
      </c>
      <c r="V50" t="str">
        <f>IFERROR(__xludf.DUMMYFUNCTION("""COMPUTED_VALUE"""),"19063037-4")</f>
        <v>19063037-4</v>
      </c>
      <c r="W50" t="str">
        <f>IFERROR(__xludf.DUMMYFUNCTION("""COMPUTED_VALUE"""),"SI")</f>
        <v>SI</v>
      </c>
      <c r="X50" t="str">
        <f>IFERROR(__xludf.DUMMYFUNCTION("""COMPUTED_VALUE"""),"Orientacion a los Resultados")</f>
        <v>Orientacion a los Resultados</v>
      </c>
      <c r="AA50" s="38">
        <f>IFERROR(__xludf.DUMMYFUNCTION("""COMPUTED_VALUE"""),43588.0)</f>
        <v>43588</v>
      </c>
      <c r="AB50" s="38">
        <f>IFERROR(__xludf.DUMMYFUNCTION("""COMPUTED_VALUE"""),43594.0)</f>
        <v>43594</v>
      </c>
      <c r="AF50" s="39"/>
      <c r="AG50" s="39"/>
      <c r="AH50" s="34" t="str">
        <f>IFERROR(__xludf.DUMMYFUNCTION("""COMPUTED_VALUE"""),"PROCESO DE SELECCIÓN")</f>
        <v>PROCESO DE SELECCIÓN</v>
      </c>
      <c r="AI50" s="34" t="str">
        <f>IFERROR(__xludf.DUMMYFUNCTION("""COMPUTED_VALUE"""),"MARTINEZ NAVIA ALEJANDRO")</f>
        <v>MARTINEZ NAVIA ALEJANDRO</v>
      </c>
      <c r="AJ50" s="34"/>
      <c r="AK50" s="34" t="str">
        <f>IFERROR(__xludf.DUMMYFUNCTION("""COMPUTED_VALUE"""),"C")</f>
        <v>C</v>
      </c>
      <c r="AL50">
        <f>IFERROR(__xludf.DUMMYFUNCTION("""COMPUTED_VALUE"""),41.0)</f>
        <v>41</v>
      </c>
      <c r="AM50">
        <f>IFERROR(__xludf.DUMMYFUNCTION("""COMPUTED_VALUE"""),2019.0)</f>
        <v>2019</v>
      </c>
      <c r="AN50" t="str">
        <f t="shared" si="1"/>
        <v>19063037-4</v>
      </c>
    </row>
    <row r="51">
      <c r="A51" s="33">
        <f>IFERROR(__xludf.DUMMYFUNCTION("""COMPUTED_VALUE"""),1.3839647E7)</f>
        <v>13839647</v>
      </c>
      <c r="B51" s="33">
        <f>IFERROR(__xludf.DUMMYFUNCTION("""COMPUTED_VALUE"""),50.0)</f>
        <v>50</v>
      </c>
      <c r="C51" s="33" t="str">
        <f>IFERROR(__xludf.DUMMYFUNCTION("""COMPUTED_VALUE"""),"IR2018-20")</f>
        <v>IR2018-20</v>
      </c>
      <c r="D51" s="34" t="str">
        <f>IFERROR(__xludf.DUMMYFUNCTION("""COMPUTED_VALUE"""),"40")</f>
        <v>40</v>
      </c>
      <c r="E51" s="34" t="str">
        <f>IFERROR(__xludf.DUMMYFUNCTION("""COMPUTED_VALUE"""),"FACULTAD DE INGENIERIA")</f>
        <v>FACULTAD DE INGENIERIA</v>
      </c>
      <c r="F51" s="34" t="str">
        <f>IFERROR(__xludf.DUMMYFUNCTION("""COMPUTED_VALUE"""),"Encargado(a) de Unidad Menor")</f>
        <v>Encargado(a) de Unidad Menor</v>
      </c>
      <c r="G51" s="33" t="str">
        <f>IFERROR(__xludf.DUMMYFUNCTION("""COMPUTED_VALUE"""),"ENCARGADA DE UNIDAD MENOR")</f>
        <v>ENCARGADA DE UNIDAD MENOR</v>
      </c>
      <c r="H51">
        <f>IFERROR(__xludf.DUMMYFUNCTION("""COMPUTED_VALUE"""),16.0)</f>
        <v>16</v>
      </c>
      <c r="I51" s="34" t="str">
        <f>IFERROR(__xludf.DUMMYFUNCTION("""COMPUTED_VALUE"""),"Jornada Completa")</f>
        <v>Jornada Completa</v>
      </c>
      <c r="J51" s="33" t="str">
        <f>IFERROR(__xludf.DUMMYFUNCTION("""COMPUTED_VALUE"""),"A CONTRATA")</f>
        <v>A CONTRATA</v>
      </c>
      <c r="K51" s="33" t="str">
        <f>IFERROR(__xludf.DUMMYFUNCTION("""COMPUTED_VALUE"""),"ADMINISTRATIVO")</f>
        <v>ADMINISTRATIVO</v>
      </c>
      <c r="L51" s="34" t="str">
        <f>IFERROR(__xludf.DUMMYFUNCTION("""COMPUTED_VALUE"""),"INTERNO")</f>
        <v>INTERNO</v>
      </c>
      <c r="M51" s="34">
        <f>IFERROR(__xludf.DUMMYFUNCTION("""COMPUTED_VALUE"""),13.0)</f>
        <v>13</v>
      </c>
      <c r="N51" s="34" t="str">
        <f>IFERROR(__xludf.DUMMYFUNCTION("""COMPUTED_VALUE"""),"NO")</f>
        <v>NO</v>
      </c>
      <c r="P51">
        <f>IFERROR(__xludf.DUMMYFUNCTION("""COMPUTED_VALUE"""),1.0)</f>
        <v>1</v>
      </c>
      <c r="Q51" s="35">
        <f>IFERROR(__xludf.DUMMYFUNCTION("""COMPUTED_VALUE"""),0.0)</f>
        <v>0</v>
      </c>
      <c r="R51" s="36" t="str">
        <f>IFERROR(__xludf.DUMMYFUNCTION("""COMPUTED_VALUE"""),"SELECCIONADA")</f>
        <v>SELECCIONADA</v>
      </c>
      <c r="S51" s="37">
        <f>IFERROR(__xludf.DUMMYFUNCTION("""COMPUTED_VALUE"""),43633.0)</f>
        <v>43633</v>
      </c>
      <c r="T51" s="34" t="str">
        <f>IFERROR(__xludf.DUMMYFUNCTION("""COMPUTED_VALUE"""),"SILVA LUQUE GUACOLDA DEL CARMEN")</f>
        <v>SILVA LUQUE GUACOLDA DEL CARMEN</v>
      </c>
      <c r="V51" t="str">
        <f>IFERROR(__xludf.DUMMYFUNCTION("""COMPUTED_VALUE"""),"13839647-9")</f>
        <v>13839647-9</v>
      </c>
      <c r="W51" t="str">
        <f>IFERROR(__xludf.DUMMYFUNCTION("""COMPUTED_VALUE"""),"NO")</f>
        <v>NO</v>
      </c>
      <c r="AA51" s="38">
        <f>IFERROR(__xludf.DUMMYFUNCTION("""COMPUTED_VALUE"""),43549.0)</f>
        <v>43549</v>
      </c>
      <c r="AB51" s="38">
        <f>IFERROR(__xludf.DUMMYFUNCTION("""COMPUTED_VALUE"""),43556.0)</f>
        <v>43556</v>
      </c>
      <c r="AF51" s="39"/>
      <c r="AG51" s="39"/>
      <c r="AH51" s="34" t="str">
        <f>IFERROR(__xludf.DUMMYFUNCTION("""COMPUTED_VALUE"""),"PROCESO DE SELECCIÓN")</f>
        <v>PROCESO DE SELECCIÓN</v>
      </c>
      <c r="AI51" s="34" t="str">
        <f>IFERROR(__xludf.DUMMYFUNCTION("""COMPUTED_VALUE"""),"FIGUEROA FLORES BLANCA")</f>
        <v>FIGUEROA FLORES BLANCA</v>
      </c>
      <c r="AJ51" s="34"/>
      <c r="AK51" s="34" t="str">
        <f>IFERROR(__xludf.DUMMYFUNCTION("""COMPUTED_VALUE"""),"C")</f>
        <v>C</v>
      </c>
      <c r="AL51">
        <f>IFERROR(__xludf.DUMMYFUNCTION("""COMPUTED_VALUE"""),56.0)</f>
        <v>56</v>
      </c>
      <c r="AM51">
        <f>IFERROR(__xludf.DUMMYFUNCTION("""COMPUTED_VALUE"""),2019.0)</f>
        <v>2019</v>
      </c>
      <c r="AN51" t="str">
        <f t="shared" si="1"/>
        <v>13839647-9</v>
      </c>
    </row>
    <row r="52">
      <c r="A52" s="33">
        <f>IFERROR(__xludf.DUMMYFUNCTION("""COMPUTED_VALUE"""),1.9270779E7)</f>
        <v>19270779</v>
      </c>
      <c r="B52" s="33">
        <f>IFERROR(__xludf.DUMMYFUNCTION("""COMPUTED_VALUE"""),51.0)</f>
        <v>51</v>
      </c>
      <c r="C52" s="33" t="str">
        <f>IFERROR(__xludf.DUMMYFUNCTION("""COMPUTED_VALUE"""),"IR2018-28")</f>
        <v>IR2018-28</v>
      </c>
      <c r="D52" s="34" t="str">
        <f>IFERROR(__xludf.DUMMYFUNCTION("""COMPUTED_VALUE"""),"3")</f>
        <v>3</v>
      </c>
      <c r="E52" s="34" t="str">
        <f>IFERROR(__xludf.DUMMYFUNCTION("""COMPUTED_VALUE"""),"UNIDAD DE BIENESTAR DEL PERSONAL")</f>
        <v>UNIDAD DE BIENESTAR DEL PERSONAL</v>
      </c>
      <c r="F52" s="34" t="str">
        <f>IFERROR(__xludf.DUMMYFUNCTION("""COMPUTED_VALUE"""),"Analista de Gestión II")</f>
        <v>Analista de Gestión II</v>
      </c>
      <c r="G52" s="33" t="str">
        <f>IFERROR(__xludf.DUMMYFUNCTION("""COMPUTED_VALUE"""),"ANALISTA DE GESTION II")</f>
        <v>ANALISTA DE GESTION II</v>
      </c>
      <c r="H52">
        <f>IFERROR(__xludf.DUMMYFUNCTION("""COMPUTED_VALUE"""),13.0)</f>
        <v>13</v>
      </c>
      <c r="I52" s="34" t="str">
        <f>IFERROR(__xludf.DUMMYFUNCTION("""COMPUTED_VALUE"""),"Jornada Completa")</f>
        <v>Jornada Completa</v>
      </c>
      <c r="J52" s="33" t="str">
        <f>IFERROR(__xludf.DUMMYFUNCTION("""COMPUTED_VALUE"""),"A CONTRATA")</f>
        <v>A CONTRATA</v>
      </c>
      <c r="K52" s="33" t="str">
        <f>IFERROR(__xludf.DUMMYFUNCTION("""COMPUTED_VALUE"""),"PROFESIONAL")</f>
        <v>PROFESIONAL</v>
      </c>
      <c r="L52" s="34" t="str">
        <f>IFERROR(__xludf.DUMMYFUNCTION("""COMPUTED_VALUE"""),"INTERNO")</f>
        <v>INTERNO</v>
      </c>
      <c r="M52" s="34">
        <f>IFERROR(__xludf.DUMMYFUNCTION("""COMPUTED_VALUE"""),5.0)</f>
        <v>5</v>
      </c>
      <c r="N52" s="34" t="str">
        <f>IFERROR(__xludf.DUMMYFUNCTION("""COMPUTED_VALUE"""),"NO")</f>
        <v>NO</v>
      </c>
      <c r="P52">
        <f>IFERROR(__xludf.DUMMYFUNCTION("""COMPUTED_VALUE"""),2.0)</f>
        <v>2</v>
      </c>
      <c r="Q52" s="35">
        <f>IFERROR(__xludf.DUMMYFUNCTION("""COMPUTED_VALUE"""),0.0)</f>
        <v>0</v>
      </c>
      <c r="R52" s="36" t="str">
        <f>IFERROR(__xludf.DUMMYFUNCTION("""COMPUTED_VALUE"""),"SELECCIONADA")</f>
        <v>SELECCIONADA</v>
      </c>
      <c r="S52" s="37">
        <f>IFERROR(__xludf.DUMMYFUNCTION("""COMPUTED_VALUE"""),43607.0)</f>
        <v>43607</v>
      </c>
      <c r="T52" s="34" t="str">
        <f>IFERROR(__xludf.DUMMYFUNCTION("""COMPUTED_VALUE"""),"SAEZ SALAS ISABEL MARGARITA")</f>
        <v>SAEZ SALAS ISABEL MARGARITA</v>
      </c>
      <c r="V52" t="str">
        <f>IFERROR(__xludf.DUMMYFUNCTION("""COMPUTED_VALUE"""),"19270779-K")</f>
        <v>19270779-K</v>
      </c>
      <c r="W52" t="str">
        <f>IFERROR(__xludf.DUMMYFUNCTION("""COMPUTED_VALUE"""),"SI")</f>
        <v>SI</v>
      </c>
      <c r="X52" t="str">
        <f>IFERROR(__xludf.DUMMYFUNCTION("""COMPUTED_VALUE"""),"Capacidad de Planificacion y Organizacion")</f>
        <v>Capacidad de Planificacion y Organizacion</v>
      </c>
      <c r="AA52" s="38">
        <f>IFERROR(__xludf.DUMMYFUNCTION("""COMPUTED_VALUE"""),43537.0)</f>
        <v>43537</v>
      </c>
      <c r="AB52" s="38">
        <f>IFERROR(__xludf.DUMMYFUNCTION("""COMPUTED_VALUE"""),43544.0)</f>
        <v>43544</v>
      </c>
      <c r="AF52" s="39"/>
      <c r="AG52" s="39"/>
      <c r="AH52" s="34" t="str">
        <f>IFERROR(__xludf.DUMMYFUNCTION("""COMPUTED_VALUE"""),"PROCESO DE SELECCIÓN")</f>
        <v>PROCESO DE SELECCIÓN</v>
      </c>
      <c r="AI52" s="34" t="str">
        <f>IFERROR(__xludf.DUMMYFUNCTION("""COMPUTED_VALUE"""),"BELLALTA BERRIOS MARIA")</f>
        <v>BELLALTA BERRIOS MARIA</v>
      </c>
      <c r="AJ52" s="34"/>
      <c r="AK52" s="34" t="str">
        <f>IFERROR(__xludf.DUMMYFUNCTION("""COMPUTED_VALUE"""),"C")</f>
        <v>C</v>
      </c>
      <c r="AL52">
        <f>IFERROR(__xludf.DUMMYFUNCTION("""COMPUTED_VALUE"""),46.0)</f>
        <v>46</v>
      </c>
      <c r="AM52">
        <f>IFERROR(__xludf.DUMMYFUNCTION("""COMPUTED_VALUE"""),2019.0)</f>
        <v>2019</v>
      </c>
      <c r="AN52" t="str">
        <f t="shared" si="1"/>
        <v>19270779-K</v>
      </c>
    </row>
    <row r="53">
      <c r="A53" s="33">
        <f>IFERROR(__xludf.DUMMYFUNCTION("""COMPUTED_VALUE"""),1.6452025E7)</f>
        <v>16452025</v>
      </c>
      <c r="B53" s="33">
        <f>IFERROR(__xludf.DUMMYFUNCTION("""COMPUTED_VALUE"""),52.0)</f>
        <v>52</v>
      </c>
      <c r="C53" s="33" t="str">
        <f>IFERROR(__xludf.DUMMYFUNCTION("""COMPUTED_VALUE"""),"A311")</f>
        <v>A311</v>
      </c>
      <c r="D53" s="34" t="str">
        <f>IFERROR(__xludf.DUMMYFUNCTION("""COMPUTED_VALUE"""),"3")</f>
        <v>3</v>
      </c>
      <c r="E53" s="34" t="str">
        <f>IFERROR(__xludf.DUMMYFUNCTION("""COMPUTED_VALUE"""),"UNIDAD DE BIENESTAR DEL PERSONAL")</f>
        <v>UNIDAD DE BIENESTAR DEL PERSONAL</v>
      </c>
      <c r="F53" s="34" t="str">
        <f>IFERROR(__xludf.DUMMYFUNCTION("""COMPUTED_VALUE"""),"Técnico(a) en Atención de Párvulos")</f>
        <v>Técnico(a) en Atención de Párvulos</v>
      </c>
      <c r="G53" s="33" t="str">
        <f>IFERROR(__xludf.DUMMYFUNCTION("""COMPUTED_VALUE"""),"TECNICO EN ATENCION DE PARVULOS")</f>
        <v>TECNICO EN ATENCION DE PARVULOS</v>
      </c>
      <c r="H53">
        <f>IFERROR(__xludf.DUMMYFUNCTION("""COMPUTED_VALUE"""),17.0)</f>
        <v>17</v>
      </c>
      <c r="I53" s="34" t="str">
        <f>IFERROR(__xludf.DUMMYFUNCTION("""COMPUTED_VALUE"""),"Jornada Completa")</f>
        <v>Jornada Completa</v>
      </c>
      <c r="J53" s="33" t="str">
        <f>IFERROR(__xludf.DUMMYFUNCTION("""COMPUTED_VALUE"""),"A CONTRATA")</f>
        <v>A CONTRATA</v>
      </c>
      <c r="K53" s="33" t="str">
        <f>IFERROR(__xludf.DUMMYFUNCTION("""COMPUTED_VALUE"""),"TECNICO")</f>
        <v>TECNICO</v>
      </c>
      <c r="L53" s="34" t="str">
        <f>IFERROR(__xludf.DUMMYFUNCTION("""COMPUTED_VALUE"""),"INTERNO")</f>
        <v>INTERNO</v>
      </c>
      <c r="M53" s="34">
        <f>IFERROR(__xludf.DUMMYFUNCTION("""COMPUTED_VALUE"""),0.0)</f>
        <v>0</v>
      </c>
      <c r="N53" s="34" t="str">
        <f>IFERROR(__xludf.DUMMYFUNCTION("""COMPUTED_VALUE"""),"EXTERNO")</f>
        <v>EXTERNO</v>
      </c>
      <c r="O53">
        <f>IFERROR(__xludf.DUMMYFUNCTION("""COMPUTED_VALUE"""),13.0)</f>
        <v>13</v>
      </c>
      <c r="P53">
        <f>IFERROR(__xludf.DUMMYFUNCTION("""COMPUTED_VALUE"""),2.0)</f>
        <v>2</v>
      </c>
      <c r="Q53" s="35">
        <f>IFERROR(__xludf.DUMMYFUNCTION("""COMPUTED_VALUE"""),0.0)</f>
        <v>0</v>
      </c>
      <c r="R53" s="36" t="str">
        <f>IFERROR(__xludf.DUMMYFUNCTION("""COMPUTED_VALUE"""),"SELECCIONADA")</f>
        <v>SELECCIONADA</v>
      </c>
      <c r="S53" s="37">
        <f>IFERROR(__xludf.DUMMYFUNCTION("""COMPUTED_VALUE"""),43710.0)</f>
        <v>43710</v>
      </c>
      <c r="T53" s="34"/>
      <c r="U53" t="str">
        <f>IFERROR(__xludf.DUMMYFUNCTION("""COMPUTED_VALUE"""),"CANALES MUÑOZ PAMELA")</f>
        <v>CANALES MUÑOZ PAMELA</v>
      </c>
      <c r="V53" t="str">
        <f>IFERROR(__xludf.DUMMYFUNCTION("""COMPUTED_VALUE"""),"16452025-0")</f>
        <v>16452025-0</v>
      </c>
      <c r="W53" t="str">
        <f>IFERROR(__xludf.DUMMYFUNCTION("""COMPUTED_VALUE"""),"SI")</f>
        <v>SI</v>
      </c>
      <c r="X53" t="str">
        <f>IFERROR(__xludf.DUMMYFUNCTION("""COMPUTED_VALUE"""),"Tolerancia a la presion")</f>
        <v>Tolerancia a la presion</v>
      </c>
      <c r="Y53" t="str">
        <f>IFERROR(__xludf.DUMMYFUNCTION("""COMPUTED_VALUE"""),"Autocontrol")</f>
        <v>Autocontrol</v>
      </c>
      <c r="AA53" s="38">
        <f>IFERROR(__xludf.DUMMYFUNCTION("""COMPUTED_VALUE"""),43637.0)</f>
        <v>43637</v>
      </c>
      <c r="AB53" s="38">
        <f>IFERROR(__xludf.DUMMYFUNCTION("""COMPUTED_VALUE"""),43644.0)</f>
        <v>43644</v>
      </c>
      <c r="AF53" s="39"/>
      <c r="AG53" s="39"/>
      <c r="AH53" s="34" t="str">
        <f>IFERROR(__xludf.DUMMYFUNCTION("""COMPUTED_VALUE"""),"PROCESO DE SELECCIÓN")</f>
        <v>PROCESO DE SELECCIÓN</v>
      </c>
      <c r="AI53" s="34" t="str">
        <f>IFERROR(__xludf.DUMMYFUNCTION("""COMPUTED_VALUE"""),"FIGUEROA GALVEZ CARMEN")</f>
        <v>FIGUEROA GALVEZ CARMEN</v>
      </c>
      <c r="AJ53" s="34"/>
      <c r="AK53" s="34" t="str">
        <f>IFERROR(__xludf.DUMMYFUNCTION("""COMPUTED_VALUE"""),"E")</f>
        <v>E</v>
      </c>
      <c r="AL53">
        <f>IFERROR(__xludf.DUMMYFUNCTION("""COMPUTED_VALUE"""),47.0)</f>
        <v>47</v>
      </c>
      <c r="AM53">
        <f>IFERROR(__xludf.DUMMYFUNCTION("""COMPUTED_VALUE"""),2019.0)</f>
        <v>2019</v>
      </c>
      <c r="AN53" t="str">
        <f t="shared" si="1"/>
        <v>16452025-0</v>
      </c>
    </row>
    <row r="54">
      <c r="A54" s="33">
        <f>IFERROR(__xludf.DUMMYFUNCTION("""COMPUTED_VALUE"""),1.431813E7)</f>
        <v>14318130</v>
      </c>
      <c r="B54" s="33">
        <f>IFERROR(__xludf.DUMMYFUNCTION("""COMPUTED_VALUE"""),53.0)</f>
        <v>53</v>
      </c>
      <c r="C54" s="33" t="str">
        <f>IFERROR(__xludf.DUMMYFUNCTION("""COMPUTED_VALUE"""),"A383")</f>
        <v>A383</v>
      </c>
      <c r="D54" s="34" t="str">
        <f>IFERROR(__xludf.DUMMYFUNCTION("""COMPUTED_VALUE"""),"60")</f>
        <v>60</v>
      </c>
      <c r="E54" s="34" t="str">
        <f>IFERROR(__xludf.DUMMYFUNCTION("""COMPUTED_VALUE"""),"DPTO. DE CONTABILIDAD Y AUDITOR")</f>
        <v>DPTO. DE CONTABILIDAD Y AUDITOR</v>
      </c>
      <c r="F54" s="34" t="str">
        <f>IFERROR(__xludf.DUMMYFUNCTION("""COMPUTED_VALUE"""),"Secretario(a) B")</f>
        <v>Secretario(a) B</v>
      </c>
      <c r="G54" s="33" t="str">
        <f>IFERROR(__xludf.DUMMYFUNCTION("""COMPUTED_VALUE"""),"SECRETARIA B ( DEPARTAMENTO)  ")</f>
        <v>SECRETARIA B ( DEPARTAMENTO)  </v>
      </c>
      <c r="H54">
        <f>IFERROR(__xludf.DUMMYFUNCTION("""COMPUTED_VALUE"""),17.0)</f>
        <v>17</v>
      </c>
      <c r="I54" s="34" t="str">
        <f>IFERROR(__xludf.DUMMYFUNCTION("""COMPUTED_VALUE"""),"Jornada Completa")</f>
        <v>Jornada Completa</v>
      </c>
      <c r="J54" s="33" t="str">
        <f>IFERROR(__xludf.DUMMYFUNCTION("""COMPUTED_VALUE"""),"A CONTRATA")</f>
        <v>A CONTRATA</v>
      </c>
      <c r="K54" s="33" t="str">
        <f>IFERROR(__xludf.DUMMYFUNCTION("""COMPUTED_VALUE"""),"ADMINISTRATIVO")</f>
        <v>ADMINISTRATIVO</v>
      </c>
      <c r="L54" s="34" t="str">
        <f>IFERROR(__xludf.DUMMYFUNCTION("""COMPUTED_VALUE"""),"NO")</f>
        <v>NO</v>
      </c>
      <c r="M54" s="34">
        <f>IFERROR(__xludf.DUMMYFUNCTION("""COMPUTED_VALUE"""),13.0)</f>
        <v>13</v>
      </c>
      <c r="N54" s="34" t="str">
        <f>IFERROR(__xludf.DUMMYFUNCTION("""COMPUTED_VALUE"""),"NO")</f>
        <v>NO</v>
      </c>
      <c r="P54">
        <f>IFERROR(__xludf.DUMMYFUNCTION("""COMPUTED_VALUE"""),3.0)</f>
        <v>3</v>
      </c>
      <c r="Q54" s="35">
        <f>IFERROR(__xludf.DUMMYFUNCTION("""COMPUTED_VALUE"""),0.0)</f>
        <v>0</v>
      </c>
      <c r="R54" s="36" t="str">
        <f>IFERROR(__xludf.DUMMYFUNCTION("""COMPUTED_VALUE"""),"SELECCIONADA")</f>
        <v>SELECCIONADA</v>
      </c>
      <c r="S54" s="37">
        <f>IFERROR(__xludf.DUMMYFUNCTION("""COMPUTED_VALUE"""),43698.0)</f>
        <v>43698</v>
      </c>
      <c r="T54" s="34"/>
      <c r="U54" t="str">
        <f>IFERROR(__xludf.DUMMYFUNCTION("""COMPUTED_VALUE"""),"ORTIZ RAVELO MARCIA")</f>
        <v>ORTIZ RAVELO MARCIA</v>
      </c>
      <c r="V54" t="str">
        <f>IFERROR(__xludf.DUMMYFUNCTION("""COMPUTED_VALUE"""),"14318130-8")</f>
        <v>14318130-8</v>
      </c>
      <c r="W54" t="str">
        <f>IFERROR(__xludf.DUMMYFUNCTION("""COMPUTED_VALUE"""),"SI")</f>
        <v>SI</v>
      </c>
      <c r="X54" t="str">
        <f>IFERROR(__xludf.DUMMYFUNCTION("""COMPUTED_VALUE"""),"Iniciativa")</f>
        <v>Iniciativa</v>
      </c>
      <c r="Y54" t="str">
        <f>IFERROR(__xludf.DUMMYFUNCTION("""COMPUTED_VALUE"""),"Franqueza- Confiabilidad- Integridad")</f>
        <v>Franqueza- Confiabilidad- Integridad</v>
      </c>
      <c r="AA54" s="38">
        <f>IFERROR(__xludf.DUMMYFUNCTION("""COMPUTED_VALUE"""),43655.0)</f>
        <v>43655</v>
      </c>
      <c r="AB54" s="38">
        <f>IFERROR(__xludf.DUMMYFUNCTION("""COMPUTED_VALUE"""),43657.0)</f>
        <v>43657</v>
      </c>
      <c r="AF54" s="39"/>
      <c r="AG54" s="39"/>
      <c r="AH54" s="34" t="str">
        <f>IFERROR(__xludf.DUMMYFUNCTION("""COMPUTED_VALUE"""),"PROCESO DE SELECCIÓN")</f>
        <v>PROCESO DE SELECCIÓN</v>
      </c>
      <c r="AI54" s="34" t="str">
        <f>IFERROR(__xludf.DUMMYFUNCTION("""COMPUTED_VALUE"""),"PINO AMPUERO MYRIAM")</f>
        <v>PINO AMPUERO MYRIAM</v>
      </c>
      <c r="AJ54" s="34"/>
      <c r="AK54" s="34" t="str">
        <f>IFERROR(__xludf.DUMMYFUNCTION("""COMPUTED_VALUE"""),"E")</f>
        <v>E</v>
      </c>
      <c r="AL54">
        <f>IFERROR(__xludf.DUMMYFUNCTION("""COMPUTED_VALUE"""),30.0)</f>
        <v>30</v>
      </c>
      <c r="AM54">
        <f>IFERROR(__xludf.DUMMYFUNCTION("""COMPUTED_VALUE"""),2019.0)</f>
        <v>2019</v>
      </c>
      <c r="AN54" t="str">
        <f t="shared" si="1"/>
        <v>14318130-8</v>
      </c>
    </row>
    <row r="55">
      <c r="A55" s="33">
        <f>IFERROR(__xludf.DUMMYFUNCTION("""COMPUTED_VALUE"""),1.9932849E7)</f>
        <v>19932849</v>
      </c>
      <c r="B55" s="33">
        <f>IFERROR(__xludf.DUMMYFUNCTION("""COMPUTED_VALUE"""),54.0)</f>
        <v>54</v>
      </c>
      <c r="C55" s="33" t="str">
        <f>IFERROR(__xludf.DUMMYFUNCTION("""COMPUTED_VALUE"""),"A321")</f>
        <v>A321</v>
      </c>
      <c r="D55" s="34" t="str">
        <f>IFERROR(__xludf.DUMMYFUNCTION("""COMPUTED_VALUE"""),"95")</f>
        <v>95</v>
      </c>
      <c r="E55" s="34" t="str">
        <f>IFERROR(__xludf.DUMMYFUNCTION("""COMPUTED_VALUE"""),"FACULTAD DE QUIMICA Y BIOLOGIA")</f>
        <v>FACULTAD DE QUIMICA Y BIOLOGIA</v>
      </c>
      <c r="F55" s="34" t="str">
        <f>IFERROR(__xludf.DUMMYFUNCTION("""COMPUTED_VALUE"""),"Auxiliar de Servicios")</f>
        <v>Auxiliar de Servicios</v>
      </c>
      <c r="G55" s="33" t="str">
        <f>IFERROR(__xludf.DUMMYFUNCTION("""COMPUTED_VALUE"""),"AUXILIAR DE SERVICIOS")</f>
        <v>AUXILIAR DE SERVICIOS</v>
      </c>
      <c r="H55">
        <f>IFERROR(__xludf.DUMMYFUNCTION("""COMPUTED_VALUE"""),23.0)</f>
        <v>23</v>
      </c>
      <c r="I55" s="34" t="str">
        <f>IFERROR(__xludf.DUMMYFUNCTION("""COMPUTED_VALUE"""),"Jornada Completa")</f>
        <v>Jornada Completa</v>
      </c>
      <c r="J55" s="33" t="str">
        <f>IFERROR(__xludf.DUMMYFUNCTION("""COMPUTED_VALUE"""),"A CONTRATA")</f>
        <v>A CONTRATA</v>
      </c>
      <c r="K55" s="33" t="str">
        <f>IFERROR(__xludf.DUMMYFUNCTION("""COMPUTED_VALUE"""),"AUXILIAR")</f>
        <v>AUXILIAR</v>
      </c>
      <c r="L55" s="34" t="str">
        <f>IFERROR(__xludf.DUMMYFUNCTION("""COMPUTED_VALUE"""),"INTERNO")</f>
        <v>INTERNO</v>
      </c>
      <c r="M55" s="34">
        <f>IFERROR(__xludf.DUMMYFUNCTION("""COMPUTED_VALUE"""),0.0)</f>
        <v>0</v>
      </c>
      <c r="N55" s="34" t="str">
        <f>IFERROR(__xludf.DUMMYFUNCTION("""COMPUTED_VALUE"""),"EXTERNO")</f>
        <v>EXTERNO</v>
      </c>
      <c r="O55">
        <f>IFERROR(__xludf.DUMMYFUNCTION("""COMPUTED_VALUE"""),19.0)</f>
        <v>19</v>
      </c>
      <c r="P55">
        <f>IFERROR(__xludf.DUMMYFUNCTION("""COMPUTED_VALUE"""),1.0)</f>
        <v>1</v>
      </c>
      <c r="Q55" s="35">
        <f>IFERROR(__xludf.DUMMYFUNCTION("""COMPUTED_VALUE"""),0.0)</f>
        <v>0</v>
      </c>
      <c r="R55" s="36" t="str">
        <f>IFERROR(__xludf.DUMMYFUNCTION("""COMPUTED_VALUE"""),"SELECCIONADO")</f>
        <v>SELECCIONADO</v>
      </c>
      <c r="S55" s="37">
        <f>IFERROR(__xludf.DUMMYFUNCTION("""COMPUTED_VALUE"""),43710.0)</f>
        <v>43710</v>
      </c>
      <c r="T55" s="34"/>
      <c r="U55" t="str">
        <f>IFERROR(__xludf.DUMMYFUNCTION("""COMPUTED_VALUE"""),"ARANEDA ARIAS RAUL")</f>
        <v>ARANEDA ARIAS RAUL</v>
      </c>
      <c r="V55" t="str">
        <f>IFERROR(__xludf.DUMMYFUNCTION("""COMPUTED_VALUE"""),"19932849-2")</f>
        <v>19932849-2</v>
      </c>
      <c r="W55" t="str">
        <f>IFERROR(__xludf.DUMMYFUNCTION("""COMPUTED_VALUE"""),"SI")</f>
        <v>SI</v>
      </c>
      <c r="X55" t="str">
        <f>IFERROR(__xludf.DUMMYFUNCTION("""COMPUTED_VALUE"""),"Iniciativa")</f>
        <v>Iniciativa</v>
      </c>
      <c r="AA55" s="38">
        <f>IFERROR(__xludf.DUMMYFUNCTION("""COMPUTED_VALUE"""),43627.0)</f>
        <v>43627</v>
      </c>
      <c r="AB55" s="38">
        <f>IFERROR(__xludf.DUMMYFUNCTION("""COMPUTED_VALUE"""),43636.0)</f>
        <v>43636</v>
      </c>
      <c r="AF55" s="39"/>
      <c r="AG55" s="39"/>
      <c r="AH55" s="34" t="str">
        <f>IFERROR(__xludf.DUMMYFUNCTION("""COMPUTED_VALUE"""),"PROCESO DE SELECCIÓN")</f>
        <v>PROCESO DE SELECCIÓN</v>
      </c>
      <c r="AI55" s="34" t="str">
        <f>IFERROR(__xludf.DUMMYFUNCTION("""COMPUTED_VALUE"""),"ORELLANA SILVA VICTOR")</f>
        <v>ORELLANA SILVA VICTOR</v>
      </c>
      <c r="AJ55" s="34"/>
      <c r="AK55" s="34" t="str">
        <f>IFERROR(__xludf.DUMMYFUNCTION("""COMPUTED_VALUE"""),"E")</f>
        <v>E</v>
      </c>
      <c r="AL55">
        <f>IFERROR(__xludf.DUMMYFUNCTION("""COMPUTED_VALUE"""),53.0)</f>
        <v>53</v>
      </c>
      <c r="AM55">
        <f>IFERROR(__xludf.DUMMYFUNCTION("""COMPUTED_VALUE"""),2019.0)</f>
        <v>2019</v>
      </c>
      <c r="AN55" t="str">
        <f t="shared" si="1"/>
        <v>19932849-2</v>
      </c>
    </row>
    <row r="56">
      <c r="A56" s="33">
        <f>IFERROR(__xludf.DUMMYFUNCTION("""COMPUTED_VALUE"""),1.6279996E7)</f>
        <v>16279996</v>
      </c>
      <c r="B56" s="33">
        <f>IFERROR(__xludf.DUMMYFUNCTION("""COMPUTED_VALUE"""),55.0)</f>
        <v>55</v>
      </c>
      <c r="C56" s="33" t="str">
        <f>IFERROR(__xludf.DUMMYFUNCTION("""COMPUTED_VALUE"""),"A307")</f>
        <v>A307</v>
      </c>
      <c r="D56" s="34" t="str">
        <f>IFERROR(__xludf.DUMMYFUNCTION("""COMPUTED_VALUE"""),"95")</f>
        <v>95</v>
      </c>
      <c r="E56" s="34" t="str">
        <f>IFERROR(__xludf.DUMMYFUNCTION("""COMPUTED_VALUE"""),"FACULTAD DE QUIMICA Y BIOLOGIA")</f>
        <v>FACULTAD DE QUIMICA Y BIOLOGIA</v>
      </c>
      <c r="F56" s="34" t="str">
        <f>IFERROR(__xludf.DUMMYFUNCTION("""COMPUTED_VALUE"""),"Administrativo(a) de Apoyo")</f>
        <v>Administrativo(a) de Apoyo</v>
      </c>
      <c r="G56" s="33" t="str">
        <f>IFERROR(__xludf.DUMMYFUNCTION("""COMPUTED_VALUE"""),"ADMINISTRATIVA DE APOYO")</f>
        <v>ADMINISTRATIVA DE APOYO</v>
      </c>
      <c r="H56">
        <f>IFERROR(__xludf.DUMMYFUNCTION("""COMPUTED_VALUE"""),20.0)</f>
        <v>20</v>
      </c>
      <c r="I56" s="34" t="str">
        <f>IFERROR(__xludf.DUMMYFUNCTION("""COMPUTED_VALUE"""),"Jornada Completa")</f>
        <v>Jornada Completa</v>
      </c>
      <c r="J56" s="33" t="str">
        <f>IFERROR(__xludf.DUMMYFUNCTION("""COMPUTED_VALUE"""),"A CONTRATA")</f>
        <v>A CONTRATA</v>
      </c>
      <c r="K56" s="33" t="str">
        <f>IFERROR(__xludf.DUMMYFUNCTION("""COMPUTED_VALUE"""),"ADMINISTRATIVO")</f>
        <v>ADMINISTRATIVO</v>
      </c>
      <c r="L56" s="34" t="str">
        <f>IFERROR(__xludf.DUMMYFUNCTION("""COMPUTED_VALUE"""),"INTERNO")</f>
        <v>INTERNO</v>
      </c>
      <c r="M56" s="34">
        <f>IFERROR(__xludf.DUMMYFUNCTION("""COMPUTED_VALUE"""),1.0)</f>
        <v>1</v>
      </c>
      <c r="N56" s="34" t="str">
        <f>IFERROR(__xludf.DUMMYFUNCTION("""COMPUTED_VALUE"""),"EXTERNO")</f>
        <v>EXTERNO</v>
      </c>
      <c r="O56">
        <f>IFERROR(__xludf.DUMMYFUNCTION("""COMPUTED_VALUE"""),14.0)</f>
        <v>14</v>
      </c>
      <c r="P56">
        <f>IFERROR(__xludf.DUMMYFUNCTION("""COMPUTED_VALUE"""),1.0)</f>
        <v>1</v>
      </c>
      <c r="Q56" s="35">
        <f>IFERROR(__xludf.DUMMYFUNCTION("""COMPUTED_VALUE"""),0.0)</f>
        <v>0</v>
      </c>
      <c r="R56" s="36" t="str">
        <f>IFERROR(__xludf.DUMMYFUNCTION("""COMPUTED_VALUE"""),"SELECCIONADA")</f>
        <v>SELECCIONADA</v>
      </c>
      <c r="S56" s="37">
        <f>IFERROR(__xludf.DUMMYFUNCTION("""COMPUTED_VALUE"""),43710.0)</f>
        <v>43710</v>
      </c>
      <c r="T56" s="34"/>
      <c r="U56" t="str">
        <f>IFERROR(__xludf.DUMMYFUNCTION("""COMPUTED_VALUE"""),"VASQUEZ MALHUE BARBARA")</f>
        <v>VASQUEZ MALHUE BARBARA</v>
      </c>
      <c r="V56" t="str">
        <f>IFERROR(__xludf.DUMMYFUNCTION("""COMPUTED_VALUE"""),"16279996-7")</f>
        <v>16279996-7</v>
      </c>
      <c r="W56" t="str">
        <f>IFERROR(__xludf.DUMMYFUNCTION("""COMPUTED_VALUE"""),"SI")</f>
        <v>SI</v>
      </c>
      <c r="X56" t="str">
        <f>IFERROR(__xludf.DUMMYFUNCTION("""COMPUTED_VALUE"""),"Trabajo en Equipo")</f>
        <v>Trabajo en Equipo</v>
      </c>
      <c r="Y56" t="str">
        <f>IFERROR(__xludf.DUMMYFUNCTION("""COMPUTED_VALUE"""),"Preocupacion por el Orden y la Claridad")</f>
        <v>Preocupacion por el Orden y la Claridad</v>
      </c>
      <c r="AA56" s="38">
        <f>IFERROR(__xludf.DUMMYFUNCTION("""COMPUTED_VALUE"""),43633.0)</f>
        <v>43633</v>
      </c>
      <c r="AB56" s="38">
        <f>IFERROR(__xludf.DUMMYFUNCTION("""COMPUTED_VALUE"""),43640.0)</f>
        <v>43640</v>
      </c>
      <c r="AF56" s="39"/>
      <c r="AG56" s="39"/>
      <c r="AH56" s="34" t="str">
        <f>IFERROR(__xludf.DUMMYFUNCTION("""COMPUTED_VALUE"""),"PROCESO DE SELECCIÓN")</f>
        <v>PROCESO DE SELECCIÓN</v>
      </c>
      <c r="AI56" s="34" t="str">
        <f>IFERROR(__xludf.DUMMYFUNCTION("""COMPUTED_VALUE"""),"ADRIAZOLA MORENO MARTA")</f>
        <v>ADRIAZOLA MORENO MARTA</v>
      </c>
      <c r="AJ56" s="34"/>
      <c r="AK56" s="34" t="str">
        <f>IFERROR(__xludf.DUMMYFUNCTION("""COMPUTED_VALUE"""),"E")</f>
        <v>E</v>
      </c>
      <c r="AL56">
        <f>IFERROR(__xludf.DUMMYFUNCTION("""COMPUTED_VALUE"""),51.0)</f>
        <v>51</v>
      </c>
      <c r="AM56">
        <f>IFERROR(__xludf.DUMMYFUNCTION("""COMPUTED_VALUE"""),2019.0)</f>
        <v>2019</v>
      </c>
      <c r="AN56" t="str">
        <f t="shared" si="1"/>
        <v>16279996-7</v>
      </c>
    </row>
    <row r="57">
      <c r="A57" s="33">
        <f>IFERROR(__xludf.DUMMYFUNCTION("""COMPUTED_VALUE"""),1.8533115E7)</f>
        <v>18533115</v>
      </c>
      <c r="B57" s="33">
        <f>IFERROR(__xludf.DUMMYFUNCTION("""COMPUTED_VALUE"""),56.0)</f>
        <v>56</v>
      </c>
      <c r="C57" s="33" t="str">
        <f>IFERROR(__xludf.DUMMYFUNCTION("""COMPUTED_VALUE"""),"ACTA2019-14")</f>
        <v>ACTA2019-14</v>
      </c>
      <c r="D57" s="34" t="str">
        <f>IFERROR(__xludf.DUMMYFUNCTION("""COMPUTED_VALUE"""),"40")</f>
        <v>40</v>
      </c>
      <c r="E57" s="34" t="str">
        <f>IFERROR(__xludf.DUMMYFUNCTION("""COMPUTED_VALUE"""),"DPTO. DE INGENIERIA METALURGICA")</f>
        <v>DPTO. DE INGENIERIA METALURGICA</v>
      </c>
      <c r="F57" s="34" t="str">
        <f>IFERROR(__xludf.DUMMYFUNCTION("""COMPUTED_VALUE"""),"Encargado(a) de Laboratorio")</f>
        <v>Encargado(a) de Laboratorio</v>
      </c>
      <c r="G57" s="33" t="str">
        <f>IFERROR(__xludf.DUMMYFUNCTION("""COMPUTED_VALUE"""),"ENCARGADO DE LABORATORIO")</f>
        <v>ENCARGADO DE LABORATORIO</v>
      </c>
      <c r="H57">
        <f>IFERROR(__xludf.DUMMYFUNCTION("""COMPUTED_VALUE"""),13.0)</f>
        <v>13</v>
      </c>
      <c r="I57" s="34" t="str">
        <f>IFERROR(__xludf.DUMMYFUNCTION("""COMPUTED_VALUE"""),"Jornada Completa")</f>
        <v>Jornada Completa</v>
      </c>
      <c r="J57" s="33" t="str">
        <f>IFERROR(__xludf.DUMMYFUNCTION("""COMPUTED_VALUE"""),"A CONTRATA")</f>
        <v>A CONTRATA</v>
      </c>
      <c r="K57" s="33" t="str">
        <f>IFERROR(__xludf.DUMMYFUNCTION("""COMPUTED_VALUE"""),"PROFESIONAL")</f>
        <v>PROFESIONAL</v>
      </c>
      <c r="L57" s="34" t="str">
        <f>IFERROR(__xludf.DUMMYFUNCTION("""COMPUTED_VALUE"""),"INTERNO")</f>
        <v>INTERNO</v>
      </c>
      <c r="M57" s="34">
        <f>IFERROR(__xludf.DUMMYFUNCTION("""COMPUTED_VALUE"""),0.0)</f>
        <v>0</v>
      </c>
      <c r="N57" s="34" t="str">
        <f>IFERROR(__xludf.DUMMYFUNCTION("""COMPUTED_VALUE"""),"EXTERNO")</f>
        <v>EXTERNO</v>
      </c>
      <c r="O57">
        <f>IFERROR(__xludf.DUMMYFUNCTION("""COMPUTED_VALUE"""),20.0)</f>
        <v>20</v>
      </c>
      <c r="P57">
        <f>IFERROR(__xludf.DUMMYFUNCTION("""COMPUTED_VALUE"""),2.0)</f>
        <v>2</v>
      </c>
      <c r="Q57" s="35">
        <f>IFERROR(__xludf.DUMMYFUNCTION("""COMPUTED_VALUE"""),0.0)</f>
        <v>0</v>
      </c>
      <c r="R57" s="36" t="str">
        <f>IFERROR(__xludf.DUMMYFUNCTION("""COMPUTED_VALUE"""),"SELECCIONADO")</f>
        <v>SELECCIONADO</v>
      </c>
      <c r="S57" s="37">
        <f>IFERROR(__xludf.DUMMYFUNCTION("""COMPUTED_VALUE"""),43647.0)</f>
        <v>43647</v>
      </c>
      <c r="T57" s="34"/>
      <c r="U57" t="str">
        <f>IFERROR(__xludf.DUMMYFUNCTION("""COMPUTED_VALUE"""),"FERNANDEZ SEPULVEDA CARLOS")</f>
        <v>FERNANDEZ SEPULVEDA CARLOS</v>
      </c>
      <c r="V57" t="str">
        <f>IFERROR(__xludf.DUMMYFUNCTION("""COMPUTED_VALUE"""),"18533115-6")</f>
        <v>18533115-6</v>
      </c>
      <c r="W57" t="str">
        <f>IFERROR(__xludf.DUMMYFUNCTION("""COMPUTED_VALUE"""),"SI")</f>
        <v>SI</v>
      </c>
      <c r="X57" t="str">
        <f>IFERROR(__xludf.DUMMYFUNCTION("""COMPUTED_VALUE"""),"Iniciativa")</f>
        <v>Iniciativa</v>
      </c>
      <c r="AA57" s="38">
        <f>IFERROR(__xludf.DUMMYFUNCTION("""COMPUTED_VALUE"""),43558.0)</f>
        <v>43558</v>
      </c>
      <c r="AB57" s="38">
        <f>IFERROR(__xludf.DUMMYFUNCTION("""COMPUTED_VALUE"""),43565.0)</f>
        <v>43565</v>
      </c>
      <c r="AF57" s="39"/>
      <c r="AG57" s="39"/>
      <c r="AH57" s="34" t="str">
        <f>IFERROR(__xludf.DUMMYFUNCTION("""COMPUTED_VALUE"""),"PROCESO DE SELECCIÓN")</f>
        <v>PROCESO DE SELECCIÓN</v>
      </c>
      <c r="AI57" s="34" t="str">
        <f>IFERROR(__xludf.DUMMYFUNCTION("""COMPUTED_VALUE"""),"ARIAS VARGAS PATRICIO")</f>
        <v>ARIAS VARGAS PATRICIO</v>
      </c>
      <c r="AJ57" s="34"/>
      <c r="AK57" s="34" t="str">
        <f>IFERROR(__xludf.DUMMYFUNCTION("""COMPUTED_VALUE"""),"E")</f>
        <v>E</v>
      </c>
      <c r="AL57">
        <f>IFERROR(__xludf.DUMMYFUNCTION("""COMPUTED_VALUE"""),59.0)</f>
        <v>59</v>
      </c>
      <c r="AM57">
        <f>IFERROR(__xludf.DUMMYFUNCTION("""COMPUTED_VALUE"""),2019.0)</f>
        <v>2019</v>
      </c>
      <c r="AN57" t="str">
        <f t="shared" si="1"/>
        <v>18533115-6</v>
      </c>
    </row>
    <row r="58">
      <c r="A58" s="33">
        <f>IFERROR(__xludf.DUMMYFUNCTION("""COMPUTED_VALUE"""),1.5475408E7)</f>
        <v>15475408</v>
      </c>
      <c r="B58" s="33">
        <f>IFERROR(__xludf.DUMMYFUNCTION("""COMPUTED_VALUE"""),57.0)</f>
        <v>57</v>
      </c>
      <c r="C58" s="33" t="str">
        <f>IFERROR(__xludf.DUMMYFUNCTION("""COMPUTED_VALUE"""),"A345")</f>
        <v>A345</v>
      </c>
      <c r="D58" s="34" t="str">
        <f>IFERROR(__xludf.DUMMYFUNCTION("""COMPUTED_VALUE"""),"120")</f>
        <v>120</v>
      </c>
      <c r="E58" s="34" t="str">
        <f>IFERROR(__xludf.DUMMYFUNCTION("""COMPUTED_VALUE"""),"DPTO. DE EXTENSION")</f>
        <v>DPTO. DE EXTENSION</v>
      </c>
      <c r="F58" s="34" t="str">
        <f>IFERROR(__xludf.DUMMYFUNCTION("""COMPUTED_VALUE"""),"Secretario(a) B")</f>
        <v>Secretario(a) B</v>
      </c>
      <c r="G58" s="33" t="str">
        <f>IFERROR(__xludf.DUMMYFUNCTION("""COMPUTED_VALUE"""),"SECRETARIO B")</f>
        <v>SECRETARIO B</v>
      </c>
      <c r="H58">
        <f>IFERROR(__xludf.DUMMYFUNCTION("""COMPUTED_VALUE"""),17.0)</f>
        <v>17</v>
      </c>
      <c r="I58" s="34" t="str">
        <f>IFERROR(__xludf.DUMMYFUNCTION("""COMPUTED_VALUE"""),"Jornada Completa")</f>
        <v>Jornada Completa</v>
      </c>
      <c r="J58" s="33" t="str">
        <f>IFERROR(__xludf.DUMMYFUNCTION("""COMPUTED_VALUE"""),"A CONTRATA")</f>
        <v>A CONTRATA</v>
      </c>
      <c r="K58" s="33" t="str">
        <f>IFERROR(__xludf.DUMMYFUNCTION("""COMPUTED_VALUE"""),"ADMINISTRATIVO")</f>
        <v>ADMINISTRATIVO</v>
      </c>
      <c r="L58" s="34" t="str">
        <f>IFERROR(__xludf.DUMMYFUNCTION("""COMPUTED_VALUE"""),"INTERNO")</f>
        <v>INTERNO</v>
      </c>
      <c r="M58" s="34">
        <f>IFERROR(__xludf.DUMMYFUNCTION("""COMPUTED_VALUE"""),2.0)</f>
        <v>2</v>
      </c>
      <c r="N58" s="34" t="str">
        <f>IFERROR(__xludf.DUMMYFUNCTION("""COMPUTED_VALUE"""),"NO")</f>
        <v>NO</v>
      </c>
      <c r="P58">
        <f>IFERROR(__xludf.DUMMYFUNCTION("""COMPUTED_VALUE"""),1.0)</f>
        <v>1</v>
      </c>
      <c r="Q58" s="35">
        <f>IFERROR(__xludf.DUMMYFUNCTION("""COMPUTED_VALUE"""),0.0)</f>
        <v>0</v>
      </c>
      <c r="R58" s="36" t="str">
        <f>IFERROR(__xludf.DUMMYFUNCTION("""COMPUTED_VALUE"""),"SELECCIONADO")</f>
        <v>SELECCIONADO</v>
      </c>
      <c r="S58" s="37">
        <f>IFERROR(__xludf.DUMMYFUNCTION("""COMPUTED_VALUE"""),43700.0)</f>
        <v>43700</v>
      </c>
      <c r="T58" s="34" t="str">
        <f>IFERROR(__xludf.DUMMYFUNCTION("""COMPUTED_VALUE"""),"CARRENO ESCOBAR PABLO ANTONIO")</f>
        <v>CARRENO ESCOBAR PABLO ANTONIO</v>
      </c>
      <c r="V58" t="str">
        <f>IFERROR(__xludf.DUMMYFUNCTION("""COMPUTED_VALUE"""),"15475408-3")</f>
        <v>15475408-3</v>
      </c>
      <c r="W58" t="str">
        <f>IFERROR(__xludf.DUMMYFUNCTION("""COMPUTED_VALUE"""),"NO")</f>
        <v>NO</v>
      </c>
      <c r="AA58" s="38">
        <f>IFERROR(__xludf.DUMMYFUNCTION("""COMPUTED_VALUE"""),43627.0)</f>
        <v>43627</v>
      </c>
      <c r="AB58" s="38">
        <f>IFERROR(__xludf.DUMMYFUNCTION("""COMPUTED_VALUE"""),43634.0)</f>
        <v>43634</v>
      </c>
      <c r="AF58" s="39"/>
      <c r="AG58" s="39"/>
      <c r="AH58" s="34" t="str">
        <f>IFERROR(__xludf.DUMMYFUNCTION("""COMPUTED_VALUE"""),"PROCESO DE SELECCIÓN")</f>
        <v>PROCESO DE SELECCIÓN</v>
      </c>
      <c r="AI58" s="34" t="str">
        <f>IFERROR(__xludf.DUMMYFUNCTION("""COMPUTED_VALUE"""),"JARA NAVARRETE VALERIA")</f>
        <v>JARA NAVARRETE VALERIA</v>
      </c>
      <c r="AJ58" s="34"/>
      <c r="AK58" s="34" t="str">
        <f>IFERROR(__xludf.DUMMYFUNCTION("""COMPUTED_VALUE"""),"C")</f>
        <v>C</v>
      </c>
      <c r="AL58">
        <f>IFERROR(__xludf.DUMMYFUNCTION("""COMPUTED_VALUE"""),49.0)</f>
        <v>49</v>
      </c>
      <c r="AM58">
        <f>IFERROR(__xludf.DUMMYFUNCTION("""COMPUTED_VALUE"""),2019.0)</f>
        <v>2019</v>
      </c>
      <c r="AN58" t="str">
        <f t="shared" si="1"/>
        <v>15475408-3</v>
      </c>
    </row>
    <row r="59">
      <c r="A59" s="33">
        <f>IFERROR(__xludf.DUMMYFUNCTION("""COMPUTED_VALUE"""),1.3048402E7)</f>
        <v>13048402</v>
      </c>
      <c r="B59" s="33">
        <f>IFERROR(__xludf.DUMMYFUNCTION("""COMPUTED_VALUE"""),58.0)</f>
        <v>58</v>
      </c>
      <c r="C59" s="33" t="str">
        <f>IFERROR(__xludf.DUMMYFUNCTION("""COMPUTED_VALUE"""),"A348")</f>
        <v>A348</v>
      </c>
      <c r="D59" s="34" t="str">
        <f>IFERROR(__xludf.DUMMYFUNCTION("""COMPUTED_VALUE"""),"120")</f>
        <v>120</v>
      </c>
      <c r="E59" s="34" t="str">
        <f>IFERROR(__xludf.DUMMYFUNCTION("""COMPUTED_VALUE"""),"DPTO. DE COMUNICACIONES")</f>
        <v>DPTO. DE COMUNICACIONES</v>
      </c>
      <c r="F59" s="34" t="str">
        <f>IFERROR(__xludf.DUMMYFUNCTION("""COMPUTED_VALUE"""),"Periodista")</f>
        <v>Periodista</v>
      </c>
      <c r="G59" s="33" t="str">
        <f>IFERROR(__xludf.DUMMYFUNCTION("""COMPUTED_VALUE"""),"PERIODISTA")</f>
        <v>PERIODISTA</v>
      </c>
      <c r="H59">
        <f>IFERROR(__xludf.DUMMYFUNCTION("""COMPUTED_VALUE"""),13.0)</f>
        <v>13</v>
      </c>
      <c r="I59" s="34" t="str">
        <f>IFERROR(__xludf.DUMMYFUNCTION("""COMPUTED_VALUE"""),"Jornada Completa")</f>
        <v>Jornada Completa</v>
      </c>
      <c r="J59" s="33" t="str">
        <f>IFERROR(__xludf.DUMMYFUNCTION("""COMPUTED_VALUE"""),"A CONTRATA")</f>
        <v>A CONTRATA</v>
      </c>
      <c r="K59" s="33" t="str">
        <f>IFERROR(__xludf.DUMMYFUNCTION("""COMPUTED_VALUE"""),"PROFESIONAL")</f>
        <v>PROFESIONAL</v>
      </c>
      <c r="L59" s="34" t="str">
        <f>IFERROR(__xludf.DUMMYFUNCTION("""COMPUTED_VALUE"""),"INTERNO")</f>
        <v>INTERNO</v>
      </c>
      <c r="M59" s="34">
        <f>IFERROR(__xludf.DUMMYFUNCTION("""COMPUTED_VALUE"""),5.0)</f>
        <v>5</v>
      </c>
      <c r="N59" s="34" t="str">
        <f>IFERROR(__xludf.DUMMYFUNCTION("""COMPUTED_VALUE"""),"NO")</f>
        <v>NO</v>
      </c>
      <c r="P59">
        <f>IFERROR(__xludf.DUMMYFUNCTION("""COMPUTED_VALUE"""),1.0)</f>
        <v>1</v>
      </c>
      <c r="Q59" s="35">
        <f>IFERROR(__xludf.DUMMYFUNCTION("""COMPUTED_VALUE"""),0.0)</f>
        <v>0</v>
      </c>
      <c r="R59" s="36" t="str">
        <f>IFERROR(__xludf.DUMMYFUNCTION("""COMPUTED_VALUE"""),"SELECCIONADO")</f>
        <v>SELECCIONADO</v>
      </c>
      <c r="S59" s="37">
        <f>IFERROR(__xludf.DUMMYFUNCTION("""COMPUTED_VALUE"""),43707.0)</f>
        <v>43707</v>
      </c>
      <c r="T59" s="34" t="str">
        <f>IFERROR(__xludf.DUMMYFUNCTION("""COMPUTED_VALUE"""),"BORRONI RICARDI ENZO RENATO")</f>
        <v>BORRONI RICARDI ENZO RENATO</v>
      </c>
      <c r="V59" t="str">
        <f>IFERROR(__xludf.DUMMYFUNCTION("""COMPUTED_VALUE"""),"13048402-6")</f>
        <v>13048402-6</v>
      </c>
      <c r="W59" t="str">
        <f>IFERROR(__xludf.DUMMYFUNCTION("""COMPUTED_VALUE"""),"NO")</f>
        <v>NO</v>
      </c>
      <c r="AA59" s="38">
        <f>IFERROR(__xludf.DUMMYFUNCTION("""COMPUTED_VALUE"""),43651.0)</f>
        <v>43651</v>
      </c>
      <c r="AB59" s="38">
        <f>IFERROR(__xludf.DUMMYFUNCTION("""COMPUTED_VALUE"""),43656.0)</f>
        <v>43656</v>
      </c>
      <c r="AF59" s="39"/>
      <c r="AG59" s="39"/>
      <c r="AH59" s="34" t="str">
        <f>IFERROR(__xludf.DUMMYFUNCTION("""COMPUTED_VALUE"""),"PROCESO DE SELECCIÓN")</f>
        <v>PROCESO DE SELECCIÓN</v>
      </c>
      <c r="AI59" s="34" t="str">
        <f>IFERROR(__xludf.DUMMYFUNCTION("""COMPUTED_VALUE"""),"MANSILLA FUENTES GLORIA")</f>
        <v>MANSILLA FUENTES GLORIA</v>
      </c>
      <c r="AJ59" s="34"/>
      <c r="AK59" s="34" t="str">
        <f>IFERROR(__xludf.DUMMYFUNCTION("""COMPUTED_VALUE"""),"C")</f>
        <v>C</v>
      </c>
      <c r="AL59">
        <f>IFERROR(__xludf.DUMMYFUNCTION("""COMPUTED_VALUE"""),38.0)</f>
        <v>38</v>
      </c>
      <c r="AM59">
        <f>IFERROR(__xludf.DUMMYFUNCTION("""COMPUTED_VALUE"""),2019.0)</f>
        <v>2019</v>
      </c>
      <c r="AN59" t="str">
        <f t="shared" si="1"/>
        <v>13048402-6</v>
      </c>
    </row>
    <row r="60">
      <c r="A60" s="33">
        <f>IFERROR(__xludf.DUMMYFUNCTION("""COMPUTED_VALUE"""),1.3688649E7)</f>
        <v>13688649</v>
      </c>
      <c r="B60" s="33">
        <f>IFERROR(__xludf.DUMMYFUNCTION("""COMPUTED_VALUE"""),59.0)</f>
        <v>59</v>
      </c>
      <c r="C60" s="33" t="str">
        <f>IFERROR(__xludf.DUMMYFUNCTION("""COMPUTED_VALUE"""),"A318")</f>
        <v>A318</v>
      </c>
      <c r="D60" s="34" t="str">
        <f>IFERROR(__xludf.DUMMYFUNCTION("""COMPUTED_VALUE"""),"50")</f>
        <v>50</v>
      </c>
      <c r="E60" s="34" t="str">
        <f>IFERROR(__xludf.DUMMYFUNCTION("""COMPUTED_VALUE"""),"DPTO. DE MAT. Y CS. DE LA COMP.")</f>
        <v>DPTO. DE MAT. Y CS. DE LA COMP.</v>
      </c>
      <c r="F60" s="34" t="str">
        <f>IFERROR(__xludf.DUMMYFUNCTION("""COMPUTED_VALUE"""),"Analista de Gestión Administrativa")</f>
        <v>Analista de Gestión Administrativa</v>
      </c>
      <c r="G60" s="33" t="str">
        <f>IFERROR(__xludf.DUMMYFUNCTION("""COMPUTED_VALUE"""),"ANALISTA DE GESTION ADMINISTRATIVA")</f>
        <v>ANALISTA DE GESTION ADMINISTRATIVA</v>
      </c>
      <c r="H60">
        <f>IFERROR(__xludf.DUMMYFUNCTION("""COMPUTED_VALUE"""),14.0)</f>
        <v>14</v>
      </c>
      <c r="I60" s="34" t="str">
        <f>IFERROR(__xludf.DUMMYFUNCTION("""COMPUTED_VALUE"""),"Jornada Completa")</f>
        <v>Jornada Completa</v>
      </c>
      <c r="J60" s="33" t="str">
        <f>IFERROR(__xludf.DUMMYFUNCTION("""COMPUTED_VALUE"""),"A CONTRATA")</f>
        <v>A CONTRATA</v>
      </c>
      <c r="K60" s="33" t="str">
        <f>IFERROR(__xludf.DUMMYFUNCTION("""COMPUTED_VALUE"""),"PROFESIONAL")</f>
        <v>PROFESIONAL</v>
      </c>
      <c r="L60" s="34" t="str">
        <f>IFERROR(__xludf.DUMMYFUNCTION("""COMPUTED_VALUE"""),"INTERNO")</f>
        <v>INTERNO</v>
      </c>
      <c r="M60" s="34">
        <f>IFERROR(__xludf.DUMMYFUNCTION("""COMPUTED_VALUE"""),8.0)</f>
        <v>8</v>
      </c>
      <c r="N60" s="34" t="str">
        <f>IFERROR(__xludf.DUMMYFUNCTION("""COMPUTED_VALUE"""),"NO")</f>
        <v>NO</v>
      </c>
      <c r="P60">
        <f>IFERROR(__xludf.DUMMYFUNCTION("""COMPUTED_VALUE"""),3.0)</f>
        <v>3</v>
      </c>
      <c r="Q60" s="35">
        <f>IFERROR(__xludf.DUMMYFUNCTION("""COMPUTED_VALUE"""),0.0)</f>
        <v>0</v>
      </c>
      <c r="R60" s="36" t="str">
        <f>IFERROR(__xludf.DUMMYFUNCTION("""COMPUTED_VALUE"""),"SELECCIONADA")</f>
        <v>SELECCIONADA</v>
      </c>
      <c r="S60" s="37">
        <f>IFERROR(__xludf.DUMMYFUNCTION("""COMPUTED_VALUE"""),43709.0)</f>
        <v>43709</v>
      </c>
      <c r="T60" s="34" t="str">
        <f>IFERROR(__xludf.DUMMYFUNCTION("""COMPUTED_VALUE"""),"AGUILAR LOPEZ EVELYN CECILIA")</f>
        <v>AGUILAR LOPEZ EVELYN CECILIA</v>
      </c>
      <c r="V60" t="str">
        <f>IFERROR(__xludf.DUMMYFUNCTION("""COMPUTED_VALUE"""),"13688649-5")</f>
        <v>13688649-5</v>
      </c>
      <c r="W60" t="str">
        <f>IFERROR(__xludf.DUMMYFUNCTION("""COMPUTED_VALUE"""),"SI")</f>
        <v>SI</v>
      </c>
      <c r="X60" t="str">
        <f>IFERROR(__xludf.DUMMYFUNCTION("""COMPUTED_VALUE"""),"Capacidad de Planificacion y Organizacion")</f>
        <v>Capacidad de Planificacion y Organizacion</v>
      </c>
      <c r="AA60" s="38">
        <f>IFERROR(__xludf.DUMMYFUNCTION("""COMPUTED_VALUE"""),43584.0)</f>
        <v>43584</v>
      </c>
      <c r="AB60" s="38">
        <f>IFERROR(__xludf.DUMMYFUNCTION("""COMPUTED_VALUE"""),43594.0)</f>
        <v>43594</v>
      </c>
      <c r="AF60" s="39"/>
      <c r="AG60" s="39"/>
      <c r="AH60" s="34" t="str">
        <f>IFERROR(__xludf.DUMMYFUNCTION("""COMPUTED_VALUE"""),"PROCESO DE SELECCIÓN")</f>
        <v>PROCESO DE SELECCIÓN</v>
      </c>
      <c r="AI60" s="34" t="str">
        <f>IFERROR(__xludf.DUMMYFUNCTION("""COMPUTED_VALUE"""),"MONTECINO CUBILLOS SOLEDAD")</f>
        <v>MONTECINO CUBILLOS SOLEDAD</v>
      </c>
      <c r="AJ60" s="34"/>
      <c r="AK60" s="34" t="str">
        <f>IFERROR(__xludf.DUMMYFUNCTION("""COMPUTED_VALUE"""),"C")</f>
        <v>C</v>
      </c>
      <c r="AL60">
        <f>IFERROR(__xludf.DUMMYFUNCTION("""COMPUTED_VALUE"""),82.0)</f>
        <v>82</v>
      </c>
      <c r="AM60">
        <f>IFERROR(__xludf.DUMMYFUNCTION("""COMPUTED_VALUE"""),2019.0)</f>
        <v>2019</v>
      </c>
      <c r="AN60" t="str">
        <f t="shared" si="1"/>
        <v>13688649-5</v>
      </c>
    </row>
    <row r="61">
      <c r="A61" s="33">
        <f>IFERROR(__xludf.DUMMYFUNCTION("""COMPUTED_VALUE"""),1.2249498E7)</f>
        <v>12249498</v>
      </c>
      <c r="B61" s="33">
        <f>IFERROR(__xludf.DUMMYFUNCTION("""COMPUTED_VALUE"""),60.0)</f>
        <v>60</v>
      </c>
      <c r="C61" s="33" t="str">
        <f>IFERROR(__xludf.DUMMYFUNCTION("""COMPUTED_VALUE"""),"A380")</f>
        <v>A380</v>
      </c>
      <c r="D61" s="34" t="str">
        <f>IFERROR(__xludf.DUMMYFUNCTION("""COMPUTED_VALUE"""),"15")</f>
        <v>15</v>
      </c>
      <c r="E61" s="34" t="str">
        <f>IFERROR(__xludf.DUMMYFUNCTION("""COMPUTED_VALUE"""),"UNIDAD DE REGISTRO ACADEMICO Y CURRICULAR")</f>
        <v>UNIDAD DE REGISTRO ACADEMICO Y CURRICULAR</v>
      </c>
      <c r="F61" s="34" t="str">
        <f>IFERROR(__xludf.DUMMYFUNCTION("""COMPUTED_VALUE"""),"Administrativo(a) de Registro Académico")</f>
        <v>Administrativo(a) de Registro Académico</v>
      </c>
      <c r="G61" s="33" t="str">
        <f>IFERROR(__xludf.DUMMYFUNCTION("""COMPUTED_VALUE"""),"ADMINISTRATIVA DE REGISTRO ACADEMICO ( TITULADORA)")</f>
        <v>ADMINISTRATIVA DE REGISTRO ACADEMICO ( TITULADORA)</v>
      </c>
      <c r="H61">
        <f>IFERROR(__xludf.DUMMYFUNCTION("""COMPUTED_VALUE"""),17.0)</f>
        <v>17</v>
      </c>
      <c r="I61" s="34" t="str">
        <f>IFERROR(__xludf.DUMMYFUNCTION("""COMPUTED_VALUE"""),"Jornada Completa")</f>
        <v>Jornada Completa</v>
      </c>
      <c r="J61" s="33" t="str">
        <f>IFERROR(__xludf.DUMMYFUNCTION("""COMPUTED_VALUE"""),"A CONTRATA")</f>
        <v>A CONTRATA</v>
      </c>
      <c r="K61" s="33" t="str">
        <f>IFERROR(__xludf.DUMMYFUNCTION("""COMPUTED_VALUE"""),"ADMINISTRATIVO")</f>
        <v>ADMINISTRATIVO</v>
      </c>
      <c r="L61" s="34" t="str">
        <f>IFERROR(__xludf.DUMMYFUNCTION("""COMPUTED_VALUE"""),"INTERNO")</f>
        <v>INTERNO</v>
      </c>
      <c r="M61" s="34">
        <f>IFERROR(__xludf.DUMMYFUNCTION("""COMPUTED_VALUE"""),1.0)</f>
        <v>1</v>
      </c>
      <c r="N61" s="34" t="str">
        <f>IFERROR(__xludf.DUMMYFUNCTION("""COMPUTED_VALUE"""),"NO")</f>
        <v>NO</v>
      </c>
      <c r="P61">
        <f>IFERROR(__xludf.DUMMYFUNCTION("""COMPUTED_VALUE"""),1.0)</f>
        <v>1</v>
      </c>
      <c r="Q61" s="35">
        <f>IFERROR(__xludf.DUMMYFUNCTION("""COMPUTED_VALUE"""),0.0)</f>
        <v>0</v>
      </c>
      <c r="R61" s="36" t="str">
        <f>IFERROR(__xludf.DUMMYFUNCTION("""COMPUTED_VALUE"""),"SELECCIONADA")</f>
        <v>SELECCIONADA</v>
      </c>
      <c r="S61" s="37">
        <f>IFERROR(__xludf.DUMMYFUNCTION("""COMPUTED_VALUE"""),43717.0)</f>
        <v>43717</v>
      </c>
      <c r="T61" s="34" t="str">
        <f>IFERROR(__xludf.DUMMYFUNCTION("""COMPUTED_VALUE"""),"MUNOZ RIQUELME MONICA DEL PILAR")</f>
        <v>MUNOZ RIQUELME MONICA DEL PILAR</v>
      </c>
      <c r="V61" t="str">
        <f>IFERROR(__xludf.DUMMYFUNCTION("""COMPUTED_VALUE"""),"12249498-5")</f>
        <v>12249498-5</v>
      </c>
      <c r="W61" t="str">
        <f>IFERROR(__xludf.DUMMYFUNCTION("""COMPUTED_VALUE"""),"SI")</f>
        <v>SI</v>
      </c>
      <c r="X61" t="str">
        <f>IFERROR(__xludf.DUMMYFUNCTION("""COMPUTED_VALUE"""),"Trabajo en Equipo")</f>
        <v>Trabajo en Equipo</v>
      </c>
      <c r="AA61" s="38">
        <f>IFERROR(__xludf.DUMMYFUNCTION("""COMPUTED_VALUE"""),43670.0)</f>
        <v>43670</v>
      </c>
      <c r="AB61" s="38">
        <f>IFERROR(__xludf.DUMMYFUNCTION("""COMPUTED_VALUE"""),43678.0)</f>
        <v>43678</v>
      </c>
      <c r="AF61" s="39"/>
      <c r="AG61" s="39"/>
      <c r="AH61" s="34" t="str">
        <f>IFERROR(__xludf.DUMMYFUNCTION("""COMPUTED_VALUE"""),"PROCESO DE SELECCIÓN")</f>
        <v>PROCESO DE SELECCIÓN</v>
      </c>
      <c r="AI61" s="34" t="str">
        <f>IFERROR(__xludf.DUMMYFUNCTION("""COMPUTED_VALUE"""),"TOMIGO MEJIAS ANA")</f>
        <v>TOMIGO MEJIAS ANA</v>
      </c>
      <c r="AJ61" s="34"/>
      <c r="AK61" s="34" t="str">
        <f>IFERROR(__xludf.DUMMYFUNCTION("""COMPUTED_VALUE"""),"P")</f>
        <v>P</v>
      </c>
      <c r="AL61">
        <f>IFERROR(__xludf.DUMMYFUNCTION("""COMPUTED_VALUE"""),28.0)</f>
        <v>28</v>
      </c>
      <c r="AM61">
        <f>IFERROR(__xludf.DUMMYFUNCTION("""COMPUTED_VALUE"""),2019.0)</f>
        <v>2019</v>
      </c>
      <c r="AN61" t="str">
        <f t="shared" si="1"/>
        <v>12249498-5</v>
      </c>
    </row>
    <row r="62">
      <c r="A62" s="33">
        <f>IFERROR(__xludf.DUMMYFUNCTION("""COMPUTED_VALUE"""),1.7959771E7)</f>
        <v>17959771</v>
      </c>
      <c r="B62" s="33">
        <f>IFERROR(__xludf.DUMMYFUNCTION("""COMPUTED_VALUE"""),61.0)</f>
        <v>61</v>
      </c>
      <c r="C62" s="33" t="str">
        <f>IFERROR(__xludf.DUMMYFUNCTION("""COMPUTED_VALUE"""),"A406")</f>
        <v>A406</v>
      </c>
      <c r="D62" s="34" t="str">
        <f>IFERROR(__xludf.DUMMYFUNCTION("""COMPUTED_VALUE"""),"3")</f>
        <v>3</v>
      </c>
      <c r="E62" s="34" t="str">
        <f>IFERROR(__xludf.DUMMYFUNCTION("""COMPUTED_VALUE"""),"DPTO. DE DESARROLLO DE PERSONAS")</f>
        <v>DPTO. DE DESARROLLO DE PERSONAS</v>
      </c>
      <c r="F62" s="34" t="str">
        <f>IFERROR(__xludf.DUMMYFUNCTION("""COMPUTED_VALUE"""),"Analista de Gestión de Personas")</f>
        <v>Analista de Gestión de Personas</v>
      </c>
      <c r="G62" s="33" t="str">
        <f>IFERROR(__xludf.DUMMYFUNCTION("""COMPUTED_VALUE"""),"ANALISTA DE GESTION DE PERSONAS")</f>
        <v>ANALISTA DE GESTION DE PERSONAS</v>
      </c>
      <c r="H62">
        <f>IFERROR(__xludf.DUMMYFUNCTION("""COMPUTED_VALUE"""),10.0)</f>
        <v>10</v>
      </c>
      <c r="I62" s="34" t="str">
        <f>IFERROR(__xludf.DUMMYFUNCTION("""COMPUTED_VALUE"""),"Jornada Completa")</f>
        <v>Jornada Completa</v>
      </c>
      <c r="J62" s="33" t="str">
        <f>IFERROR(__xludf.DUMMYFUNCTION("""COMPUTED_VALUE"""),"A CONTRATA")</f>
        <v>A CONTRATA</v>
      </c>
      <c r="K62" s="33" t="str">
        <f>IFERROR(__xludf.DUMMYFUNCTION("""COMPUTED_VALUE"""),"PROFESIONAL")</f>
        <v>PROFESIONAL</v>
      </c>
      <c r="L62" s="34" t="str">
        <f>IFERROR(__xludf.DUMMYFUNCTION("""COMPUTED_VALUE"""),"INTERNO")</f>
        <v>INTERNO</v>
      </c>
      <c r="M62" s="34">
        <f>IFERROR(__xludf.DUMMYFUNCTION("""COMPUTED_VALUE"""),1.0)</f>
        <v>1</v>
      </c>
      <c r="N62" s="34" t="str">
        <f>IFERROR(__xludf.DUMMYFUNCTION("""COMPUTED_VALUE"""),"NO")</f>
        <v>NO</v>
      </c>
      <c r="P62">
        <f>IFERROR(__xludf.DUMMYFUNCTION("""COMPUTED_VALUE"""),1.0)</f>
        <v>1</v>
      </c>
      <c r="Q62" s="35">
        <f>IFERROR(__xludf.DUMMYFUNCTION("""COMPUTED_VALUE"""),0.0)</f>
        <v>0</v>
      </c>
      <c r="R62" s="36" t="str">
        <f>IFERROR(__xludf.DUMMYFUNCTION("""COMPUTED_VALUE"""),"SELECCIONADA")</f>
        <v>SELECCIONADA</v>
      </c>
      <c r="S62" s="37">
        <f>IFERROR(__xludf.DUMMYFUNCTION("""COMPUTED_VALUE"""),43739.0)</f>
        <v>43739</v>
      </c>
      <c r="T62" s="34" t="str">
        <f>IFERROR(__xludf.DUMMYFUNCTION("""COMPUTED_VALUE"""),"LLABRES SOLIS ROMINA THALIA")</f>
        <v>LLABRES SOLIS ROMINA THALIA</v>
      </c>
      <c r="V62" t="str">
        <f>IFERROR(__xludf.DUMMYFUNCTION("""COMPUTED_VALUE"""),"17959771-3")</f>
        <v>17959771-3</v>
      </c>
      <c r="W62" t="str">
        <f>IFERROR(__xludf.DUMMYFUNCTION("""COMPUTED_VALUE"""),"NO")</f>
        <v>NO</v>
      </c>
      <c r="AA62" s="38">
        <f>IFERROR(__xludf.DUMMYFUNCTION("""COMPUTED_VALUE"""),43714.0)</f>
        <v>43714</v>
      </c>
      <c r="AB62" s="38">
        <f>IFERROR(__xludf.DUMMYFUNCTION("""COMPUTED_VALUE"""),43719.0)</f>
        <v>43719</v>
      </c>
      <c r="AF62" s="39"/>
      <c r="AG62" s="39"/>
      <c r="AH62" s="34" t="str">
        <f>IFERROR(__xludf.DUMMYFUNCTION("""COMPUTED_VALUE"""),"PROCESO DE SELECCIÓN")</f>
        <v>PROCESO DE SELECCIÓN</v>
      </c>
      <c r="AI62" s="34" t="str">
        <f>IFERROR(__xludf.DUMMYFUNCTION("""COMPUTED_VALUE"""),"GONZALEZ SANTA CRUZ ANDRES")</f>
        <v>GONZALEZ SANTA CRUZ ANDRES</v>
      </c>
      <c r="AJ62" s="34"/>
      <c r="AK62" s="34" t="str">
        <f>IFERROR(__xludf.DUMMYFUNCTION("""COMPUTED_VALUE"""),"C")</f>
        <v>C</v>
      </c>
      <c r="AL62">
        <f>IFERROR(__xludf.DUMMYFUNCTION("""COMPUTED_VALUE"""),15.0)</f>
        <v>15</v>
      </c>
      <c r="AM62">
        <f>IFERROR(__xludf.DUMMYFUNCTION("""COMPUTED_VALUE"""),2019.0)</f>
        <v>2019</v>
      </c>
      <c r="AN62" t="str">
        <f t="shared" si="1"/>
        <v>17959771-3</v>
      </c>
    </row>
    <row r="63">
      <c r="A63" s="33">
        <f>IFERROR(__xludf.DUMMYFUNCTION("""COMPUTED_VALUE"""),7317438.0)</f>
        <v>7317438</v>
      </c>
      <c r="B63" s="33">
        <f>IFERROR(__xludf.DUMMYFUNCTION("""COMPUTED_VALUE"""),62.0)</f>
        <v>62</v>
      </c>
      <c r="C63" s="33" t="str">
        <f>IFERROR(__xludf.DUMMYFUNCTION("""COMPUTED_VALUE"""),"A341")</f>
        <v>A341</v>
      </c>
      <c r="D63" s="34" t="str">
        <f>IFERROR(__xludf.DUMMYFUNCTION("""COMPUTED_VALUE"""),"3")</f>
        <v>3</v>
      </c>
      <c r="E63" s="34" t="str">
        <f>IFERROR(__xludf.DUMMYFUNCTION("""COMPUTED_VALUE"""),"UNIDAD DE GESTION DEL CAMPUS")</f>
        <v>UNIDAD DE GESTION DEL CAMPUS</v>
      </c>
      <c r="F63" s="34" t="str">
        <f>IFERROR(__xludf.DUMMYFUNCTION("""COMPUTED_VALUE"""),"Técnico(a) Eléctrico")</f>
        <v>Técnico(a) Eléctrico</v>
      </c>
      <c r="G63" s="33" t="str">
        <f>IFERROR(__xludf.DUMMYFUNCTION("""COMPUTED_VALUE"""),"TECNICO ELECTRICO ( CLIMATIZACION)")</f>
        <v>TECNICO ELECTRICO ( CLIMATIZACION)</v>
      </c>
      <c r="H63">
        <f>IFERROR(__xludf.DUMMYFUNCTION("""COMPUTED_VALUE"""),17.0)</f>
        <v>17</v>
      </c>
      <c r="I63" s="34" t="str">
        <f>IFERROR(__xludf.DUMMYFUNCTION("""COMPUTED_VALUE"""),"Jornada Completa")</f>
        <v>Jornada Completa</v>
      </c>
      <c r="J63" s="33" t="str">
        <f>IFERROR(__xludf.DUMMYFUNCTION("""COMPUTED_VALUE"""),"A CONTRATA")</f>
        <v>A CONTRATA</v>
      </c>
      <c r="K63" s="33" t="str">
        <f>IFERROR(__xludf.DUMMYFUNCTION("""COMPUTED_VALUE"""),"TECNICO")</f>
        <v>TECNICO</v>
      </c>
      <c r="L63" s="34" t="str">
        <f>IFERROR(__xludf.DUMMYFUNCTION("""COMPUTED_VALUE"""),"INTERNO")</f>
        <v>INTERNO</v>
      </c>
      <c r="M63" s="34">
        <f>IFERROR(__xludf.DUMMYFUNCTION("""COMPUTED_VALUE"""),0.0)</f>
        <v>0</v>
      </c>
      <c r="N63" s="34" t="str">
        <f>IFERROR(__xludf.DUMMYFUNCTION("""COMPUTED_VALUE"""),"EXTERNO")</f>
        <v>EXTERNO</v>
      </c>
      <c r="O63">
        <f>IFERROR(__xludf.DUMMYFUNCTION("""COMPUTED_VALUE"""),5.0)</f>
        <v>5</v>
      </c>
      <c r="P63">
        <f>IFERROR(__xludf.DUMMYFUNCTION("""COMPUTED_VALUE"""),1.0)</f>
        <v>1</v>
      </c>
      <c r="Q63" s="35">
        <f>IFERROR(__xludf.DUMMYFUNCTION("""COMPUTED_VALUE"""),0.0)</f>
        <v>0</v>
      </c>
      <c r="R63" s="36" t="str">
        <f>IFERROR(__xludf.DUMMYFUNCTION("""COMPUTED_VALUE"""),"SELECCIONADO")</f>
        <v>SELECCIONADO</v>
      </c>
      <c r="S63" s="37">
        <f>IFERROR(__xludf.DUMMYFUNCTION("""COMPUTED_VALUE"""),43718.0)</f>
        <v>43718</v>
      </c>
      <c r="T63" s="34"/>
      <c r="U63" t="str">
        <f>IFERROR(__xludf.DUMMYFUNCTION("""COMPUTED_VALUE"""),"FERNANDEZ PEÑALOZA CARLOS")</f>
        <v>FERNANDEZ PEÑALOZA CARLOS</v>
      </c>
      <c r="V63" t="str">
        <f>IFERROR(__xludf.DUMMYFUNCTION("""COMPUTED_VALUE"""),"7317438-4")</f>
        <v>7317438-4</v>
      </c>
      <c r="W63" t="str">
        <f>IFERROR(__xludf.DUMMYFUNCTION("""COMPUTED_VALUE"""),"SI")</f>
        <v>SI</v>
      </c>
      <c r="X63" t="str">
        <f>IFERROR(__xludf.DUMMYFUNCTION("""COMPUTED_VALUE"""),"Orientacion a los Resultados")</f>
        <v>Orientacion a los Resultados</v>
      </c>
      <c r="Y63" t="str">
        <f>IFERROR(__xludf.DUMMYFUNCTION("""COMPUTED_VALUE"""),"Trabajo en Equipo")</f>
        <v>Trabajo en Equipo</v>
      </c>
      <c r="AA63" s="38">
        <f>IFERROR(__xludf.DUMMYFUNCTION("""COMPUTED_VALUE"""),43672.0)</f>
        <v>43672</v>
      </c>
      <c r="AB63" s="38">
        <f>IFERROR(__xludf.DUMMYFUNCTION("""COMPUTED_VALUE"""),43679.0)</f>
        <v>43679</v>
      </c>
      <c r="AF63" s="39"/>
      <c r="AG63" s="39"/>
      <c r="AH63" s="34" t="str">
        <f>IFERROR(__xludf.DUMMYFUNCTION("""COMPUTED_VALUE"""),"PROCESO DE SELECCIÓN")</f>
        <v>PROCESO DE SELECCIÓN</v>
      </c>
      <c r="AI63" s="34" t="str">
        <f>IFERROR(__xludf.DUMMYFUNCTION("""COMPUTED_VALUE"""),"ORELLANA TORO NICOLAS")</f>
        <v>ORELLANA TORO NICOLAS</v>
      </c>
      <c r="AJ63" s="34"/>
      <c r="AK63" s="34" t="str">
        <f>IFERROR(__xludf.DUMMYFUNCTION("""COMPUTED_VALUE"""),"E")</f>
        <v>E</v>
      </c>
      <c r="AL63">
        <f>IFERROR(__xludf.DUMMYFUNCTION("""COMPUTED_VALUE"""),28.0)</f>
        <v>28</v>
      </c>
      <c r="AM63">
        <f>IFERROR(__xludf.DUMMYFUNCTION("""COMPUTED_VALUE"""),2019.0)</f>
        <v>2019</v>
      </c>
      <c r="AN63" t="str">
        <f t="shared" si="1"/>
        <v>07317438-4</v>
      </c>
    </row>
    <row r="64">
      <c r="A64" s="33">
        <f>IFERROR(__xludf.DUMMYFUNCTION("""COMPUTED_VALUE"""),1.9208931E7)</f>
        <v>19208931</v>
      </c>
      <c r="B64" s="33">
        <f>IFERROR(__xludf.DUMMYFUNCTION("""COMPUTED_VALUE"""),63.0)</f>
        <v>63</v>
      </c>
      <c r="C64" s="33" t="str">
        <f>IFERROR(__xludf.DUMMYFUNCTION("""COMPUTED_VALUE"""),"A375")</f>
        <v>A375</v>
      </c>
      <c r="D64" s="34" t="str">
        <f>IFERROR(__xludf.DUMMYFUNCTION("""COMPUTED_VALUE"""),"40")</f>
        <v>40</v>
      </c>
      <c r="E64" s="34" t="str">
        <f>IFERROR(__xludf.DUMMYFUNCTION("""COMPUTED_VALUE"""),"DPTO. DE INGENIERIA INFORMATICA")</f>
        <v>DPTO. DE INGENIERIA INFORMATICA</v>
      </c>
      <c r="F64" s="34" t="str">
        <f>IFERROR(__xludf.DUMMYFUNCTION("""COMPUTED_VALUE"""),"Secretario(a) de Apoyo Docente")</f>
        <v>Secretario(a) de Apoyo Docente</v>
      </c>
      <c r="G64" s="33" t="str">
        <f>IFERROR(__xludf.DUMMYFUNCTION("""COMPUTED_VALUE"""),"SECRETARIA DE APOYO DOCENTE")</f>
        <v>SECRETARIA DE APOYO DOCENTE</v>
      </c>
      <c r="H64">
        <f>IFERROR(__xludf.DUMMYFUNCTION("""COMPUTED_VALUE"""),17.0)</f>
        <v>17</v>
      </c>
      <c r="I64" s="34" t="str">
        <f>IFERROR(__xludf.DUMMYFUNCTION("""COMPUTED_VALUE"""),"Jornada Completa")</f>
        <v>Jornada Completa</v>
      </c>
      <c r="J64" s="33" t="str">
        <f>IFERROR(__xludf.DUMMYFUNCTION("""COMPUTED_VALUE"""),"A CONTRATA")</f>
        <v>A CONTRATA</v>
      </c>
      <c r="K64" s="33" t="str">
        <f>IFERROR(__xludf.DUMMYFUNCTION("""COMPUTED_VALUE"""),"ADMINISTRATIVO")</f>
        <v>ADMINISTRATIVO</v>
      </c>
      <c r="L64" s="34" t="str">
        <f>IFERROR(__xludf.DUMMYFUNCTION("""COMPUTED_VALUE"""),"INTERNO")</f>
        <v>INTERNO</v>
      </c>
      <c r="M64" s="34">
        <f>IFERROR(__xludf.DUMMYFUNCTION("""COMPUTED_VALUE"""),5.0)</f>
        <v>5</v>
      </c>
      <c r="N64" s="34" t="str">
        <f>IFERROR(__xludf.DUMMYFUNCTION("""COMPUTED_VALUE"""),"NO")</f>
        <v>NO</v>
      </c>
      <c r="P64">
        <f>IFERROR(__xludf.DUMMYFUNCTION("""COMPUTED_VALUE"""),2.0)</f>
        <v>2</v>
      </c>
      <c r="Q64" s="35">
        <f>IFERROR(__xludf.DUMMYFUNCTION("""COMPUTED_VALUE"""),0.0)</f>
        <v>0</v>
      </c>
      <c r="R64" s="36" t="str">
        <f>IFERROR(__xludf.DUMMYFUNCTION("""COMPUTED_VALUE"""),"SELECCIONADA")</f>
        <v>SELECCIONADA</v>
      </c>
      <c r="S64" s="37">
        <f>IFERROR(__xludf.DUMMYFUNCTION("""COMPUTED_VALUE"""),43740.0)</f>
        <v>43740</v>
      </c>
      <c r="T64" s="34" t="str">
        <f>IFERROR(__xludf.DUMMYFUNCTION("""COMPUTED_VALUE"""),"LABRIN VALENZUELA ROMINA FERNANDA")</f>
        <v>LABRIN VALENZUELA ROMINA FERNANDA</v>
      </c>
      <c r="V64" t="str">
        <f>IFERROR(__xludf.DUMMYFUNCTION("""COMPUTED_VALUE"""),"19208931-K")</f>
        <v>19208931-K</v>
      </c>
      <c r="W64" t="str">
        <f>IFERROR(__xludf.DUMMYFUNCTION("""COMPUTED_VALUE"""),"SI")</f>
        <v>SI</v>
      </c>
      <c r="X64" t="str">
        <f>IFERROR(__xludf.DUMMYFUNCTION("""COMPUTED_VALUE"""),"Franqueza- Confiabilidad- Integridad")</f>
        <v>Franqueza- Confiabilidad- Integridad</v>
      </c>
      <c r="AA64" s="38">
        <f>IFERROR(__xludf.DUMMYFUNCTION("""COMPUTED_VALUE"""),43684.0)</f>
        <v>43684</v>
      </c>
      <c r="AB64" s="38">
        <f>IFERROR(__xludf.DUMMYFUNCTION("""COMPUTED_VALUE"""),43691.0)</f>
        <v>43691</v>
      </c>
      <c r="AF64" s="39"/>
      <c r="AG64" s="39"/>
      <c r="AH64" s="34" t="str">
        <f>IFERROR(__xludf.DUMMYFUNCTION("""COMPUTED_VALUE"""),"PROCESO DE SELECCIÓN")</f>
        <v>PROCESO DE SELECCIÓN</v>
      </c>
      <c r="AI64" s="34" t="str">
        <f>IFERROR(__xludf.DUMMYFUNCTION("""COMPUTED_VALUE"""),"SILVA LUQUE GUACOLDA")</f>
        <v>SILVA LUQUE GUACOLDA</v>
      </c>
      <c r="AJ64" s="34"/>
      <c r="AK64" s="34" t="str">
        <f>IFERROR(__xludf.DUMMYFUNCTION("""COMPUTED_VALUE"""),"C")</f>
        <v>C</v>
      </c>
      <c r="AL64">
        <f>IFERROR(__xludf.DUMMYFUNCTION("""COMPUTED_VALUE"""),36.0)</f>
        <v>36</v>
      </c>
      <c r="AM64">
        <f>IFERROR(__xludf.DUMMYFUNCTION("""COMPUTED_VALUE"""),2019.0)</f>
        <v>2019</v>
      </c>
      <c r="AN64" t="str">
        <f t="shared" si="1"/>
        <v>19208931-K</v>
      </c>
    </row>
    <row r="65">
      <c r="A65" s="33">
        <f>IFERROR(__xludf.DUMMYFUNCTION("""COMPUTED_VALUE"""),1.0549457E7)</f>
        <v>10549457</v>
      </c>
      <c r="B65" s="33">
        <f>IFERROR(__xludf.DUMMYFUNCTION("""COMPUTED_VALUE"""),64.0)</f>
        <v>64</v>
      </c>
      <c r="C65" s="33" t="str">
        <f>IFERROR(__xludf.DUMMYFUNCTION("""COMPUTED_VALUE"""),"A301")</f>
        <v>A301</v>
      </c>
      <c r="D65" s="34" t="str">
        <f>IFERROR(__xludf.DUMMYFUNCTION("""COMPUTED_VALUE"""),"40")</f>
        <v>40</v>
      </c>
      <c r="E65" s="34" t="str">
        <f>IFERROR(__xludf.DUMMYFUNCTION("""COMPUTED_VALUE"""),"DPTO. DE INGENIERIA ELECTRICA")</f>
        <v>DPTO. DE INGENIERIA ELECTRICA</v>
      </c>
      <c r="F65" s="34" t="str">
        <f>IFERROR(__xludf.DUMMYFUNCTION("""COMPUTED_VALUE"""),"Mayordomo(a)")</f>
        <v>Mayordomo(a)</v>
      </c>
      <c r="G65" s="33" t="str">
        <f>IFERROR(__xludf.DUMMYFUNCTION("""COMPUTED_VALUE"""),"MAYORDOMA")</f>
        <v>MAYORDOMA</v>
      </c>
      <c r="H65">
        <f>IFERROR(__xludf.DUMMYFUNCTION("""COMPUTED_VALUE"""),21.0)</f>
        <v>21</v>
      </c>
      <c r="I65" s="34" t="str">
        <f>IFERROR(__xludf.DUMMYFUNCTION("""COMPUTED_VALUE"""),"Jornada Completa")</f>
        <v>Jornada Completa</v>
      </c>
      <c r="J65" s="33" t="str">
        <f>IFERROR(__xludf.DUMMYFUNCTION("""COMPUTED_VALUE"""),"A CONTRATA")</f>
        <v>A CONTRATA</v>
      </c>
      <c r="K65" s="33" t="str">
        <f>IFERROR(__xludf.DUMMYFUNCTION("""COMPUTED_VALUE"""),"AUXILIAR")</f>
        <v>AUXILIAR</v>
      </c>
      <c r="L65" s="34" t="str">
        <f>IFERROR(__xludf.DUMMYFUNCTION("""COMPUTED_VALUE"""),"INTERNO")</f>
        <v>INTERNO</v>
      </c>
      <c r="M65" s="34">
        <f>IFERROR(__xludf.DUMMYFUNCTION("""COMPUTED_VALUE"""),1.0)</f>
        <v>1</v>
      </c>
      <c r="N65" s="34" t="str">
        <f>IFERROR(__xludf.DUMMYFUNCTION("""COMPUTED_VALUE"""),"EXTERNO")</f>
        <v>EXTERNO</v>
      </c>
      <c r="O65">
        <f>IFERROR(__xludf.DUMMYFUNCTION("""COMPUTED_VALUE"""),19.0)</f>
        <v>19</v>
      </c>
      <c r="P65">
        <f>IFERROR(__xludf.DUMMYFUNCTION("""COMPUTED_VALUE"""),1.0)</f>
        <v>1</v>
      </c>
      <c r="Q65" s="35">
        <f>IFERROR(__xludf.DUMMYFUNCTION("""COMPUTED_VALUE"""),0.0)</f>
        <v>0</v>
      </c>
      <c r="R65" s="36" t="str">
        <f>IFERROR(__xludf.DUMMYFUNCTION("""COMPUTED_VALUE"""),"SELECCIONADA")</f>
        <v>SELECCIONADA</v>
      </c>
      <c r="S65" s="37">
        <f>IFERROR(__xludf.DUMMYFUNCTION("""COMPUTED_VALUE"""),43747.0)</f>
        <v>43747</v>
      </c>
      <c r="T65" s="34"/>
      <c r="U65" t="str">
        <f>IFERROR(__xludf.DUMMYFUNCTION("""COMPUTED_VALUE"""),"DUARTE DUARTE ESMERALDA")</f>
        <v>DUARTE DUARTE ESMERALDA</v>
      </c>
      <c r="V65" t="str">
        <f>IFERROR(__xludf.DUMMYFUNCTION("""COMPUTED_VALUE"""),"10549457-2")</f>
        <v>10549457-2</v>
      </c>
      <c r="W65" t="str">
        <f>IFERROR(__xludf.DUMMYFUNCTION("""COMPUTED_VALUE"""),"SI")</f>
        <v>SI</v>
      </c>
      <c r="X65" t="str">
        <f>IFERROR(__xludf.DUMMYFUNCTION("""COMPUTED_VALUE"""),"Trabajo en Equipo")</f>
        <v>Trabajo en Equipo</v>
      </c>
      <c r="AA65" s="38">
        <f>IFERROR(__xludf.DUMMYFUNCTION("""COMPUTED_VALUE"""),43675.0)</f>
        <v>43675</v>
      </c>
      <c r="AB65" s="38">
        <f>IFERROR(__xludf.DUMMYFUNCTION("""COMPUTED_VALUE"""),43682.0)</f>
        <v>43682</v>
      </c>
      <c r="AF65" s="39"/>
      <c r="AG65" s="39"/>
      <c r="AH65" s="34" t="str">
        <f>IFERROR(__xludf.DUMMYFUNCTION("""COMPUTED_VALUE"""),"PROCESO DE SELECCIÓN")</f>
        <v>PROCESO DE SELECCIÓN</v>
      </c>
      <c r="AI65" s="34" t="str">
        <f>IFERROR(__xludf.DUMMYFUNCTION("""COMPUTED_VALUE"""),"GUTIERREZ MOLINA RAMON")</f>
        <v>GUTIERREZ MOLINA RAMON</v>
      </c>
      <c r="AJ65" s="34"/>
      <c r="AK65" s="34" t="str">
        <f>IFERROR(__xludf.DUMMYFUNCTION("""COMPUTED_VALUE"""),"P")</f>
        <v>P</v>
      </c>
      <c r="AL65">
        <f>IFERROR(__xludf.DUMMYFUNCTION("""COMPUTED_VALUE"""),48.0)</f>
        <v>48</v>
      </c>
      <c r="AM65">
        <f>IFERROR(__xludf.DUMMYFUNCTION("""COMPUTED_VALUE"""),2019.0)</f>
        <v>2019</v>
      </c>
      <c r="AN65" t="str">
        <f t="shared" si="1"/>
        <v>10549457-2</v>
      </c>
    </row>
    <row r="66">
      <c r="A66" s="33">
        <f>IFERROR(__xludf.DUMMYFUNCTION("""COMPUTED_VALUE"""),1.7738116E7)</f>
        <v>17738116</v>
      </c>
      <c r="B66" s="33">
        <f>IFERROR(__xludf.DUMMYFUNCTION("""COMPUTED_VALUE"""),65.0)</f>
        <v>65</v>
      </c>
      <c r="C66" s="33" t="str">
        <f>IFERROR(__xludf.DUMMYFUNCTION("""COMPUTED_VALUE"""),"A373")</f>
        <v>A373</v>
      </c>
      <c r="D66" s="34" t="str">
        <f>IFERROR(__xludf.DUMMYFUNCTION("""COMPUTED_VALUE"""),"55")</f>
        <v>55</v>
      </c>
      <c r="E66" s="34" t="str">
        <f>IFERROR(__xludf.DUMMYFUNCTION("""COMPUTED_VALUE"""),"DPTO. DE LINGUISTICA Y LITERATURA")</f>
        <v>DPTO. DE LINGUISTICA Y LITERATURA</v>
      </c>
      <c r="F66" s="34" t="str">
        <f>IFERROR(__xludf.DUMMYFUNCTION("""COMPUTED_VALUE"""),"Secretario(a) de Apoyo Docente")</f>
        <v>Secretario(a) de Apoyo Docente</v>
      </c>
      <c r="G66" s="33" t="str">
        <f>IFERROR(__xludf.DUMMYFUNCTION("""COMPUTED_VALUE"""),"SECRETARIA DE APOYO DOCENTE")</f>
        <v>SECRETARIA DE APOYO DOCENTE</v>
      </c>
      <c r="H66">
        <f>IFERROR(__xludf.DUMMYFUNCTION("""COMPUTED_VALUE"""),17.0)</f>
        <v>17</v>
      </c>
      <c r="I66" s="34" t="str">
        <f>IFERROR(__xludf.DUMMYFUNCTION("""COMPUTED_VALUE"""),"Jornada Completa")</f>
        <v>Jornada Completa</v>
      </c>
      <c r="J66" s="33" t="str">
        <f>IFERROR(__xludf.DUMMYFUNCTION("""COMPUTED_VALUE"""),"A CONTRATA")</f>
        <v>A CONTRATA</v>
      </c>
      <c r="K66" s="33" t="str">
        <f>IFERROR(__xludf.DUMMYFUNCTION("""COMPUTED_VALUE"""),"ADMINISTRATIVO")</f>
        <v>ADMINISTRATIVO</v>
      </c>
      <c r="L66" s="34" t="str">
        <f>IFERROR(__xludf.DUMMYFUNCTION("""COMPUTED_VALUE"""),"INTERNO")</f>
        <v>INTERNO</v>
      </c>
      <c r="M66" s="34">
        <f>IFERROR(__xludf.DUMMYFUNCTION("""COMPUTED_VALUE"""),5.0)</f>
        <v>5</v>
      </c>
      <c r="N66" s="34" t="str">
        <f>IFERROR(__xludf.DUMMYFUNCTION("""COMPUTED_VALUE"""),"NO")</f>
        <v>NO</v>
      </c>
      <c r="P66">
        <f>IFERROR(__xludf.DUMMYFUNCTION("""COMPUTED_VALUE"""),2.0)</f>
        <v>2</v>
      </c>
      <c r="Q66" s="35">
        <f>IFERROR(__xludf.DUMMYFUNCTION("""COMPUTED_VALUE"""),0.0)</f>
        <v>0</v>
      </c>
      <c r="R66" s="36" t="str">
        <f>IFERROR(__xludf.DUMMYFUNCTION("""COMPUTED_VALUE"""),"SELECCIONADA")</f>
        <v>SELECCIONADA</v>
      </c>
      <c r="S66" s="37">
        <f>IFERROR(__xludf.DUMMYFUNCTION("""COMPUTED_VALUE"""),43746.0)</f>
        <v>43746</v>
      </c>
      <c r="T66" s="34" t="str">
        <f>IFERROR(__xludf.DUMMYFUNCTION("""COMPUTED_VALUE"""),"FLORES HUICHAHUALA MAGALY NATIVIDAD")</f>
        <v>FLORES HUICHAHUALA MAGALY NATIVIDAD</v>
      </c>
      <c r="V66" t="str">
        <f>IFERROR(__xludf.DUMMYFUNCTION("""COMPUTED_VALUE"""),"17738116-0")</f>
        <v>17738116-0</v>
      </c>
      <c r="W66" t="str">
        <f>IFERROR(__xludf.DUMMYFUNCTION("""COMPUTED_VALUE"""),"SI")</f>
        <v>SI</v>
      </c>
      <c r="X66" t="str">
        <f>IFERROR(__xludf.DUMMYFUNCTION("""COMPUTED_VALUE"""),"Trabajo en Equipo")</f>
        <v>Trabajo en Equipo</v>
      </c>
      <c r="Y66" t="str">
        <f>IFERROR(__xludf.DUMMYFUNCTION("""COMPUTED_VALUE"""),"Franqueza- Confiabilidad- Integridad")</f>
        <v>Franqueza- Confiabilidad- Integridad</v>
      </c>
      <c r="AA66" s="38">
        <f>IFERROR(__xludf.DUMMYFUNCTION("""COMPUTED_VALUE"""),43677.0)</f>
        <v>43677</v>
      </c>
      <c r="AB66" s="38">
        <f>IFERROR(__xludf.DUMMYFUNCTION("""COMPUTED_VALUE"""),43684.0)</f>
        <v>43684</v>
      </c>
      <c r="AF66" s="39"/>
      <c r="AG66" s="39"/>
      <c r="AH66" s="34" t="str">
        <f>IFERROR(__xludf.DUMMYFUNCTION("""COMPUTED_VALUE"""),"PROCESO DE SELECCIÓN")</f>
        <v>PROCESO DE SELECCIÓN</v>
      </c>
      <c r="AI66" s="34" t="str">
        <f>IFERROR(__xludf.DUMMYFUNCTION("""COMPUTED_VALUE"""),"SARTORI ESCOBAR ALICIA")</f>
        <v>SARTORI ESCOBAR ALICIA</v>
      </c>
      <c r="AJ66" s="34"/>
      <c r="AK66" s="34" t="str">
        <f>IFERROR(__xludf.DUMMYFUNCTION("""COMPUTED_VALUE"""),"C")</f>
        <v>C</v>
      </c>
      <c r="AL66">
        <f>IFERROR(__xludf.DUMMYFUNCTION("""COMPUTED_VALUE"""),45.0)</f>
        <v>45</v>
      </c>
      <c r="AM66">
        <f>IFERROR(__xludf.DUMMYFUNCTION("""COMPUTED_VALUE"""),2019.0)</f>
        <v>2019</v>
      </c>
      <c r="AN66" t="str">
        <f t="shared" si="1"/>
        <v>17738116-0</v>
      </c>
    </row>
    <row r="67">
      <c r="A67" s="33">
        <f>IFERROR(__xludf.DUMMYFUNCTION("""COMPUTED_VALUE"""),1.9783791E7)</f>
        <v>19783791</v>
      </c>
      <c r="B67" s="33">
        <f>IFERROR(__xludf.DUMMYFUNCTION("""COMPUTED_VALUE"""),67.0)</f>
        <v>67</v>
      </c>
      <c r="C67" s="33" t="str">
        <f>IFERROR(__xludf.DUMMYFUNCTION("""COMPUTED_VALUE"""),"A338")</f>
        <v>A338</v>
      </c>
      <c r="D67" s="34" t="str">
        <f>IFERROR(__xludf.DUMMYFUNCTION("""COMPUTED_VALUE"""),"22")</f>
        <v>22</v>
      </c>
      <c r="E67" s="34" t="str">
        <f>IFERROR(__xludf.DUMMYFUNCTION("""COMPUTED_VALUE"""),"UNIDAD DE ATENCION DE SALUD")</f>
        <v>UNIDAD DE ATENCION DE SALUD</v>
      </c>
      <c r="F67" s="34" t="str">
        <f>IFERROR(__xludf.DUMMYFUNCTION("""COMPUTED_VALUE"""),"Técnico(a) de Mantención")</f>
        <v>Técnico(a) de Mantención</v>
      </c>
      <c r="G67" s="33" t="str">
        <f>IFERROR(__xludf.DUMMYFUNCTION("""COMPUTED_VALUE"""),"TECNICO DE MANTENCION")</f>
        <v>TECNICO DE MANTENCION</v>
      </c>
      <c r="H67">
        <f>IFERROR(__xludf.DUMMYFUNCTION("""COMPUTED_VALUE"""),13.0)</f>
        <v>13</v>
      </c>
      <c r="I67" s="34" t="str">
        <f>IFERROR(__xludf.DUMMYFUNCTION("""COMPUTED_VALUE"""),"Jornada Completa")</f>
        <v>Jornada Completa</v>
      </c>
      <c r="J67" s="33" t="str">
        <f>IFERROR(__xludf.DUMMYFUNCTION("""COMPUTED_VALUE"""),"A CONTRATA")</f>
        <v>A CONTRATA</v>
      </c>
      <c r="K67" s="33" t="str">
        <f>IFERROR(__xludf.DUMMYFUNCTION("""COMPUTED_VALUE"""),"TECNICO")</f>
        <v>TECNICO</v>
      </c>
      <c r="L67" s="34" t="str">
        <f>IFERROR(__xludf.DUMMYFUNCTION("""COMPUTED_VALUE"""),"NO")</f>
        <v>NO</v>
      </c>
      <c r="M67" s="34"/>
      <c r="N67" s="34" t="str">
        <f>IFERROR(__xludf.DUMMYFUNCTION("""COMPUTED_VALUE"""),"EXTERNO")</f>
        <v>EXTERNO</v>
      </c>
      <c r="O67">
        <f>IFERROR(__xludf.DUMMYFUNCTION("""COMPUTED_VALUE"""),7.0)</f>
        <v>7</v>
      </c>
      <c r="P67">
        <f>IFERROR(__xludf.DUMMYFUNCTION("""COMPUTED_VALUE"""),2.0)</f>
        <v>2</v>
      </c>
      <c r="Q67" s="35">
        <f>IFERROR(__xludf.DUMMYFUNCTION("""COMPUTED_VALUE"""),1.0)</f>
        <v>1</v>
      </c>
      <c r="R67" s="36" t="str">
        <f>IFERROR(__xludf.DUMMYFUNCTION("""COMPUTED_VALUE"""),"SELECCIONADO")</f>
        <v>SELECCIONADO</v>
      </c>
      <c r="S67" s="37">
        <f>IFERROR(__xludf.DUMMYFUNCTION("""COMPUTED_VALUE"""),43745.0)</f>
        <v>43745</v>
      </c>
      <c r="T67" s="34"/>
      <c r="U67" t="str">
        <f>IFERROR(__xludf.DUMMYFUNCTION("""COMPUTED_VALUE"""),"REBOLLEDO GONZALEZ GERSON")</f>
        <v>REBOLLEDO GONZALEZ GERSON</v>
      </c>
      <c r="V67" t="str">
        <f>IFERROR(__xludf.DUMMYFUNCTION("""COMPUTED_VALUE"""),"19783791-8")</f>
        <v>19783791-8</v>
      </c>
      <c r="W67" t="str">
        <f>IFERROR(__xludf.DUMMYFUNCTION("""COMPUTED_VALUE"""),"SI")</f>
        <v>SI</v>
      </c>
      <c r="X67" t="str">
        <f>IFERROR(__xludf.DUMMYFUNCTION("""COMPUTED_VALUE"""),"Orientacion a los Resultados")</f>
        <v>Orientacion a los Resultados</v>
      </c>
      <c r="Y67" t="str">
        <f>IFERROR(__xludf.DUMMYFUNCTION("""COMPUTED_VALUE"""),"Capacidad de Planificacion y Organizacion")</f>
        <v>Capacidad de Planificacion y Organizacion</v>
      </c>
      <c r="AA67" s="38">
        <f>IFERROR(__xludf.DUMMYFUNCTION("""COMPUTED_VALUE"""),43719.0)</f>
        <v>43719</v>
      </c>
      <c r="AB67" s="38">
        <f>IFERROR(__xludf.DUMMYFUNCTION("""COMPUTED_VALUE"""),43730.0)</f>
        <v>43730</v>
      </c>
      <c r="AF67" s="39"/>
      <c r="AG67" s="39"/>
      <c r="AH67" s="34" t="str">
        <f>IFERROR(__xludf.DUMMYFUNCTION("""COMPUTED_VALUE"""),"PROCESO DE SELECCIÓN")</f>
        <v>PROCESO DE SELECCIÓN</v>
      </c>
      <c r="AI67" s="34" t="str">
        <f>IFERROR(__xludf.DUMMYFUNCTION("""COMPUTED_VALUE"""),"ZACARIAS ESPARZA SERGIO")</f>
        <v>ZACARIAS ESPARZA SERGIO</v>
      </c>
      <c r="AJ67" s="34"/>
      <c r="AK67" s="34" t="str">
        <f>IFERROR(__xludf.DUMMYFUNCTION("""COMPUTED_VALUE"""),"E")</f>
        <v>E</v>
      </c>
      <c r="AL67">
        <f>IFERROR(__xludf.DUMMYFUNCTION("""COMPUTED_VALUE"""),11.0)</f>
        <v>11</v>
      </c>
      <c r="AM67">
        <f>IFERROR(__xludf.DUMMYFUNCTION("""COMPUTED_VALUE"""),2019.0)</f>
        <v>2019</v>
      </c>
      <c r="AN67" t="str">
        <f t="shared" si="1"/>
        <v>19783791-8</v>
      </c>
    </row>
    <row r="68">
      <c r="A68" s="33">
        <f>IFERROR(__xludf.DUMMYFUNCTION("""COMPUTED_VALUE"""),1.4165767E7)</f>
        <v>14165767</v>
      </c>
      <c r="B68" s="33">
        <f>IFERROR(__xludf.DUMMYFUNCTION("""COMPUTED_VALUE"""),68.0)</f>
        <v>68</v>
      </c>
      <c r="C68" s="33" t="str">
        <f>IFERROR(__xludf.DUMMYFUNCTION("""COMPUTED_VALUE"""),"A372")</f>
        <v>A372</v>
      </c>
      <c r="D68" s="34" t="str">
        <f>IFERROR(__xludf.DUMMYFUNCTION("""COMPUTED_VALUE"""),"22")</f>
        <v>22</v>
      </c>
      <c r="E68" s="34" t="str">
        <f>IFERROR(__xludf.DUMMYFUNCTION("""COMPUTED_VALUE"""),"UNIDAD DE PROMOCION DE LA SALUD")</f>
        <v>UNIDAD DE PROMOCION DE LA SALUD</v>
      </c>
      <c r="F68" s="34" t="str">
        <f>IFERROR(__xludf.DUMMYFUNCTION("""COMPUTED_VALUE"""),"Secretario(a) B")</f>
        <v>Secretario(a) B</v>
      </c>
      <c r="G68" s="33" t="str">
        <f>IFERROR(__xludf.DUMMYFUNCTION("""COMPUTED_VALUE"""),"SECRETARIA B")</f>
        <v>SECRETARIA B</v>
      </c>
      <c r="H68">
        <f>IFERROR(__xludf.DUMMYFUNCTION("""COMPUTED_VALUE"""),17.0)</f>
        <v>17</v>
      </c>
      <c r="I68" s="34" t="str">
        <f>IFERROR(__xludf.DUMMYFUNCTION("""COMPUTED_VALUE"""),"Jornada Completa")</f>
        <v>Jornada Completa</v>
      </c>
      <c r="J68" s="33" t="str">
        <f>IFERROR(__xludf.DUMMYFUNCTION("""COMPUTED_VALUE"""),"A CONTRATA")</f>
        <v>A CONTRATA</v>
      </c>
      <c r="K68" s="33" t="str">
        <f>IFERROR(__xludf.DUMMYFUNCTION("""COMPUTED_VALUE"""),"ADMINISTRATIVO")</f>
        <v>ADMINISTRATIVO</v>
      </c>
      <c r="L68" s="34" t="str">
        <f>IFERROR(__xludf.DUMMYFUNCTION("""COMPUTED_VALUE"""),"INTERNO")</f>
        <v>INTERNO</v>
      </c>
      <c r="M68" s="34">
        <f>IFERROR(__xludf.DUMMYFUNCTION("""COMPUTED_VALUE"""),1.0)</f>
        <v>1</v>
      </c>
      <c r="N68" s="34" t="str">
        <f>IFERROR(__xludf.DUMMYFUNCTION("""COMPUTED_VALUE"""),"NO")</f>
        <v>NO</v>
      </c>
      <c r="P68">
        <f>IFERROR(__xludf.DUMMYFUNCTION("""COMPUTED_VALUE"""),1.0)</f>
        <v>1</v>
      </c>
      <c r="Q68" s="35">
        <f>IFERROR(__xludf.DUMMYFUNCTION("""COMPUTED_VALUE"""),0.0)</f>
        <v>0</v>
      </c>
      <c r="R68" s="36" t="str">
        <f>IFERROR(__xludf.DUMMYFUNCTION("""COMPUTED_VALUE"""),"SELECCIONADA")</f>
        <v>SELECCIONADA</v>
      </c>
      <c r="S68" s="37">
        <f>IFERROR(__xludf.DUMMYFUNCTION("""COMPUTED_VALUE"""),43740.0)</f>
        <v>43740</v>
      </c>
      <c r="T68" s="34" t="str">
        <f>IFERROR(__xludf.DUMMYFUNCTION("""COMPUTED_VALUE"""),"SANHUEZA AZUA INGRID MABEL")</f>
        <v>SANHUEZA AZUA INGRID MABEL</v>
      </c>
      <c r="V68" t="str">
        <f>IFERROR(__xludf.DUMMYFUNCTION("""COMPUTED_VALUE"""),"14165767-4")</f>
        <v>14165767-4</v>
      </c>
      <c r="W68" t="str">
        <f>IFERROR(__xludf.DUMMYFUNCTION("""COMPUTED_VALUE"""),"SI")</f>
        <v>SI</v>
      </c>
      <c r="X68" t="str">
        <f>IFERROR(__xludf.DUMMYFUNCTION("""COMPUTED_VALUE"""),"Trabajo en Equipo")</f>
        <v>Trabajo en Equipo</v>
      </c>
      <c r="Y68" t="str">
        <f>IFERROR(__xludf.DUMMYFUNCTION("""COMPUTED_VALUE"""),"Franqueza- Confiabilidad- Integridad")</f>
        <v>Franqueza- Confiabilidad- Integridad</v>
      </c>
      <c r="AA68" s="38">
        <f>IFERROR(__xludf.DUMMYFUNCTION("""COMPUTED_VALUE"""),43682.0)</f>
        <v>43682</v>
      </c>
      <c r="AB68" s="38">
        <f>IFERROR(__xludf.DUMMYFUNCTION("""COMPUTED_VALUE"""),43684.0)</f>
        <v>43684</v>
      </c>
      <c r="AF68" s="39"/>
      <c r="AG68" s="39"/>
      <c r="AH68" s="34" t="str">
        <f>IFERROR(__xludf.DUMMYFUNCTION("""COMPUTED_VALUE"""),"PROCESO DE SELECCIÓN")</f>
        <v>PROCESO DE SELECCIÓN</v>
      </c>
      <c r="AI68" s="34" t="str">
        <f>IFERROR(__xludf.DUMMYFUNCTION("""COMPUTED_VALUE"""),"VIDAL FUENZALIDA LUCIA")</f>
        <v>VIDAL FUENZALIDA LUCIA</v>
      </c>
      <c r="AJ68" s="34"/>
      <c r="AK68" s="34" t="str">
        <f>IFERROR(__xludf.DUMMYFUNCTION("""COMPUTED_VALUE"""),"C")</f>
        <v>C</v>
      </c>
      <c r="AL68">
        <f>IFERROR(__xludf.DUMMYFUNCTION("""COMPUTED_VALUE"""),41.0)</f>
        <v>41</v>
      </c>
      <c r="AM68">
        <f>IFERROR(__xludf.DUMMYFUNCTION("""COMPUTED_VALUE"""),2019.0)</f>
        <v>2019</v>
      </c>
      <c r="AN68" t="str">
        <f t="shared" si="1"/>
        <v>14165767-4</v>
      </c>
    </row>
    <row r="69">
      <c r="A69" s="33">
        <f>IFERROR(__xludf.DUMMYFUNCTION("""COMPUTED_VALUE"""),1.5410304E7)</f>
        <v>15410304</v>
      </c>
      <c r="B69" s="33">
        <f>IFERROR(__xludf.DUMMYFUNCTION("""COMPUTED_VALUE"""),70.0)</f>
        <v>70</v>
      </c>
      <c r="C69" s="33" t="str">
        <f>IFERROR(__xludf.DUMMYFUNCTION("""COMPUTED_VALUE"""),"A281")</f>
        <v>A281</v>
      </c>
      <c r="D69" s="34" t="str">
        <f>IFERROR(__xludf.DUMMYFUNCTION("""COMPUTED_VALUE"""),"3")</f>
        <v>3</v>
      </c>
      <c r="E69" s="34" t="str">
        <f>IFERROR(__xludf.DUMMYFUNCTION("""COMPUTED_VALUE"""),"DPTO. DE FINANZAS Y TESORERIA")</f>
        <v>DPTO. DE FINANZAS Y TESORERIA</v>
      </c>
      <c r="F69" s="34" t="str">
        <f>IFERROR(__xludf.DUMMYFUNCTION("""COMPUTED_VALUE"""),"Analista Contable II")</f>
        <v>Analista Contable II</v>
      </c>
      <c r="G69" s="33" t="str">
        <f>IFERROR(__xludf.DUMMYFUNCTION("""COMPUTED_VALUE"""),"ANALISTA CONTABLE II")</f>
        <v>ANALISTA CONTABLE II</v>
      </c>
      <c r="H69">
        <f>IFERROR(__xludf.DUMMYFUNCTION("""COMPUTED_VALUE"""),13.0)</f>
        <v>13</v>
      </c>
      <c r="I69" s="34" t="str">
        <f>IFERROR(__xludf.DUMMYFUNCTION("""COMPUTED_VALUE"""),"Jornada Completa")</f>
        <v>Jornada Completa</v>
      </c>
      <c r="J69" s="33" t="str">
        <f>IFERROR(__xludf.DUMMYFUNCTION("""COMPUTED_VALUE"""),"A CONTRATA")</f>
        <v>A CONTRATA</v>
      </c>
      <c r="K69" s="33" t="str">
        <f>IFERROR(__xludf.DUMMYFUNCTION("""COMPUTED_VALUE"""),"PROFESIONAL")</f>
        <v>PROFESIONAL</v>
      </c>
      <c r="L69" s="34" t="str">
        <f>IFERROR(__xludf.DUMMYFUNCTION("""COMPUTED_VALUE"""),"INTERNO")</f>
        <v>INTERNO</v>
      </c>
      <c r="M69" s="34"/>
      <c r="N69" s="34" t="str">
        <f>IFERROR(__xludf.DUMMYFUNCTION("""COMPUTED_VALUE"""),"EXTERNO")</f>
        <v>EXTERNO</v>
      </c>
      <c r="O69">
        <f>IFERROR(__xludf.DUMMYFUNCTION("""COMPUTED_VALUE"""),22.0)</f>
        <v>22</v>
      </c>
      <c r="P69">
        <f>IFERROR(__xludf.DUMMYFUNCTION("""COMPUTED_VALUE"""),2.0)</f>
        <v>2</v>
      </c>
      <c r="Q69" s="35">
        <f>IFERROR(__xludf.DUMMYFUNCTION("""COMPUTED_VALUE"""),1.0)</f>
        <v>1</v>
      </c>
      <c r="R69" s="36" t="str">
        <f>IFERROR(__xludf.DUMMYFUNCTION("""COMPUTED_VALUE"""),"SELECCIONADA")</f>
        <v>SELECCIONADA</v>
      </c>
      <c r="S69" s="37">
        <f>IFERROR(__xludf.DUMMYFUNCTION("""COMPUTED_VALUE"""),43748.0)</f>
        <v>43748</v>
      </c>
      <c r="T69" s="34"/>
      <c r="U69" t="str">
        <f>IFERROR(__xludf.DUMMYFUNCTION("""COMPUTED_VALUE"""),"GONZALEZ CATALAN FANNY")</f>
        <v>GONZALEZ CATALAN FANNY</v>
      </c>
      <c r="V69" t="str">
        <f>IFERROR(__xludf.DUMMYFUNCTION("""COMPUTED_VALUE"""),"15410304-K")</f>
        <v>15410304-K</v>
      </c>
      <c r="W69" t="str">
        <f>IFERROR(__xludf.DUMMYFUNCTION("""COMPUTED_VALUE"""),"NO")</f>
        <v>NO</v>
      </c>
      <c r="AA69" s="38">
        <f>IFERROR(__xludf.DUMMYFUNCTION("""COMPUTED_VALUE"""),43696.0)</f>
        <v>43696</v>
      </c>
      <c r="AB69" s="38">
        <f>IFERROR(__xludf.DUMMYFUNCTION("""COMPUTED_VALUE"""),43703.0)</f>
        <v>43703</v>
      </c>
      <c r="AF69" s="39"/>
      <c r="AG69" s="39"/>
      <c r="AH69" s="34" t="str">
        <f>IFERROR(__xludf.DUMMYFUNCTION("""COMPUTED_VALUE"""),"PROCESO DE SELECCIÓN")</f>
        <v>PROCESO DE SELECCIÓN</v>
      </c>
      <c r="AI69" s="34" t="str">
        <f>IFERROR(__xludf.DUMMYFUNCTION("""COMPUTED_VALUE"""),"SAAVEDRA DONOSO CRISTIAN")</f>
        <v>SAAVEDRA DONOSO CRISTIAN</v>
      </c>
      <c r="AJ69" s="34"/>
      <c r="AK69" s="34" t="str">
        <f>IFERROR(__xludf.DUMMYFUNCTION("""COMPUTED_VALUE"""),"E")</f>
        <v>E</v>
      </c>
      <c r="AL69">
        <f>IFERROR(__xludf.DUMMYFUNCTION("""COMPUTED_VALUE"""),34.0)</f>
        <v>34</v>
      </c>
      <c r="AM69">
        <f>IFERROR(__xludf.DUMMYFUNCTION("""COMPUTED_VALUE"""),2019.0)</f>
        <v>2019</v>
      </c>
      <c r="AN69" t="str">
        <f t="shared" si="1"/>
        <v>15410304-K</v>
      </c>
    </row>
    <row r="70">
      <c r="A70" s="33">
        <f>IFERROR(__xludf.DUMMYFUNCTION("""COMPUTED_VALUE"""),1.8278977E7)</f>
        <v>18278977</v>
      </c>
      <c r="B70" s="33">
        <f>IFERROR(__xludf.DUMMYFUNCTION("""COMPUTED_VALUE"""),71.0)</f>
        <v>71</v>
      </c>
      <c r="C70" s="33" t="str">
        <f>IFERROR(__xludf.DUMMYFUNCTION("""COMPUTED_VALUE"""),"A293")</f>
        <v>A293</v>
      </c>
      <c r="D70" s="34" t="str">
        <f>IFERROR(__xludf.DUMMYFUNCTION("""COMPUTED_VALUE"""),"55")</f>
        <v>55</v>
      </c>
      <c r="E70" s="34" t="str">
        <f>IFERROR(__xludf.DUMMYFUNCTION("""COMPUTED_VALUE"""),"ESCUELA DE PSICOLOGIA")</f>
        <v>ESCUELA DE PSICOLOGIA</v>
      </c>
      <c r="F70" s="34" t="str">
        <f>IFERROR(__xludf.DUMMYFUNCTION("""COMPUTED_VALUE"""),"Secretario(a) C")</f>
        <v>Secretario(a) C</v>
      </c>
      <c r="G70" s="33" t="str">
        <f>IFERROR(__xludf.DUMMYFUNCTION("""COMPUTED_VALUE"""),"SECRETARIA C ")</f>
        <v>SECRETARIA C </v>
      </c>
      <c r="H70">
        <f>IFERROR(__xludf.DUMMYFUNCTION("""COMPUTED_VALUE"""),17.0)</f>
        <v>17</v>
      </c>
      <c r="I70" s="34" t="str">
        <f>IFERROR(__xludf.DUMMYFUNCTION("""COMPUTED_VALUE"""),"Jornada Completa")</f>
        <v>Jornada Completa</v>
      </c>
      <c r="J70" s="33" t="str">
        <f>IFERROR(__xludf.DUMMYFUNCTION("""COMPUTED_VALUE"""),"A CONTRATA")</f>
        <v>A CONTRATA</v>
      </c>
      <c r="K70" s="33" t="str">
        <f>IFERROR(__xludf.DUMMYFUNCTION("""COMPUTED_VALUE"""),"ADMINISTRATIVO")</f>
        <v>ADMINISTRATIVO</v>
      </c>
      <c r="L70" s="34" t="str">
        <f>IFERROR(__xludf.DUMMYFUNCTION("""COMPUTED_VALUE"""),"INTERNO")</f>
        <v>INTERNO</v>
      </c>
      <c r="M70" s="34">
        <f>IFERROR(__xludf.DUMMYFUNCTION("""COMPUTED_VALUE"""),1.0)</f>
        <v>1</v>
      </c>
      <c r="N70" s="34" t="str">
        <f>IFERROR(__xludf.DUMMYFUNCTION("""COMPUTED_VALUE"""),"NO")</f>
        <v>NO</v>
      </c>
      <c r="O70">
        <f>IFERROR(__xludf.DUMMYFUNCTION("""COMPUTED_VALUE"""),1.0)</f>
        <v>1</v>
      </c>
      <c r="P70">
        <f>IFERROR(__xludf.DUMMYFUNCTION("""COMPUTED_VALUE"""),1.0)</f>
        <v>1</v>
      </c>
      <c r="Q70" s="35">
        <f>IFERROR(__xludf.DUMMYFUNCTION("""COMPUTED_VALUE"""),0.0)</f>
        <v>0</v>
      </c>
      <c r="R70" s="36" t="str">
        <f>IFERROR(__xludf.DUMMYFUNCTION("""COMPUTED_VALUE"""),"SELECCIONADA")</f>
        <v>SELECCIONADA</v>
      </c>
      <c r="S70" s="37">
        <f>IFERROR(__xludf.DUMMYFUNCTION("""COMPUTED_VALUE"""),43754.0)</f>
        <v>43754</v>
      </c>
      <c r="T70" s="34" t="str">
        <f>IFERROR(__xludf.DUMMYFUNCTION("""COMPUTED_VALUE"""),"MENDOZA GUIDOTTI YEAN MARY")</f>
        <v>MENDOZA GUIDOTTI YEAN MARY</v>
      </c>
      <c r="V70" t="str">
        <f>IFERROR(__xludf.DUMMYFUNCTION("""COMPUTED_VALUE"""),"18278977-1")</f>
        <v>18278977-1</v>
      </c>
      <c r="W70" t="str">
        <f>IFERROR(__xludf.DUMMYFUNCTION("""COMPUTED_VALUE"""),"NO")</f>
        <v>NO</v>
      </c>
      <c r="AA70" s="38">
        <f>IFERROR(__xludf.DUMMYFUNCTION("""COMPUTED_VALUE"""),43715.0)</f>
        <v>43715</v>
      </c>
      <c r="AB70" s="38">
        <f>IFERROR(__xludf.DUMMYFUNCTION("""COMPUTED_VALUE"""),43717.0)</f>
        <v>43717</v>
      </c>
      <c r="AF70" s="39"/>
      <c r="AG70" s="39"/>
      <c r="AH70" s="34" t="str">
        <f>IFERROR(__xludf.DUMMYFUNCTION("""COMPUTED_VALUE"""),"PROCESO DE SELECCIÓN")</f>
        <v>PROCESO DE SELECCIÓN</v>
      </c>
      <c r="AI70" s="34" t="str">
        <f>IFERROR(__xludf.DUMMYFUNCTION("""COMPUTED_VALUE"""),"FUENTEALBA PAREDES IVONNE")</f>
        <v>FUENTEALBA PAREDES IVONNE</v>
      </c>
      <c r="AJ70" s="34"/>
      <c r="AK70" s="34" t="str">
        <f>IFERROR(__xludf.DUMMYFUNCTION("""COMPUTED_VALUE"""),"C")</f>
        <v>C</v>
      </c>
      <c r="AL70">
        <f>IFERROR(__xludf.DUMMYFUNCTION("""COMPUTED_VALUE"""),28.0)</f>
        <v>28</v>
      </c>
      <c r="AM70">
        <f>IFERROR(__xludf.DUMMYFUNCTION("""COMPUTED_VALUE"""),2019.0)</f>
        <v>2019</v>
      </c>
      <c r="AN70" t="str">
        <f t="shared" si="1"/>
        <v>18278977-1</v>
      </c>
    </row>
    <row r="71">
      <c r="A71" s="33">
        <f>IFERROR(__xludf.DUMMYFUNCTION("""COMPUTED_VALUE"""),1.116727E7)</f>
        <v>11167270</v>
      </c>
      <c r="B71" s="33">
        <f>IFERROR(__xludf.DUMMYFUNCTION("""COMPUTED_VALUE"""),72.0)</f>
        <v>72</v>
      </c>
      <c r="C71" s="33" t="str">
        <f>IFERROR(__xludf.DUMMYFUNCTION("""COMPUTED_VALUE"""),"A366")</f>
        <v>A366</v>
      </c>
      <c r="D71" s="34" t="str">
        <f>IFERROR(__xludf.DUMMYFUNCTION("""COMPUTED_VALUE"""),"110")</f>
        <v>110</v>
      </c>
      <c r="E71" s="34" t="str">
        <f>IFERROR(__xludf.DUMMYFUNCTION("""COMPUTED_VALUE"""),"VR. DE POSTGRADO")</f>
        <v>VR. DE POSTGRADO</v>
      </c>
      <c r="F71" s="34" t="str">
        <f>IFERROR(__xludf.DUMMYFUNCTION("""COMPUTED_VALUE"""),"Mayordomo(a)")</f>
        <v>Mayordomo(a)</v>
      </c>
      <c r="G71" s="33" t="str">
        <f>IFERROR(__xludf.DUMMYFUNCTION("""COMPUTED_VALUE"""),"MAYORDOMO")</f>
        <v>MAYORDOMO</v>
      </c>
      <c r="H71">
        <f>IFERROR(__xludf.DUMMYFUNCTION("""COMPUTED_VALUE"""),21.0)</f>
        <v>21</v>
      </c>
      <c r="I71" s="34" t="str">
        <f>IFERROR(__xludf.DUMMYFUNCTION("""COMPUTED_VALUE"""),"Jornada Completa")</f>
        <v>Jornada Completa</v>
      </c>
      <c r="J71" s="33" t="str">
        <f>IFERROR(__xludf.DUMMYFUNCTION("""COMPUTED_VALUE"""),"A CONTRATA")</f>
        <v>A CONTRATA</v>
      </c>
      <c r="K71" s="33" t="str">
        <f>IFERROR(__xludf.DUMMYFUNCTION("""COMPUTED_VALUE"""),"AUXILIAR")</f>
        <v>AUXILIAR</v>
      </c>
      <c r="L71" s="34" t="str">
        <f>IFERROR(__xludf.DUMMYFUNCTION("""COMPUTED_VALUE"""),"INTERNO")</f>
        <v>INTERNO</v>
      </c>
      <c r="M71" s="34">
        <f>IFERROR(__xludf.DUMMYFUNCTION("""COMPUTED_VALUE"""),3.0)</f>
        <v>3</v>
      </c>
      <c r="N71" s="34" t="str">
        <f>IFERROR(__xludf.DUMMYFUNCTION("""COMPUTED_VALUE"""),"NO")</f>
        <v>NO</v>
      </c>
      <c r="P71">
        <f>IFERROR(__xludf.DUMMYFUNCTION("""COMPUTED_VALUE"""),2.0)</f>
        <v>2</v>
      </c>
      <c r="Q71" s="35">
        <f>IFERROR(__xludf.DUMMYFUNCTION("""COMPUTED_VALUE"""),0.0)</f>
        <v>0</v>
      </c>
      <c r="R71" s="36" t="str">
        <f>IFERROR(__xludf.DUMMYFUNCTION("""COMPUTED_VALUE"""),"SELECCIONADO")</f>
        <v>SELECCIONADO</v>
      </c>
      <c r="S71" s="37">
        <f>IFERROR(__xludf.DUMMYFUNCTION("""COMPUTED_VALUE"""),43754.0)</f>
        <v>43754</v>
      </c>
      <c r="T71" s="34" t="str">
        <f>IFERROR(__xludf.DUMMYFUNCTION("""COMPUTED_VALUE"""),"PEREZ HERRERA DOMINGO ELIECER")</f>
        <v>PEREZ HERRERA DOMINGO ELIECER</v>
      </c>
      <c r="V71" t="str">
        <f>IFERROR(__xludf.DUMMYFUNCTION("""COMPUTED_VALUE"""),"11167270-9")</f>
        <v>11167270-9</v>
      </c>
      <c r="W71" t="str">
        <f>IFERROR(__xludf.DUMMYFUNCTION("""COMPUTED_VALUE"""),"SI")</f>
        <v>SI</v>
      </c>
      <c r="X71" t="str">
        <f>IFERROR(__xludf.DUMMYFUNCTION("""COMPUTED_VALUE"""),"Trabajo en Equipo")</f>
        <v>Trabajo en Equipo</v>
      </c>
      <c r="AA71" s="38">
        <f>IFERROR(__xludf.DUMMYFUNCTION("""COMPUTED_VALUE"""),43663.0)</f>
        <v>43663</v>
      </c>
      <c r="AB71" s="38">
        <f>IFERROR(__xludf.DUMMYFUNCTION("""COMPUTED_VALUE"""),43670.0)</f>
        <v>43670</v>
      </c>
      <c r="AF71" s="39"/>
      <c r="AG71" s="39"/>
      <c r="AH71" s="34" t="str">
        <f>IFERROR(__xludf.DUMMYFUNCTION("""COMPUTED_VALUE"""),"PROCESO DE SELECCIÓN")</f>
        <v>PROCESO DE SELECCIÓN</v>
      </c>
      <c r="AI71" s="34" t="str">
        <f>IFERROR(__xludf.DUMMYFUNCTION("""COMPUTED_VALUE"""),"CONTRERAS GONZALEZ LUIS")</f>
        <v>CONTRERAS GONZALEZ LUIS</v>
      </c>
      <c r="AJ71" s="34"/>
      <c r="AK71" s="34" t="str">
        <f>IFERROR(__xludf.DUMMYFUNCTION("""COMPUTED_VALUE"""),"C")</f>
        <v>C</v>
      </c>
      <c r="AL71">
        <f>IFERROR(__xludf.DUMMYFUNCTION("""COMPUTED_VALUE"""),61.0)</f>
        <v>61</v>
      </c>
      <c r="AM71">
        <f>IFERROR(__xludf.DUMMYFUNCTION("""COMPUTED_VALUE"""),2019.0)</f>
        <v>2019</v>
      </c>
      <c r="AN71" t="str">
        <f t="shared" si="1"/>
        <v>11167270-9</v>
      </c>
    </row>
    <row r="72">
      <c r="A72" s="33">
        <f>IFERROR(__xludf.DUMMYFUNCTION("""COMPUTED_VALUE"""),1.1047452E7)</f>
        <v>11047452</v>
      </c>
      <c r="B72" s="33">
        <f>IFERROR(__xludf.DUMMYFUNCTION("""COMPUTED_VALUE"""),73.0)</f>
        <v>73</v>
      </c>
      <c r="C72" s="33" t="str">
        <f>IFERROR(__xludf.DUMMYFUNCTION("""COMPUTED_VALUE"""),"A393")</f>
        <v>A393</v>
      </c>
      <c r="D72" s="34" t="str">
        <f>IFERROR(__xludf.DUMMYFUNCTION("""COMPUTED_VALUE"""),"3")</f>
        <v>3</v>
      </c>
      <c r="E72" s="34" t="str">
        <f>IFERROR(__xludf.DUMMYFUNCTION("""COMPUTED_VALUE"""),"UNIDAD DE COORDINACION INSTIT.")</f>
        <v>UNIDAD DE COORDINACION INSTIT.</v>
      </c>
      <c r="F72" s="34" t="str">
        <f>IFERROR(__xludf.DUMMYFUNCTION("""COMPUTED_VALUE"""),"Administrativo(a) de Proceso")</f>
        <v>Administrativo(a) de Proceso</v>
      </c>
      <c r="G72" s="33" t="str">
        <f>IFERROR(__xludf.DUMMYFUNCTION("""COMPUTED_VALUE"""),"ADMINISTRATIVA DE PROCESO")</f>
        <v>ADMINISTRATIVA DE PROCESO</v>
      </c>
      <c r="H72">
        <f>IFERROR(__xludf.DUMMYFUNCTION("""COMPUTED_VALUE"""),16.0)</f>
        <v>16</v>
      </c>
      <c r="I72" s="34" t="str">
        <f>IFERROR(__xludf.DUMMYFUNCTION("""COMPUTED_VALUE"""),"Jornada Completa")</f>
        <v>Jornada Completa</v>
      </c>
      <c r="J72" s="33" t="str">
        <f>IFERROR(__xludf.DUMMYFUNCTION("""COMPUTED_VALUE"""),"A CONTRATA")</f>
        <v>A CONTRATA</v>
      </c>
      <c r="K72" s="33" t="str">
        <f>IFERROR(__xludf.DUMMYFUNCTION("""COMPUTED_VALUE"""),"ADMINISTRATIVO")</f>
        <v>ADMINISTRATIVO</v>
      </c>
      <c r="L72" s="34" t="str">
        <f>IFERROR(__xludf.DUMMYFUNCTION("""COMPUTED_VALUE"""),"INTERNO")</f>
        <v>INTERNO</v>
      </c>
      <c r="M72" s="34">
        <f>IFERROR(__xludf.DUMMYFUNCTION("""COMPUTED_VALUE"""),6.0)</f>
        <v>6</v>
      </c>
      <c r="N72" s="34" t="str">
        <f>IFERROR(__xludf.DUMMYFUNCTION("""COMPUTED_VALUE"""),"NO")</f>
        <v>NO</v>
      </c>
      <c r="P72">
        <f>IFERROR(__xludf.DUMMYFUNCTION("""COMPUTED_VALUE"""),3.0)</f>
        <v>3</v>
      </c>
      <c r="Q72" s="35">
        <f>IFERROR(__xludf.DUMMYFUNCTION("""COMPUTED_VALUE"""),0.0)</f>
        <v>0</v>
      </c>
      <c r="R72" s="36" t="str">
        <f>IFERROR(__xludf.DUMMYFUNCTION("""COMPUTED_VALUE"""),"SELECCIONADA")</f>
        <v>SELECCIONADA</v>
      </c>
      <c r="S72" s="37">
        <f>IFERROR(__xludf.DUMMYFUNCTION("""COMPUTED_VALUE"""),43755.0)</f>
        <v>43755</v>
      </c>
      <c r="T72" s="34" t="str">
        <f>IFERROR(__xludf.DUMMYFUNCTION("""COMPUTED_VALUE"""),"ARREDONDO RIVERA SANDRA ORIANA")</f>
        <v>ARREDONDO RIVERA SANDRA ORIANA</v>
      </c>
      <c r="V72" t="str">
        <f>IFERROR(__xludf.DUMMYFUNCTION("""COMPUTED_VALUE"""),"11047452-0")</f>
        <v>11047452-0</v>
      </c>
      <c r="W72" t="str">
        <f>IFERROR(__xludf.DUMMYFUNCTION("""COMPUTED_VALUE"""),"SI")</f>
        <v>SI</v>
      </c>
      <c r="X72" t="str">
        <f>IFERROR(__xludf.DUMMYFUNCTION("""COMPUTED_VALUE"""),"Trabajo en Equipo")</f>
        <v>Trabajo en Equipo</v>
      </c>
      <c r="Y72" t="str">
        <f>IFERROR(__xludf.DUMMYFUNCTION("""COMPUTED_VALUE"""),"Orientacion a los Resultados")</f>
        <v>Orientacion a los Resultados</v>
      </c>
      <c r="AA72" s="38">
        <f>IFERROR(__xludf.DUMMYFUNCTION("""COMPUTED_VALUE"""),43672.0)</f>
        <v>43672</v>
      </c>
      <c r="AB72" s="38">
        <f>IFERROR(__xludf.DUMMYFUNCTION("""COMPUTED_VALUE"""),43679.0)</f>
        <v>43679</v>
      </c>
      <c r="AF72" s="39"/>
      <c r="AG72" s="39"/>
      <c r="AH72" s="34" t="str">
        <f>IFERROR(__xludf.DUMMYFUNCTION("""COMPUTED_VALUE"""),"PROCESO DE SELECCIÓN")</f>
        <v>PROCESO DE SELECCIÓN</v>
      </c>
      <c r="AI72" s="34" t="str">
        <f>IFERROR(__xludf.DUMMYFUNCTION("""COMPUTED_VALUE"""),"-")</f>
        <v>-</v>
      </c>
      <c r="AJ72" s="34"/>
      <c r="AK72" s="34" t="str">
        <f>IFERROR(__xludf.DUMMYFUNCTION("""COMPUTED_VALUE"""),"C")</f>
        <v>C</v>
      </c>
      <c r="AL72">
        <f>IFERROR(__xludf.DUMMYFUNCTION("""COMPUTED_VALUE"""),55.0)</f>
        <v>55</v>
      </c>
      <c r="AM72">
        <f>IFERROR(__xludf.DUMMYFUNCTION("""COMPUTED_VALUE"""),2019.0)</f>
        <v>2019</v>
      </c>
      <c r="AN72" t="str">
        <f t="shared" si="1"/>
        <v>11047452-0</v>
      </c>
    </row>
    <row r="73">
      <c r="A73" s="33">
        <f>IFERROR(__xludf.DUMMYFUNCTION("""COMPUTED_VALUE"""),1.8118813E7)</f>
        <v>18118813</v>
      </c>
      <c r="B73" s="33">
        <f>IFERROR(__xludf.DUMMYFUNCTION("""COMPUTED_VALUE"""),74.0)</f>
        <v>74</v>
      </c>
      <c r="C73" s="33" t="str">
        <f>IFERROR(__xludf.DUMMYFUNCTION("""COMPUTED_VALUE"""),"A394")</f>
        <v>A394</v>
      </c>
      <c r="D73" s="34" t="str">
        <f>IFERROR(__xludf.DUMMYFUNCTION("""COMPUTED_VALUE"""),"3")</f>
        <v>3</v>
      </c>
      <c r="E73" s="34" t="str">
        <f>IFERROR(__xludf.DUMMYFUNCTION("""COMPUTED_VALUE"""),"UNIDAD DE COORDINACION INSTIT.")</f>
        <v>UNIDAD DE COORDINACION INSTIT.</v>
      </c>
      <c r="F73" s="34" t="str">
        <f>IFERROR(__xludf.DUMMYFUNCTION("""COMPUTED_VALUE"""),"Administrativo(a) de Proceso")</f>
        <v>Administrativo(a) de Proceso</v>
      </c>
      <c r="G73" s="33" t="str">
        <f>IFERROR(__xludf.DUMMYFUNCTION("""COMPUTED_VALUE"""),"ADMINISTRATIVA DE PROCESO")</f>
        <v>ADMINISTRATIVA DE PROCESO</v>
      </c>
      <c r="H73">
        <f>IFERROR(__xludf.DUMMYFUNCTION("""COMPUTED_VALUE"""),15.0)</f>
        <v>15</v>
      </c>
      <c r="I73" s="34" t="str">
        <f>IFERROR(__xludf.DUMMYFUNCTION("""COMPUTED_VALUE"""),"Jornada Completa")</f>
        <v>Jornada Completa</v>
      </c>
      <c r="J73" s="33" t="str">
        <f>IFERROR(__xludf.DUMMYFUNCTION("""COMPUTED_VALUE"""),"A CONTRATA")</f>
        <v>A CONTRATA</v>
      </c>
      <c r="K73" s="33" t="str">
        <f>IFERROR(__xludf.DUMMYFUNCTION("""COMPUTED_VALUE"""),"ADMINISTRATIVO")</f>
        <v>ADMINISTRATIVO</v>
      </c>
      <c r="L73" s="34" t="str">
        <f>IFERROR(__xludf.DUMMYFUNCTION("""COMPUTED_VALUE"""),"INTERNO")</f>
        <v>INTERNO</v>
      </c>
      <c r="M73" s="34">
        <f>IFERROR(__xludf.DUMMYFUNCTION("""COMPUTED_VALUE"""),6.0)</f>
        <v>6</v>
      </c>
      <c r="N73" s="34" t="str">
        <f>IFERROR(__xludf.DUMMYFUNCTION("""COMPUTED_VALUE"""),"NO")</f>
        <v>NO</v>
      </c>
      <c r="P73">
        <f>IFERROR(__xludf.DUMMYFUNCTION("""COMPUTED_VALUE"""),3.0)</f>
        <v>3</v>
      </c>
      <c r="Q73" s="35">
        <f>IFERROR(__xludf.DUMMYFUNCTION("""COMPUTED_VALUE"""),0.0)</f>
        <v>0</v>
      </c>
      <c r="R73" s="36" t="str">
        <f>IFERROR(__xludf.DUMMYFUNCTION("""COMPUTED_VALUE"""),"SELECCIONADA")</f>
        <v>SELECCIONADA</v>
      </c>
      <c r="S73" s="37">
        <f>IFERROR(__xludf.DUMMYFUNCTION("""COMPUTED_VALUE"""),43773.0)</f>
        <v>43773</v>
      </c>
      <c r="T73" s="34" t="str">
        <f>IFERROR(__xludf.DUMMYFUNCTION("""COMPUTED_VALUE"""),"HERNANDEZ CATRILAO ANGELA DEL PILAR")</f>
        <v>HERNANDEZ CATRILAO ANGELA DEL PILAR</v>
      </c>
      <c r="V73" t="str">
        <f>IFERROR(__xludf.DUMMYFUNCTION("""COMPUTED_VALUE"""),"18118813-8")</f>
        <v>18118813-8</v>
      </c>
      <c r="W73" t="str">
        <f>IFERROR(__xludf.DUMMYFUNCTION("""COMPUTED_VALUE"""),"SI")</f>
        <v>SI</v>
      </c>
      <c r="X73" t="str">
        <f>IFERROR(__xludf.DUMMYFUNCTION("""COMPUTED_VALUE"""),"Trabajo en Equipo")</f>
        <v>Trabajo en Equipo</v>
      </c>
      <c r="AA73" s="38">
        <f>IFERROR(__xludf.DUMMYFUNCTION("""COMPUTED_VALUE"""),43672.0)</f>
        <v>43672</v>
      </c>
      <c r="AB73" s="38">
        <f>IFERROR(__xludf.DUMMYFUNCTION("""COMPUTED_VALUE"""),43679.0)</f>
        <v>43679</v>
      </c>
      <c r="AF73" s="39"/>
      <c r="AG73" s="39"/>
      <c r="AH73" s="34" t="str">
        <f>IFERROR(__xludf.DUMMYFUNCTION("""COMPUTED_VALUE"""),"PROCESO DE SELECCIÓN")</f>
        <v>PROCESO DE SELECCIÓN</v>
      </c>
      <c r="AI73" s="34" t="str">
        <f>IFERROR(__xludf.DUMMYFUNCTION("""COMPUTED_VALUE"""),"-")</f>
        <v>-</v>
      </c>
      <c r="AJ73" s="34"/>
      <c r="AK73" s="34" t="str">
        <f>IFERROR(__xludf.DUMMYFUNCTION("""COMPUTED_VALUE"""),"C")</f>
        <v>C</v>
      </c>
      <c r="AL73">
        <f>IFERROR(__xludf.DUMMYFUNCTION("""COMPUTED_VALUE"""),67.0)</f>
        <v>67</v>
      </c>
      <c r="AM73">
        <f>IFERROR(__xludf.DUMMYFUNCTION("""COMPUTED_VALUE"""),2019.0)</f>
        <v>2019</v>
      </c>
      <c r="AN73" t="str">
        <f t="shared" si="1"/>
        <v>18118813-8</v>
      </c>
    </row>
    <row r="74">
      <c r="A74" s="33">
        <f>IFERROR(__xludf.DUMMYFUNCTION("""COMPUTED_VALUE"""),1.5639128E7)</f>
        <v>15639128</v>
      </c>
      <c r="B74" s="33">
        <f>IFERROR(__xludf.DUMMYFUNCTION("""COMPUTED_VALUE"""),75.0)</f>
        <v>75</v>
      </c>
      <c r="C74" s="33" t="str">
        <f>IFERROR(__xludf.DUMMYFUNCTION("""COMPUTED_VALUE"""),"A386")</f>
        <v>A386</v>
      </c>
      <c r="D74" s="34" t="str">
        <f>IFERROR(__xludf.DUMMYFUNCTION("""COMPUTED_VALUE"""),"3")</f>
        <v>3</v>
      </c>
      <c r="E74" s="34" t="str">
        <f>IFERROR(__xludf.DUMMYFUNCTION("""COMPUTED_VALUE"""),"UNIDAD DE GESTION DEL CAMPUS")</f>
        <v>UNIDAD DE GESTION DEL CAMPUS</v>
      </c>
      <c r="F74" s="34" t="str">
        <f>IFERROR(__xludf.DUMMYFUNCTION("""COMPUTED_VALUE"""),"Jefe(a) de Oficina")</f>
        <v>Jefe(a) de Oficina</v>
      </c>
      <c r="G74" s="33" t="str">
        <f>IFERROR(__xludf.DUMMYFUNCTION("""COMPUTED_VALUE"""),"JEFA DE OFICINA ( VIGILANCIA)")</f>
        <v>JEFA DE OFICINA ( VIGILANCIA)</v>
      </c>
      <c r="H74">
        <f>IFERROR(__xludf.DUMMYFUNCTION("""COMPUTED_VALUE"""),10.0)</f>
        <v>10</v>
      </c>
      <c r="I74" s="34" t="str">
        <f>IFERROR(__xludf.DUMMYFUNCTION("""COMPUTED_VALUE"""),"Jornada Completa")</f>
        <v>Jornada Completa</v>
      </c>
      <c r="J74" s="33" t="str">
        <f>IFERROR(__xludf.DUMMYFUNCTION("""COMPUTED_VALUE"""),"A CONTRATA")</f>
        <v>A CONTRATA</v>
      </c>
      <c r="K74" s="33" t="str">
        <f>IFERROR(__xludf.DUMMYFUNCTION("""COMPUTED_VALUE"""),"ADMINISTRATIVO")</f>
        <v>ADMINISTRATIVO</v>
      </c>
      <c r="L74" s="34" t="str">
        <f>IFERROR(__xludf.DUMMYFUNCTION("""COMPUTED_VALUE"""),"INTERNO")</f>
        <v>INTERNO</v>
      </c>
      <c r="M74" s="34">
        <f>IFERROR(__xludf.DUMMYFUNCTION("""COMPUTED_VALUE"""),6.0)</f>
        <v>6</v>
      </c>
      <c r="N74" s="34" t="str">
        <f>IFERROR(__xludf.DUMMYFUNCTION("""COMPUTED_VALUE"""),"NO")</f>
        <v>NO</v>
      </c>
      <c r="P74">
        <f>IFERROR(__xludf.DUMMYFUNCTION("""COMPUTED_VALUE"""),3.0)</f>
        <v>3</v>
      </c>
      <c r="Q74" s="35">
        <f>IFERROR(__xludf.DUMMYFUNCTION("""COMPUTED_VALUE"""),0.0)</f>
        <v>0</v>
      </c>
      <c r="R74" s="36" t="str">
        <f>IFERROR(__xludf.DUMMYFUNCTION("""COMPUTED_VALUE"""),"SELECCIONADA")</f>
        <v>SELECCIONADA</v>
      </c>
      <c r="S74" s="37">
        <f>IFERROR(__xludf.DUMMYFUNCTION("""COMPUTED_VALUE"""),43781.0)</f>
        <v>43781</v>
      </c>
      <c r="T74" s="34" t="str">
        <f>IFERROR(__xludf.DUMMYFUNCTION("""COMPUTED_VALUE"""),"MIRANDA MIRANDA MYRTHA CAROLINA")</f>
        <v>MIRANDA MIRANDA MYRTHA CAROLINA</v>
      </c>
      <c r="V74" t="str">
        <f>IFERROR(__xludf.DUMMYFUNCTION("""COMPUTED_VALUE"""),"15639128-K")</f>
        <v>15639128-K</v>
      </c>
      <c r="W74" t="str">
        <f>IFERROR(__xludf.DUMMYFUNCTION("""COMPUTED_VALUE"""),"SI")</f>
        <v>SI</v>
      </c>
      <c r="X74" t="str">
        <f>IFERROR(__xludf.DUMMYFUNCTION("""COMPUTED_VALUE"""),"Tolerancia a la presion")</f>
        <v>Tolerancia a la presion</v>
      </c>
      <c r="AA74" s="38">
        <f>IFERROR(__xludf.DUMMYFUNCTION("""COMPUTED_VALUE"""),43698.0)</f>
        <v>43698</v>
      </c>
      <c r="AB74" s="38">
        <f>IFERROR(__xludf.DUMMYFUNCTION("""COMPUTED_VALUE"""),43705.0)</f>
        <v>43705</v>
      </c>
      <c r="AF74" s="39"/>
      <c r="AG74" s="39"/>
      <c r="AH74" s="34" t="str">
        <f>IFERROR(__xludf.DUMMYFUNCTION("""COMPUTED_VALUE"""),"PROCESO DE SELECCIÓN")</f>
        <v>PROCESO DE SELECCIÓN</v>
      </c>
      <c r="AI74" s="34" t="str">
        <f>IFERROR(__xludf.DUMMYFUNCTION("""COMPUTED_VALUE"""),"RODRIGUEZ COLLIO VICTOR")</f>
        <v>RODRIGUEZ COLLIO VICTOR</v>
      </c>
      <c r="AJ74" s="34"/>
      <c r="AK74" s="34" t="str">
        <f>IFERROR(__xludf.DUMMYFUNCTION("""COMPUTED_VALUE"""),"C")</f>
        <v>C</v>
      </c>
      <c r="AL74">
        <f>IFERROR(__xludf.DUMMYFUNCTION("""COMPUTED_VALUE"""),55.0)</f>
        <v>55</v>
      </c>
      <c r="AM74">
        <f>IFERROR(__xludf.DUMMYFUNCTION("""COMPUTED_VALUE"""),2019.0)</f>
        <v>2019</v>
      </c>
      <c r="AN74" t="str">
        <f t="shared" si="1"/>
        <v>15639128-K</v>
      </c>
    </row>
    <row r="75">
      <c r="A75" s="33">
        <f>IFERROR(__xludf.DUMMYFUNCTION("""COMPUTED_VALUE"""),1.2523432E7)</f>
        <v>12523432</v>
      </c>
      <c r="B75" s="33">
        <f>IFERROR(__xludf.DUMMYFUNCTION("""COMPUTED_VALUE"""),76.0)</f>
        <v>76</v>
      </c>
      <c r="C75" s="33" t="str">
        <f>IFERROR(__xludf.DUMMYFUNCTION("""COMPUTED_VALUE"""),"ACTA2019-20")</f>
        <v>ACTA2019-20</v>
      </c>
      <c r="D75" s="34" t="str">
        <f>IFERROR(__xludf.DUMMYFUNCTION("""COMPUTED_VALUE"""),"60")</f>
        <v>60</v>
      </c>
      <c r="E75" s="34" t="str">
        <f>IFERROR(__xludf.DUMMYFUNCTION("""COMPUTED_VALUE"""),"FACULTAD DE ADMINIST Y ECONOMI")</f>
        <v>FACULTAD DE ADMINIST Y ECONOMI</v>
      </c>
      <c r="F75" s="34" t="str">
        <f>IFERROR(__xludf.DUMMYFUNCTION("""COMPUTED_VALUE"""),"Analista de Gestión Administrativa")</f>
        <v>Analista de Gestión Administrativa</v>
      </c>
      <c r="G75" s="33" t="str">
        <f>IFERROR(__xludf.DUMMYFUNCTION("""COMPUTED_VALUE"""),"ANALISTA DE GESTION ADMINISTRATIVA")</f>
        <v>ANALISTA DE GESTION ADMINISTRATIVA</v>
      </c>
      <c r="H75">
        <f>IFERROR(__xludf.DUMMYFUNCTION("""COMPUTED_VALUE"""),14.0)</f>
        <v>14</v>
      </c>
      <c r="I75" s="34" t="str">
        <f>IFERROR(__xludf.DUMMYFUNCTION("""COMPUTED_VALUE"""),"Jornada Completa")</f>
        <v>Jornada Completa</v>
      </c>
      <c r="J75" s="33" t="str">
        <f>IFERROR(__xludf.DUMMYFUNCTION("""COMPUTED_VALUE"""),"A CONTRATA")</f>
        <v>A CONTRATA</v>
      </c>
      <c r="K75" s="33" t="str">
        <f>IFERROR(__xludf.DUMMYFUNCTION("""COMPUTED_VALUE"""),"PROFESIONAL")</f>
        <v>PROFESIONAL</v>
      </c>
      <c r="L75" s="34" t="str">
        <f>IFERROR(__xludf.DUMMYFUNCTION("""COMPUTED_VALUE"""),"INTERNO")</f>
        <v>INTERNO</v>
      </c>
      <c r="M75" s="34">
        <f>IFERROR(__xludf.DUMMYFUNCTION("""COMPUTED_VALUE"""),8.0)</f>
        <v>8</v>
      </c>
      <c r="N75" s="34" t="str">
        <f>IFERROR(__xludf.DUMMYFUNCTION("""COMPUTED_VALUE"""),"EXTERNO")</f>
        <v>EXTERNO</v>
      </c>
      <c r="O75">
        <f>IFERROR(__xludf.DUMMYFUNCTION("""COMPUTED_VALUE"""),27.0)</f>
        <v>27</v>
      </c>
      <c r="P75">
        <f>IFERROR(__xludf.DUMMYFUNCTION("""COMPUTED_VALUE"""),1.0)</f>
        <v>1</v>
      </c>
      <c r="Q75" s="35">
        <f>IFERROR(__xludf.DUMMYFUNCTION("""COMPUTED_VALUE"""),0.0)</f>
        <v>0</v>
      </c>
      <c r="R75" s="36" t="str">
        <f>IFERROR(__xludf.DUMMYFUNCTION("""COMPUTED_VALUE"""),"SELECCIONADA")</f>
        <v>SELECCIONADA</v>
      </c>
      <c r="S75" s="37">
        <f>IFERROR(__xludf.DUMMYFUNCTION("""COMPUTED_VALUE"""),43775.0)</f>
        <v>43775</v>
      </c>
      <c r="T75" s="34"/>
      <c r="U75" t="str">
        <f>IFERROR(__xludf.DUMMYFUNCTION("""COMPUTED_VALUE"""),"MONSALVEZ VALDERRAMA ANA")</f>
        <v>MONSALVEZ VALDERRAMA ANA</v>
      </c>
      <c r="V75" t="str">
        <f>IFERROR(__xludf.DUMMYFUNCTION("""COMPUTED_VALUE"""),"12523432-1")</f>
        <v>12523432-1</v>
      </c>
      <c r="W75" t="str">
        <f>IFERROR(__xludf.DUMMYFUNCTION("""COMPUTED_VALUE"""),"SI")</f>
        <v>SI</v>
      </c>
      <c r="X75" t="str">
        <f>IFERROR(__xludf.DUMMYFUNCTION("""COMPUTED_VALUE"""),"Capacidad de Planificacion y Organizacion")</f>
        <v>Capacidad de Planificacion y Organizacion</v>
      </c>
      <c r="AA75" s="38">
        <f>IFERROR(__xludf.DUMMYFUNCTION("""COMPUTED_VALUE"""),43560.0)</f>
        <v>43560</v>
      </c>
      <c r="AB75" s="38">
        <f>IFERROR(__xludf.DUMMYFUNCTION("""COMPUTED_VALUE"""),43567.0)</f>
        <v>43567</v>
      </c>
      <c r="AF75" s="39"/>
      <c r="AG75" s="39"/>
      <c r="AH75" s="34" t="str">
        <f>IFERROR(__xludf.DUMMYFUNCTION("""COMPUTED_VALUE"""),"PROCESO DE SELECCIÓN")</f>
        <v>PROCESO DE SELECCIÓN</v>
      </c>
      <c r="AI75" s="34" t="str">
        <f>IFERROR(__xludf.DUMMYFUNCTION("""COMPUTED_VALUE"""),"LILLO MELLADO LAURA")</f>
        <v>LILLO MELLADO LAURA</v>
      </c>
      <c r="AJ75" s="34"/>
      <c r="AK75" s="34" t="str">
        <f>IFERROR(__xludf.DUMMYFUNCTION("""COMPUTED_VALUE"""),"E")</f>
        <v>E</v>
      </c>
      <c r="AL75">
        <f>IFERROR(__xludf.DUMMYFUNCTION("""COMPUTED_VALUE"""),149.0)</f>
        <v>149</v>
      </c>
      <c r="AM75">
        <f>IFERROR(__xludf.DUMMYFUNCTION("""COMPUTED_VALUE"""),2019.0)</f>
        <v>2019</v>
      </c>
      <c r="AN75" t="str">
        <f t="shared" si="1"/>
        <v>12523432-1</v>
      </c>
    </row>
    <row r="76">
      <c r="A76" s="33">
        <f>IFERROR(__xludf.DUMMYFUNCTION("""COMPUTED_VALUE"""),1.5994631E7)</f>
        <v>15994631</v>
      </c>
      <c r="B76" s="33">
        <f>IFERROR(__xludf.DUMMYFUNCTION("""COMPUTED_VALUE"""),77.0)</f>
        <v>77</v>
      </c>
      <c r="C76" s="33" t="str">
        <f>IFERROR(__xludf.DUMMYFUNCTION("""COMPUTED_VALUE"""),"A410")</f>
        <v>A410</v>
      </c>
      <c r="D76" s="34" t="str">
        <f>IFERROR(__xludf.DUMMYFUNCTION("""COMPUTED_VALUE"""),"3")</f>
        <v>3</v>
      </c>
      <c r="E76" s="34" t="str">
        <f>IFERROR(__xludf.DUMMYFUNCTION("""COMPUTED_VALUE"""),"DPTO. DE CALIDAD Y ACREDITACION")</f>
        <v>DPTO. DE CALIDAD Y ACREDITACION</v>
      </c>
      <c r="F76" s="34" t="str">
        <f>IFERROR(__xludf.DUMMYFUNCTION("""COMPUTED_VALUE"""),"Jefe(a) de Área")</f>
        <v>Jefe(a) de Área</v>
      </c>
      <c r="G76" s="33" t="str">
        <f>IFERROR(__xludf.DUMMYFUNCTION("""COMPUTED_VALUE"""),"JEFE DE AREA ( ACREDITACION)")</f>
        <v>JEFE DE AREA ( ACREDITACION)</v>
      </c>
      <c r="H76">
        <f>IFERROR(__xludf.DUMMYFUNCTION("""COMPUTED_VALUE"""),6.0)</f>
        <v>6</v>
      </c>
      <c r="I76" s="34" t="str">
        <f>IFERROR(__xludf.DUMMYFUNCTION("""COMPUTED_VALUE"""),"Jornada Completa")</f>
        <v>Jornada Completa</v>
      </c>
      <c r="J76" s="33" t="str">
        <f>IFERROR(__xludf.DUMMYFUNCTION("""COMPUTED_VALUE"""),"A CONTRATA")</f>
        <v>A CONTRATA</v>
      </c>
      <c r="K76" s="33" t="str">
        <f>IFERROR(__xludf.DUMMYFUNCTION("""COMPUTED_VALUE"""),"PROFESIONAL")</f>
        <v>PROFESIONAL</v>
      </c>
      <c r="L76" s="34" t="str">
        <f>IFERROR(__xludf.DUMMYFUNCTION("""COMPUTED_VALUE"""),"INTERNO")</f>
        <v>INTERNO</v>
      </c>
      <c r="M76" s="34">
        <f>IFERROR(__xludf.DUMMYFUNCTION("""COMPUTED_VALUE"""),4.0)</f>
        <v>4</v>
      </c>
      <c r="N76" s="34" t="str">
        <f>IFERROR(__xludf.DUMMYFUNCTION("""COMPUTED_VALUE"""),"NO")</f>
        <v>NO</v>
      </c>
      <c r="P76">
        <f>IFERROR(__xludf.DUMMYFUNCTION("""COMPUTED_VALUE"""),1.0)</f>
        <v>1</v>
      </c>
      <c r="Q76" s="35">
        <f>IFERROR(__xludf.DUMMYFUNCTION("""COMPUTED_VALUE"""),0.0)</f>
        <v>0</v>
      </c>
      <c r="R76" s="36" t="str">
        <f>IFERROR(__xludf.DUMMYFUNCTION("""COMPUTED_VALUE"""),"SELECCIONADO")</f>
        <v>SELECCIONADO</v>
      </c>
      <c r="S76" s="37">
        <f>IFERROR(__xludf.DUMMYFUNCTION("""COMPUTED_VALUE"""),43801.0)</f>
        <v>43801</v>
      </c>
      <c r="T76" s="34" t="str">
        <f>IFERROR(__xludf.DUMMYFUNCTION("""COMPUTED_VALUE"""),"SOTO BECERRA OMAR")</f>
        <v>SOTO BECERRA OMAR</v>
      </c>
      <c r="V76" t="str">
        <f>IFERROR(__xludf.DUMMYFUNCTION("""COMPUTED_VALUE"""),"15994631-2")</f>
        <v>15994631-2</v>
      </c>
      <c r="W76" t="str">
        <f>IFERROR(__xludf.DUMMYFUNCTION("""COMPUTED_VALUE"""),"SI")</f>
        <v>SI</v>
      </c>
      <c r="X76" t="str">
        <f>IFERROR(__xludf.DUMMYFUNCTION("""COMPUTED_VALUE"""),"Liderazgo")</f>
        <v>Liderazgo</v>
      </c>
      <c r="AA76" s="38">
        <f>IFERROR(__xludf.DUMMYFUNCTION("""COMPUTED_VALUE"""),43733.0)</f>
        <v>43733</v>
      </c>
      <c r="AB76" s="38">
        <f>IFERROR(__xludf.DUMMYFUNCTION("""COMPUTED_VALUE"""),43740.0)</f>
        <v>43740</v>
      </c>
      <c r="AF76" s="39"/>
      <c r="AG76" s="39"/>
      <c r="AH76" s="34" t="str">
        <f>IFERROR(__xludf.DUMMYFUNCTION("""COMPUTED_VALUE"""),"PROCESO DE SELECCIÓN")</f>
        <v>PROCESO DE SELECCIÓN</v>
      </c>
      <c r="AI76" s="34" t="str">
        <f>IFERROR(__xludf.DUMMYFUNCTION("""COMPUTED_VALUE"""),"MUÑOZ VASQUEZ PAULA")</f>
        <v>MUÑOZ VASQUEZ PAULA</v>
      </c>
      <c r="AJ76" s="34"/>
      <c r="AK76" s="34" t="str">
        <f>IFERROR(__xludf.DUMMYFUNCTION("""COMPUTED_VALUE"""),"P")</f>
        <v>P</v>
      </c>
      <c r="AL76">
        <f>IFERROR(__xludf.DUMMYFUNCTION("""COMPUTED_VALUE"""),44.0)</f>
        <v>44</v>
      </c>
      <c r="AM76">
        <f>IFERROR(__xludf.DUMMYFUNCTION("""COMPUTED_VALUE"""),2019.0)</f>
        <v>2019</v>
      </c>
      <c r="AN76" t="str">
        <f t="shared" si="1"/>
        <v>15994631-2</v>
      </c>
    </row>
    <row r="77">
      <c r="A77" s="33">
        <f>IFERROR(__xludf.DUMMYFUNCTION("""COMPUTED_VALUE"""),1.1053738E7)</f>
        <v>11053738</v>
      </c>
      <c r="B77" s="33">
        <f>IFERROR(__xludf.DUMMYFUNCTION("""COMPUTED_VALUE"""),78.0)</f>
        <v>78</v>
      </c>
      <c r="C77" s="33" t="str">
        <f>IFERROR(__xludf.DUMMYFUNCTION("""COMPUTED_VALUE"""),"A285")</f>
        <v>A285</v>
      </c>
      <c r="D77" s="34" t="str">
        <f>IFERROR(__xludf.DUMMYFUNCTION("""COMPUTED_VALUE"""),"65")</f>
        <v>65</v>
      </c>
      <c r="E77" s="34" t="str">
        <f>IFERROR(__xludf.DUMMYFUNCTION("""COMPUTED_VALUE"""),"FACULTAD TECNOLOGICA")</f>
        <v>FACULTAD TECNOLOGICA</v>
      </c>
      <c r="F77" s="34" t="str">
        <f>IFERROR(__xludf.DUMMYFUNCTION("""COMPUTED_VALUE"""),"Administrativo(a) Contable")</f>
        <v>Administrativo(a) Contable</v>
      </c>
      <c r="G77" s="33" t="str">
        <f>IFERROR(__xludf.DUMMYFUNCTION("""COMPUTED_VALUE"""),"ADMINISTRATIVA CONTABLE")</f>
        <v>ADMINISTRATIVA CONTABLE</v>
      </c>
      <c r="H77">
        <f>IFERROR(__xludf.DUMMYFUNCTION("""COMPUTED_VALUE"""),17.0)</f>
        <v>17</v>
      </c>
      <c r="I77" s="34" t="str">
        <f>IFERROR(__xludf.DUMMYFUNCTION("""COMPUTED_VALUE"""),"Jornada Completa")</f>
        <v>Jornada Completa</v>
      </c>
      <c r="J77" s="33" t="str">
        <f>IFERROR(__xludf.DUMMYFUNCTION("""COMPUTED_VALUE"""),"A CONTRATA")</f>
        <v>A CONTRATA</v>
      </c>
      <c r="K77" s="33" t="str">
        <f>IFERROR(__xludf.DUMMYFUNCTION("""COMPUTED_VALUE"""),"TECNICO")</f>
        <v>TECNICO</v>
      </c>
      <c r="L77" s="34" t="str">
        <f>IFERROR(__xludf.DUMMYFUNCTION("""COMPUTED_VALUE"""),"INTERNO")</f>
        <v>INTERNO</v>
      </c>
      <c r="M77" s="34">
        <f>IFERROR(__xludf.DUMMYFUNCTION("""COMPUTED_VALUE"""),5.0)</f>
        <v>5</v>
      </c>
      <c r="N77" s="34" t="str">
        <f>IFERROR(__xludf.DUMMYFUNCTION("""COMPUTED_VALUE"""),"EXTERNO")</f>
        <v>EXTERNO</v>
      </c>
      <c r="O77">
        <f>IFERROR(__xludf.DUMMYFUNCTION("""COMPUTED_VALUE"""),6.0)</f>
        <v>6</v>
      </c>
      <c r="P77">
        <f>IFERROR(__xludf.DUMMYFUNCTION("""COMPUTED_VALUE"""),2.0)</f>
        <v>2</v>
      </c>
      <c r="Q77" s="35">
        <f>IFERROR(__xludf.DUMMYFUNCTION("""COMPUTED_VALUE"""),0.0)</f>
        <v>0</v>
      </c>
      <c r="R77" s="36" t="str">
        <f>IFERROR(__xludf.DUMMYFUNCTION("""COMPUTED_VALUE"""),"SELECCIONADA")</f>
        <v>SELECCIONADA</v>
      </c>
      <c r="S77" s="37">
        <f>IFERROR(__xludf.DUMMYFUNCTION("""COMPUTED_VALUE"""),43780.0)</f>
        <v>43780</v>
      </c>
      <c r="T77" s="34"/>
      <c r="U77" t="str">
        <f>IFERROR(__xludf.DUMMYFUNCTION("""COMPUTED_VALUE"""),"GONZALEZ BAEZ LORENA")</f>
        <v>GONZALEZ BAEZ LORENA</v>
      </c>
      <c r="V77" t="str">
        <f>IFERROR(__xludf.DUMMYFUNCTION("""COMPUTED_VALUE"""),"11053738-7")</f>
        <v>11053738-7</v>
      </c>
      <c r="W77" t="str">
        <f>IFERROR(__xludf.DUMMYFUNCTION("""COMPUTED_VALUE"""),"NO")</f>
        <v>NO</v>
      </c>
      <c r="AA77" s="38">
        <f>IFERROR(__xludf.DUMMYFUNCTION("""COMPUTED_VALUE"""),43731.0)</f>
        <v>43731</v>
      </c>
      <c r="AB77" s="38">
        <f>IFERROR(__xludf.DUMMYFUNCTION("""COMPUTED_VALUE"""),43738.0)</f>
        <v>43738</v>
      </c>
      <c r="AF77" s="39"/>
      <c r="AG77" s="39"/>
      <c r="AH77" s="34" t="str">
        <f>IFERROR(__xludf.DUMMYFUNCTION("""COMPUTED_VALUE"""),"PROCESO DE SELECCIÓN")</f>
        <v>PROCESO DE SELECCIÓN</v>
      </c>
      <c r="AI77" s="34" t="str">
        <f>IFERROR(__xludf.DUMMYFUNCTION("""COMPUTED_VALUE"""),"CONCHA SILVA MARAT")</f>
        <v>CONCHA SILVA MARAT</v>
      </c>
      <c r="AJ77" s="34"/>
      <c r="AK77" s="34" t="str">
        <f>IFERROR(__xludf.DUMMYFUNCTION("""COMPUTED_VALUE"""),"E")</f>
        <v>E</v>
      </c>
      <c r="AL77">
        <f>IFERROR(__xludf.DUMMYFUNCTION("""COMPUTED_VALUE"""),31.0)</f>
        <v>31</v>
      </c>
      <c r="AM77">
        <f>IFERROR(__xludf.DUMMYFUNCTION("""COMPUTED_VALUE"""),2019.0)</f>
        <v>2019</v>
      </c>
      <c r="AN77" t="str">
        <f t="shared" si="1"/>
        <v>11053738-7</v>
      </c>
    </row>
    <row r="78">
      <c r="A78" s="33">
        <f>IFERROR(__xludf.DUMMYFUNCTION("""COMPUTED_VALUE"""),1.7676254E7)</f>
        <v>17676254</v>
      </c>
      <c r="B78" s="33">
        <f>IFERROR(__xludf.DUMMYFUNCTION("""COMPUTED_VALUE"""),79.0)</f>
        <v>79</v>
      </c>
      <c r="C78" s="33" t="str">
        <f>IFERROR(__xludf.DUMMYFUNCTION("""COMPUTED_VALUE"""),"A356")</f>
        <v>A356</v>
      </c>
      <c r="D78" s="34" t="str">
        <f>IFERROR(__xludf.DUMMYFUNCTION("""COMPUTED_VALUE"""),"3")</f>
        <v>3</v>
      </c>
      <c r="E78" s="34" t="str">
        <f>IFERROR(__xludf.DUMMYFUNCTION("""COMPUTED_VALUE"""),"DPTO. DE FINANZAS Y TESORERIA")</f>
        <v>DPTO. DE FINANZAS Y TESORERIA</v>
      </c>
      <c r="F78" s="34" t="str">
        <f>IFERROR(__xludf.DUMMYFUNCTION("""COMPUTED_VALUE"""),"Analista Contable II")</f>
        <v>Analista Contable II</v>
      </c>
      <c r="G78" s="33" t="str">
        <f>IFERROR(__xludf.DUMMYFUNCTION("""COMPUTED_VALUE"""),"ANALISTA CONTABLE II ( ANALISTA DE CONCILIACIONES BANCARIAS)")</f>
        <v>ANALISTA CONTABLE II ( ANALISTA DE CONCILIACIONES BANCARIAS)</v>
      </c>
      <c r="H78">
        <f>IFERROR(__xludf.DUMMYFUNCTION("""COMPUTED_VALUE"""),13.0)</f>
        <v>13</v>
      </c>
      <c r="I78" s="34" t="str">
        <f>IFERROR(__xludf.DUMMYFUNCTION("""COMPUTED_VALUE"""),"Jornada Completa")</f>
        <v>Jornada Completa</v>
      </c>
      <c r="J78" s="33" t="str">
        <f>IFERROR(__xludf.DUMMYFUNCTION("""COMPUTED_VALUE"""),"A CONTRATA")</f>
        <v>A CONTRATA</v>
      </c>
      <c r="K78" s="33" t="str">
        <f>IFERROR(__xludf.DUMMYFUNCTION("""COMPUTED_VALUE"""),"PROFESIONAL")</f>
        <v>PROFESIONAL</v>
      </c>
      <c r="L78" s="34" t="str">
        <f>IFERROR(__xludf.DUMMYFUNCTION("""COMPUTED_VALUE"""),"INTERNO")</f>
        <v>INTERNO</v>
      </c>
      <c r="M78" s="34"/>
      <c r="N78" s="34" t="str">
        <f>IFERROR(__xludf.DUMMYFUNCTION("""COMPUTED_VALUE"""),"EXTERNO")</f>
        <v>EXTERNO</v>
      </c>
      <c r="O78">
        <f>IFERROR(__xludf.DUMMYFUNCTION("""COMPUTED_VALUE"""),14.0)</f>
        <v>14</v>
      </c>
      <c r="P78">
        <f>IFERROR(__xludf.DUMMYFUNCTION("""COMPUTED_VALUE"""),2.0)</f>
        <v>2</v>
      </c>
      <c r="Q78" s="35">
        <f>IFERROR(__xludf.DUMMYFUNCTION("""COMPUTED_VALUE"""),0.0)</f>
        <v>0</v>
      </c>
      <c r="R78" s="36" t="str">
        <f>IFERROR(__xludf.DUMMYFUNCTION("""COMPUTED_VALUE"""),"SELECCIONADA")</f>
        <v>SELECCIONADA</v>
      </c>
      <c r="S78" s="37">
        <f>IFERROR(__xludf.DUMMYFUNCTION("""COMPUTED_VALUE"""),43794.0)</f>
        <v>43794</v>
      </c>
      <c r="T78" s="34"/>
      <c r="U78" t="str">
        <f>IFERROR(__xludf.DUMMYFUNCTION("""COMPUTED_VALUE"""),"QUIJADA  FLORES NICOLE")</f>
        <v>QUIJADA  FLORES NICOLE</v>
      </c>
      <c r="V78" t="str">
        <f>IFERROR(__xludf.DUMMYFUNCTION("""COMPUTED_VALUE"""),"17676254-3")</f>
        <v>17676254-3</v>
      </c>
      <c r="W78" t="str">
        <f>IFERROR(__xludf.DUMMYFUNCTION("""COMPUTED_VALUE"""),"NO")</f>
        <v>NO</v>
      </c>
      <c r="AA78" s="38">
        <f>IFERROR(__xludf.DUMMYFUNCTION("""COMPUTED_VALUE"""),43735.0)</f>
        <v>43735</v>
      </c>
      <c r="AB78" s="38">
        <f>IFERROR(__xludf.DUMMYFUNCTION("""COMPUTED_VALUE"""),43742.0)</f>
        <v>43742</v>
      </c>
      <c r="AF78" s="39"/>
      <c r="AG78" s="39"/>
      <c r="AH78" s="34" t="str">
        <f>IFERROR(__xludf.DUMMYFUNCTION("""COMPUTED_VALUE"""),"PROCESO DE SELECCIÓN")</f>
        <v>PROCESO DE SELECCIÓN</v>
      </c>
      <c r="AI78" s="34" t="str">
        <f>IFERROR(__xludf.DUMMYFUNCTION("""COMPUTED_VALUE"""),"FLORES TORO KARLA")</f>
        <v>FLORES TORO KARLA</v>
      </c>
      <c r="AJ78" s="34"/>
      <c r="AK78" s="34" t="str">
        <f>IFERROR(__xludf.DUMMYFUNCTION("""COMPUTED_VALUE"""),"E")</f>
        <v>E</v>
      </c>
      <c r="AL78">
        <f>IFERROR(__xludf.DUMMYFUNCTION("""COMPUTED_VALUE"""),37.0)</f>
        <v>37</v>
      </c>
      <c r="AM78">
        <f>IFERROR(__xludf.DUMMYFUNCTION("""COMPUTED_VALUE"""),2019.0)</f>
        <v>2019</v>
      </c>
      <c r="AN78" t="str">
        <f t="shared" si="1"/>
        <v>17676254-3</v>
      </c>
    </row>
    <row r="79">
      <c r="A79" s="33">
        <f>IFERROR(__xludf.DUMMYFUNCTION("""COMPUTED_VALUE"""),1.400322E7)</f>
        <v>14003220</v>
      </c>
      <c r="B79" s="33">
        <f>IFERROR(__xludf.DUMMYFUNCTION("""COMPUTED_VALUE"""),80.0)</f>
        <v>80</v>
      </c>
      <c r="C79" s="33" t="str">
        <f>IFERROR(__xludf.DUMMYFUNCTION("""COMPUTED_VALUE"""),"A389")</f>
        <v>A389</v>
      </c>
      <c r="D79" s="34" t="str">
        <f>IFERROR(__xludf.DUMMYFUNCTION("""COMPUTED_VALUE"""),"15")</f>
        <v>15</v>
      </c>
      <c r="E79" s="34" t="str">
        <f>IFERROR(__xludf.DUMMYFUNCTION("""COMPUTED_VALUE"""),"ESCUELA DE ARQUITECTURA")</f>
        <v>ESCUELA DE ARQUITECTURA</v>
      </c>
      <c r="F79" s="34" t="str">
        <f>IFERROR(__xludf.DUMMYFUNCTION("""COMPUTED_VALUE"""),"Bibliotecario(a)")</f>
        <v>Bibliotecario(a)</v>
      </c>
      <c r="G79" s="33" t="str">
        <f>IFERROR(__xludf.DUMMYFUNCTION("""COMPUTED_VALUE"""),"BIBLIOTECARIA")</f>
        <v>BIBLIOTECARIA</v>
      </c>
      <c r="H79">
        <f>IFERROR(__xludf.DUMMYFUNCTION("""COMPUTED_VALUE"""),14.0)</f>
        <v>14</v>
      </c>
      <c r="I79" s="34" t="str">
        <f>IFERROR(__xludf.DUMMYFUNCTION("""COMPUTED_VALUE"""),"Jornada Completa")</f>
        <v>Jornada Completa</v>
      </c>
      <c r="J79" s="33" t="str">
        <f>IFERROR(__xludf.DUMMYFUNCTION("""COMPUTED_VALUE"""),"A CONTRATA")</f>
        <v>A CONTRATA</v>
      </c>
      <c r="K79" s="33" t="str">
        <f>IFERROR(__xludf.DUMMYFUNCTION("""COMPUTED_VALUE"""),"PROFESIONAL")</f>
        <v>PROFESIONAL</v>
      </c>
      <c r="L79" s="34" t="str">
        <f>IFERROR(__xludf.DUMMYFUNCTION("""COMPUTED_VALUE"""),"INTERNO")</f>
        <v>INTERNO</v>
      </c>
      <c r="M79" s="34">
        <f>IFERROR(__xludf.DUMMYFUNCTION("""COMPUTED_VALUE"""),1.0)</f>
        <v>1</v>
      </c>
      <c r="N79" s="34" t="str">
        <f>IFERROR(__xludf.DUMMYFUNCTION("""COMPUTED_VALUE"""),"NO")</f>
        <v>NO</v>
      </c>
      <c r="P79">
        <f>IFERROR(__xludf.DUMMYFUNCTION("""COMPUTED_VALUE"""),1.0)</f>
        <v>1</v>
      </c>
      <c r="Q79" s="35">
        <f>IFERROR(__xludf.DUMMYFUNCTION("""COMPUTED_VALUE"""),0.0)</f>
        <v>0</v>
      </c>
      <c r="R79" s="36" t="str">
        <f>IFERROR(__xludf.DUMMYFUNCTION("""COMPUTED_VALUE"""),"SELECCIONADA")</f>
        <v>SELECCIONADA</v>
      </c>
      <c r="S79" s="37">
        <f>IFERROR(__xludf.DUMMYFUNCTION("""COMPUTED_VALUE"""),43745.0)</f>
        <v>43745</v>
      </c>
      <c r="T79" s="34" t="str">
        <f>IFERROR(__xludf.DUMMYFUNCTION("""COMPUTED_VALUE"""),"MATSUMOTO JIMENEZ MABEL DEL CARMEN")</f>
        <v>MATSUMOTO JIMENEZ MABEL DEL CARMEN</v>
      </c>
      <c r="V79" t="str">
        <f>IFERROR(__xludf.DUMMYFUNCTION("""COMPUTED_VALUE"""),"14003220-4")</f>
        <v>14003220-4</v>
      </c>
      <c r="W79" t="str">
        <f>IFERROR(__xludf.DUMMYFUNCTION("""COMPUTED_VALUE"""),"SI")</f>
        <v>SI</v>
      </c>
      <c r="X79" t="str">
        <f>IFERROR(__xludf.DUMMYFUNCTION("""COMPUTED_VALUE"""),"Trabajo en Equipo")</f>
        <v>Trabajo en Equipo</v>
      </c>
      <c r="AA79" s="38">
        <f>IFERROR(__xludf.DUMMYFUNCTION("""COMPUTED_VALUE"""),43670.0)</f>
        <v>43670</v>
      </c>
      <c r="AB79" s="38">
        <f>IFERROR(__xludf.DUMMYFUNCTION("""COMPUTED_VALUE"""),43678.0)</f>
        <v>43678</v>
      </c>
      <c r="AF79" s="39"/>
      <c r="AG79" s="39"/>
      <c r="AH79" s="34" t="str">
        <f>IFERROR(__xludf.DUMMYFUNCTION("""COMPUTED_VALUE"""),"PROCESO DE SELECCIÓN")</f>
        <v>PROCESO DE SELECCIÓN</v>
      </c>
      <c r="AI79" s="34" t="str">
        <f>IFERROR(__xludf.DUMMYFUNCTION("""COMPUTED_VALUE"""),"LARENAS FARIAS DANILO")</f>
        <v>LARENAS FARIAS DANILO</v>
      </c>
      <c r="AJ79" s="34"/>
      <c r="AK79" s="34" t="str">
        <f>IFERROR(__xludf.DUMMYFUNCTION("""COMPUTED_VALUE"""),"C")</f>
        <v>C</v>
      </c>
      <c r="AL79">
        <f>IFERROR(__xludf.DUMMYFUNCTION("""COMPUTED_VALUE"""),48.0)</f>
        <v>48</v>
      </c>
      <c r="AM79">
        <f>IFERROR(__xludf.DUMMYFUNCTION("""COMPUTED_VALUE"""),2019.0)</f>
        <v>2019</v>
      </c>
      <c r="AN79" t="str">
        <f t="shared" si="1"/>
        <v>14003220-4</v>
      </c>
    </row>
    <row r="80">
      <c r="A80" s="33">
        <f>IFERROR(__xludf.DUMMYFUNCTION("""COMPUTED_VALUE"""),1.7034521E7)</f>
        <v>17034521</v>
      </c>
      <c r="B80" s="33">
        <f>IFERROR(__xludf.DUMMYFUNCTION("""COMPUTED_VALUE"""),81.0)</f>
        <v>81</v>
      </c>
      <c r="C80" s="33" t="str">
        <f>IFERROR(__xludf.DUMMYFUNCTION("""COMPUTED_VALUE"""),"A282")</f>
        <v>A282</v>
      </c>
      <c r="D80" s="34" t="str">
        <f>IFERROR(__xludf.DUMMYFUNCTION("""COMPUTED_VALUE"""),"40")</f>
        <v>40</v>
      </c>
      <c r="E80" s="34" t="str">
        <f>IFERROR(__xludf.DUMMYFUNCTION("""COMPUTED_VALUE"""),"DPTO. DE INGENIERIA INFORMATICA")</f>
        <v>DPTO. DE INGENIERIA INFORMATICA</v>
      </c>
      <c r="F80" s="34" t="str">
        <f>IFERROR(__xludf.DUMMYFUNCTION("""COMPUTED_VALUE"""),"ANALISTA DE GESTION II")</f>
        <v>ANALISTA DE GESTION II</v>
      </c>
      <c r="G80" s="33" t="str">
        <f>IFERROR(__xludf.DUMMYFUNCTION("""COMPUTED_VALUE"""),"ANALISTA DE GESTION II APOYO INFORMATICO")</f>
        <v>ANALISTA DE GESTION II APOYO INFORMATICO</v>
      </c>
      <c r="H80">
        <f>IFERROR(__xludf.DUMMYFUNCTION("""COMPUTED_VALUE"""),13.0)</f>
        <v>13</v>
      </c>
      <c r="I80" s="34" t="str">
        <f>IFERROR(__xludf.DUMMYFUNCTION("""COMPUTED_VALUE"""),"Jornada Completa")</f>
        <v>Jornada Completa</v>
      </c>
      <c r="J80" s="33" t="str">
        <f>IFERROR(__xludf.DUMMYFUNCTION("""COMPUTED_VALUE"""),"A CONTRATA")</f>
        <v>A CONTRATA</v>
      </c>
      <c r="K80" s="33" t="str">
        <f>IFERROR(__xludf.DUMMYFUNCTION("""COMPUTED_VALUE"""),"PROFESIONAL")</f>
        <v>PROFESIONAL</v>
      </c>
      <c r="L80" s="34" t="str">
        <f>IFERROR(__xludf.DUMMYFUNCTION("""COMPUTED_VALUE"""),"INTERNO")</f>
        <v>INTERNO</v>
      </c>
      <c r="M80" s="34">
        <f>IFERROR(__xludf.DUMMYFUNCTION("""COMPUTED_VALUE"""),1.0)</f>
        <v>1</v>
      </c>
      <c r="N80" s="34" t="str">
        <f>IFERROR(__xludf.DUMMYFUNCTION("""COMPUTED_VALUE"""),"EXTERNO")</f>
        <v>EXTERNO</v>
      </c>
      <c r="O80">
        <f>IFERROR(__xludf.DUMMYFUNCTION("""COMPUTED_VALUE"""),29.0)</f>
        <v>29</v>
      </c>
      <c r="P80">
        <f>IFERROR(__xludf.DUMMYFUNCTION("""COMPUTED_VALUE"""),5.0)</f>
        <v>5</v>
      </c>
      <c r="Q80" s="35">
        <f>IFERROR(__xludf.DUMMYFUNCTION("""COMPUTED_VALUE"""),2.0)</f>
        <v>2</v>
      </c>
      <c r="R80" s="36" t="str">
        <f>IFERROR(__xludf.DUMMYFUNCTION("""COMPUTED_VALUE"""),"SELECCIONADO")</f>
        <v>SELECCIONADO</v>
      </c>
      <c r="S80" s="37">
        <f>IFERROR(__xludf.DUMMYFUNCTION("""COMPUTED_VALUE"""),43836.0)</f>
        <v>43836</v>
      </c>
      <c r="T80" s="34"/>
      <c r="U80" t="str">
        <f>IFERROR(__xludf.DUMMYFUNCTION("""COMPUTED_VALUE""")," SORIANO HERMOSILLA ALDO")</f>
        <v> SORIANO HERMOSILLA ALDO</v>
      </c>
      <c r="V80" t="str">
        <f>IFERROR(__xludf.DUMMYFUNCTION("""COMPUTED_VALUE"""),"17034521-5")</f>
        <v>17034521-5</v>
      </c>
      <c r="W80" t="str">
        <f>IFERROR(__xludf.DUMMYFUNCTION("""COMPUTED_VALUE"""),"SI")</f>
        <v>SI</v>
      </c>
      <c r="X80" t="str">
        <f>IFERROR(__xludf.DUMMYFUNCTION("""COMPUTED_VALUE"""),"Capacidad de Planificacion y Organizacion")</f>
        <v>Capacidad de Planificacion y Organizacion</v>
      </c>
      <c r="Y80" t="str">
        <f>IFERROR(__xludf.DUMMYFUNCTION("""COMPUTED_VALUE"""),"Iniciativa")</f>
        <v>Iniciativa</v>
      </c>
      <c r="AA80" s="38">
        <f>IFERROR(__xludf.DUMMYFUNCTION("""COMPUTED_VALUE"""),43796.0)</f>
        <v>43796</v>
      </c>
      <c r="AB80" s="38">
        <f>IFERROR(__xludf.DUMMYFUNCTION("""COMPUTED_VALUE"""),43805.0)</f>
        <v>43805</v>
      </c>
      <c r="AF80" s="39"/>
      <c r="AG80" s="39"/>
      <c r="AH80" s="34" t="str">
        <f>IFERROR(__xludf.DUMMYFUNCTION("""COMPUTED_VALUE"""),"PROCESO DE SELECCIÓN")</f>
        <v>PROCESO DE SELECCIÓN</v>
      </c>
      <c r="AI80" s="34" t="str">
        <f>IFERROR(__xludf.DUMMYFUNCTION("""COMPUTED_VALUE"""),"CARRASCO MARTA")</f>
        <v>CARRASCO MARTA</v>
      </c>
      <c r="AJ80" s="34"/>
      <c r="AK80" s="34" t="str">
        <f>IFERROR(__xludf.DUMMYFUNCTION("""COMPUTED_VALUE"""),"E")</f>
        <v>E</v>
      </c>
      <c r="AL80">
        <f>IFERROR(__xludf.DUMMYFUNCTION("""COMPUTED_VALUE"""),22.0)</f>
        <v>22</v>
      </c>
      <c r="AM80">
        <f>IFERROR(__xludf.DUMMYFUNCTION("""COMPUTED_VALUE"""),2019.0)</f>
        <v>2019</v>
      </c>
      <c r="AN80" t="str">
        <f t="shared" si="1"/>
        <v>17034521-5</v>
      </c>
    </row>
    <row r="81">
      <c r="A81" s="33">
        <f>IFERROR(__xludf.DUMMYFUNCTION("""COMPUTED_VALUE"""),1.7254189E7)</f>
        <v>17254189</v>
      </c>
      <c r="B81" s="33">
        <f>IFERROR(__xludf.DUMMYFUNCTION("""COMPUTED_VALUE"""),82.0)</f>
        <v>82</v>
      </c>
      <c r="C81" s="33" t="str">
        <f>IFERROR(__xludf.DUMMYFUNCTION("""COMPUTED_VALUE"""),"A402")</f>
        <v>A402</v>
      </c>
      <c r="D81" s="34" t="str">
        <f>IFERROR(__xludf.DUMMYFUNCTION("""COMPUTED_VALUE"""),"120")</f>
        <v>120</v>
      </c>
      <c r="E81" s="34" t="str">
        <f>IFERROR(__xludf.DUMMYFUNCTION("""COMPUTED_VALUE"""),"DPTO. DE COMUNICACIONES")</f>
        <v>DPTO. DE COMUNICACIONES</v>
      </c>
      <c r="F81" s="34" t="str">
        <f>IFERROR(__xludf.DUMMYFUNCTION("""COMPUTED_VALUE"""),"EDITOR")</f>
        <v>EDITOR</v>
      </c>
      <c r="G81" s="33" t="str">
        <f>IFERROR(__xludf.DUMMYFUNCTION("""COMPUTED_VALUE"""),"EDITOR  ")</f>
        <v>EDITOR  </v>
      </c>
      <c r="H81">
        <f>IFERROR(__xludf.DUMMYFUNCTION("""COMPUTED_VALUE"""),10.0)</f>
        <v>10</v>
      </c>
      <c r="I81" s="34" t="str">
        <f>IFERROR(__xludf.DUMMYFUNCTION("""COMPUTED_VALUE"""),"Jornada Completa")</f>
        <v>Jornada Completa</v>
      </c>
      <c r="J81" s="33" t="str">
        <f>IFERROR(__xludf.DUMMYFUNCTION("""COMPUTED_VALUE"""),"A CONTRATA")</f>
        <v>A CONTRATA</v>
      </c>
      <c r="K81" s="33" t="str">
        <f>IFERROR(__xludf.DUMMYFUNCTION("""COMPUTED_VALUE"""),"PROFESIONAL")</f>
        <v>PROFESIONAL</v>
      </c>
      <c r="L81" s="34" t="str">
        <f>IFERROR(__xludf.DUMMYFUNCTION("""COMPUTED_VALUE"""),"NO")</f>
        <v>NO</v>
      </c>
      <c r="M81" s="34"/>
      <c r="N81" s="34" t="str">
        <f>IFERROR(__xludf.DUMMYFUNCTION("""COMPUTED_VALUE"""),"NO")</f>
        <v>NO</v>
      </c>
      <c r="O81">
        <f>IFERROR(__xludf.DUMMYFUNCTION("""COMPUTED_VALUE"""),23.0)</f>
        <v>23</v>
      </c>
      <c r="P81">
        <f>IFERROR(__xludf.DUMMYFUNCTION("""COMPUTED_VALUE"""),1.0)</f>
        <v>1</v>
      </c>
      <c r="Q81" s="35">
        <f>IFERROR(__xludf.DUMMYFUNCTION("""COMPUTED_VALUE"""),0.0)</f>
        <v>0</v>
      </c>
      <c r="R81" s="36" t="str">
        <f>IFERROR(__xludf.DUMMYFUNCTION("""COMPUTED_VALUE"""),"SELECCIONADO")</f>
        <v>SELECCIONADO</v>
      </c>
      <c r="S81" s="37">
        <f>IFERROR(__xludf.DUMMYFUNCTION("""COMPUTED_VALUE"""),43805.0)</f>
        <v>43805</v>
      </c>
      <c r="T81" s="34"/>
      <c r="U81" t="str">
        <f>IFERROR(__xludf.DUMMYFUNCTION("""COMPUTED_VALUE"""),"ARAYA LILLO ALEX ")</f>
        <v>ARAYA LILLO ALEX </v>
      </c>
      <c r="V81" t="str">
        <f>IFERROR(__xludf.DUMMYFUNCTION("""COMPUTED_VALUE"""),"17254189-5")</f>
        <v>17254189-5</v>
      </c>
      <c r="W81" t="str">
        <f>IFERROR(__xludf.DUMMYFUNCTION("""COMPUTED_VALUE"""),"NO")</f>
        <v>NO</v>
      </c>
      <c r="AA81" s="38">
        <f>IFERROR(__xludf.DUMMYFUNCTION("""COMPUTED_VALUE"""),43773.0)</f>
        <v>43773</v>
      </c>
      <c r="AB81" s="38">
        <f>IFERROR(__xludf.DUMMYFUNCTION("""COMPUTED_VALUE"""),43780.0)</f>
        <v>43780</v>
      </c>
      <c r="AF81" s="39"/>
      <c r="AG81" s="39"/>
      <c r="AH81" s="34" t="str">
        <f>IFERROR(__xludf.DUMMYFUNCTION("""COMPUTED_VALUE"""),"PROCESO DE SELECCIÓN")</f>
        <v>PROCESO DE SELECCIÓN</v>
      </c>
      <c r="AI81" s="34" t="str">
        <f>IFERROR(__xludf.DUMMYFUNCTION("""COMPUTED_VALUE"""),"JAQUE AVILA ARMANDO")</f>
        <v>JAQUE AVILA ARMANDO</v>
      </c>
      <c r="AJ81" s="34"/>
      <c r="AK81" s="34" t="str">
        <f>IFERROR(__xludf.DUMMYFUNCTION("""COMPUTED_VALUE"""),"E")</f>
        <v>E</v>
      </c>
      <c r="AL81">
        <f>IFERROR(__xludf.DUMMYFUNCTION("""COMPUTED_VALUE"""),20.0)</f>
        <v>20</v>
      </c>
      <c r="AM81">
        <f>IFERROR(__xludf.DUMMYFUNCTION("""COMPUTED_VALUE"""),2019.0)</f>
        <v>2019</v>
      </c>
      <c r="AN81" t="str">
        <f t="shared" si="1"/>
        <v>17254189-5</v>
      </c>
    </row>
    <row r="82">
      <c r="A82" s="33">
        <f>IFERROR(__xludf.DUMMYFUNCTION("""COMPUTED_VALUE"""),1.7349172E7)</f>
        <v>17349172</v>
      </c>
      <c r="B82" s="33">
        <f>IFERROR(__xludf.DUMMYFUNCTION("""COMPUTED_VALUE"""),83.0)</f>
        <v>83</v>
      </c>
      <c r="C82" s="33" t="str">
        <f>IFERROR(__xludf.DUMMYFUNCTION("""COMPUTED_VALUE"""),"A361")</f>
        <v>A361</v>
      </c>
      <c r="D82" s="34" t="str">
        <f>IFERROR(__xludf.DUMMYFUNCTION("""COMPUTED_VALUE"""),"11")</f>
        <v>11</v>
      </c>
      <c r="E82" s="34" t="str">
        <f>IFERROR(__xludf.DUMMYFUNCTION("""COMPUTED_VALUE"""),"VR. DE INVEST. DESARR E INNOVACION")</f>
        <v>VR. DE INVEST. DESARR E INNOVACION</v>
      </c>
      <c r="F82" s="34" t="str">
        <f>IFERROR(__xludf.DUMMYFUNCTION("""COMPUTED_VALUE"""),"ANALISTA GESTION I")</f>
        <v>ANALISTA GESTION I</v>
      </c>
      <c r="G82" s="33" t="str">
        <f>IFERROR(__xludf.DUMMYFUNCTION("""COMPUTED_VALUE"""),"ANALISTA DE GESTION I  ( COMITE DE ETICA)")</f>
        <v>ANALISTA DE GESTION I  ( COMITE DE ETICA)</v>
      </c>
      <c r="H82">
        <f>IFERROR(__xludf.DUMMYFUNCTION("""COMPUTED_VALUE"""),10.0)</f>
        <v>10</v>
      </c>
      <c r="I82" s="34" t="str">
        <f>IFERROR(__xludf.DUMMYFUNCTION("""COMPUTED_VALUE"""),"Jornada Completa")</f>
        <v>Jornada Completa</v>
      </c>
      <c r="J82" s="33" t="str">
        <f>IFERROR(__xludf.DUMMYFUNCTION("""COMPUTED_VALUE"""),"A CONTRATA")</f>
        <v>A CONTRATA</v>
      </c>
      <c r="K82" s="33" t="str">
        <f>IFERROR(__xludf.DUMMYFUNCTION("""COMPUTED_VALUE"""),"PROFESIONAL")</f>
        <v>PROFESIONAL</v>
      </c>
      <c r="L82" s="34" t="str">
        <f>IFERROR(__xludf.DUMMYFUNCTION("""COMPUTED_VALUE"""),"NO")</f>
        <v>NO</v>
      </c>
      <c r="M82" s="34"/>
      <c r="N82" s="34" t="str">
        <f>IFERROR(__xludf.DUMMYFUNCTION("""COMPUTED_VALUE"""),"EXTERNO")</f>
        <v>EXTERNO</v>
      </c>
      <c r="O82">
        <f>IFERROR(__xludf.DUMMYFUNCTION("""COMPUTED_VALUE"""),10.0)</f>
        <v>10</v>
      </c>
      <c r="P82">
        <f>IFERROR(__xludf.DUMMYFUNCTION("""COMPUTED_VALUE"""),2.0)</f>
        <v>2</v>
      </c>
      <c r="Q82" s="35">
        <f>IFERROR(__xludf.DUMMYFUNCTION("""COMPUTED_VALUE"""),0.0)</f>
        <v>0</v>
      </c>
      <c r="R82" s="36" t="str">
        <f>IFERROR(__xludf.DUMMYFUNCTION("""COMPUTED_VALUE"""),"SELECCIONADO")</f>
        <v>SELECCIONADO</v>
      </c>
      <c r="S82" s="37">
        <f>IFERROR(__xludf.DUMMYFUNCTION("""COMPUTED_VALUE"""),43832.0)</f>
        <v>43832</v>
      </c>
      <c r="T82" s="34"/>
      <c r="U82" t="str">
        <f>IFERROR(__xludf.DUMMYFUNCTION("""COMPUTED_VALUE"""),"FRANCISCA MIRANDA B FRANCISCA ")</f>
        <v>FRANCISCA MIRANDA B FRANCISCA </v>
      </c>
      <c r="V82" t="str">
        <f>IFERROR(__xludf.DUMMYFUNCTION("""COMPUTED_VALUE"""),"17349172-7")</f>
        <v>17349172-7</v>
      </c>
      <c r="W82" t="str">
        <f>IFERROR(__xludf.DUMMYFUNCTION("""COMPUTED_VALUE"""),"SI")</f>
        <v>SI</v>
      </c>
      <c r="X82" t="str">
        <f>IFERROR(__xludf.DUMMYFUNCTION("""COMPUTED_VALUE"""),"Capacidad de Planificacion y Organizacion")</f>
        <v>Capacidad de Planificacion y Organizacion</v>
      </c>
      <c r="AA82" s="38">
        <f>IFERROR(__xludf.DUMMYFUNCTION("""COMPUTED_VALUE"""),43738.0)</f>
        <v>43738</v>
      </c>
      <c r="AB82" s="38">
        <f>IFERROR(__xludf.DUMMYFUNCTION("""COMPUTED_VALUE"""),43745.0)</f>
        <v>43745</v>
      </c>
      <c r="AF82" s="39"/>
      <c r="AG82" s="39"/>
      <c r="AH82" s="34" t="str">
        <f>IFERROR(__xludf.DUMMYFUNCTION("""COMPUTED_VALUE"""),"PROCESO DE SELECCIÓN")</f>
        <v>PROCESO DE SELECCIÓN</v>
      </c>
      <c r="AI82" s="34" t="str">
        <f>IFERROR(__xludf.DUMMYFUNCTION("""COMPUTED_VALUE"""),"HERRERA SALDIVIA ANDREA")</f>
        <v>HERRERA SALDIVIA ANDREA</v>
      </c>
      <c r="AJ82" s="34"/>
      <c r="AK82" s="34" t="str">
        <f>IFERROR(__xludf.DUMMYFUNCTION("""COMPUTED_VALUE"""),"E")</f>
        <v>E</v>
      </c>
      <c r="AL82">
        <f>IFERROR(__xludf.DUMMYFUNCTION("""COMPUTED_VALUE"""),64.0)</f>
        <v>64</v>
      </c>
      <c r="AM82">
        <f>IFERROR(__xludf.DUMMYFUNCTION("""COMPUTED_VALUE"""),2019.0)</f>
        <v>2019</v>
      </c>
      <c r="AN82" t="str">
        <f t="shared" si="1"/>
        <v>17349172-7</v>
      </c>
    </row>
    <row r="83">
      <c r="A83" s="33">
        <f>IFERROR(__xludf.DUMMYFUNCTION("""COMPUTED_VALUE"""),8775662.0)</f>
        <v>8775662</v>
      </c>
      <c r="B83" s="33">
        <f>IFERROR(__xludf.DUMMYFUNCTION("""COMPUTED_VALUE"""),84.0)</f>
        <v>84</v>
      </c>
      <c r="C83" s="33" t="str">
        <f>IFERROR(__xludf.DUMMYFUNCTION("""COMPUTED_VALUE"""),"A361")</f>
        <v>A361</v>
      </c>
      <c r="D83" s="34" t="str">
        <f>IFERROR(__xludf.DUMMYFUNCTION("""COMPUTED_VALUE"""),"11")</f>
        <v>11</v>
      </c>
      <c r="E83" s="34" t="str">
        <f>IFERROR(__xludf.DUMMYFUNCTION("""COMPUTED_VALUE"""),"VR. DE INVEST. DESARR E INNOVACION")</f>
        <v>VR. DE INVEST. DESARR E INNOVACION</v>
      </c>
      <c r="F83" s="34" t="str">
        <f>IFERROR(__xludf.DUMMYFUNCTION("""COMPUTED_VALUE"""),"ANALISTA GESTION I")</f>
        <v>ANALISTA GESTION I</v>
      </c>
      <c r="G83" s="33" t="str">
        <f>IFERROR(__xludf.DUMMYFUNCTION("""COMPUTED_VALUE"""),"ANALISTA DE GESTION I  ( COMITE DE ETICA)")</f>
        <v>ANALISTA DE GESTION I  ( COMITE DE ETICA)</v>
      </c>
      <c r="H83">
        <f>IFERROR(__xludf.DUMMYFUNCTION("""COMPUTED_VALUE"""),10.0)</f>
        <v>10</v>
      </c>
      <c r="I83" s="34" t="str">
        <f>IFERROR(__xludf.DUMMYFUNCTION("""COMPUTED_VALUE"""),"Jornada Completa")</f>
        <v>Jornada Completa</v>
      </c>
      <c r="J83" s="33" t="str">
        <f>IFERROR(__xludf.DUMMYFUNCTION("""COMPUTED_VALUE"""),"A CONTRATA")</f>
        <v>A CONTRATA</v>
      </c>
      <c r="K83" s="33" t="str">
        <f>IFERROR(__xludf.DUMMYFUNCTION("""COMPUTED_VALUE"""),"PROFESIONAL")</f>
        <v>PROFESIONAL</v>
      </c>
      <c r="L83" s="34" t="str">
        <f>IFERROR(__xludf.DUMMYFUNCTION("""COMPUTED_VALUE"""),"NO")</f>
        <v>NO</v>
      </c>
      <c r="M83" s="34"/>
      <c r="N83" s="34" t="str">
        <f>IFERROR(__xludf.DUMMYFUNCTION("""COMPUTED_VALUE"""),"EXTERNO")</f>
        <v>EXTERNO</v>
      </c>
      <c r="O83">
        <f>IFERROR(__xludf.DUMMYFUNCTION("""COMPUTED_VALUE"""),10.0)</f>
        <v>10</v>
      </c>
      <c r="P83">
        <f>IFERROR(__xludf.DUMMYFUNCTION("""COMPUTED_VALUE"""),2.0)</f>
        <v>2</v>
      </c>
      <c r="Q83" s="35">
        <f>IFERROR(__xludf.DUMMYFUNCTION("""COMPUTED_VALUE"""),0.0)</f>
        <v>0</v>
      </c>
      <c r="R83" s="36" t="str">
        <f>IFERROR(__xludf.DUMMYFUNCTION("""COMPUTED_VALUE"""),"SELECCIONADO")</f>
        <v>SELECCIONADO</v>
      </c>
      <c r="S83" s="37">
        <f>IFERROR(__xludf.DUMMYFUNCTION("""COMPUTED_VALUE"""),43832.0)</f>
        <v>43832</v>
      </c>
      <c r="T83" s="34"/>
      <c r="U83" t="str">
        <f>IFERROR(__xludf.DUMMYFUNCTION("""COMPUTED_VALUE""")," GODOY MENDEZ GILBERTO")</f>
        <v> GODOY MENDEZ GILBERTO</v>
      </c>
      <c r="V83" t="str">
        <f>IFERROR(__xludf.DUMMYFUNCTION("""COMPUTED_VALUE"""),"8775662-9")</f>
        <v>8775662-9</v>
      </c>
      <c r="W83" t="str">
        <f>IFERROR(__xludf.DUMMYFUNCTION("""COMPUTED_VALUE"""),"SI")</f>
        <v>SI</v>
      </c>
      <c r="X83" t="str">
        <f>IFERROR(__xludf.DUMMYFUNCTION("""COMPUTED_VALUE"""),"Capacidad de Planificacion y Organizacion")</f>
        <v>Capacidad de Planificacion y Organizacion</v>
      </c>
      <c r="Y83" t="str">
        <f>IFERROR(__xludf.DUMMYFUNCTION("""COMPUTED_VALUE"""),"Orientacion a los Resultados")</f>
        <v>Orientacion a los Resultados</v>
      </c>
      <c r="AA83" s="38">
        <f>IFERROR(__xludf.DUMMYFUNCTION("""COMPUTED_VALUE"""),43738.0)</f>
        <v>43738</v>
      </c>
      <c r="AB83" s="38">
        <f>IFERROR(__xludf.DUMMYFUNCTION("""COMPUTED_VALUE"""),43745.0)</f>
        <v>43745</v>
      </c>
      <c r="AF83" s="39"/>
      <c r="AG83" s="39"/>
      <c r="AH83" s="34" t="str">
        <f>IFERROR(__xludf.DUMMYFUNCTION("""COMPUTED_VALUE"""),"PROCESO DE SELECCIÓN")</f>
        <v>PROCESO DE SELECCIÓN</v>
      </c>
      <c r="AI83" s="34" t="str">
        <f>IFERROR(__xludf.DUMMYFUNCTION("""COMPUTED_VALUE"""),"ERWIN LEAL RIVERA")</f>
        <v>ERWIN LEAL RIVERA</v>
      </c>
      <c r="AJ83" s="34"/>
      <c r="AK83" s="34" t="str">
        <f>IFERROR(__xludf.DUMMYFUNCTION("""COMPUTED_VALUE"""),"E")</f>
        <v>E</v>
      </c>
      <c r="AL83">
        <f>IFERROR(__xludf.DUMMYFUNCTION("""COMPUTED_VALUE"""),64.0)</f>
        <v>64</v>
      </c>
      <c r="AM83">
        <f>IFERROR(__xludf.DUMMYFUNCTION("""COMPUTED_VALUE"""),2019.0)</f>
        <v>2019</v>
      </c>
      <c r="AN83" t="str">
        <f t="shared" si="1"/>
        <v>08775662-9</v>
      </c>
    </row>
    <row r="84">
      <c r="A84" s="33">
        <f>IFERROR(__xludf.DUMMYFUNCTION("""COMPUTED_VALUE"""),1.6424884E7)</f>
        <v>16424884</v>
      </c>
      <c r="B84" s="33">
        <f>IFERROR(__xludf.DUMMYFUNCTION("""COMPUTED_VALUE"""),85.0)</f>
        <v>85</v>
      </c>
      <c r="C84" s="33" t="str">
        <f>IFERROR(__xludf.DUMMYFUNCTION("""COMPUTED_VALUE"""),"A331")</f>
        <v>A331</v>
      </c>
      <c r="D84" s="34" t="str">
        <f>IFERROR(__xludf.DUMMYFUNCTION("""COMPUTED_VALUE"""),"3")</f>
        <v>3</v>
      </c>
      <c r="E84" s="34" t="str">
        <f>IFERROR(__xludf.DUMMYFUNCTION("""COMPUTED_VALUE"""),"DPTO. DE FINANZAS Y TESORERIA")</f>
        <v>DPTO. DE FINANZAS Y TESORERIA</v>
      </c>
      <c r="F84" s="34" t="str">
        <f>IFERROR(__xludf.DUMMYFUNCTION("""COMPUTED_VALUE"""),"Administrativo(a) Contable")</f>
        <v>Administrativo(a) Contable</v>
      </c>
      <c r="G84" s="33" t="str">
        <f>IFERROR(__xludf.DUMMYFUNCTION("""COMPUTED_VALUE"""),"ADMINISTRATIVA CONTABLE  ( COBRANZAS)")</f>
        <v>ADMINISTRATIVA CONTABLE  ( COBRANZAS)</v>
      </c>
      <c r="H84">
        <f>IFERROR(__xludf.DUMMYFUNCTION("""COMPUTED_VALUE"""),17.0)</f>
        <v>17</v>
      </c>
      <c r="I84" s="34" t="str">
        <f>IFERROR(__xludf.DUMMYFUNCTION("""COMPUTED_VALUE"""),"Jornada Completa")</f>
        <v>Jornada Completa</v>
      </c>
      <c r="J84" s="33" t="str">
        <f>IFERROR(__xludf.DUMMYFUNCTION("""COMPUTED_VALUE"""),"A CONTRATA")</f>
        <v>A CONTRATA</v>
      </c>
      <c r="K84" s="33" t="str">
        <f>IFERROR(__xludf.DUMMYFUNCTION("""COMPUTED_VALUE"""),"TECNICO")</f>
        <v>TECNICO</v>
      </c>
      <c r="L84" s="34" t="str">
        <f>IFERROR(__xludf.DUMMYFUNCTION("""COMPUTED_VALUE"""),"INTERNO")</f>
        <v>INTERNO</v>
      </c>
      <c r="M84" s="34">
        <f>IFERROR(__xludf.DUMMYFUNCTION("""COMPUTED_VALUE"""),1.0)</f>
        <v>1</v>
      </c>
      <c r="N84" s="34" t="str">
        <f>IFERROR(__xludf.DUMMYFUNCTION("""COMPUTED_VALUE"""),"EXTERNO")</f>
        <v>EXTERNO</v>
      </c>
      <c r="O84">
        <f>IFERROR(__xludf.DUMMYFUNCTION("""COMPUTED_VALUE"""),10.0)</f>
        <v>10</v>
      </c>
      <c r="P84">
        <f>IFERROR(__xludf.DUMMYFUNCTION("""COMPUTED_VALUE"""),2.0)</f>
        <v>2</v>
      </c>
      <c r="Q84" s="35">
        <f>IFERROR(__xludf.DUMMYFUNCTION("""COMPUTED_VALUE"""),0.0)</f>
        <v>0</v>
      </c>
      <c r="R84" s="36" t="str">
        <f>IFERROR(__xludf.DUMMYFUNCTION("""COMPUTED_VALUE"""),"SELECCIONADA")</f>
        <v>SELECCIONADA</v>
      </c>
      <c r="S84" s="37">
        <f>IFERROR(__xludf.DUMMYFUNCTION("""COMPUTED_VALUE"""),43801.0)</f>
        <v>43801</v>
      </c>
      <c r="T84" s="34"/>
      <c r="U84" t="str">
        <f>IFERROR(__xludf.DUMMYFUNCTION("""COMPUTED_VALUE"""),"JERIA GALVEZ VALERIA")</f>
        <v>JERIA GALVEZ VALERIA</v>
      </c>
      <c r="V84" t="str">
        <f>IFERROR(__xludf.DUMMYFUNCTION("""COMPUTED_VALUE"""),"16424884-4")</f>
        <v>16424884-4</v>
      </c>
      <c r="W84" t="str">
        <f>IFERROR(__xludf.DUMMYFUNCTION("""COMPUTED_VALUE"""),"SI")</f>
        <v>SI</v>
      </c>
      <c r="X84" t="str">
        <f>IFERROR(__xludf.DUMMYFUNCTION("""COMPUTED_VALUE"""),"Orientacion a los Resultados")</f>
        <v>Orientacion a los Resultados</v>
      </c>
      <c r="AA84" s="38">
        <f>IFERROR(__xludf.DUMMYFUNCTION("""COMPUTED_VALUE"""),43735.0)</f>
        <v>43735</v>
      </c>
      <c r="AB84" s="38">
        <f>IFERROR(__xludf.DUMMYFUNCTION("""COMPUTED_VALUE"""),43742.0)</f>
        <v>43742</v>
      </c>
      <c r="AF84" s="39"/>
      <c r="AG84" s="39"/>
      <c r="AH84" s="34" t="str">
        <f>IFERROR(__xludf.DUMMYFUNCTION("""COMPUTED_VALUE"""),"PROCESO DE SELECCIÓN")</f>
        <v>PROCESO DE SELECCIÓN</v>
      </c>
      <c r="AI84" s="34" t="str">
        <f>IFERROR(__xludf.DUMMYFUNCTION("""COMPUTED_VALUE"""),"SOTO AID EVELYN")</f>
        <v>SOTO AID EVELYN</v>
      </c>
      <c r="AJ84" s="34"/>
      <c r="AK84" s="34" t="str">
        <f>IFERROR(__xludf.DUMMYFUNCTION("""COMPUTED_VALUE"""),"E")</f>
        <v>E</v>
      </c>
      <c r="AL84">
        <f>IFERROR(__xludf.DUMMYFUNCTION("""COMPUTED_VALUE"""),42.0)</f>
        <v>42</v>
      </c>
      <c r="AM84">
        <f>IFERROR(__xludf.DUMMYFUNCTION("""COMPUTED_VALUE"""),2019.0)</f>
        <v>2019</v>
      </c>
      <c r="AN84" t="str">
        <f t="shared" si="1"/>
        <v>16424884-4</v>
      </c>
    </row>
    <row r="85">
      <c r="A85" s="33">
        <f>IFERROR(__xludf.DUMMYFUNCTION("""COMPUTED_VALUE"""),1.8925942E7)</f>
        <v>18925942</v>
      </c>
      <c r="B85" s="33">
        <f>IFERROR(__xludf.DUMMYFUNCTION("""COMPUTED_VALUE"""),86.0)</f>
        <v>86</v>
      </c>
      <c r="C85" s="33" t="str">
        <f>IFERROR(__xludf.DUMMYFUNCTION("""COMPUTED_VALUE"""),"A337")</f>
        <v>A337</v>
      </c>
      <c r="D85" s="34" t="str">
        <f>IFERROR(__xludf.DUMMYFUNCTION("""COMPUTED_VALUE"""),"3")</f>
        <v>3</v>
      </c>
      <c r="E85" s="34" t="str">
        <f>IFERROR(__xludf.DUMMYFUNCTION("""COMPUTED_VALUE"""),"DPTO. DE FINANZAS Y TESORERIA")</f>
        <v>DPTO. DE FINANZAS Y TESORERIA</v>
      </c>
      <c r="F85" s="34" t="str">
        <f>IFERROR(__xludf.DUMMYFUNCTION("""COMPUTED_VALUE"""),"Administrativo(a) Contable")</f>
        <v>Administrativo(a) Contable</v>
      </c>
      <c r="G85" s="33" t="str">
        <f>IFERROR(__xludf.DUMMYFUNCTION("""COMPUTED_VALUE"""),"ADMINISTRATIVO CONTABLE")</f>
        <v>ADMINISTRATIVO CONTABLE</v>
      </c>
      <c r="H85">
        <f>IFERROR(__xludf.DUMMYFUNCTION("""COMPUTED_VALUE"""),17.0)</f>
        <v>17</v>
      </c>
      <c r="I85" s="34" t="str">
        <f>IFERROR(__xludf.DUMMYFUNCTION("""COMPUTED_VALUE"""),"Jornada Completa")</f>
        <v>Jornada Completa</v>
      </c>
      <c r="J85" s="33" t="str">
        <f>IFERROR(__xludf.DUMMYFUNCTION("""COMPUTED_VALUE"""),"A CONTRATA")</f>
        <v>A CONTRATA</v>
      </c>
      <c r="K85" s="33" t="str">
        <f>IFERROR(__xludf.DUMMYFUNCTION("""COMPUTED_VALUE"""),"TECNICO")</f>
        <v>TECNICO</v>
      </c>
      <c r="L85" s="34" t="str">
        <f>IFERROR(__xludf.DUMMYFUNCTION("""COMPUTED_VALUE"""),"INTERNO")</f>
        <v>INTERNO</v>
      </c>
      <c r="M85" s="34">
        <f>IFERROR(__xludf.DUMMYFUNCTION("""COMPUTED_VALUE"""),1.0)</f>
        <v>1</v>
      </c>
      <c r="N85" s="34" t="str">
        <f>IFERROR(__xludf.DUMMYFUNCTION("""COMPUTED_VALUE"""),"EXTERNO")</f>
        <v>EXTERNO</v>
      </c>
      <c r="O85">
        <f>IFERROR(__xludf.DUMMYFUNCTION("""COMPUTED_VALUE"""),4.0)</f>
        <v>4</v>
      </c>
      <c r="P85">
        <f>IFERROR(__xludf.DUMMYFUNCTION("""COMPUTED_VALUE"""),3.0)</f>
        <v>3</v>
      </c>
      <c r="Q85" s="35">
        <f>IFERROR(__xludf.DUMMYFUNCTION("""COMPUTED_VALUE"""),0.0)</f>
        <v>0</v>
      </c>
      <c r="R85" s="36" t="str">
        <f>IFERROR(__xludf.DUMMYFUNCTION("""COMPUTED_VALUE"""),"SELECCIONADA")</f>
        <v>SELECCIONADA</v>
      </c>
      <c r="S85" s="37">
        <f>IFERROR(__xludf.DUMMYFUNCTION("""COMPUTED_VALUE"""),43801.0)</f>
        <v>43801</v>
      </c>
      <c r="T85" s="34"/>
      <c r="U85" t="str">
        <f>IFERROR(__xludf.DUMMYFUNCTION("""COMPUTED_VALUE"""),"ROJAS CANCINO MADELEINE")</f>
        <v>ROJAS CANCINO MADELEINE</v>
      </c>
      <c r="V85" t="str">
        <f>IFERROR(__xludf.DUMMYFUNCTION("""COMPUTED_VALUE"""),"18925942-5")</f>
        <v>18925942-5</v>
      </c>
      <c r="W85" t="str">
        <f>IFERROR(__xludf.DUMMYFUNCTION("""COMPUTED_VALUE"""),"SI")</f>
        <v>SI</v>
      </c>
      <c r="X85" t="str">
        <f>IFERROR(__xludf.DUMMYFUNCTION("""COMPUTED_VALUE"""),"Orientacion a los Resultados")</f>
        <v>Orientacion a los Resultados</v>
      </c>
      <c r="AA85" s="38">
        <f>IFERROR(__xludf.DUMMYFUNCTION("""COMPUTED_VALUE"""),43735.0)</f>
        <v>43735</v>
      </c>
      <c r="AB85" s="38">
        <f>IFERROR(__xludf.DUMMYFUNCTION("""COMPUTED_VALUE"""),43742.0)</f>
        <v>43742</v>
      </c>
      <c r="AF85" s="39"/>
      <c r="AG85" s="39"/>
      <c r="AH85" s="34" t="str">
        <f>IFERROR(__xludf.DUMMYFUNCTION("""COMPUTED_VALUE"""),"PROCESO DE SELECCIÓN")</f>
        <v>PROCESO DE SELECCIÓN</v>
      </c>
      <c r="AI85" s="34" t="str">
        <f>IFERROR(__xludf.DUMMYFUNCTION("""COMPUTED_VALUE"""),"BEECHER PARRA GUISELLA")</f>
        <v>BEECHER PARRA GUISELLA</v>
      </c>
      <c r="AJ85" s="34"/>
      <c r="AK85" s="34" t="str">
        <f>IFERROR(__xludf.DUMMYFUNCTION("""COMPUTED_VALUE"""),"E")</f>
        <v>E</v>
      </c>
      <c r="AL85">
        <f>IFERROR(__xludf.DUMMYFUNCTION("""COMPUTED_VALUE"""),42.0)</f>
        <v>42</v>
      </c>
      <c r="AM85">
        <f>IFERROR(__xludf.DUMMYFUNCTION("""COMPUTED_VALUE"""),2019.0)</f>
        <v>2019</v>
      </c>
      <c r="AN85" t="str">
        <f t="shared" si="1"/>
        <v>18925942-5</v>
      </c>
    </row>
    <row r="86">
      <c r="A86" s="33">
        <f>IFERROR(__xludf.DUMMYFUNCTION("""COMPUTED_VALUE"""),1.8702008E7)</f>
        <v>18702008</v>
      </c>
      <c r="B86" s="33">
        <f>IFERROR(__xludf.DUMMYFUNCTION("""COMPUTED_VALUE"""),87.0)</f>
        <v>87</v>
      </c>
      <c r="C86" s="33" t="str">
        <f>IFERROR(__xludf.DUMMYFUNCTION("""COMPUTED_VALUE"""),"A367")</f>
        <v>A367</v>
      </c>
      <c r="D86" s="34" t="str">
        <f>IFERROR(__xludf.DUMMYFUNCTION("""COMPUTED_VALUE"""),"3")</f>
        <v>3</v>
      </c>
      <c r="E86" s="34" t="str">
        <f>IFERROR(__xludf.DUMMYFUNCTION("""COMPUTED_VALUE"""),"DPTO. DE FINANZAS Y TESORERIA")</f>
        <v>DPTO. DE FINANZAS Y TESORERIA</v>
      </c>
      <c r="F86" s="34" t="str">
        <f>IFERROR(__xludf.DUMMYFUNCTION("""COMPUTED_VALUE"""),"Técnico(a) Contable")</f>
        <v>Técnico(a) Contable</v>
      </c>
      <c r="G86" s="33" t="str">
        <f>IFERROR(__xludf.DUMMYFUNCTION("""COMPUTED_VALUE"""),"TECNICO CONTABLE ( CONCILIACIONES BANCARIAS)")</f>
        <v>TECNICO CONTABLE ( CONCILIACIONES BANCARIAS)</v>
      </c>
      <c r="H86">
        <f>IFERROR(__xludf.DUMMYFUNCTION("""COMPUTED_VALUE"""),14.0)</f>
        <v>14</v>
      </c>
      <c r="I86" s="34" t="str">
        <f>IFERROR(__xludf.DUMMYFUNCTION("""COMPUTED_VALUE"""),"Jornada Completa")</f>
        <v>Jornada Completa</v>
      </c>
      <c r="J86" s="33" t="str">
        <f>IFERROR(__xludf.DUMMYFUNCTION("""COMPUTED_VALUE"""),"A CONTRATA")</f>
        <v>A CONTRATA</v>
      </c>
      <c r="K86" s="33" t="str">
        <f>IFERROR(__xludf.DUMMYFUNCTION("""COMPUTED_VALUE"""),"TECNICO")</f>
        <v>TECNICO</v>
      </c>
      <c r="L86" s="34" t="str">
        <f>IFERROR(__xludf.DUMMYFUNCTION("""COMPUTED_VALUE"""),"INTERNO")</f>
        <v>INTERNO</v>
      </c>
      <c r="M86" s="34">
        <f>IFERROR(__xludf.DUMMYFUNCTION("""COMPUTED_VALUE"""),3.0)</f>
        <v>3</v>
      </c>
      <c r="N86" s="34" t="str">
        <f>IFERROR(__xludf.DUMMYFUNCTION("""COMPUTED_VALUE"""),"NO")</f>
        <v>NO</v>
      </c>
      <c r="P86">
        <f>IFERROR(__xludf.DUMMYFUNCTION("""COMPUTED_VALUE"""),1.0)</f>
        <v>1</v>
      </c>
      <c r="Q86" s="35">
        <f>IFERROR(__xludf.DUMMYFUNCTION("""COMPUTED_VALUE"""),0.0)</f>
        <v>0</v>
      </c>
      <c r="R86" s="36" t="str">
        <f>IFERROR(__xludf.DUMMYFUNCTION("""COMPUTED_VALUE"""),"SELECCIONADA")</f>
        <v>SELECCIONADA</v>
      </c>
      <c r="S86" s="37">
        <f>IFERROR(__xludf.DUMMYFUNCTION("""COMPUTED_VALUE"""),43832.0)</f>
        <v>43832</v>
      </c>
      <c r="T86" s="34" t="str">
        <f>IFERROR(__xludf.DUMMYFUNCTION("""COMPUTED_VALUE"""),"GOMEZ ALFARO GISSELLA ANDREA")</f>
        <v>GOMEZ ALFARO GISSELLA ANDREA</v>
      </c>
      <c r="V86" t="str">
        <f>IFERROR(__xludf.DUMMYFUNCTION("""COMPUTED_VALUE"""),"18702008-5")</f>
        <v>18702008-5</v>
      </c>
      <c r="W86" t="str">
        <f>IFERROR(__xludf.DUMMYFUNCTION("""COMPUTED_VALUE"""),"NO")</f>
        <v>NO</v>
      </c>
      <c r="AA86" s="38">
        <f>IFERROR(__xludf.DUMMYFUNCTION("""COMPUTED_VALUE"""),43783.0)</f>
        <v>43783</v>
      </c>
      <c r="AB86" s="38">
        <f>IFERROR(__xludf.DUMMYFUNCTION("""COMPUTED_VALUE"""),43790.0)</f>
        <v>43790</v>
      </c>
      <c r="AF86" s="39"/>
      <c r="AG86" s="39"/>
      <c r="AH86" s="34" t="str">
        <f>IFERROR(__xludf.DUMMYFUNCTION("""COMPUTED_VALUE"""),"PROCESO DE SELECCIÓN")</f>
        <v>PROCESO DE SELECCIÓN</v>
      </c>
      <c r="AI86" s="34" t="str">
        <f>IFERROR(__xludf.DUMMYFUNCTION("""COMPUTED_VALUE"""),"SALGADO CAYUL TAMARA")</f>
        <v>SALGADO CAYUL TAMARA</v>
      </c>
      <c r="AJ86" s="34"/>
      <c r="AK86" s="34" t="str">
        <f>IFERROR(__xludf.DUMMYFUNCTION("""COMPUTED_VALUE"""),"C")</f>
        <v>C</v>
      </c>
      <c r="AL86">
        <f>IFERROR(__xludf.DUMMYFUNCTION("""COMPUTED_VALUE"""),31.0)</f>
        <v>31</v>
      </c>
      <c r="AM86">
        <f>IFERROR(__xludf.DUMMYFUNCTION("""COMPUTED_VALUE"""),2019.0)</f>
        <v>2019</v>
      </c>
      <c r="AN86" t="str">
        <f t="shared" si="1"/>
        <v>18702008-5</v>
      </c>
    </row>
    <row r="87">
      <c r="A87" s="33">
        <f>IFERROR(__xludf.DUMMYFUNCTION("""COMPUTED_VALUE"""),9589121.0)</f>
        <v>9589121</v>
      </c>
      <c r="B87" s="33">
        <f>IFERROR(__xludf.DUMMYFUNCTION("""COMPUTED_VALUE"""),88.0)</f>
        <v>88</v>
      </c>
      <c r="C87" s="33" t="str">
        <f>IFERROR(__xludf.DUMMYFUNCTION("""COMPUTED_VALUE"""),"A411")</f>
        <v>A411</v>
      </c>
      <c r="D87" s="34" t="str">
        <f>IFERROR(__xludf.DUMMYFUNCTION("""COMPUTED_VALUE"""),"40")</f>
        <v>40</v>
      </c>
      <c r="E87" s="34" t="str">
        <f>IFERROR(__xludf.DUMMYFUNCTION("""COMPUTED_VALUE"""),"DPTO. DE INGENIERIA INDUSTRIAL")</f>
        <v>DPTO. DE INGENIERIA INDUSTRIAL</v>
      </c>
      <c r="F87" s="34" t="str">
        <f>IFERROR(__xludf.DUMMYFUNCTION("""COMPUTED_VALUE"""),"Analista de Gestión I")</f>
        <v>Analista de Gestión I</v>
      </c>
      <c r="G87" s="33" t="str">
        <f>IFERROR(__xludf.DUMMYFUNCTION("""COMPUTED_VALUE"""),"ANALISTA DE GESTION I ( COORDINADOR DOCENTE)")</f>
        <v>ANALISTA DE GESTION I ( COORDINADOR DOCENTE)</v>
      </c>
      <c r="H87">
        <f>IFERROR(__xludf.DUMMYFUNCTION("""COMPUTED_VALUE"""),10.0)</f>
        <v>10</v>
      </c>
      <c r="I87" s="34" t="str">
        <f>IFERROR(__xludf.DUMMYFUNCTION("""COMPUTED_VALUE"""),"Jornada Completa")</f>
        <v>Jornada Completa</v>
      </c>
      <c r="J87" s="33" t="str">
        <f>IFERROR(__xludf.DUMMYFUNCTION("""COMPUTED_VALUE"""),"A CONTRATA")</f>
        <v>A CONTRATA</v>
      </c>
      <c r="K87" s="33" t="str">
        <f>IFERROR(__xludf.DUMMYFUNCTION("""COMPUTED_VALUE"""),"PROFESIONAL")</f>
        <v>PROFESIONAL</v>
      </c>
      <c r="L87" s="34" t="str">
        <f>IFERROR(__xludf.DUMMYFUNCTION("""COMPUTED_VALUE"""),"INTERNO")</f>
        <v>INTERNO</v>
      </c>
      <c r="M87" s="34">
        <f>IFERROR(__xludf.DUMMYFUNCTION("""COMPUTED_VALUE"""),11.0)</f>
        <v>11</v>
      </c>
      <c r="N87" s="34" t="str">
        <f>IFERROR(__xludf.DUMMYFUNCTION("""COMPUTED_VALUE"""),"NO")</f>
        <v>NO</v>
      </c>
      <c r="P87">
        <f>IFERROR(__xludf.DUMMYFUNCTION("""COMPUTED_VALUE"""),2.0)</f>
        <v>2</v>
      </c>
      <c r="Q87" s="35">
        <f>IFERROR(__xludf.DUMMYFUNCTION("""COMPUTED_VALUE"""),0.0)</f>
        <v>0</v>
      </c>
      <c r="R87" s="36" t="str">
        <f>IFERROR(__xludf.DUMMYFUNCTION("""COMPUTED_VALUE"""),"SELECCIONADA")</f>
        <v>SELECCIONADA</v>
      </c>
      <c r="S87" s="37">
        <f>IFERROR(__xludf.DUMMYFUNCTION("""COMPUTED_VALUE"""),43831.0)</f>
        <v>43831</v>
      </c>
      <c r="T87" s="34" t="str">
        <f>IFERROR(__xludf.DUMMYFUNCTION("""COMPUTED_VALUE"""),"SILVA BUCAREI ESTER DE LAS MERCEDES")</f>
        <v>SILVA BUCAREI ESTER DE LAS MERCEDES</v>
      </c>
      <c r="V87" t="str">
        <f>IFERROR(__xludf.DUMMYFUNCTION("""COMPUTED_VALUE"""),"9589121-7")</f>
        <v>9589121-7</v>
      </c>
      <c r="W87" t="str">
        <f>IFERROR(__xludf.DUMMYFUNCTION("""COMPUTED_VALUE"""),"SI")</f>
        <v>SI</v>
      </c>
      <c r="X87" t="str">
        <f>IFERROR(__xludf.DUMMYFUNCTION("""COMPUTED_VALUE"""),"Pensamiento Analitico")</f>
        <v>Pensamiento Analitico</v>
      </c>
      <c r="AA87" s="38">
        <f>IFERROR(__xludf.DUMMYFUNCTION("""COMPUTED_VALUE"""),43740.0)</f>
        <v>43740</v>
      </c>
      <c r="AB87" s="38">
        <f>IFERROR(__xludf.DUMMYFUNCTION("""COMPUTED_VALUE"""),43747.0)</f>
        <v>43747</v>
      </c>
      <c r="AF87" s="39"/>
      <c r="AG87" s="39"/>
      <c r="AH87" s="34" t="str">
        <f>IFERROR(__xludf.DUMMYFUNCTION("""COMPUTED_VALUE"""),"PROCESO DE SELECCIÓN")</f>
        <v>PROCESO DE SELECCIÓN</v>
      </c>
      <c r="AI87" s="34" t="str">
        <f>IFERROR(__xludf.DUMMYFUNCTION("""COMPUTED_VALUE"""),"DIAZ GONZALEZ MIGUEL")</f>
        <v>DIAZ GONZALEZ MIGUEL</v>
      </c>
      <c r="AJ87" s="34"/>
      <c r="AK87" s="34" t="str">
        <f>IFERROR(__xludf.DUMMYFUNCTION("""COMPUTED_VALUE"""),"C")</f>
        <v>C</v>
      </c>
      <c r="AL87">
        <f>IFERROR(__xludf.DUMMYFUNCTION("""COMPUTED_VALUE"""),61.0)</f>
        <v>61</v>
      </c>
      <c r="AM87">
        <f>IFERROR(__xludf.DUMMYFUNCTION("""COMPUTED_VALUE"""),2019.0)</f>
        <v>2019</v>
      </c>
      <c r="AN87" t="str">
        <f t="shared" si="1"/>
        <v>09589121-7</v>
      </c>
    </row>
    <row r="88">
      <c r="A88" s="33">
        <f>IFERROR(__xludf.DUMMYFUNCTION("""COMPUTED_VALUE"""),2.019816E7)</f>
        <v>20198160</v>
      </c>
      <c r="B88" s="33">
        <f>IFERROR(__xludf.DUMMYFUNCTION("""COMPUTED_VALUE"""),89.0)</f>
        <v>89</v>
      </c>
      <c r="C88" s="33" t="str">
        <f>IFERROR(__xludf.DUMMYFUNCTION("""COMPUTED_VALUE"""),"A319")</f>
        <v>A319</v>
      </c>
      <c r="D88" s="34" t="str">
        <f>IFERROR(__xludf.DUMMYFUNCTION("""COMPUTED_VALUE"""),"65")</f>
        <v>65</v>
      </c>
      <c r="E88" s="34" t="str">
        <f>IFERROR(__xludf.DUMMYFUNCTION("""COMPUTED_VALUE"""),"FACULTAD TECNOLOGICA")</f>
        <v>FACULTAD TECNOLOGICA</v>
      </c>
      <c r="F88" s="34" t="str">
        <f>IFERROR(__xludf.DUMMYFUNCTION("""COMPUTED_VALUE"""),"Asistente de Biblioteca")</f>
        <v>Asistente de Biblioteca</v>
      </c>
      <c r="G88" s="33" t="str">
        <f>IFERROR(__xludf.DUMMYFUNCTION("""COMPUTED_VALUE"""),"ASISTENTE DE BIBLIOTECA")</f>
        <v>ASISTENTE DE BIBLIOTECA</v>
      </c>
      <c r="H88">
        <f>IFERROR(__xludf.DUMMYFUNCTION("""COMPUTED_VALUE"""),20.0)</f>
        <v>20</v>
      </c>
      <c r="I88" s="34" t="str">
        <f>IFERROR(__xludf.DUMMYFUNCTION("""COMPUTED_VALUE"""),"Jornada Completa")</f>
        <v>Jornada Completa</v>
      </c>
      <c r="J88" s="33" t="str">
        <f>IFERROR(__xludf.DUMMYFUNCTION("""COMPUTED_VALUE"""),"A CONTRATA")</f>
        <v>A CONTRATA</v>
      </c>
      <c r="K88" s="33" t="str">
        <f>IFERROR(__xludf.DUMMYFUNCTION("""COMPUTED_VALUE"""),"ADMINISTRATIVO")</f>
        <v>ADMINISTRATIVO</v>
      </c>
      <c r="L88" s="34" t="str">
        <f>IFERROR(__xludf.DUMMYFUNCTION("""COMPUTED_VALUE"""),"INTERNO")</f>
        <v>INTERNO</v>
      </c>
      <c r="M88" s="34">
        <f>IFERROR(__xludf.DUMMYFUNCTION("""COMPUTED_VALUE"""),1.0)</f>
        <v>1</v>
      </c>
      <c r="N88" s="34" t="str">
        <f>IFERROR(__xludf.DUMMYFUNCTION("""COMPUTED_VALUE"""),"EXTERNO")</f>
        <v>EXTERNO</v>
      </c>
      <c r="O88">
        <f>IFERROR(__xludf.DUMMYFUNCTION("""COMPUTED_VALUE"""),15.0)</f>
        <v>15</v>
      </c>
      <c r="P88">
        <f>IFERROR(__xludf.DUMMYFUNCTION("""COMPUTED_VALUE"""),2.0)</f>
        <v>2</v>
      </c>
      <c r="Q88" s="35">
        <f>IFERROR(__xludf.DUMMYFUNCTION("""COMPUTED_VALUE"""),1.0)</f>
        <v>1</v>
      </c>
      <c r="R88" s="36" t="str">
        <f>IFERROR(__xludf.DUMMYFUNCTION("""COMPUTED_VALUE"""),"SELECCIONADO")</f>
        <v>SELECCIONADO</v>
      </c>
      <c r="S88" s="37">
        <f>IFERROR(__xludf.DUMMYFUNCTION("""COMPUTED_VALUE"""),43815.0)</f>
        <v>43815</v>
      </c>
      <c r="T88" s="34"/>
      <c r="U88" t="str">
        <f>IFERROR(__xludf.DUMMYFUNCTION("""COMPUTED_VALUE"""),"MERIÑO VALDIVIA BRAULIO")</f>
        <v>MERIÑO VALDIVIA BRAULIO</v>
      </c>
      <c r="V88" t="str">
        <f>IFERROR(__xludf.DUMMYFUNCTION("""COMPUTED_VALUE"""),"20198160-3")</f>
        <v>20198160-3</v>
      </c>
      <c r="W88" t="str">
        <f>IFERROR(__xludf.DUMMYFUNCTION("""COMPUTED_VALUE"""),"SI")</f>
        <v>SI</v>
      </c>
      <c r="X88" t="str">
        <f>IFERROR(__xludf.DUMMYFUNCTION("""COMPUTED_VALUE"""),"Trabajo en Equipo")</f>
        <v>Trabajo en Equipo</v>
      </c>
      <c r="AA88" s="38">
        <f>IFERROR(__xludf.DUMMYFUNCTION("""COMPUTED_VALUE"""),43775.0)</f>
        <v>43775</v>
      </c>
      <c r="AB88" s="38">
        <f>IFERROR(__xludf.DUMMYFUNCTION("""COMPUTED_VALUE"""),43782.0)</f>
        <v>43782</v>
      </c>
      <c r="AF88" s="39"/>
      <c r="AG88" s="39"/>
      <c r="AH88" s="34" t="str">
        <f>IFERROR(__xludf.DUMMYFUNCTION("""COMPUTED_VALUE"""),"PROCESO DE SELECCIÓN")</f>
        <v>PROCESO DE SELECCIÓN</v>
      </c>
      <c r="AI88" s="34" t="str">
        <f>IFERROR(__xludf.DUMMYFUNCTION("""COMPUTED_VALUE"""),"AGUILA VILLEGAS SHIRLEY")</f>
        <v>AGUILA VILLEGAS SHIRLEY</v>
      </c>
      <c r="AJ88" s="34"/>
      <c r="AK88" s="34" t="str">
        <f>IFERROR(__xludf.DUMMYFUNCTION("""COMPUTED_VALUE"""),"E")</f>
        <v>E</v>
      </c>
      <c r="AL88">
        <f>IFERROR(__xludf.DUMMYFUNCTION("""COMPUTED_VALUE"""),24.0)</f>
        <v>24</v>
      </c>
      <c r="AM88">
        <f>IFERROR(__xludf.DUMMYFUNCTION("""COMPUTED_VALUE"""),2019.0)</f>
        <v>2019</v>
      </c>
      <c r="AN88" t="str">
        <f t="shared" si="1"/>
        <v>20198160-3</v>
      </c>
    </row>
    <row r="89">
      <c r="A89" s="33">
        <f>IFERROR(__xludf.DUMMYFUNCTION("""COMPUTED_VALUE"""),1.249753E7)</f>
        <v>12497530</v>
      </c>
      <c r="B89" s="33">
        <f>IFERROR(__xludf.DUMMYFUNCTION("""COMPUTED_VALUE"""),90.0)</f>
        <v>90</v>
      </c>
      <c r="C89" s="33" t="str">
        <f>IFERROR(__xludf.DUMMYFUNCTION("""COMPUTED_VALUE"""),"A413")</f>
        <v>A413</v>
      </c>
      <c r="D89" s="34" t="str">
        <f>IFERROR(__xludf.DUMMYFUNCTION("""COMPUTED_VALUE"""),"3")</f>
        <v>3</v>
      </c>
      <c r="E89" s="34" t="str">
        <f>IFERROR(__xludf.DUMMYFUNCTION("""COMPUTED_VALUE"""),"UNIDAD DE GESTION DEL CAMPUS")</f>
        <v>UNIDAD DE GESTION DEL CAMPUS</v>
      </c>
      <c r="F89" s="34" t="str">
        <f>IFERROR(__xludf.DUMMYFUNCTION("""COMPUTED_VALUE"""),"Jefe(a) de Área")</f>
        <v>Jefe(a) de Área</v>
      </c>
      <c r="G89" s="33" t="str">
        <f>IFERROR(__xludf.DUMMYFUNCTION("""COMPUTED_VALUE"""),"JEFE DE AREA VIGILANCIA Y SEGURIDAD")</f>
        <v>JEFE DE AREA VIGILANCIA Y SEGURIDAD</v>
      </c>
      <c r="H89">
        <f>IFERROR(__xludf.DUMMYFUNCTION("""COMPUTED_VALUE"""),6.0)</f>
        <v>6</v>
      </c>
      <c r="I89" s="34" t="str">
        <f>IFERROR(__xludf.DUMMYFUNCTION("""COMPUTED_VALUE"""),"Jornada Completa")</f>
        <v>Jornada Completa</v>
      </c>
      <c r="J89" s="33" t="str">
        <f>IFERROR(__xludf.DUMMYFUNCTION("""COMPUTED_VALUE"""),"A CONTRATA")</f>
        <v>A CONTRATA</v>
      </c>
      <c r="K89" s="33" t="str">
        <f>IFERROR(__xludf.DUMMYFUNCTION("""COMPUTED_VALUE"""),"PROFESIONAL")</f>
        <v>PROFESIONAL</v>
      </c>
      <c r="L89" s="34" t="str">
        <f>IFERROR(__xludf.DUMMYFUNCTION("""COMPUTED_VALUE"""),"NO")</f>
        <v>NO</v>
      </c>
      <c r="M89" s="34">
        <f>IFERROR(__xludf.DUMMYFUNCTION("""COMPUTED_VALUE"""),46.0)</f>
        <v>46</v>
      </c>
      <c r="N89" s="34" t="str">
        <f>IFERROR(__xludf.DUMMYFUNCTION("""COMPUTED_VALUE"""),"NO")</f>
        <v>NO</v>
      </c>
      <c r="P89">
        <f>IFERROR(__xludf.DUMMYFUNCTION("""COMPUTED_VALUE"""),3.0)</f>
        <v>3</v>
      </c>
      <c r="Q89" s="35">
        <f>IFERROR(__xludf.DUMMYFUNCTION("""COMPUTED_VALUE"""),0.0)</f>
        <v>0</v>
      </c>
      <c r="R89" s="36" t="str">
        <f>IFERROR(__xludf.DUMMYFUNCTION("""COMPUTED_VALUE"""),"SELECCIONADO")</f>
        <v>SELECCIONADO</v>
      </c>
      <c r="S89" s="37">
        <f>IFERROR(__xludf.DUMMYFUNCTION("""COMPUTED_VALUE"""),43816.0)</f>
        <v>43816</v>
      </c>
      <c r="T89" s="34"/>
      <c r="U89" t="str">
        <f>IFERROR(__xludf.DUMMYFUNCTION("""COMPUTED_VALUE"""),"HERMAN MORENO FARFAN")</f>
        <v>HERMAN MORENO FARFAN</v>
      </c>
      <c r="V89" t="str">
        <f>IFERROR(__xludf.DUMMYFUNCTION("""COMPUTED_VALUE"""),"12497530-1")</f>
        <v>12497530-1</v>
      </c>
      <c r="W89" t="str">
        <f>IFERROR(__xludf.DUMMYFUNCTION("""COMPUTED_VALUE"""),"NO")</f>
        <v>NO</v>
      </c>
      <c r="AA89" s="38">
        <f>IFERROR(__xludf.DUMMYFUNCTION("""COMPUTED_VALUE"""),43742.0)</f>
        <v>43742</v>
      </c>
      <c r="AB89" s="38">
        <f>IFERROR(__xludf.DUMMYFUNCTION("""COMPUTED_VALUE"""),43749.0)</f>
        <v>43749</v>
      </c>
      <c r="AF89" s="39"/>
      <c r="AG89" s="39"/>
      <c r="AH89" s="34" t="str">
        <f>IFERROR(__xludf.DUMMYFUNCTION("""COMPUTED_VALUE"""),"PROCESO DE SELECCIÓN")</f>
        <v>PROCESO DE SELECCIÓN</v>
      </c>
      <c r="AI89" s="34" t="str">
        <f>IFERROR(__xludf.DUMMYFUNCTION("""COMPUTED_VALUE"""),"DURAN MOYA RENATO")</f>
        <v>DURAN MOYA RENATO</v>
      </c>
      <c r="AJ89" s="34"/>
      <c r="AK89" s="34" t="str">
        <f>IFERROR(__xludf.DUMMYFUNCTION("""COMPUTED_VALUE"""),"E")</f>
        <v>E</v>
      </c>
      <c r="AL89">
        <f>IFERROR(__xludf.DUMMYFUNCTION("""COMPUTED_VALUE"""),48.0)</f>
        <v>48</v>
      </c>
      <c r="AM89">
        <f>IFERROR(__xludf.DUMMYFUNCTION("""COMPUTED_VALUE"""),2019.0)</f>
        <v>2019</v>
      </c>
      <c r="AN89" t="str">
        <f t="shared" si="1"/>
        <v>12497530-1</v>
      </c>
    </row>
    <row r="90">
      <c r="A90" s="33">
        <f>IFERROR(__xludf.DUMMYFUNCTION("""COMPUTED_VALUE"""),1.4541363E7)</f>
        <v>14541363</v>
      </c>
      <c r="B90" s="33">
        <f>IFERROR(__xludf.DUMMYFUNCTION("""COMPUTED_VALUE"""),91.0)</f>
        <v>91</v>
      </c>
      <c r="C90" s="33" t="str">
        <f>IFERROR(__xludf.DUMMYFUNCTION("""COMPUTED_VALUE"""),"A409")</f>
        <v>A409</v>
      </c>
      <c r="D90" s="34" t="str">
        <f>IFERROR(__xludf.DUMMYFUNCTION("""COMPUTED_VALUE"""),"15")</f>
        <v>15</v>
      </c>
      <c r="E90" s="34" t="str">
        <f>IFERROR(__xludf.DUMMYFUNCTION("""COMPUTED_VALUE"""),"UNIDAD DE REGISTRO ACADEMICO Y CURRICULAR")</f>
        <v>UNIDAD DE REGISTRO ACADEMICO Y CURRICULAR</v>
      </c>
      <c r="F90" s="34" t="str">
        <f>IFERROR(__xludf.DUMMYFUNCTION("""COMPUTED_VALUE"""),"Analista Informático")</f>
        <v>Analista Informático</v>
      </c>
      <c r="G90" s="33" t="str">
        <f>IFERROR(__xludf.DUMMYFUNCTION("""COMPUTED_VALUE"""),"ANALISTA INFORMÁTICO")</f>
        <v>ANALISTA INFORMÁTICO</v>
      </c>
      <c r="H90">
        <f>IFERROR(__xludf.DUMMYFUNCTION("""COMPUTED_VALUE"""),10.0)</f>
        <v>10</v>
      </c>
      <c r="I90" s="34" t="str">
        <f>IFERROR(__xludf.DUMMYFUNCTION("""COMPUTED_VALUE"""),"Jornada Completa")</f>
        <v>Jornada Completa</v>
      </c>
      <c r="J90" s="33" t="str">
        <f>IFERROR(__xludf.DUMMYFUNCTION("""COMPUTED_VALUE"""),"A CONTRATA")</f>
        <v>A CONTRATA</v>
      </c>
      <c r="K90" s="33" t="str">
        <f>IFERROR(__xludf.DUMMYFUNCTION("""COMPUTED_VALUE"""),"PROFESIONAL")</f>
        <v>PROFESIONAL</v>
      </c>
      <c r="L90" s="34" t="str">
        <f>IFERROR(__xludf.DUMMYFUNCTION("""COMPUTED_VALUE"""),"INTERNO")</f>
        <v>INTERNO</v>
      </c>
      <c r="M90" s="34"/>
      <c r="N90" s="34" t="str">
        <f>IFERROR(__xludf.DUMMYFUNCTION("""COMPUTED_VALUE"""),"EXTERNO")</f>
        <v>EXTERNO</v>
      </c>
      <c r="O90">
        <f>IFERROR(__xludf.DUMMYFUNCTION("""COMPUTED_VALUE"""),4.0)</f>
        <v>4</v>
      </c>
      <c r="P90">
        <f>IFERROR(__xludf.DUMMYFUNCTION("""COMPUTED_VALUE"""),1.0)</f>
        <v>1</v>
      </c>
      <c r="Q90" s="35">
        <f>IFERROR(__xludf.DUMMYFUNCTION("""COMPUTED_VALUE"""),0.0)</f>
        <v>0</v>
      </c>
      <c r="R90" s="36" t="str">
        <f>IFERROR(__xludf.DUMMYFUNCTION("""COMPUTED_VALUE"""),"SELECCIONADO")</f>
        <v>SELECCIONADO</v>
      </c>
      <c r="S90" s="37">
        <f>IFERROR(__xludf.DUMMYFUNCTION("""COMPUTED_VALUE"""),43843.0)</f>
        <v>43843</v>
      </c>
      <c r="T90" s="34"/>
      <c r="U90" t="str">
        <f>IFERROR(__xludf.DUMMYFUNCTION("""COMPUTED_VALUE"""),"BURGOS VILLABLANCA EDGARDO")</f>
        <v>BURGOS VILLABLANCA EDGARDO</v>
      </c>
      <c r="V90" t="str">
        <f>IFERROR(__xludf.DUMMYFUNCTION("""COMPUTED_VALUE"""),"14541363-K")</f>
        <v>14541363-K</v>
      </c>
      <c r="W90" t="str">
        <f>IFERROR(__xludf.DUMMYFUNCTION("""COMPUTED_VALUE"""),"SI")</f>
        <v>SI</v>
      </c>
      <c r="X90" t="str">
        <f>IFERROR(__xludf.DUMMYFUNCTION("""COMPUTED_VALUE"""),"Capacidad de Planificacion y Organizacion")</f>
        <v>Capacidad de Planificacion y Organizacion</v>
      </c>
      <c r="Y90" t="str">
        <f>IFERROR(__xludf.DUMMYFUNCTION("""COMPUTED_VALUE"""),"Pensamiento Analitico")</f>
        <v>Pensamiento Analitico</v>
      </c>
      <c r="AA90" s="38">
        <f>IFERROR(__xludf.DUMMYFUNCTION("""COMPUTED_VALUE"""),43782.0)</f>
        <v>43782</v>
      </c>
      <c r="AB90" s="38">
        <f>IFERROR(__xludf.DUMMYFUNCTION("""COMPUTED_VALUE"""),43789.0)</f>
        <v>43789</v>
      </c>
      <c r="AF90" s="39"/>
      <c r="AG90" s="39"/>
      <c r="AH90" s="34" t="str">
        <f>IFERROR(__xludf.DUMMYFUNCTION("""COMPUTED_VALUE"""),"PROCESO DE SELECCIÓN")</f>
        <v>PROCESO DE SELECCIÓN</v>
      </c>
      <c r="AI90" s="34" t="str">
        <f>IFERROR(__xludf.DUMMYFUNCTION("""COMPUTED_VALUE"""),"MORAGA ESPINOZA ANA")</f>
        <v>MORAGA ESPINOZA ANA</v>
      </c>
      <c r="AJ90" s="34"/>
      <c r="AK90" s="34" t="str">
        <f>IFERROR(__xludf.DUMMYFUNCTION("""COMPUTED_VALUE"""),"E")</f>
        <v>E</v>
      </c>
      <c r="AL90">
        <f>IFERROR(__xludf.DUMMYFUNCTION("""COMPUTED_VALUE"""),39.0)</f>
        <v>39</v>
      </c>
      <c r="AM90">
        <f>IFERROR(__xludf.DUMMYFUNCTION("""COMPUTED_VALUE"""),2019.0)</f>
        <v>2019</v>
      </c>
      <c r="AN90" t="str">
        <f t="shared" si="1"/>
        <v>14541363-K</v>
      </c>
    </row>
    <row r="91">
      <c r="A91" s="33">
        <f>IFERROR(__xludf.DUMMYFUNCTION("""COMPUTED_VALUE"""),1.958401E7)</f>
        <v>19584010</v>
      </c>
      <c r="B91" s="33">
        <f>IFERROR(__xludf.DUMMYFUNCTION("""COMPUTED_VALUE"""),92.0)</f>
        <v>92</v>
      </c>
      <c r="C91" s="33" t="str">
        <f>IFERROR(__xludf.DUMMYFUNCTION("""COMPUTED_VALUE"""),"A292")</f>
        <v>A292</v>
      </c>
      <c r="D91" s="34" t="str">
        <f>IFERROR(__xludf.DUMMYFUNCTION("""COMPUTED_VALUE"""),"50")</f>
        <v>50</v>
      </c>
      <c r="E91" s="34" t="str">
        <f>IFERROR(__xludf.DUMMYFUNCTION("""COMPUTED_VALUE"""),"DPTO. DE FISICA")</f>
        <v>DPTO. DE FISICA</v>
      </c>
      <c r="F91" s="34" t="str">
        <f>IFERROR(__xludf.DUMMYFUNCTION("""COMPUTED_VALUE"""),"Asistente de Laboratorio")</f>
        <v>Asistente de Laboratorio</v>
      </c>
      <c r="G91" s="33" t="str">
        <f>IFERROR(__xludf.DUMMYFUNCTION("""COMPUTED_VALUE"""),"ASISTENTE DE LABORATORIO")</f>
        <v>ASISTENTE DE LABORATORIO</v>
      </c>
      <c r="H91">
        <f>IFERROR(__xludf.DUMMYFUNCTION("""COMPUTED_VALUE"""),20.0)</f>
        <v>20</v>
      </c>
      <c r="I91" s="34" t="str">
        <f>IFERROR(__xludf.DUMMYFUNCTION("""COMPUTED_VALUE"""),"Jornada Completa")</f>
        <v>Jornada Completa</v>
      </c>
      <c r="J91" s="33" t="str">
        <f>IFERROR(__xludf.DUMMYFUNCTION("""COMPUTED_VALUE"""),"A CONTRATA")</f>
        <v>A CONTRATA</v>
      </c>
      <c r="K91" s="33" t="str">
        <f>IFERROR(__xludf.DUMMYFUNCTION("""COMPUTED_VALUE"""),"TECNICO")</f>
        <v>TECNICO</v>
      </c>
      <c r="L91" s="34" t="str">
        <f>IFERROR(__xludf.DUMMYFUNCTION("""COMPUTED_VALUE"""),"INTERNO")</f>
        <v>INTERNO</v>
      </c>
      <c r="M91" s="34">
        <f>IFERROR(__xludf.DUMMYFUNCTION("""COMPUTED_VALUE"""),1.0)</f>
        <v>1</v>
      </c>
      <c r="N91" s="34" t="str">
        <f>IFERROR(__xludf.DUMMYFUNCTION("""COMPUTED_VALUE"""),"EXTERNO")</f>
        <v>EXTERNO</v>
      </c>
      <c r="O91">
        <f>IFERROR(__xludf.DUMMYFUNCTION("""COMPUTED_VALUE"""),11.0)</f>
        <v>11</v>
      </c>
      <c r="P91">
        <f>IFERROR(__xludf.DUMMYFUNCTION("""COMPUTED_VALUE"""),1.0)</f>
        <v>1</v>
      </c>
      <c r="Q91" s="35">
        <f>IFERROR(__xludf.DUMMYFUNCTION("""COMPUTED_VALUE"""),0.0)</f>
        <v>0</v>
      </c>
      <c r="R91" s="36" t="str">
        <f>IFERROR(__xludf.DUMMYFUNCTION("""COMPUTED_VALUE"""),"SELECCIONADA")</f>
        <v>SELECCIONADA</v>
      </c>
      <c r="S91" s="37">
        <f>IFERROR(__xludf.DUMMYFUNCTION("""COMPUTED_VALUE"""),43892.0)</f>
        <v>43892</v>
      </c>
      <c r="T91" s="34"/>
      <c r="U91" t="str">
        <f>IFERROR(__xludf.DUMMYFUNCTION("""COMPUTED_VALUE"""),"MOYA CASTRO GABRIELA")</f>
        <v>MOYA CASTRO GABRIELA</v>
      </c>
      <c r="V91" t="str">
        <f>IFERROR(__xludf.DUMMYFUNCTION("""COMPUTED_VALUE"""),"19584010-5")</f>
        <v>19584010-5</v>
      </c>
      <c r="W91" t="str">
        <f>IFERROR(__xludf.DUMMYFUNCTION("""COMPUTED_VALUE"""),"NO")</f>
        <v>NO</v>
      </c>
      <c r="AA91" s="38">
        <f>IFERROR(__xludf.DUMMYFUNCTION("""COMPUTED_VALUE"""),43791.0)</f>
        <v>43791</v>
      </c>
      <c r="AB91" s="38">
        <f>IFERROR(__xludf.DUMMYFUNCTION("""COMPUTED_VALUE"""),43798.0)</f>
        <v>43798</v>
      </c>
      <c r="AF91" s="39"/>
      <c r="AG91" s="39"/>
      <c r="AH91" s="34" t="str">
        <f>IFERROR(__xludf.DUMMYFUNCTION("""COMPUTED_VALUE"""),"PROCESO DE SELECCIÓN")</f>
        <v>PROCESO DE SELECCIÓN</v>
      </c>
      <c r="AI91" s="34" t="str">
        <f>IFERROR(__xludf.DUMMYFUNCTION("""COMPUTED_VALUE"""),"GONZALEZ SANTANDER NATALIA")</f>
        <v>GONZALEZ SANTANDER NATALIA</v>
      </c>
      <c r="AJ91" s="34"/>
      <c r="AK91" s="34" t="str">
        <f>IFERROR(__xludf.DUMMYFUNCTION("""COMPUTED_VALUE"""),"E")</f>
        <v>E</v>
      </c>
      <c r="AL91">
        <f>IFERROR(__xludf.DUMMYFUNCTION("""COMPUTED_VALUE"""),67.0)</f>
        <v>67</v>
      </c>
      <c r="AM91">
        <f>IFERROR(__xludf.DUMMYFUNCTION("""COMPUTED_VALUE"""),2019.0)</f>
        <v>2019</v>
      </c>
      <c r="AN91" t="str">
        <f t="shared" si="1"/>
        <v>19584010-5</v>
      </c>
    </row>
    <row r="92">
      <c r="A92" s="33">
        <f>IFERROR(__xludf.DUMMYFUNCTION("""COMPUTED_VALUE"""),1.304178E7)</f>
        <v>13041780</v>
      </c>
      <c r="B92" s="33">
        <f>IFERROR(__xludf.DUMMYFUNCTION("""COMPUTED_VALUE"""),93.0)</f>
        <v>93</v>
      </c>
      <c r="C92" s="33" t="str">
        <f>IFERROR(__xludf.DUMMYFUNCTION("""COMPUTED_VALUE"""),"A422")</f>
        <v>A422</v>
      </c>
      <c r="D92" s="34" t="str">
        <f>IFERROR(__xludf.DUMMYFUNCTION("""COMPUTED_VALUE"""),"50")</f>
        <v>50</v>
      </c>
      <c r="E92" s="34" t="str">
        <f>IFERROR(__xludf.DUMMYFUNCTION("""COMPUTED_VALUE"""),"DPTO. DE FISICA")</f>
        <v>DPTO. DE FISICA</v>
      </c>
      <c r="F92" s="34" t="str">
        <f>IFERROR(__xludf.DUMMYFUNCTION("""COMPUTED_VALUE"""),"Mayordomo(a)")</f>
        <v>Mayordomo(a)</v>
      </c>
      <c r="G92" s="33" t="str">
        <f>IFERROR(__xludf.DUMMYFUNCTION("""COMPUTED_VALUE"""),"MAYORDOMO")</f>
        <v>MAYORDOMO</v>
      </c>
      <c r="H92">
        <f>IFERROR(__xludf.DUMMYFUNCTION("""COMPUTED_VALUE"""),21.0)</f>
        <v>21</v>
      </c>
      <c r="I92" s="34" t="str">
        <f>IFERROR(__xludf.DUMMYFUNCTION("""COMPUTED_VALUE"""),"Jornada Completa")</f>
        <v>Jornada Completa</v>
      </c>
      <c r="J92" s="33" t="str">
        <f>IFERROR(__xludf.DUMMYFUNCTION("""COMPUTED_VALUE"""),"A CONTRATA")</f>
        <v>A CONTRATA</v>
      </c>
      <c r="K92" s="33" t="str">
        <f>IFERROR(__xludf.DUMMYFUNCTION("""COMPUTED_VALUE"""),"AUXILIAR")</f>
        <v>AUXILIAR</v>
      </c>
      <c r="L92" s="34" t="str">
        <f>IFERROR(__xludf.DUMMYFUNCTION("""COMPUTED_VALUE"""),"INTERNO")</f>
        <v>INTERNO</v>
      </c>
      <c r="M92" s="34">
        <f>IFERROR(__xludf.DUMMYFUNCTION("""COMPUTED_VALUE"""),0.0)</f>
        <v>0</v>
      </c>
      <c r="N92" s="34" t="str">
        <f>IFERROR(__xludf.DUMMYFUNCTION("""COMPUTED_VALUE"""),"EXTERNO")</f>
        <v>EXTERNO</v>
      </c>
      <c r="O92">
        <f>IFERROR(__xludf.DUMMYFUNCTION("""COMPUTED_VALUE"""),13.0)</f>
        <v>13</v>
      </c>
      <c r="P92">
        <f>IFERROR(__xludf.DUMMYFUNCTION("""COMPUTED_VALUE"""),2.0)</f>
        <v>2</v>
      </c>
      <c r="Q92" s="35">
        <f>IFERROR(__xludf.DUMMYFUNCTION("""COMPUTED_VALUE"""),0.0)</f>
        <v>0</v>
      </c>
      <c r="R92" s="36" t="str">
        <f>IFERROR(__xludf.DUMMYFUNCTION("""COMPUTED_VALUE"""),"SELECCIONADO")</f>
        <v>SELECCIONADO</v>
      </c>
      <c r="S92" s="37">
        <f>IFERROR(__xludf.DUMMYFUNCTION("""COMPUTED_VALUE"""),43892.0)</f>
        <v>43892</v>
      </c>
      <c r="T92" s="34"/>
      <c r="U92" t="str">
        <f>IFERROR(__xludf.DUMMYFUNCTION("""COMPUTED_VALUE"""),"SANTIBAÑEZ MILLAS HERNAN")</f>
        <v>SANTIBAÑEZ MILLAS HERNAN</v>
      </c>
      <c r="V92" t="str">
        <f>IFERROR(__xludf.DUMMYFUNCTION("""COMPUTED_VALUE"""),"13041780-9")</f>
        <v>13041780-9</v>
      </c>
      <c r="W92" t="str">
        <f>IFERROR(__xludf.DUMMYFUNCTION("""COMPUTED_VALUE"""),"SI")</f>
        <v>SI</v>
      </c>
      <c r="X92" t="str">
        <f>IFERROR(__xludf.DUMMYFUNCTION("""COMPUTED_VALUE"""),"Capacidad de Planificacion y Organizacion")</f>
        <v>Capacidad de Planificacion y Organizacion</v>
      </c>
      <c r="AA92" s="38">
        <f>IFERROR(__xludf.DUMMYFUNCTION("""COMPUTED_VALUE"""),43791.0)</f>
        <v>43791</v>
      </c>
      <c r="AB92" s="38">
        <f>IFERROR(__xludf.DUMMYFUNCTION("""COMPUTED_VALUE"""),43798.0)</f>
        <v>43798</v>
      </c>
      <c r="AF92" s="39"/>
      <c r="AG92" s="39"/>
      <c r="AH92" s="34" t="str">
        <f>IFERROR(__xludf.DUMMYFUNCTION("""COMPUTED_VALUE"""),"PROCESO DE SELECCIÓN")</f>
        <v>PROCESO DE SELECCIÓN</v>
      </c>
      <c r="AI92" s="34" t="str">
        <f>IFERROR(__xludf.DUMMYFUNCTION("""COMPUTED_VALUE"""),"RIFFO CAMPOS ALEXIS")</f>
        <v>RIFFO CAMPOS ALEXIS</v>
      </c>
      <c r="AJ92" s="34"/>
      <c r="AK92" s="34" t="str">
        <f>IFERROR(__xludf.DUMMYFUNCTION("""COMPUTED_VALUE"""),"E")</f>
        <v>E</v>
      </c>
      <c r="AL92">
        <f>IFERROR(__xludf.DUMMYFUNCTION("""COMPUTED_VALUE"""),67.0)</f>
        <v>67</v>
      </c>
      <c r="AM92">
        <f>IFERROR(__xludf.DUMMYFUNCTION("""COMPUTED_VALUE"""),2019.0)</f>
        <v>2019</v>
      </c>
      <c r="AN92" t="str">
        <f t="shared" si="1"/>
        <v>13041780-9</v>
      </c>
    </row>
    <row r="93">
      <c r="A93" s="33">
        <f>IFERROR(__xludf.DUMMYFUNCTION("""COMPUTED_VALUE"""),1.8665923E7)</f>
        <v>18665923</v>
      </c>
      <c r="B93" s="33">
        <f>IFERROR(__xludf.DUMMYFUNCTION("""COMPUTED_VALUE"""),94.0)</f>
        <v>94</v>
      </c>
      <c r="C93" s="33" t="str">
        <f>IFERROR(__xludf.DUMMYFUNCTION("""COMPUTED_VALUE"""),"A398")</f>
        <v>A398</v>
      </c>
      <c r="D93" s="34" t="str">
        <f>IFERROR(__xludf.DUMMYFUNCTION("""COMPUTED_VALUE"""),"120")</f>
        <v>120</v>
      </c>
      <c r="E93" s="34" t="str">
        <f>IFERROR(__xludf.DUMMYFUNCTION("""COMPUTED_VALUE"""),"DPTO. DE RELAC. INTERUNIV E INTERN")</f>
        <v>DPTO. DE RELAC. INTERUNIV E INTERN</v>
      </c>
      <c r="F93" s="34" t="str">
        <f>IFERROR(__xludf.DUMMYFUNCTION("""COMPUTED_VALUE"""),"ANALISTA DE GESTION II")</f>
        <v>ANALISTA DE GESTION II</v>
      </c>
      <c r="G93" s="33" t="str">
        <f>IFERROR(__xludf.DUMMYFUNCTION("""COMPUTED_VALUE"""),"ANALISTA DE GESTION II ATENCION AL VISITANTE INTERNACIONAL")</f>
        <v>ANALISTA DE GESTION II ATENCION AL VISITANTE INTERNACIONAL</v>
      </c>
      <c r="H93">
        <f>IFERROR(__xludf.DUMMYFUNCTION("""COMPUTED_VALUE"""),13.0)</f>
        <v>13</v>
      </c>
      <c r="I93" s="34" t="str">
        <f>IFERROR(__xludf.DUMMYFUNCTION("""COMPUTED_VALUE"""),"Jornada Completa")</f>
        <v>Jornada Completa</v>
      </c>
      <c r="J93" s="33" t="str">
        <f>IFERROR(__xludf.DUMMYFUNCTION("""COMPUTED_VALUE"""),"A CONTRATA")</f>
        <v>A CONTRATA</v>
      </c>
      <c r="K93" s="33" t="str">
        <f>IFERROR(__xludf.DUMMYFUNCTION("""COMPUTED_VALUE"""),"PROFESIONAL")</f>
        <v>PROFESIONAL</v>
      </c>
      <c r="L93" s="34" t="str">
        <f>IFERROR(__xludf.DUMMYFUNCTION("""COMPUTED_VALUE"""),"INTERNO")</f>
        <v>INTERNO</v>
      </c>
      <c r="M93" s="34">
        <f>IFERROR(__xludf.DUMMYFUNCTION("""COMPUTED_VALUE"""),1.0)</f>
        <v>1</v>
      </c>
      <c r="N93" s="34" t="str">
        <f>IFERROR(__xludf.DUMMYFUNCTION("""COMPUTED_VALUE"""),"EXTERNO")</f>
        <v>EXTERNO</v>
      </c>
      <c r="O93">
        <f>IFERROR(__xludf.DUMMYFUNCTION("""COMPUTED_VALUE"""),51.0)</f>
        <v>51</v>
      </c>
      <c r="P93">
        <f>IFERROR(__xludf.DUMMYFUNCTION("""COMPUTED_VALUE"""),4.0)</f>
        <v>4</v>
      </c>
      <c r="Q93" s="35">
        <f>IFERROR(__xludf.DUMMYFUNCTION("""COMPUTED_VALUE"""),1.0)</f>
        <v>1</v>
      </c>
      <c r="R93" s="36" t="str">
        <f>IFERROR(__xludf.DUMMYFUNCTION("""COMPUTED_VALUE"""),"SELECCIONADA")</f>
        <v>SELECCIONADA</v>
      </c>
      <c r="S93" s="37">
        <f>IFERROR(__xludf.DUMMYFUNCTION("""COMPUTED_VALUE"""),43892.0)</f>
        <v>43892</v>
      </c>
      <c r="T93" s="34"/>
      <c r="U93" t="str">
        <f>IFERROR(__xludf.DUMMYFUNCTION("""COMPUTED_VALUE"""),"MONDACA AHRENS PAULA")</f>
        <v>MONDACA AHRENS PAULA</v>
      </c>
      <c r="V93" t="str">
        <f>IFERROR(__xludf.DUMMYFUNCTION("""COMPUTED_VALUE"""),"18665923-6")</f>
        <v>18665923-6</v>
      </c>
      <c r="W93" t="str">
        <f>IFERROR(__xludf.DUMMYFUNCTION("""COMPUTED_VALUE"""),"SI")</f>
        <v>SI</v>
      </c>
      <c r="X93" t="str">
        <f>IFERROR(__xludf.DUMMYFUNCTION("""COMPUTED_VALUE"""),"Iniciativa")</f>
        <v>Iniciativa</v>
      </c>
      <c r="AA93" s="38">
        <f>IFERROR(__xludf.DUMMYFUNCTION("""COMPUTED_VALUE"""),43812.0)</f>
        <v>43812</v>
      </c>
      <c r="AB93" s="38">
        <f>IFERROR(__xludf.DUMMYFUNCTION("""COMPUTED_VALUE"""),43819.0)</f>
        <v>43819</v>
      </c>
      <c r="AF93" s="39"/>
      <c r="AG93" s="39"/>
      <c r="AH93" s="34" t="str">
        <f>IFERROR(__xludf.DUMMYFUNCTION("""COMPUTED_VALUE"""),"PROCESO DE SELECCIÓN")</f>
        <v>PROCESO DE SELECCIÓN</v>
      </c>
      <c r="AI93" s="34" t="str">
        <f>IFERROR(__xludf.DUMMYFUNCTION("""COMPUTED_VALUE"""),"SILVA VARGAS LEANDRO")</f>
        <v>SILVA VARGAS LEANDRO</v>
      </c>
      <c r="AJ93" s="34"/>
      <c r="AK93" s="34" t="str">
        <f>IFERROR(__xludf.DUMMYFUNCTION("""COMPUTED_VALUE"""),"E")</f>
        <v>E</v>
      </c>
      <c r="AL93">
        <f>IFERROR(__xludf.DUMMYFUNCTION("""COMPUTED_VALUE"""),52.0)</f>
        <v>52</v>
      </c>
      <c r="AM93">
        <f>IFERROR(__xludf.DUMMYFUNCTION("""COMPUTED_VALUE"""),2019.0)</f>
        <v>2019</v>
      </c>
      <c r="AN93" t="str">
        <f t="shared" si="1"/>
        <v>18665923-6</v>
      </c>
    </row>
    <row r="94">
      <c r="A94" s="33">
        <f>IFERROR(__xludf.DUMMYFUNCTION("""COMPUTED_VALUE"""),1.8991732E7)</f>
        <v>18991732</v>
      </c>
      <c r="B94" s="33">
        <f>IFERROR(__xludf.DUMMYFUNCTION("""COMPUTED_VALUE"""),95.0)</f>
        <v>95</v>
      </c>
      <c r="C94" s="33" t="str">
        <f>IFERROR(__xludf.DUMMYFUNCTION("""COMPUTED_VALUE"""),"A478")</f>
        <v>A478</v>
      </c>
      <c r="D94" s="34" t="str">
        <f>IFERROR(__xludf.DUMMYFUNCTION("""COMPUTED_VALUE"""),"3")</f>
        <v>3</v>
      </c>
      <c r="E94" s="34" t="str">
        <f>IFERROR(__xludf.DUMMYFUNCTION("""COMPUTED_VALUE"""),"UNIDAD DE DESARR. PROYECTOS TECN.")</f>
        <v>UNIDAD DE DESARR. PROYECTOS TECN.</v>
      </c>
      <c r="F94" s="34" t="str">
        <f>IFERROR(__xludf.DUMMYFUNCTION("""COMPUTED_VALUE"""),"Desarrollador(a) Técnico(a) ")</f>
        <v>Desarrollador(a) Técnico(a) </v>
      </c>
      <c r="G94" s="33" t="str">
        <f>IFERROR(__xludf.DUMMYFUNCTION("""COMPUTED_VALUE"""),"DESARROLLADOR TECNICO TI")</f>
        <v>DESARROLLADOR TECNICO TI</v>
      </c>
      <c r="H94">
        <f>IFERROR(__xludf.DUMMYFUNCTION("""COMPUTED_VALUE"""),10.0)</f>
        <v>10</v>
      </c>
      <c r="I94" s="34" t="str">
        <f>IFERROR(__xludf.DUMMYFUNCTION("""COMPUTED_VALUE"""),"Jornada Completa")</f>
        <v>Jornada Completa</v>
      </c>
      <c r="J94" s="33" t="str">
        <f>IFERROR(__xludf.DUMMYFUNCTION("""COMPUTED_VALUE"""),"A CONTRATA")</f>
        <v>A CONTRATA</v>
      </c>
      <c r="K94" s="33" t="str">
        <f>IFERROR(__xludf.DUMMYFUNCTION("""COMPUTED_VALUE"""),"PROFESIONAL")</f>
        <v>PROFESIONAL</v>
      </c>
      <c r="L94" s="34" t="str">
        <f>IFERROR(__xludf.DUMMYFUNCTION("""COMPUTED_VALUE"""),"NO")</f>
        <v>NO</v>
      </c>
      <c r="M94" s="34">
        <f>IFERROR(__xludf.DUMMYFUNCTION("""COMPUTED_VALUE"""),0.0)</f>
        <v>0</v>
      </c>
      <c r="N94" s="34" t="str">
        <f>IFERROR(__xludf.DUMMYFUNCTION("""COMPUTED_VALUE"""),"EXTERNO")</f>
        <v>EXTERNO</v>
      </c>
      <c r="O94">
        <f>IFERROR(__xludf.DUMMYFUNCTION("""COMPUTED_VALUE"""),2.0)</f>
        <v>2</v>
      </c>
      <c r="P94">
        <f>IFERROR(__xludf.DUMMYFUNCTION("""COMPUTED_VALUE"""),2.0)</f>
        <v>2</v>
      </c>
      <c r="Q94" s="35">
        <f>IFERROR(__xludf.DUMMYFUNCTION("""COMPUTED_VALUE"""),0.0)</f>
        <v>0</v>
      </c>
      <c r="R94" s="36" t="str">
        <f>IFERROR(__xludf.DUMMYFUNCTION("""COMPUTED_VALUE"""),"SELECCIONADO")</f>
        <v>SELECCIONADO</v>
      </c>
      <c r="S94" s="37">
        <f>IFERROR(__xludf.DUMMYFUNCTION("""COMPUTED_VALUE"""),43900.0)</f>
        <v>43900</v>
      </c>
      <c r="T94" s="34"/>
      <c r="U94" t="str">
        <f>IFERROR(__xludf.DUMMYFUNCTION("""COMPUTED_VALUE"""),"SEPULVEDA CABAS CRISTIAN")</f>
        <v>SEPULVEDA CABAS CRISTIAN</v>
      </c>
      <c r="V94" t="str">
        <f>IFERROR(__xludf.DUMMYFUNCTION("""COMPUTED_VALUE"""),"18991732-5")</f>
        <v>18991732-5</v>
      </c>
      <c r="W94" t="str">
        <f>IFERROR(__xludf.DUMMYFUNCTION("""COMPUTED_VALUE"""),"SI")</f>
        <v>SI</v>
      </c>
      <c r="X94" t="str">
        <f>IFERROR(__xludf.DUMMYFUNCTION("""COMPUTED_VALUE"""),"Capacidad de Planificacion y Organizacion")</f>
        <v>Capacidad de Planificacion y Organizacion</v>
      </c>
      <c r="AA94" s="38">
        <f>IFERROR(__xludf.DUMMYFUNCTION("""COMPUTED_VALUE"""),43889.0)</f>
        <v>43889</v>
      </c>
      <c r="AB94" s="38">
        <f>IFERROR(__xludf.DUMMYFUNCTION("""COMPUTED_VALUE"""),43892.0)</f>
        <v>43892</v>
      </c>
      <c r="AF94" s="39"/>
      <c r="AG94" s="39"/>
      <c r="AH94" s="34" t="str">
        <f>IFERROR(__xludf.DUMMYFUNCTION("""COMPUTED_VALUE"""),"PROCESO DE SELECCIÓN")</f>
        <v>PROCESO DE SELECCIÓN</v>
      </c>
      <c r="AI94" s="34" t="str">
        <f>IFERROR(__xludf.DUMMYFUNCTION("""COMPUTED_VALUE"""),"-")</f>
        <v>-</v>
      </c>
      <c r="AJ94" s="34"/>
      <c r="AK94" s="34" t="str">
        <f>IFERROR(__xludf.DUMMYFUNCTION("""COMPUTED_VALUE"""),"P")</f>
        <v>P</v>
      </c>
      <c r="AL94">
        <f>IFERROR(__xludf.DUMMYFUNCTION("""COMPUTED_VALUE"""),7.0)</f>
        <v>7</v>
      </c>
      <c r="AM94">
        <f>IFERROR(__xludf.DUMMYFUNCTION("""COMPUTED_VALUE"""),2019.0)</f>
        <v>2019</v>
      </c>
      <c r="AN94" t="str">
        <f t="shared" si="1"/>
        <v>18991732-5</v>
      </c>
    </row>
    <row r="95">
      <c r="A95" s="33">
        <f>IFERROR(__xludf.DUMMYFUNCTION("""COMPUTED_VALUE"""),1.8204469E7)</f>
        <v>18204469</v>
      </c>
      <c r="B95" s="33">
        <f>IFERROR(__xludf.DUMMYFUNCTION("""COMPUTED_VALUE"""),96.0)</f>
        <v>96</v>
      </c>
      <c r="C95" s="33" t="str">
        <f>IFERROR(__xludf.DUMMYFUNCTION("""COMPUTED_VALUE"""),"A479")</f>
        <v>A479</v>
      </c>
      <c r="D95" s="34" t="str">
        <f>IFERROR(__xludf.DUMMYFUNCTION("""COMPUTED_VALUE"""),"3")</f>
        <v>3</v>
      </c>
      <c r="E95" s="34" t="str">
        <f>IFERROR(__xludf.DUMMYFUNCTION("""COMPUTED_VALUE"""),"UNIDAD DE DESARR. PROYECTOS TECN.")</f>
        <v>UNIDAD DE DESARR. PROYECTOS TECN.</v>
      </c>
      <c r="F95" s="34" t="str">
        <f>IFERROR(__xludf.DUMMYFUNCTION("""COMPUTED_VALUE"""),"Desarrollador(a) Técnico(a) ")</f>
        <v>Desarrollador(a) Técnico(a) </v>
      </c>
      <c r="G95" s="33" t="str">
        <f>IFERROR(__xludf.DUMMYFUNCTION("""COMPUTED_VALUE"""),"DESARROLLADOR TECNICO TI")</f>
        <v>DESARROLLADOR TECNICO TI</v>
      </c>
      <c r="H95">
        <f>IFERROR(__xludf.DUMMYFUNCTION("""COMPUTED_VALUE"""),10.0)</f>
        <v>10</v>
      </c>
      <c r="I95" s="34" t="str">
        <f>IFERROR(__xludf.DUMMYFUNCTION("""COMPUTED_VALUE"""),"Jornada Completa")</f>
        <v>Jornada Completa</v>
      </c>
      <c r="J95" s="33" t="str">
        <f>IFERROR(__xludf.DUMMYFUNCTION("""COMPUTED_VALUE"""),"A CONTRATA")</f>
        <v>A CONTRATA</v>
      </c>
      <c r="K95" s="33" t="str">
        <f>IFERROR(__xludf.DUMMYFUNCTION("""COMPUTED_VALUE"""),"PROFESIONAL")</f>
        <v>PROFESIONAL</v>
      </c>
      <c r="L95" s="34" t="str">
        <f>IFERROR(__xludf.DUMMYFUNCTION("""COMPUTED_VALUE"""),"NO")</f>
        <v>NO</v>
      </c>
      <c r="M95" s="34">
        <f>IFERROR(__xludf.DUMMYFUNCTION("""COMPUTED_VALUE"""),0.0)</f>
        <v>0</v>
      </c>
      <c r="N95" s="34" t="str">
        <f>IFERROR(__xludf.DUMMYFUNCTION("""COMPUTED_VALUE"""),"EXTERNO")</f>
        <v>EXTERNO</v>
      </c>
      <c r="O95">
        <f>IFERROR(__xludf.DUMMYFUNCTION("""COMPUTED_VALUE"""),2.0)</f>
        <v>2</v>
      </c>
      <c r="P95">
        <f>IFERROR(__xludf.DUMMYFUNCTION("""COMPUTED_VALUE"""),2.0)</f>
        <v>2</v>
      </c>
      <c r="Q95" s="35">
        <f>IFERROR(__xludf.DUMMYFUNCTION("""COMPUTED_VALUE"""),0.0)</f>
        <v>0</v>
      </c>
      <c r="R95" s="36" t="str">
        <f>IFERROR(__xludf.DUMMYFUNCTION("""COMPUTED_VALUE"""),"SELECCIONADO")</f>
        <v>SELECCIONADO</v>
      </c>
      <c r="S95" s="37">
        <f>IFERROR(__xludf.DUMMYFUNCTION("""COMPUTED_VALUE"""),43900.0)</f>
        <v>43900</v>
      </c>
      <c r="T95" s="34"/>
      <c r="U95" t="str">
        <f>IFERROR(__xludf.DUMMYFUNCTION("""COMPUTED_VALUE"""),"CASANUEVA OJEDA ALEXIS")</f>
        <v>CASANUEVA OJEDA ALEXIS</v>
      </c>
      <c r="V95" t="str">
        <f>IFERROR(__xludf.DUMMYFUNCTION("""COMPUTED_VALUE"""),"18204469-5")</f>
        <v>18204469-5</v>
      </c>
      <c r="W95" t="str">
        <f>IFERROR(__xludf.DUMMYFUNCTION("""COMPUTED_VALUE"""),"SI")</f>
        <v>SI</v>
      </c>
      <c r="X95" t="str">
        <f>IFERROR(__xludf.DUMMYFUNCTION("""COMPUTED_VALUE"""),"Capacidad de Planificacion y Organizacion")</f>
        <v>Capacidad de Planificacion y Organizacion</v>
      </c>
      <c r="AA95" s="38">
        <f>IFERROR(__xludf.DUMMYFUNCTION("""COMPUTED_VALUE"""),43889.0)</f>
        <v>43889</v>
      </c>
      <c r="AB95" s="38">
        <f>IFERROR(__xludf.DUMMYFUNCTION("""COMPUTED_VALUE"""),43892.0)</f>
        <v>43892</v>
      </c>
      <c r="AF95" s="39"/>
      <c r="AG95" s="39"/>
      <c r="AH95" s="34" t="str">
        <f>IFERROR(__xludf.DUMMYFUNCTION("""COMPUTED_VALUE"""),"PROCESO DE SELECCIÓN")</f>
        <v>PROCESO DE SELECCIÓN</v>
      </c>
      <c r="AI95" s="34" t="str">
        <f>IFERROR(__xludf.DUMMYFUNCTION("""COMPUTED_VALUE"""),"-")</f>
        <v>-</v>
      </c>
      <c r="AJ95" s="34"/>
      <c r="AK95" s="34" t="str">
        <f>IFERROR(__xludf.DUMMYFUNCTION("""COMPUTED_VALUE"""),"P")</f>
        <v>P</v>
      </c>
      <c r="AL95">
        <f>IFERROR(__xludf.DUMMYFUNCTION("""COMPUTED_VALUE"""),7.0)</f>
        <v>7</v>
      </c>
      <c r="AM95">
        <f>IFERROR(__xludf.DUMMYFUNCTION("""COMPUTED_VALUE"""),2019.0)</f>
        <v>2019</v>
      </c>
      <c r="AN95" t="str">
        <f t="shared" si="1"/>
        <v>18204469-5</v>
      </c>
    </row>
    <row r="96">
      <c r="A96" s="33">
        <f>IFERROR(__xludf.DUMMYFUNCTION("""COMPUTED_VALUE"""),1.8115543E7)</f>
        <v>18115543</v>
      </c>
      <c r="B96" s="33">
        <f>IFERROR(__xludf.DUMMYFUNCTION("""COMPUTED_VALUE"""),97.0)</f>
        <v>97</v>
      </c>
      <c r="C96" s="33" t="str">
        <f>IFERROR(__xludf.DUMMYFUNCTION("""COMPUTED_VALUE"""),"A414")</f>
        <v>A414</v>
      </c>
      <c r="D96" s="34" t="str">
        <f>IFERROR(__xludf.DUMMYFUNCTION("""COMPUTED_VALUE"""),"22")</f>
        <v>22</v>
      </c>
      <c r="E96" s="34" t="str">
        <f>IFERROR(__xludf.DUMMYFUNCTION("""COMPUTED_VALUE"""),"UNIDAD DE PROMOCION DE LA SALUD")</f>
        <v>UNIDAD DE PROMOCION DE LA SALUD</v>
      </c>
      <c r="F96" s="34" t="str">
        <f>IFERROR(__xludf.DUMMYFUNCTION("""COMPUTED_VALUE"""),"Psicólogo(a)")</f>
        <v>Psicólogo(a)</v>
      </c>
      <c r="G96" s="33" t="str">
        <f>IFERROR(__xludf.DUMMYFUNCTION("""COMPUTED_VALUE"""),"PSICOLOGA")</f>
        <v>PSICOLOGA</v>
      </c>
      <c r="H96">
        <f>IFERROR(__xludf.DUMMYFUNCTION("""COMPUTED_VALUE"""),13.0)</f>
        <v>13</v>
      </c>
      <c r="I96" s="34" t="str">
        <f>IFERROR(__xludf.DUMMYFUNCTION("""COMPUTED_VALUE"""),"Jornada Completa")</f>
        <v>Jornada Completa</v>
      </c>
      <c r="J96" s="33" t="str">
        <f>IFERROR(__xludf.DUMMYFUNCTION("""COMPUTED_VALUE"""),"A CONTRATA")</f>
        <v>A CONTRATA</v>
      </c>
      <c r="K96" s="33" t="str">
        <f>IFERROR(__xludf.DUMMYFUNCTION("""COMPUTED_VALUE"""),"PROFESIONAL")</f>
        <v>PROFESIONAL</v>
      </c>
      <c r="L96" s="34" t="str">
        <f>IFERROR(__xludf.DUMMYFUNCTION("""COMPUTED_VALUE"""),"INTERNO")</f>
        <v>INTERNO</v>
      </c>
      <c r="M96" s="34">
        <f>IFERROR(__xludf.DUMMYFUNCTION("""COMPUTED_VALUE"""),0.0)</f>
        <v>0</v>
      </c>
      <c r="N96" s="34" t="str">
        <f>IFERROR(__xludf.DUMMYFUNCTION("""COMPUTED_VALUE"""),"EXTERNO")</f>
        <v>EXTERNO</v>
      </c>
      <c r="O96">
        <f>IFERROR(__xludf.DUMMYFUNCTION("""COMPUTED_VALUE"""),16.0)</f>
        <v>16</v>
      </c>
      <c r="P96">
        <f>IFERROR(__xludf.DUMMYFUNCTION("""COMPUTED_VALUE"""),1.0)</f>
        <v>1</v>
      </c>
      <c r="Q96" s="35">
        <f>IFERROR(__xludf.DUMMYFUNCTION("""COMPUTED_VALUE"""),0.0)</f>
        <v>0</v>
      </c>
      <c r="R96" s="36" t="str">
        <f>IFERROR(__xludf.DUMMYFUNCTION("""COMPUTED_VALUE"""),"SELECCIONADA")</f>
        <v>SELECCIONADA</v>
      </c>
      <c r="S96" s="37">
        <f>IFERROR(__xludf.DUMMYFUNCTION("""COMPUTED_VALUE"""),43955.0)</f>
        <v>43955</v>
      </c>
      <c r="T96" s="34"/>
      <c r="U96" t="str">
        <f>IFERROR(__xludf.DUMMYFUNCTION("""COMPUTED_VALUE"""),"PINTO PEREZ CRISTEL")</f>
        <v>PINTO PEREZ CRISTEL</v>
      </c>
      <c r="V96" t="str">
        <f>IFERROR(__xludf.DUMMYFUNCTION("""COMPUTED_VALUE"""),"18115543 -4")</f>
        <v>18115543 -4</v>
      </c>
      <c r="W96" t="str">
        <f>IFERROR(__xludf.DUMMYFUNCTION("""COMPUTED_VALUE"""),"NO")</f>
        <v>NO</v>
      </c>
      <c r="AA96" s="38">
        <f>IFERROR(__xludf.DUMMYFUNCTION("""COMPUTED_VALUE"""),43817.0)</f>
        <v>43817</v>
      </c>
      <c r="AB96" s="38">
        <f>IFERROR(__xludf.DUMMYFUNCTION("""COMPUTED_VALUE"""),43825.0)</f>
        <v>43825</v>
      </c>
      <c r="AF96" s="39"/>
      <c r="AG96" s="39"/>
      <c r="AH96" s="34" t="str">
        <f>IFERROR(__xludf.DUMMYFUNCTION("""COMPUTED_VALUE"""),"PROCESO DE SELECCIÓN")</f>
        <v>PROCESO DE SELECCIÓN</v>
      </c>
      <c r="AI96" s="34" t="str">
        <f>IFERROR(__xludf.DUMMYFUNCTION("""COMPUTED_VALUE"""),"CHAJTUR ZAMUDIO LEYLA")</f>
        <v>CHAJTUR ZAMUDIO LEYLA</v>
      </c>
      <c r="AJ96" s="34"/>
      <c r="AK96" s="34" t="str">
        <f>IFERROR(__xludf.DUMMYFUNCTION("""COMPUTED_VALUE"""),"E")</f>
        <v>E</v>
      </c>
      <c r="AL96">
        <f>IFERROR(__xludf.DUMMYFUNCTION("""COMPUTED_VALUE"""),93.0)</f>
        <v>93</v>
      </c>
      <c r="AM96">
        <f>IFERROR(__xludf.DUMMYFUNCTION("""COMPUTED_VALUE"""),2019.0)</f>
        <v>2019</v>
      </c>
      <c r="AN96" t="str">
        <f t="shared" si="1"/>
        <v>18115543 -4</v>
      </c>
    </row>
    <row r="97">
      <c r="A97" s="33">
        <f>IFERROR(__xludf.DUMMYFUNCTION("""COMPUTED_VALUE"""),1.6207468E7)</f>
        <v>16207468</v>
      </c>
      <c r="B97" s="33">
        <f>IFERROR(__xludf.DUMMYFUNCTION("""COMPUTED_VALUE"""),98.0)</f>
        <v>98</v>
      </c>
      <c r="C97" s="33" t="str">
        <f>IFERROR(__xludf.DUMMYFUNCTION("""COMPUTED_VALUE"""),"A443")</f>
        <v>A443</v>
      </c>
      <c r="D97" s="34" t="str">
        <f>IFERROR(__xludf.DUMMYFUNCTION("""COMPUTED_VALUE"""),"50")</f>
        <v>50</v>
      </c>
      <c r="E97" s="34" t="str">
        <f>IFERROR(__xludf.DUMMYFUNCTION("""COMPUTED_VALUE"""),"DPTO. DE FISICA")</f>
        <v>DPTO. DE FISICA</v>
      </c>
      <c r="F97" s="34" t="str">
        <f>IFERROR(__xludf.DUMMYFUNCTION("""COMPUTED_VALUE"""),"Analista de Gestión I")</f>
        <v>Analista de Gestión I</v>
      </c>
      <c r="G97" s="33" t="str">
        <f>IFERROR(__xludf.DUMMYFUNCTION("""COMPUTED_VALUE"""),"ANALISTA DE GESTON I (DOCENCIA)")</f>
        <v>ANALISTA DE GESTON I (DOCENCIA)</v>
      </c>
      <c r="H97">
        <f>IFERROR(__xludf.DUMMYFUNCTION("""COMPUTED_VALUE"""),10.0)</f>
        <v>10</v>
      </c>
      <c r="I97" s="34" t="str">
        <f>IFERROR(__xludf.DUMMYFUNCTION("""COMPUTED_VALUE"""),"Jornada Completa")</f>
        <v>Jornada Completa</v>
      </c>
      <c r="J97" s="33" t="str">
        <f>IFERROR(__xludf.DUMMYFUNCTION("""COMPUTED_VALUE"""),"A CONTRATA")</f>
        <v>A CONTRATA</v>
      </c>
      <c r="K97" s="33" t="str">
        <f>IFERROR(__xludf.DUMMYFUNCTION("""COMPUTED_VALUE"""),"PROFESIONAL")</f>
        <v>PROFESIONAL</v>
      </c>
      <c r="L97" s="34" t="str">
        <f>IFERROR(__xludf.DUMMYFUNCTION("""COMPUTED_VALUE"""),"INTERNO")</f>
        <v>INTERNO</v>
      </c>
      <c r="M97" s="34">
        <f>IFERROR(__xludf.DUMMYFUNCTION("""COMPUTED_VALUE"""),11.0)</f>
        <v>11</v>
      </c>
      <c r="N97" s="34" t="str">
        <f>IFERROR(__xludf.DUMMYFUNCTION("""COMPUTED_VALUE"""),"NO")</f>
        <v>NO</v>
      </c>
      <c r="P97">
        <f>IFERROR(__xludf.DUMMYFUNCTION("""COMPUTED_VALUE"""),2.0)</f>
        <v>2</v>
      </c>
      <c r="Q97" s="35">
        <f>IFERROR(__xludf.DUMMYFUNCTION("""COMPUTED_VALUE"""),0.0)</f>
        <v>0</v>
      </c>
      <c r="R97" s="36" t="str">
        <f>IFERROR(__xludf.DUMMYFUNCTION("""COMPUTED_VALUE"""),"SELECCIONADA")</f>
        <v>SELECCIONADA</v>
      </c>
      <c r="S97" s="37">
        <f>IFERROR(__xludf.DUMMYFUNCTION("""COMPUTED_VALUE"""),43934.0)</f>
        <v>43934</v>
      </c>
      <c r="T97" s="34" t="str">
        <f>IFERROR(__xludf.DUMMYFUNCTION("""COMPUTED_VALUE"""),"MUÑOZ BUZETA ROMINA")</f>
        <v>MUÑOZ BUZETA ROMINA</v>
      </c>
      <c r="V97" t="str">
        <f>IFERROR(__xludf.DUMMYFUNCTION("""COMPUTED_VALUE"""),"16207468-7")</f>
        <v>16207468-7</v>
      </c>
      <c r="W97" t="str">
        <f>IFERROR(__xludf.DUMMYFUNCTION("""COMPUTED_VALUE"""),"SI")</f>
        <v>SI</v>
      </c>
      <c r="X97" t="str">
        <f>IFERROR(__xludf.DUMMYFUNCTION("""COMPUTED_VALUE"""),"Capacidad de Planificacion y Organizacion")</f>
        <v>Capacidad de Planificacion y Organizacion</v>
      </c>
      <c r="AA97" s="38">
        <f>IFERROR(__xludf.DUMMYFUNCTION("""COMPUTED_VALUE"""),43847.0)</f>
        <v>43847</v>
      </c>
      <c r="AB97" s="38">
        <f>IFERROR(__xludf.DUMMYFUNCTION("""COMPUTED_VALUE"""),43854.0)</f>
        <v>43854</v>
      </c>
      <c r="AF97" s="39"/>
      <c r="AG97" s="39"/>
      <c r="AH97" s="34" t="str">
        <f>IFERROR(__xludf.DUMMYFUNCTION("""COMPUTED_VALUE"""),"PROCESO DE SELECCIÓN")</f>
        <v>PROCESO DE SELECCIÓN</v>
      </c>
      <c r="AI97" s="34" t="str">
        <f>IFERROR(__xludf.DUMMYFUNCTION("""COMPUTED_VALUE"""),"- ")</f>
        <v>- </v>
      </c>
      <c r="AJ97" s="34"/>
      <c r="AK97" s="34" t="str">
        <f>IFERROR(__xludf.DUMMYFUNCTION("""COMPUTED_VALUE"""),"C")</f>
        <v>C</v>
      </c>
      <c r="AL97">
        <f>IFERROR(__xludf.DUMMYFUNCTION("""COMPUTED_VALUE"""),57.0)</f>
        <v>57</v>
      </c>
      <c r="AM97">
        <f>IFERROR(__xludf.DUMMYFUNCTION("""COMPUTED_VALUE"""),2019.0)</f>
        <v>2019</v>
      </c>
      <c r="AN97" t="str">
        <f t="shared" si="1"/>
        <v>16207468-7</v>
      </c>
    </row>
    <row r="98">
      <c r="A98" s="33">
        <f>IFERROR(__xludf.DUMMYFUNCTION("""COMPUTED_VALUE"""),2.0040743E7)</f>
        <v>20040743</v>
      </c>
      <c r="B98" s="33">
        <f>IFERROR(__xludf.DUMMYFUNCTION("""COMPUTED_VALUE"""),1.0)</f>
        <v>1</v>
      </c>
      <c r="C98" s="33" t="str">
        <f>IFERROR(__xludf.DUMMYFUNCTION("""COMPUTED_VALUE"""),"ACTA2018-15")</f>
        <v>ACTA2018-15</v>
      </c>
      <c r="D98" s="34" t="str">
        <f>IFERROR(__xludf.DUMMYFUNCTION("""COMPUTED_VALUE"""),"INGRESAR CENTRO DE COSTO A LA DERECHA")</f>
        <v>INGRESAR CENTRO DE COSTO A LA DERECHA</v>
      </c>
      <c r="E98" s="34" t="str">
        <f>IFERROR(__xludf.DUMMYFUNCTION("""COMPUTED_VALUE"""),"DPTO. DE CIENCIAS DEL AMBIENTE")</f>
        <v>DPTO. DE CIENCIAS DEL AMBIENTE</v>
      </c>
      <c r="F98" s="34" t="str">
        <f>IFERROR(__xludf.DUMMYFUNCTION("""COMPUTED_VALUE"""),"Técnico(a) de Laboratorio")</f>
        <v>Técnico(a) de Laboratorio</v>
      </c>
      <c r="G98" s="33" t="str">
        <f>IFERROR(__xludf.DUMMYFUNCTION("""COMPUTED_VALUE"""),"TECNICO DE LABORATORIO")</f>
        <v>TECNICO DE LABORATORIO</v>
      </c>
      <c r="H98">
        <f>IFERROR(__xludf.DUMMYFUNCTION("""COMPUTED_VALUE"""),17.0)</f>
        <v>17</v>
      </c>
      <c r="I98" s="34" t="str">
        <f>IFERROR(__xludf.DUMMYFUNCTION("""COMPUTED_VALUE"""),"Jornada Completa")</f>
        <v>Jornada Completa</v>
      </c>
      <c r="J98" s="33" t="str">
        <f>IFERROR(__xludf.DUMMYFUNCTION("""COMPUTED_VALUE"""),"A CONTRATA")</f>
        <v>A CONTRATA</v>
      </c>
      <c r="K98" s="33" t="str">
        <f>IFERROR(__xludf.DUMMYFUNCTION("""COMPUTED_VALUE"""),"TECNICO")</f>
        <v>TECNICO</v>
      </c>
      <c r="L98" s="34" t="str">
        <f>IFERROR(__xludf.DUMMYFUNCTION("""COMPUTED_VALUE"""),"INTERNO")</f>
        <v>INTERNO</v>
      </c>
      <c r="M98" s="34">
        <f>IFERROR(__xludf.DUMMYFUNCTION("""COMPUTED_VALUE"""),2.0)</f>
        <v>2</v>
      </c>
      <c r="N98" s="34" t="str">
        <f>IFERROR(__xludf.DUMMYFUNCTION("""COMPUTED_VALUE"""),"EXTERNO")</f>
        <v>EXTERNO</v>
      </c>
      <c r="O98">
        <f>IFERROR(__xludf.DUMMYFUNCTION("""COMPUTED_VALUE"""),3.0)</f>
        <v>3</v>
      </c>
      <c r="P98">
        <f>IFERROR(__xludf.DUMMYFUNCTION("""COMPUTED_VALUE"""),1.0)</f>
        <v>1</v>
      </c>
      <c r="Q98" s="35"/>
      <c r="R98" s="36" t="str">
        <f>IFERROR(__xludf.DUMMYFUNCTION("""COMPUTED_VALUE"""),"SELECCIONADA")</f>
        <v>SELECCIONADA</v>
      </c>
      <c r="S98" s="37">
        <f>IFERROR(__xludf.DUMMYFUNCTION("""COMPUTED_VALUE"""),43193.0)</f>
        <v>43193</v>
      </c>
      <c r="T98" s="34"/>
      <c r="U98" t="str">
        <f>IFERROR(__xludf.DUMMYFUNCTION("""COMPUTED_VALUE"""),"CAMILA RUBIO CHUÑIL")</f>
        <v>CAMILA RUBIO CHUÑIL</v>
      </c>
      <c r="V98" t="str">
        <f>IFERROR(__xludf.DUMMYFUNCTION("""COMPUTED_VALUE"""),"20040743-1")</f>
        <v>20040743-1</v>
      </c>
      <c r="W98" t="str">
        <f>IFERROR(__xludf.DUMMYFUNCTION("""COMPUTED_VALUE"""),"SI")</f>
        <v>SI</v>
      </c>
      <c r="X98" t="str">
        <f>IFERROR(__xludf.DUMMYFUNCTION("""COMPUTED_VALUE"""),"Capacidad de Planificacion y Organizacion")</f>
        <v>Capacidad de Planificacion y Organizacion</v>
      </c>
      <c r="Y98" t="str">
        <f>IFERROR(__xludf.DUMMYFUNCTION("""COMPUTED_VALUE"""),"Iniciativa")</f>
        <v>Iniciativa</v>
      </c>
      <c r="AA98" s="38">
        <f>IFERROR(__xludf.DUMMYFUNCTION("""COMPUTED_VALUE"""),43164.0)</f>
        <v>43164</v>
      </c>
      <c r="AB98" s="38">
        <f>IFERROR(__xludf.DUMMYFUNCTION("""COMPUTED_VALUE"""),43171.0)</f>
        <v>43171</v>
      </c>
      <c r="AF98" s="39"/>
      <c r="AG98" s="39"/>
      <c r="AH98" s="34" t="str">
        <f>IFERROR(__xludf.DUMMYFUNCTION("""COMPUTED_VALUE"""),"PROCESO DE SELECCIÓN")</f>
        <v>PROCESO DE SELECCIÓN</v>
      </c>
      <c r="AI98" s="34" t="str">
        <f>IFERROR(__xludf.DUMMYFUNCTION("""COMPUTED_VALUE"""),"- ")</f>
        <v>- </v>
      </c>
      <c r="AJ98" s="34"/>
      <c r="AK98" s="34" t="str">
        <f>IFERROR(__xludf.DUMMYFUNCTION("""COMPUTED_VALUE"""),"P")</f>
        <v>P</v>
      </c>
      <c r="AL98">
        <f>IFERROR(__xludf.DUMMYFUNCTION("""COMPUTED_VALUE"""),17.0)</f>
        <v>17</v>
      </c>
      <c r="AM98">
        <f>IFERROR(__xludf.DUMMYFUNCTION("""COMPUTED_VALUE"""),2018.0)</f>
        <v>2018</v>
      </c>
      <c r="AN98" t="str">
        <f t="shared" si="1"/>
        <v>20040743-1</v>
      </c>
    </row>
    <row r="99">
      <c r="A99" s="33">
        <f>IFERROR(__xludf.DUMMYFUNCTION("""COMPUTED_VALUE"""),1.7959771E7)</f>
        <v>17959771</v>
      </c>
      <c r="B99" s="33">
        <f>IFERROR(__xludf.DUMMYFUNCTION("""COMPUTED_VALUE"""),2.0)</f>
        <v>2</v>
      </c>
      <c r="C99" s="33" t="str">
        <f>IFERROR(__xludf.DUMMYFUNCTION("""COMPUTED_VALUE"""),"A180")</f>
        <v>A180</v>
      </c>
      <c r="D99" s="34" t="str">
        <f>IFERROR(__xludf.DUMMYFUNCTION("""COMPUTED_VALUE"""),"INGRESAR CENTRO DE COSTO A LA DERECHA")</f>
        <v>INGRESAR CENTRO DE COSTO A LA DERECHA</v>
      </c>
      <c r="E99" s="34" t="str">
        <f>IFERROR(__xludf.DUMMYFUNCTION("""COMPUTED_VALUE"""),"DPTO. DE DESARROLLO DE PERSONAS")</f>
        <v>DPTO. DE DESARROLLO DE PERSONAS</v>
      </c>
      <c r="F99" s="34" t="str">
        <f>IFERROR(__xludf.DUMMYFUNCTION("""COMPUTED_VALUE"""),"Analista de Gestión II")</f>
        <v>Analista de Gestión II</v>
      </c>
      <c r="G99" s="33" t="str">
        <f>IFERROR(__xludf.DUMMYFUNCTION("""COMPUTED_VALUE"""),"ANALISTA DE GESTION II")</f>
        <v>ANALISTA DE GESTION II</v>
      </c>
      <c r="H99">
        <f>IFERROR(__xludf.DUMMYFUNCTION("""COMPUTED_VALUE"""),13.0)</f>
        <v>13</v>
      </c>
      <c r="I99" s="34" t="str">
        <f>IFERROR(__xludf.DUMMYFUNCTION("""COMPUTED_VALUE"""),"Jornada Completa")</f>
        <v>Jornada Completa</v>
      </c>
      <c r="J99" s="33" t="str">
        <f>IFERROR(__xludf.DUMMYFUNCTION("""COMPUTED_VALUE"""),"A CONTRATA")</f>
        <v>A CONTRATA</v>
      </c>
      <c r="K99" s="33" t="str">
        <f>IFERROR(__xludf.DUMMYFUNCTION("""COMPUTED_VALUE"""),"PROFESIONAL")</f>
        <v>PROFESIONAL</v>
      </c>
      <c r="L99" s="34" t="str">
        <f>IFERROR(__xludf.DUMMYFUNCTION("""COMPUTED_VALUE"""),"INTERNO")</f>
        <v>INTERNO</v>
      </c>
      <c r="M99" s="34">
        <f>IFERROR(__xludf.DUMMYFUNCTION("""COMPUTED_VALUE"""),0.0)</f>
        <v>0</v>
      </c>
      <c r="N99" s="34" t="str">
        <f>IFERROR(__xludf.DUMMYFUNCTION("""COMPUTED_VALUE"""),"EXTERNO")</f>
        <v>EXTERNO</v>
      </c>
      <c r="O99">
        <f>IFERROR(__xludf.DUMMYFUNCTION("""COMPUTED_VALUE"""),6.0)</f>
        <v>6</v>
      </c>
      <c r="P99">
        <f>IFERROR(__xludf.DUMMYFUNCTION("""COMPUTED_VALUE"""),1.0)</f>
        <v>1</v>
      </c>
      <c r="Q99" s="35"/>
      <c r="R99" s="36" t="str">
        <f>IFERROR(__xludf.DUMMYFUNCTION("""COMPUTED_VALUE"""),"SELECCIONADA")</f>
        <v>SELECCIONADA</v>
      </c>
      <c r="S99" s="37">
        <f>IFERROR(__xludf.DUMMYFUNCTION("""COMPUTED_VALUE"""),43187.0)</f>
        <v>43187</v>
      </c>
      <c r="T99" s="34"/>
      <c r="U99" t="str">
        <f>IFERROR(__xludf.DUMMYFUNCTION("""COMPUTED_VALUE"""),"ROMINA LLABRES SOLIS")</f>
        <v>ROMINA LLABRES SOLIS</v>
      </c>
      <c r="V99" t="str">
        <f>IFERROR(__xludf.DUMMYFUNCTION("""COMPUTED_VALUE"""),"17959771-3")</f>
        <v>17959771-3</v>
      </c>
      <c r="W99" t="str">
        <f>IFERROR(__xludf.DUMMYFUNCTION("""COMPUTED_VALUE"""),"SI")</f>
        <v>SI</v>
      </c>
      <c r="X99" t="str">
        <f>IFERROR(__xludf.DUMMYFUNCTION("""COMPUTED_VALUE"""),"Capacidad de Planificacion y Organizacion")</f>
        <v>Capacidad de Planificacion y Organizacion</v>
      </c>
      <c r="AA99" s="38">
        <f>IFERROR(__xludf.DUMMYFUNCTION("""COMPUTED_VALUE"""),43178.0)</f>
        <v>43178</v>
      </c>
      <c r="AB99" s="38">
        <f>IFERROR(__xludf.DUMMYFUNCTION("""COMPUTED_VALUE"""),43180.0)</f>
        <v>43180</v>
      </c>
      <c r="AF99" s="39"/>
      <c r="AG99" s="39"/>
      <c r="AH99" s="34" t="str">
        <f>IFERROR(__xludf.DUMMYFUNCTION("""COMPUTED_VALUE"""),"PROCESO DE SELECCIÓN")</f>
        <v>PROCESO DE SELECCIÓN</v>
      </c>
      <c r="AI99" s="34" t="str">
        <f>IFERROR(__xludf.DUMMYFUNCTION("""COMPUTED_VALUE"""),"MIGUEL SEPULVEDA RIVERA")</f>
        <v>MIGUEL SEPULVEDA RIVERA</v>
      </c>
      <c r="AJ99" s="34"/>
      <c r="AK99" s="34" t="str">
        <f>IFERROR(__xludf.DUMMYFUNCTION("""COMPUTED_VALUE"""),"E")</f>
        <v>E</v>
      </c>
      <c r="AL99">
        <f>IFERROR(__xludf.DUMMYFUNCTION("""COMPUTED_VALUE"""),6.0)</f>
        <v>6</v>
      </c>
      <c r="AM99">
        <f>IFERROR(__xludf.DUMMYFUNCTION("""COMPUTED_VALUE"""),2018.0)</f>
        <v>2018</v>
      </c>
      <c r="AN99" t="str">
        <f t="shared" si="1"/>
        <v>17959771-3</v>
      </c>
    </row>
    <row r="100">
      <c r="A100" s="33">
        <f>IFERROR(__xludf.DUMMYFUNCTION("""COMPUTED_VALUE"""),1.5579586E7)</f>
        <v>15579586</v>
      </c>
      <c r="B100" s="33">
        <f>IFERROR(__xludf.DUMMYFUNCTION("""COMPUTED_VALUE"""),3.0)</f>
        <v>3</v>
      </c>
      <c r="C100" s="33" t="str">
        <f>IFERROR(__xludf.DUMMYFUNCTION("""COMPUTED_VALUE"""),"ACTA2018-12")</f>
        <v>ACTA2018-12</v>
      </c>
      <c r="D100" s="34" t="str">
        <f>IFERROR(__xludf.DUMMYFUNCTION("""COMPUTED_VALUE"""),"INGRESAR CENTRO DE COSTO A LA DERECHA")</f>
        <v>INGRESAR CENTRO DE COSTO A LA DERECHA</v>
      </c>
      <c r="E100" s="34" t="str">
        <f>IFERROR(__xludf.DUMMYFUNCTION("""COMPUTED_VALUE"""),"FACULTAD TECNOLOGICA")</f>
        <v>FACULTAD TECNOLOGICA</v>
      </c>
      <c r="F100" s="34" t="str">
        <f>IFERROR(__xludf.DUMMYFUNCTION("""COMPUTED_VALUE"""),"Mayordomo(a)")</f>
        <v>Mayordomo(a)</v>
      </c>
      <c r="G100" s="33" t="str">
        <f>IFERROR(__xludf.DUMMYFUNCTION("""COMPUTED_VALUE"""),"MAYORDOMO")</f>
        <v>MAYORDOMO</v>
      </c>
      <c r="H100">
        <f>IFERROR(__xludf.DUMMYFUNCTION("""COMPUTED_VALUE"""),21.0)</f>
        <v>21</v>
      </c>
      <c r="I100" s="34" t="str">
        <f>IFERROR(__xludf.DUMMYFUNCTION("""COMPUTED_VALUE"""),"Jornada Completa")</f>
        <v>Jornada Completa</v>
      </c>
      <c r="J100" s="33" t="str">
        <f>IFERROR(__xludf.DUMMYFUNCTION("""COMPUTED_VALUE"""),"A CONTRATA")</f>
        <v>A CONTRATA</v>
      </c>
      <c r="K100" s="33" t="str">
        <f>IFERROR(__xludf.DUMMYFUNCTION("""COMPUTED_VALUE"""),"AUXILIAR")</f>
        <v>AUXILIAR</v>
      </c>
      <c r="L100" s="34" t="str">
        <f>IFERROR(__xludf.DUMMYFUNCTION("""COMPUTED_VALUE"""),"INTERNO")</f>
        <v>INTERNO</v>
      </c>
      <c r="M100" s="34">
        <f>IFERROR(__xludf.DUMMYFUNCTION("""COMPUTED_VALUE"""),0.0)</f>
        <v>0</v>
      </c>
      <c r="N100" s="34" t="str">
        <f>IFERROR(__xludf.DUMMYFUNCTION("""COMPUTED_VALUE"""),"EXTERNO")</f>
        <v>EXTERNO</v>
      </c>
      <c r="O100">
        <f>IFERROR(__xludf.DUMMYFUNCTION("""COMPUTED_VALUE"""),10.0)</f>
        <v>10</v>
      </c>
      <c r="P100">
        <f>IFERROR(__xludf.DUMMYFUNCTION("""COMPUTED_VALUE"""),1.0)</f>
        <v>1</v>
      </c>
      <c r="Q100" s="35"/>
      <c r="R100" s="36" t="str">
        <f>IFERROR(__xludf.DUMMYFUNCTION("""COMPUTED_VALUE"""),"SELECCIONADO")</f>
        <v>SELECCIONADO</v>
      </c>
      <c r="S100" s="37">
        <f>IFERROR(__xludf.DUMMYFUNCTION("""COMPUTED_VALUE"""),43201.0)</f>
        <v>43201</v>
      </c>
      <c r="T100" s="34"/>
      <c r="U100" t="str">
        <f>IFERROR(__xludf.DUMMYFUNCTION("""COMPUTED_VALUE"""),"FERMIN PARRA HERNANDEZ")</f>
        <v>FERMIN PARRA HERNANDEZ</v>
      </c>
      <c r="V100" t="str">
        <f>IFERROR(__xludf.DUMMYFUNCTION("""COMPUTED_VALUE"""),"15579586-7")</f>
        <v>15579586-7</v>
      </c>
      <c r="W100" t="str">
        <f>IFERROR(__xludf.DUMMYFUNCTION("""COMPUTED_VALUE"""),"NO")</f>
        <v>NO</v>
      </c>
      <c r="AA100" s="38">
        <f>IFERROR(__xludf.DUMMYFUNCTION("""COMPUTED_VALUE"""),43165.0)</f>
        <v>43165</v>
      </c>
      <c r="AB100" s="38">
        <f>IFERROR(__xludf.DUMMYFUNCTION("""COMPUTED_VALUE"""),43172.0)</f>
        <v>43172</v>
      </c>
      <c r="AF100" s="39"/>
      <c r="AG100" s="39"/>
      <c r="AH100" s="34" t="str">
        <f>IFERROR(__xludf.DUMMYFUNCTION("""COMPUTED_VALUE"""),"PROCESO DE SELECCIÓN")</f>
        <v>PROCESO DE SELECCIÓN</v>
      </c>
      <c r="AI100" s="34" t="str">
        <f>IFERROR(__xludf.DUMMYFUNCTION("""COMPUTED_VALUE"""),"FLORIAN ESPINOZA ECHEVERRIA")</f>
        <v>FLORIAN ESPINOZA ECHEVERRIA</v>
      </c>
      <c r="AJ100" s="34"/>
      <c r="AK100" s="34" t="str">
        <f>IFERROR(__xludf.DUMMYFUNCTION("""COMPUTED_VALUE"""),"E")</f>
        <v>E</v>
      </c>
      <c r="AL100">
        <f>IFERROR(__xludf.DUMMYFUNCTION("""COMPUTED_VALUE"""),22.0)</f>
        <v>22</v>
      </c>
      <c r="AM100">
        <f>IFERROR(__xludf.DUMMYFUNCTION("""COMPUTED_VALUE"""),2018.0)</f>
        <v>2018</v>
      </c>
      <c r="AN100" t="str">
        <f t="shared" si="1"/>
        <v>15579586-7</v>
      </c>
    </row>
    <row r="101">
      <c r="A101" s="33">
        <f>IFERROR(__xludf.DUMMYFUNCTION("""COMPUTED_VALUE"""),1.8057011E7)</f>
        <v>18057011</v>
      </c>
      <c r="B101" s="33">
        <f>IFERROR(__xludf.DUMMYFUNCTION("""COMPUTED_VALUE"""),4.0)</f>
        <v>4</v>
      </c>
      <c r="C101" s="33" t="str">
        <f>IFERROR(__xludf.DUMMYFUNCTION("""COMPUTED_VALUE"""),"A98")</f>
        <v>A98</v>
      </c>
      <c r="D101" s="34" t="str">
        <f>IFERROR(__xludf.DUMMYFUNCTION("""COMPUTED_VALUE"""),"INGRESAR CENTRO DE COSTO A LA DERECHA")</f>
        <v>INGRESAR CENTRO DE COSTO A LA DERECHA</v>
      </c>
      <c r="E101" s="34" t="str">
        <f>IFERROR(__xludf.DUMMYFUNCTION("""COMPUTED_VALUE"""),"DPTO. DE INGENIERIA GEOGRAFICA")</f>
        <v>DPTO. DE INGENIERIA GEOGRAFICA</v>
      </c>
      <c r="F101" s="34" t="str">
        <f>IFERROR(__xludf.DUMMYFUNCTION("""COMPUTED_VALUE"""),"Estafeta")</f>
        <v>Estafeta</v>
      </c>
      <c r="G101" s="33" t="str">
        <f>IFERROR(__xludf.DUMMYFUNCTION("""COMPUTED_VALUE"""),"ESTAFETA")</f>
        <v>ESTAFETA</v>
      </c>
      <c r="H101">
        <f>IFERROR(__xludf.DUMMYFUNCTION("""COMPUTED_VALUE"""),23.0)</f>
        <v>23</v>
      </c>
      <c r="I101" s="34" t="str">
        <f>IFERROR(__xludf.DUMMYFUNCTION("""COMPUTED_VALUE"""),"Jornada Completa")</f>
        <v>Jornada Completa</v>
      </c>
      <c r="J101" s="33" t="str">
        <f>IFERROR(__xludf.DUMMYFUNCTION("""COMPUTED_VALUE"""),"A CONTRATA")</f>
        <v>A CONTRATA</v>
      </c>
      <c r="K101" s="33" t="str">
        <f>IFERROR(__xludf.DUMMYFUNCTION("""COMPUTED_VALUE"""),"AUXILIAR")</f>
        <v>AUXILIAR</v>
      </c>
      <c r="L101" s="34" t="str">
        <f>IFERROR(__xludf.DUMMYFUNCTION("""COMPUTED_VALUE"""),"INTERNO")</f>
        <v>INTERNO</v>
      </c>
      <c r="M101" s="34">
        <f>IFERROR(__xludf.DUMMYFUNCTION("""COMPUTED_VALUE"""),0.0)</f>
        <v>0</v>
      </c>
      <c r="N101" s="34" t="str">
        <f>IFERROR(__xludf.DUMMYFUNCTION("""COMPUTED_VALUE"""),"EXTERNO")</f>
        <v>EXTERNO</v>
      </c>
      <c r="O101">
        <f>IFERROR(__xludf.DUMMYFUNCTION("""COMPUTED_VALUE"""),22.0)</f>
        <v>22</v>
      </c>
      <c r="P101">
        <f>IFERROR(__xludf.DUMMYFUNCTION("""COMPUTED_VALUE"""),3.0)</f>
        <v>3</v>
      </c>
      <c r="Q101" s="35">
        <f>IFERROR(__xludf.DUMMYFUNCTION("""COMPUTED_VALUE"""),2.0)</f>
        <v>2</v>
      </c>
      <c r="R101" s="36" t="str">
        <f>IFERROR(__xludf.DUMMYFUNCTION("""COMPUTED_VALUE"""),"SELECCIONADO")</f>
        <v>SELECCIONADO</v>
      </c>
      <c r="S101" s="37">
        <f>IFERROR(__xludf.DUMMYFUNCTION("""COMPUTED_VALUE"""),43222.0)</f>
        <v>43222</v>
      </c>
      <c r="T101" s="34"/>
      <c r="U101" t="str">
        <f>IFERROR(__xludf.DUMMYFUNCTION("""COMPUTED_VALUE"""),"SEBASTIAN BORQUEZ SALAZAR")</f>
        <v>SEBASTIAN BORQUEZ SALAZAR</v>
      </c>
      <c r="V101" t="str">
        <f>IFERROR(__xludf.DUMMYFUNCTION("""COMPUTED_VALUE"""),"18057011-K")</f>
        <v>18057011-K</v>
      </c>
      <c r="W101" t="str">
        <f>IFERROR(__xludf.DUMMYFUNCTION("""COMPUTED_VALUE"""),"NO")</f>
        <v>NO</v>
      </c>
      <c r="AA101" s="38">
        <f>IFERROR(__xludf.DUMMYFUNCTION("""COMPUTED_VALUE"""),43165.0)</f>
        <v>43165</v>
      </c>
      <c r="AB101" s="38">
        <f>IFERROR(__xludf.DUMMYFUNCTION("""COMPUTED_VALUE"""),43172.0)</f>
        <v>43172</v>
      </c>
      <c r="AF101" s="39"/>
      <c r="AG101" s="39"/>
      <c r="AH101" s="34" t="str">
        <f>IFERROR(__xludf.DUMMYFUNCTION("""COMPUTED_VALUE"""),"PROCESO DE SELECCIÓN")</f>
        <v>PROCESO DE SELECCIÓN</v>
      </c>
      <c r="AI101" s="34" t="str">
        <f>IFERROR(__xludf.DUMMYFUNCTION("""COMPUTED_VALUE"""),"PATRICIO RIVERA RETAMAL")</f>
        <v>PATRICIO RIVERA RETAMAL</v>
      </c>
      <c r="AJ101" s="34"/>
      <c r="AK101" s="34" t="str">
        <f>IFERROR(__xludf.DUMMYFUNCTION("""COMPUTED_VALUE"""),"E")</f>
        <v>E</v>
      </c>
      <c r="AL101">
        <f>IFERROR(__xludf.DUMMYFUNCTION("""COMPUTED_VALUE"""),37.0)</f>
        <v>37</v>
      </c>
      <c r="AM101">
        <f>IFERROR(__xludf.DUMMYFUNCTION("""COMPUTED_VALUE"""),2018.0)</f>
        <v>2018</v>
      </c>
      <c r="AN101" t="str">
        <f t="shared" si="1"/>
        <v>18057011-K</v>
      </c>
    </row>
    <row r="102">
      <c r="A102" s="33">
        <f>IFERROR(__xludf.DUMMYFUNCTION("""COMPUTED_VALUE"""),1.6088193E7)</f>
        <v>16088193</v>
      </c>
      <c r="B102" s="33">
        <f>IFERROR(__xludf.DUMMYFUNCTION("""COMPUTED_VALUE"""),5.0)</f>
        <v>5</v>
      </c>
      <c r="C102" s="33" t="str">
        <f>IFERROR(__xludf.DUMMYFUNCTION("""COMPUTED_VALUE"""),"A169")</f>
        <v>A169</v>
      </c>
      <c r="D102" s="34" t="str">
        <f>IFERROR(__xludf.DUMMYFUNCTION("""COMPUTED_VALUE"""),"INGRESAR CENTRO DE COSTO A LA DERECHA")</f>
        <v>INGRESAR CENTRO DE COSTO A LA DERECHA</v>
      </c>
      <c r="E102" s="34" t="str">
        <f>IFERROR(__xludf.DUMMYFUNCTION("""COMPUTED_VALUE"""),"DIR. DE PREGRADO")</f>
        <v>DIR. DE PREGRADO</v>
      </c>
      <c r="F102" s="34" t="str">
        <f>IFERROR(__xludf.DUMMYFUNCTION("""COMPUTED_VALUE"""),"Analista de Gestión II")</f>
        <v>Analista de Gestión II</v>
      </c>
      <c r="G102" s="33" t="str">
        <f>IFERROR(__xludf.DUMMYFUNCTION("""COMPUTED_VALUE"""),"ANALISTA DE GESTION II")</f>
        <v>ANALISTA DE GESTION II</v>
      </c>
      <c r="H102">
        <f>IFERROR(__xludf.DUMMYFUNCTION("""COMPUTED_VALUE"""),13.0)</f>
        <v>13</v>
      </c>
      <c r="I102" s="34" t="str">
        <f>IFERROR(__xludf.DUMMYFUNCTION("""COMPUTED_VALUE"""),"Jornada Completa")</f>
        <v>Jornada Completa</v>
      </c>
      <c r="J102" s="33" t="str">
        <f>IFERROR(__xludf.DUMMYFUNCTION("""COMPUTED_VALUE"""),"A CONTRATA")</f>
        <v>A CONTRATA</v>
      </c>
      <c r="K102" s="33" t="str">
        <f>IFERROR(__xludf.DUMMYFUNCTION("""COMPUTED_VALUE"""),"PROFESIONAL")</f>
        <v>PROFESIONAL</v>
      </c>
      <c r="L102" s="34" t="str">
        <f>IFERROR(__xludf.DUMMYFUNCTION("""COMPUTED_VALUE"""),"INTERNO")</f>
        <v>INTERNO</v>
      </c>
      <c r="M102" s="34">
        <f>IFERROR(__xludf.DUMMYFUNCTION("""COMPUTED_VALUE"""),2.0)</f>
        <v>2</v>
      </c>
      <c r="N102" s="34" t="str">
        <f>IFERROR(__xludf.DUMMYFUNCTION("""COMPUTED_VALUE"""),"EXTERNO")</f>
        <v>EXTERNO</v>
      </c>
      <c r="O102">
        <f>IFERROR(__xludf.DUMMYFUNCTION("""COMPUTED_VALUE"""),14.0)</f>
        <v>14</v>
      </c>
      <c r="P102">
        <f>IFERROR(__xludf.DUMMYFUNCTION("""COMPUTED_VALUE"""),1.0)</f>
        <v>1</v>
      </c>
      <c r="Q102" s="35">
        <f>IFERROR(__xludf.DUMMYFUNCTION("""COMPUTED_VALUE"""),1.0)</f>
        <v>1</v>
      </c>
      <c r="R102" s="36" t="str">
        <f>IFERROR(__xludf.DUMMYFUNCTION("""COMPUTED_VALUE"""),"SELECCIONADA")</f>
        <v>SELECCIONADA</v>
      </c>
      <c r="S102" s="37">
        <f>IFERROR(__xludf.DUMMYFUNCTION("""COMPUTED_VALUE"""),43221.0)</f>
        <v>43221</v>
      </c>
      <c r="T102" s="34"/>
      <c r="U102" t="str">
        <f>IFERROR(__xludf.DUMMYFUNCTION("""COMPUTED_VALUE"""),"STEPHANIE BUSTOS BAEZ")</f>
        <v>STEPHANIE BUSTOS BAEZ</v>
      </c>
      <c r="V102" t="str">
        <f>IFERROR(__xludf.DUMMYFUNCTION("""COMPUTED_VALUE"""),"16088193-3")</f>
        <v>16088193-3</v>
      </c>
      <c r="W102" t="str">
        <f>IFERROR(__xludf.DUMMYFUNCTION("""COMPUTED_VALUE"""),"SI")</f>
        <v>SI</v>
      </c>
      <c r="X102" t="str">
        <f>IFERROR(__xludf.DUMMYFUNCTION("""COMPUTED_VALUE"""),"Iniciativa")</f>
        <v>Iniciativa</v>
      </c>
      <c r="AA102" s="38">
        <f>IFERROR(__xludf.DUMMYFUNCTION("""COMPUTED_VALUE"""),43182.0)</f>
        <v>43182</v>
      </c>
      <c r="AB102" s="38">
        <f>IFERROR(__xludf.DUMMYFUNCTION("""COMPUTED_VALUE"""),43189.0)</f>
        <v>43189</v>
      </c>
      <c r="AF102" s="39"/>
      <c r="AG102" s="39"/>
      <c r="AH102" s="34" t="str">
        <f>IFERROR(__xludf.DUMMYFUNCTION("""COMPUTED_VALUE"""),"PROCESO DE SELECCIÓN")</f>
        <v>PROCESO DE SELECCIÓN</v>
      </c>
      <c r="AI102" s="34" t="str">
        <f>IFERROR(__xludf.DUMMYFUNCTION("""COMPUTED_VALUE"""),"DURAN LORCA MARIA GEORGINA")</f>
        <v>DURAN LORCA MARIA GEORGINA</v>
      </c>
      <c r="AJ102" s="34"/>
      <c r="AK102" s="34" t="str">
        <f>IFERROR(__xludf.DUMMYFUNCTION("""COMPUTED_VALUE"""),"E")</f>
        <v>E</v>
      </c>
      <c r="AL102">
        <f>IFERROR(__xludf.DUMMYFUNCTION("""COMPUTED_VALUE"""),23.0)</f>
        <v>23</v>
      </c>
      <c r="AM102">
        <f>IFERROR(__xludf.DUMMYFUNCTION("""COMPUTED_VALUE"""),2018.0)</f>
        <v>2018</v>
      </c>
      <c r="AN102" t="str">
        <f t="shared" si="1"/>
        <v>16088193-3</v>
      </c>
    </row>
    <row r="103">
      <c r="A103" s="33">
        <f>IFERROR(__xludf.DUMMYFUNCTION("""COMPUTED_VALUE"""),1.3460559E7)</f>
        <v>13460559</v>
      </c>
      <c r="B103" s="33">
        <f>IFERROR(__xludf.DUMMYFUNCTION("""COMPUTED_VALUE"""),6.0)</f>
        <v>6</v>
      </c>
      <c r="C103" s="33" t="str">
        <f>IFERROR(__xludf.DUMMYFUNCTION("""COMPUTED_VALUE"""),"A194")</f>
        <v>A194</v>
      </c>
      <c r="D103" s="34" t="str">
        <f>IFERROR(__xludf.DUMMYFUNCTION("""COMPUTED_VALUE"""),"INGRESAR CENTRO DE COSTO A LA DERECHA")</f>
        <v>INGRESAR CENTRO DE COSTO A LA DERECHA</v>
      </c>
      <c r="E103" s="34" t="str">
        <f>IFERROR(__xludf.DUMMYFUNCTION("""COMPUTED_VALUE"""),"VR. DE POSTGRADO")</f>
        <v>VR. DE POSTGRADO</v>
      </c>
      <c r="F103" s="34" t="str">
        <f>IFERROR(__xludf.DUMMYFUNCTION("""COMPUTED_VALUE"""),"Jefe(a) de Administración y Finanzas")</f>
        <v>Jefe(a) de Administración y Finanzas</v>
      </c>
      <c r="G103" s="33" t="str">
        <f>IFERROR(__xludf.DUMMYFUNCTION("""COMPUTED_VALUE"""),"JEFE DE ADMINISTRACION Y FINANZAS")</f>
        <v>JEFE DE ADMINISTRACION Y FINANZAS</v>
      </c>
      <c r="H103">
        <f>IFERROR(__xludf.DUMMYFUNCTION("""COMPUTED_VALUE"""),10.0)</f>
        <v>10</v>
      </c>
      <c r="I103" s="34" t="str">
        <f>IFERROR(__xludf.DUMMYFUNCTION("""COMPUTED_VALUE"""),"Jornada Completa")</f>
        <v>Jornada Completa</v>
      </c>
      <c r="J103" s="33" t="str">
        <f>IFERROR(__xludf.DUMMYFUNCTION("""COMPUTED_VALUE"""),"A CONTRATA")</f>
        <v>A CONTRATA</v>
      </c>
      <c r="K103" s="33" t="str">
        <f>IFERROR(__xludf.DUMMYFUNCTION("""COMPUTED_VALUE"""),"PROFESIONAL")</f>
        <v>PROFESIONAL</v>
      </c>
      <c r="L103" s="34" t="str">
        <f>IFERROR(__xludf.DUMMYFUNCTION("""COMPUTED_VALUE"""),"INTERNO")</f>
        <v>INTERNO</v>
      </c>
      <c r="M103" s="34">
        <f>IFERROR(__xludf.DUMMYFUNCTION("""COMPUTED_VALUE"""),9.0)</f>
        <v>9</v>
      </c>
      <c r="N103" s="34" t="str">
        <f>IFERROR(__xludf.DUMMYFUNCTION("""COMPUTED_VALUE"""),"NO")</f>
        <v>NO</v>
      </c>
      <c r="P103">
        <f>IFERROR(__xludf.DUMMYFUNCTION("""COMPUTED_VALUE"""),3.0)</f>
        <v>3</v>
      </c>
      <c r="Q103" s="35"/>
      <c r="R103" s="36" t="str">
        <f>IFERROR(__xludf.DUMMYFUNCTION("""COMPUTED_VALUE"""),"SELECCIONADA")</f>
        <v>SELECCIONADA</v>
      </c>
      <c r="S103" s="37">
        <f>IFERROR(__xludf.DUMMYFUNCTION("""COMPUTED_VALUE"""),43227.0)</f>
        <v>43227</v>
      </c>
      <c r="T103" s="34" t="str">
        <f>IFERROR(__xludf.DUMMYFUNCTION("""COMPUTED_VALUE"""),"ALBORNOZ SAN MARTIN GABRIELA ROXANA")</f>
        <v>ALBORNOZ SAN MARTIN GABRIELA ROXANA</v>
      </c>
      <c r="V103" t="str">
        <f>IFERROR(__xludf.DUMMYFUNCTION("""COMPUTED_VALUE"""),"13460559-6")</f>
        <v>13460559-6</v>
      </c>
      <c r="W103" t="str">
        <f>IFERROR(__xludf.DUMMYFUNCTION("""COMPUTED_VALUE"""),"SI")</f>
        <v>SI</v>
      </c>
      <c r="X103" t="str">
        <f>IFERROR(__xludf.DUMMYFUNCTION("""COMPUTED_VALUE"""),"Iniciativa")</f>
        <v>Iniciativa</v>
      </c>
      <c r="AA103" s="38">
        <f>IFERROR(__xludf.DUMMYFUNCTION("""COMPUTED_VALUE"""),43180.0)</f>
        <v>43180</v>
      </c>
      <c r="AB103" s="38">
        <f>IFERROR(__xludf.DUMMYFUNCTION("""COMPUTED_VALUE"""),43185.0)</f>
        <v>43185</v>
      </c>
      <c r="AC103">
        <f>IFERROR(__xludf.DUMMYFUNCTION("""COMPUTED_VALUE"""),14.0)</f>
        <v>14</v>
      </c>
      <c r="AD103" t="str">
        <f>IFERROR(__xludf.DUMMYFUNCTION("""COMPUTED_VALUE"""),"PROFESIONAL")</f>
        <v>PROFESIONAL</v>
      </c>
      <c r="AE103" t="str">
        <f>IFERROR(__xludf.DUMMYFUNCTION("""COMPUTED_VALUE"""),"ANALISTA DE GESTION ADMINISTRATIVA")</f>
        <v>ANALISTA DE GESTION ADMINISTRATIVA</v>
      </c>
      <c r="AF103" s="39" t="str">
        <f>IFERROR(__xludf.DUMMYFUNCTION("""COMPUTED_VALUE"""),"VR. VINCULACION CON EL MEDIO")</f>
        <v>VR. VINCULACION CON EL MEDIO</v>
      </c>
      <c r="AG103" s="39"/>
      <c r="AH103" s="34" t="str">
        <f>IFERROR(__xludf.DUMMYFUNCTION("""COMPUTED_VALUE"""),"PROCESO DE SELECCIÓN")</f>
        <v>PROCESO DE SELECCIÓN</v>
      </c>
      <c r="AI103" s="34" t="str">
        <f>IFERROR(__xludf.DUMMYFUNCTION("""COMPUTED_VALUE"""),"-")</f>
        <v>-</v>
      </c>
      <c r="AJ103" s="34"/>
      <c r="AK103" s="34" t="str">
        <f>IFERROR(__xludf.DUMMYFUNCTION("""COMPUTED_VALUE"""),"C")</f>
        <v>C</v>
      </c>
      <c r="AL103">
        <f>IFERROR(__xludf.DUMMYFUNCTION("""COMPUTED_VALUE"""),31.0)</f>
        <v>31</v>
      </c>
      <c r="AM103">
        <f>IFERROR(__xludf.DUMMYFUNCTION("""COMPUTED_VALUE"""),2018.0)</f>
        <v>2018</v>
      </c>
      <c r="AN103" t="str">
        <f t="shared" si="1"/>
        <v>13460559-6</v>
      </c>
    </row>
    <row r="104">
      <c r="A104" s="33">
        <f>IFERROR(__xludf.DUMMYFUNCTION("""COMPUTED_VALUE"""),1.2782003E7)</f>
        <v>12782003</v>
      </c>
      <c r="B104" s="33">
        <f>IFERROR(__xludf.DUMMYFUNCTION("""COMPUTED_VALUE"""),7.0)</f>
        <v>7</v>
      </c>
      <c r="C104" s="33" t="str">
        <f>IFERROR(__xludf.DUMMYFUNCTION("""COMPUTED_VALUE"""),"A130.2")</f>
        <v>A130.2</v>
      </c>
      <c r="D104" s="34" t="str">
        <f>IFERROR(__xludf.DUMMYFUNCTION("""COMPUTED_VALUE"""),"INGRESAR CENTRO DE COSTO A LA DERECHA")</f>
        <v>INGRESAR CENTRO DE COSTO A LA DERECHA</v>
      </c>
      <c r="E104" s="34" t="str">
        <f>IFERROR(__xludf.DUMMYFUNCTION("""COMPUTED_VALUE"""),"VR. ACADEMICA")</f>
        <v>VR. ACADEMICA</v>
      </c>
      <c r="F104" s="34" t="str">
        <f>IFERROR(__xludf.DUMMYFUNCTION("""COMPUTED_VALUE"""),"Mayordomo(a)")</f>
        <v>Mayordomo(a)</v>
      </c>
      <c r="G104" s="33" t="str">
        <f>IFERROR(__xludf.DUMMYFUNCTION("""COMPUTED_VALUE"""),"MAYORDOMO")</f>
        <v>MAYORDOMO</v>
      </c>
      <c r="H104">
        <f>IFERROR(__xludf.DUMMYFUNCTION("""COMPUTED_VALUE"""),21.0)</f>
        <v>21</v>
      </c>
      <c r="I104" s="34" t="str">
        <f>IFERROR(__xludf.DUMMYFUNCTION("""COMPUTED_VALUE"""),"Jornada Completa")</f>
        <v>Jornada Completa</v>
      </c>
      <c r="J104" s="33" t="str">
        <f>IFERROR(__xludf.DUMMYFUNCTION("""COMPUTED_VALUE"""),"A CONTRATA")</f>
        <v>A CONTRATA</v>
      </c>
      <c r="K104" s="33" t="str">
        <f>IFERROR(__xludf.DUMMYFUNCTION("""COMPUTED_VALUE"""),"AUXILIAR")</f>
        <v>AUXILIAR</v>
      </c>
      <c r="L104" s="34" t="str">
        <f>IFERROR(__xludf.DUMMYFUNCTION("""COMPUTED_VALUE"""),"INTERNO")</f>
        <v>INTERNO</v>
      </c>
      <c r="M104" s="34">
        <f>IFERROR(__xludf.DUMMYFUNCTION("""COMPUTED_VALUE"""),0.0)</f>
        <v>0</v>
      </c>
      <c r="N104" s="34" t="str">
        <f>IFERROR(__xludf.DUMMYFUNCTION("""COMPUTED_VALUE"""),"EXTERNO")</f>
        <v>EXTERNO</v>
      </c>
      <c r="O104">
        <f>IFERROR(__xludf.DUMMYFUNCTION("""COMPUTED_VALUE"""),5.0)</f>
        <v>5</v>
      </c>
      <c r="P104">
        <f>IFERROR(__xludf.DUMMYFUNCTION("""COMPUTED_VALUE"""),3.0)</f>
        <v>3</v>
      </c>
      <c r="Q104" s="35">
        <f>IFERROR(__xludf.DUMMYFUNCTION("""COMPUTED_VALUE"""),3.0)</f>
        <v>3</v>
      </c>
      <c r="R104" s="36" t="str">
        <f>IFERROR(__xludf.DUMMYFUNCTION("""COMPUTED_VALUE"""),"SELECCIONADO")</f>
        <v>SELECCIONADO</v>
      </c>
      <c r="S104" s="37">
        <f>IFERROR(__xludf.DUMMYFUNCTION("""COMPUTED_VALUE"""),43223.0)</f>
        <v>43223</v>
      </c>
      <c r="T104" s="34"/>
      <c r="U104" t="str">
        <f>IFERROR(__xludf.DUMMYFUNCTION("""COMPUTED_VALUE"""),"ROBERTO PINO FLORES")</f>
        <v>ROBERTO PINO FLORES</v>
      </c>
      <c r="V104" t="str">
        <f>IFERROR(__xludf.DUMMYFUNCTION("""COMPUTED_VALUE"""),"12782003-1")</f>
        <v>12782003-1</v>
      </c>
      <c r="W104" t="str">
        <f>IFERROR(__xludf.DUMMYFUNCTION("""COMPUTED_VALUE"""),"NO")</f>
        <v>NO</v>
      </c>
      <c r="AA104" s="38">
        <f>IFERROR(__xludf.DUMMYFUNCTION("""COMPUTED_VALUE"""),43187.0)</f>
        <v>43187</v>
      </c>
      <c r="AB104" s="38">
        <f>IFERROR(__xludf.DUMMYFUNCTION("""COMPUTED_VALUE"""),43194.0)</f>
        <v>43194</v>
      </c>
      <c r="AF104" s="39"/>
      <c r="AG104" s="39"/>
      <c r="AH104" s="34" t="str">
        <f>IFERROR(__xludf.DUMMYFUNCTION("""COMPUTED_VALUE"""),"PROCESO DE SELECCIÓN")</f>
        <v>PROCESO DE SELECCIÓN</v>
      </c>
      <c r="AI104" s="34" t="str">
        <f>IFERROR(__xludf.DUMMYFUNCTION("""COMPUTED_VALUE"""),"-")</f>
        <v>-</v>
      </c>
      <c r="AJ104" s="34"/>
      <c r="AK104" s="34" t="str">
        <f>IFERROR(__xludf.DUMMYFUNCTION("""COMPUTED_VALUE"""),"E")</f>
        <v>E</v>
      </c>
      <c r="AL104">
        <f>IFERROR(__xludf.DUMMYFUNCTION("""COMPUTED_VALUE"""),22.0)</f>
        <v>22</v>
      </c>
      <c r="AM104">
        <f>IFERROR(__xludf.DUMMYFUNCTION("""COMPUTED_VALUE"""),2018.0)</f>
        <v>2018</v>
      </c>
      <c r="AN104" t="str">
        <f t="shared" si="1"/>
        <v>12782003-1</v>
      </c>
    </row>
    <row r="105">
      <c r="A105" s="33">
        <f>IFERROR(__xludf.DUMMYFUNCTION("""COMPUTED_VALUE"""),1.6360131E7)</f>
        <v>16360131</v>
      </c>
      <c r="B105" s="33">
        <f>IFERROR(__xludf.DUMMYFUNCTION("""COMPUTED_VALUE"""),8.0)</f>
        <v>8</v>
      </c>
      <c r="C105" s="33" t="str">
        <f>IFERROR(__xludf.DUMMYFUNCTION("""COMPUTED_VALUE"""),"A173")</f>
        <v>A173</v>
      </c>
      <c r="D105" s="34" t="str">
        <f>IFERROR(__xludf.DUMMYFUNCTION("""COMPUTED_VALUE"""),"INGRESAR CENTRO DE COSTO A LA DERECHA")</f>
        <v>INGRESAR CENTRO DE COSTO A LA DERECHA</v>
      </c>
      <c r="E105" s="34" t="str">
        <f>IFERROR(__xludf.DUMMYFUNCTION("""COMPUTED_VALUE"""),"DPTO. DE INGENIERIA INFORMATICA")</f>
        <v>DPTO. DE INGENIERIA INFORMATICA</v>
      </c>
      <c r="F105" s="34" t="str">
        <f>IFERROR(__xludf.DUMMYFUNCTION("""COMPUTED_VALUE"""),"Analista Informático")</f>
        <v>Analista Informático</v>
      </c>
      <c r="G105" s="33" t="str">
        <f>IFERROR(__xludf.DUMMYFUNCTION("""COMPUTED_VALUE"""),"ANALISTA INFORMATICO ( ANALISTA TI)")</f>
        <v>ANALISTA INFORMATICO ( ANALISTA TI)</v>
      </c>
      <c r="H105">
        <f>IFERROR(__xludf.DUMMYFUNCTION("""COMPUTED_VALUE"""),10.0)</f>
        <v>10</v>
      </c>
      <c r="I105" s="34" t="str">
        <f>IFERROR(__xludf.DUMMYFUNCTION("""COMPUTED_VALUE"""),"Jornada Completa")</f>
        <v>Jornada Completa</v>
      </c>
      <c r="J105" s="33" t="str">
        <f>IFERROR(__xludf.DUMMYFUNCTION("""COMPUTED_VALUE"""),"A CONTRATA")</f>
        <v>A CONTRATA</v>
      </c>
      <c r="K105" s="33" t="str">
        <f>IFERROR(__xludf.DUMMYFUNCTION("""COMPUTED_VALUE"""),"PROFESIONAL")</f>
        <v>PROFESIONAL</v>
      </c>
      <c r="L105" s="34" t="str">
        <f>IFERROR(__xludf.DUMMYFUNCTION("""COMPUTED_VALUE"""),"INTERNO")</f>
        <v>INTERNO</v>
      </c>
      <c r="M105" s="34">
        <f>IFERROR(__xludf.DUMMYFUNCTION("""COMPUTED_VALUE"""),0.0)</f>
        <v>0</v>
      </c>
      <c r="N105" s="34" t="str">
        <f>IFERROR(__xludf.DUMMYFUNCTION("""COMPUTED_VALUE"""),"EXTERNO")</f>
        <v>EXTERNO</v>
      </c>
      <c r="O105">
        <f>IFERROR(__xludf.DUMMYFUNCTION("""COMPUTED_VALUE"""),5.0)</f>
        <v>5</v>
      </c>
      <c r="P105">
        <f>IFERROR(__xludf.DUMMYFUNCTION("""COMPUTED_VALUE"""),3.0)</f>
        <v>3</v>
      </c>
      <c r="Q105" s="35">
        <f>IFERROR(__xludf.DUMMYFUNCTION("""COMPUTED_VALUE"""),2.0)</f>
        <v>2</v>
      </c>
      <c r="R105" s="36" t="str">
        <f>IFERROR(__xludf.DUMMYFUNCTION("""COMPUTED_VALUE"""),"SELECCIONADO")</f>
        <v>SELECCIONADO</v>
      </c>
      <c r="S105" s="37">
        <f>IFERROR(__xludf.DUMMYFUNCTION("""COMPUTED_VALUE"""),43234.0)</f>
        <v>43234</v>
      </c>
      <c r="T105" s="34" t="str">
        <f>IFERROR(__xludf.DUMMYFUNCTION("""COMPUTED_VALUE"""),"FUNCIONARIOS DIC 2018")</f>
        <v>FUNCIONARIOS DIC 2018</v>
      </c>
      <c r="V105" t="str">
        <f>IFERROR(__xludf.DUMMYFUNCTION("""COMPUTED_VALUE"""),"16360131-1")</f>
        <v>16360131-1</v>
      </c>
      <c r="W105" t="str">
        <f>IFERROR(__xludf.DUMMYFUNCTION("""COMPUTED_VALUE"""),"NO")</f>
        <v>NO</v>
      </c>
      <c r="AA105" s="38">
        <f>IFERROR(__xludf.DUMMYFUNCTION("""COMPUTED_VALUE"""),43217.0)</f>
        <v>43217</v>
      </c>
      <c r="AB105" s="38">
        <f>IFERROR(__xludf.DUMMYFUNCTION("""COMPUTED_VALUE"""),43223.0)</f>
        <v>43223</v>
      </c>
      <c r="AD105" t="str">
        <f>IFERROR(__xludf.DUMMYFUNCTION("""COMPUTED_VALUE"""),"PROF. HORAS")</f>
        <v>PROF. HORAS</v>
      </c>
      <c r="AE105" t="str">
        <f>IFERROR(__xludf.DUMMYFUNCTION("""COMPUTED_VALUE"""),"PROFESOR")</f>
        <v>PROFESOR</v>
      </c>
      <c r="AF105" s="39" t="str">
        <f>IFERROR(__xludf.DUMMYFUNCTION("""COMPUTED_VALUE"""),"DPTO. DE INGENIERIA INFORMATICA")</f>
        <v>DPTO. DE INGENIERIA INFORMATICA</v>
      </c>
      <c r="AG105" s="39"/>
      <c r="AH105" s="34" t="str">
        <f>IFERROR(__xludf.DUMMYFUNCTION("""COMPUTED_VALUE"""),"PROCESO DE SELECCIÓN")</f>
        <v>PROCESO DE SELECCIÓN</v>
      </c>
      <c r="AI105" s="34" t="str">
        <f>IFERROR(__xludf.DUMMYFUNCTION("""COMPUTED_VALUE"""),"JUAN ITURBE ARAYA")</f>
        <v>JUAN ITURBE ARAYA</v>
      </c>
      <c r="AJ105" s="34"/>
      <c r="AK105" s="34" t="str">
        <f>IFERROR(__xludf.DUMMYFUNCTION("""COMPUTED_VALUE"""),"C")</f>
        <v>C</v>
      </c>
      <c r="AL105">
        <f>IFERROR(__xludf.DUMMYFUNCTION("""COMPUTED_VALUE"""),8.0)</f>
        <v>8</v>
      </c>
      <c r="AM105">
        <f>IFERROR(__xludf.DUMMYFUNCTION("""COMPUTED_VALUE"""),2018.0)</f>
        <v>2018</v>
      </c>
      <c r="AN105" t="str">
        <f t="shared" si="1"/>
        <v>16360131-1</v>
      </c>
    </row>
    <row r="106">
      <c r="A106" s="33">
        <f>IFERROR(__xludf.DUMMYFUNCTION("""COMPUTED_VALUE"""),1.3072507E7)</f>
        <v>13072507</v>
      </c>
      <c r="B106" s="33">
        <f>IFERROR(__xludf.DUMMYFUNCTION("""COMPUTED_VALUE"""),9.0)</f>
        <v>9</v>
      </c>
      <c r="C106" s="33" t="str">
        <f>IFERROR(__xludf.DUMMYFUNCTION("""COMPUTED_VALUE"""),"A201")</f>
        <v>A201</v>
      </c>
      <c r="D106" s="34" t="str">
        <f>IFERROR(__xludf.DUMMYFUNCTION("""COMPUTED_VALUE"""),"INGRESAR CENTRO DE COSTO A LA DERECHA")</f>
        <v>INGRESAR CENTRO DE COSTO A LA DERECHA</v>
      </c>
      <c r="E106" s="34" t="str">
        <f>IFERROR(__xludf.DUMMYFUNCTION("""COMPUTED_VALUE"""),"PRORRECTORIA")</f>
        <v>PRORRECTORIA</v>
      </c>
      <c r="F106" s="34" t="str">
        <f>IFERROR(__xludf.DUMMYFUNCTION("""COMPUTED_VALUE"""),"Analista de Gestión I")</f>
        <v>Analista de Gestión I</v>
      </c>
      <c r="G106" s="33" t="str">
        <f>IFERROR(__xludf.DUMMYFUNCTION("""COMPUTED_VALUE"""),"ANALISTA DE GESTION I ")</f>
        <v>ANALISTA DE GESTION I </v>
      </c>
      <c r="H106">
        <f>IFERROR(__xludf.DUMMYFUNCTION("""COMPUTED_VALUE"""),10.0)</f>
        <v>10</v>
      </c>
      <c r="I106" s="34" t="str">
        <f>IFERROR(__xludf.DUMMYFUNCTION("""COMPUTED_VALUE"""),"Jornada Completa")</f>
        <v>Jornada Completa</v>
      </c>
      <c r="J106" s="33" t="str">
        <f>IFERROR(__xludf.DUMMYFUNCTION("""COMPUTED_VALUE"""),"A CONTRATA")</f>
        <v>A CONTRATA</v>
      </c>
      <c r="K106" s="33" t="str">
        <f>IFERROR(__xludf.DUMMYFUNCTION("""COMPUTED_VALUE"""),"PROFESIONAL")</f>
        <v>PROFESIONAL</v>
      </c>
      <c r="L106" s="34" t="str">
        <f>IFERROR(__xludf.DUMMYFUNCTION("""COMPUTED_VALUE"""),"INTERNO")</f>
        <v>INTERNO</v>
      </c>
      <c r="M106" s="34">
        <f>IFERROR(__xludf.DUMMYFUNCTION("""COMPUTED_VALUE"""),4.0)</f>
        <v>4</v>
      </c>
      <c r="N106" s="34" t="str">
        <f>IFERROR(__xludf.DUMMYFUNCTION("""COMPUTED_VALUE"""),"NO")</f>
        <v>NO</v>
      </c>
      <c r="P106">
        <f>IFERROR(__xludf.DUMMYFUNCTION("""COMPUTED_VALUE"""),1.0)</f>
        <v>1</v>
      </c>
      <c r="Q106" s="35">
        <f>IFERROR(__xludf.DUMMYFUNCTION("""COMPUTED_VALUE"""),0.0)</f>
        <v>0</v>
      </c>
      <c r="R106" s="36" t="str">
        <f>IFERROR(__xludf.DUMMYFUNCTION("""COMPUTED_VALUE"""),"SELECCIONADA")</f>
        <v>SELECCIONADA</v>
      </c>
      <c r="S106" s="37">
        <f>IFERROR(__xludf.DUMMYFUNCTION("""COMPUTED_VALUE"""),43234.0)</f>
        <v>43234</v>
      </c>
      <c r="T106" s="34" t="str">
        <f>IFERROR(__xludf.DUMMYFUNCTION("""COMPUTED_VALUE"""),"CARRASCO PALMA MARTA DEL PILAR")</f>
        <v>CARRASCO PALMA MARTA DEL PILAR</v>
      </c>
      <c r="V106" t="str">
        <f>IFERROR(__xludf.DUMMYFUNCTION("""COMPUTED_VALUE"""),"13072507-4")</f>
        <v>13072507-4</v>
      </c>
      <c r="W106" t="str">
        <f>IFERROR(__xludf.DUMMYFUNCTION("""COMPUTED_VALUE"""),"SI")</f>
        <v>SI</v>
      </c>
      <c r="X106" t="str">
        <f>IFERROR(__xludf.DUMMYFUNCTION("""COMPUTED_VALUE"""),"Capacidad de Planificacion y Organizacion")</f>
        <v>Capacidad de Planificacion y Organizacion</v>
      </c>
      <c r="Y106" t="str">
        <f>IFERROR(__xludf.DUMMYFUNCTION("""COMPUTED_VALUE"""),"Pensamiento Analitico")</f>
        <v>Pensamiento Analitico</v>
      </c>
      <c r="AA106" s="38">
        <f>IFERROR(__xludf.DUMMYFUNCTION("""COMPUTED_VALUE"""),43196.0)</f>
        <v>43196</v>
      </c>
      <c r="AB106" s="38">
        <f>IFERROR(__xludf.DUMMYFUNCTION("""COMPUTED_VALUE"""),43201.0)</f>
        <v>43201</v>
      </c>
      <c r="AC106">
        <f>IFERROR(__xludf.DUMMYFUNCTION("""COMPUTED_VALUE"""),10.0)</f>
        <v>10</v>
      </c>
      <c r="AD106" t="str">
        <f>IFERROR(__xludf.DUMMYFUNCTION("""COMPUTED_VALUE"""),"PROFESIONAL")</f>
        <v>PROFESIONAL</v>
      </c>
      <c r="AE106" t="str">
        <f>IFERROR(__xludf.DUMMYFUNCTION("""COMPUTED_VALUE"""),"ANALISTA PRESUPUESTARIO")</f>
        <v>ANALISTA PRESUPUESTARIO</v>
      </c>
      <c r="AF106" s="39" t="str">
        <f>IFERROR(__xludf.DUMMYFUNCTION("""COMPUTED_VALUE"""),"DPTO. DE PLANIFICACION PRESUPUESTARIA")</f>
        <v>DPTO. DE PLANIFICACION PRESUPUESTARIA</v>
      </c>
      <c r="AG106" s="39" t="str">
        <f>IFERROR(__xludf.DUMMYFUNCTION("""COMPUTED_VALUE"""),"INICIA EN MEDIA JORNADA A CONTAR DEL 02/05/2018")</f>
        <v>INICIA EN MEDIA JORNADA A CONTAR DEL 02/05/2018</v>
      </c>
      <c r="AH106" s="34" t="str">
        <f>IFERROR(__xludf.DUMMYFUNCTION("""COMPUTED_VALUE"""),"PROCESO DE SELECCIÓN")</f>
        <v>PROCESO DE SELECCIÓN</v>
      </c>
      <c r="AI106" s="34" t="str">
        <f>IFERROR(__xludf.DUMMYFUNCTION("""COMPUTED_VALUE"""),"OSSES ARAVENA RAUL")</f>
        <v>OSSES ARAVENA RAUL</v>
      </c>
      <c r="AJ106" s="34"/>
      <c r="AK106" s="34" t="str">
        <f>IFERROR(__xludf.DUMMYFUNCTION("""COMPUTED_VALUE"""),"C")</f>
        <v>C</v>
      </c>
      <c r="AL106">
        <f>IFERROR(__xludf.DUMMYFUNCTION("""COMPUTED_VALUE"""),24.0)</f>
        <v>24</v>
      </c>
      <c r="AM106">
        <f>IFERROR(__xludf.DUMMYFUNCTION("""COMPUTED_VALUE"""),2018.0)</f>
        <v>2018</v>
      </c>
      <c r="AN106" t="str">
        <f t="shared" si="1"/>
        <v>13072507-4</v>
      </c>
    </row>
    <row r="107">
      <c r="A107" s="33">
        <f>IFERROR(__xludf.DUMMYFUNCTION("""COMPUTED_VALUE"""),1.7699481E7)</f>
        <v>17699481</v>
      </c>
      <c r="B107" s="33">
        <f>IFERROR(__xludf.DUMMYFUNCTION("""COMPUTED_VALUE"""),10.0)</f>
        <v>10</v>
      </c>
      <c r="C107" s="33" t="str">
        <f>IFERROR(__xludf.DUMMYFUNCTION("""COMPUTED_VALUE"""),"A193")</f>
        <v>A193</v>
      </c>
      <c r="D107" s="34" t="str">
        <f>IFERROR(__xludf.DUMMYFUNCTION("""COMPUTED_VALUE"""),"INGRESAR CENTRO DE COSTO A LA DERECHA")</f>
        <v>INGRESAR CENTRO DE COSTO A LA DERECHA</v>
      </c>
      <c r="E107" s="34" t="str">
        <f>IFERROR(__xludf.DUMMYFUNCTION("""COMPUTED_VALUE"""),"VR. DE POSTGRADO")</f>
        <v>VR. DE POSTGRADO</v>
      </c>
      <c r="F107" s="34" t="str">
        <f>IFERROR(__xludf.DUMMYFUNCTION("""COMPUTED_VALUE"""),"Jefe(a) de Área")</f>
        <v>Jefe(a) de Área</v>
      </c>
      <c r="G107" s="33" t="str">
        <f>IFERROR(__xludf.DUMMYFUNCTION("""COMPUTED_VALUE"""),"JEFE DE AREA ( AREA INTERNACIONALIZACION DEL POSTGRADO)")</f>
        <v>JEFE DE AREA ( AREA INTERNACIONALIZACION DEL POSTGRADO)</v>
      </c>
      <c r="H107">
        <f>IFERROR(__xludf.DUMMYFUNCTION("""COMPUTED_VALUE"""),8.0)</f>
        <v>8</v>
      </c>
      <c r="I107" s="34" t="str">
        <f>IFERROR(__xludf.DUMMYFUNCTION("""COMPUTED_VALUE"""),"Jornada Completa")</f>
        <v>Jornada Completa</v>
      </c>
      <c r="J107" s="33" t="str">
        <f>IFERROR(__xludf.DUMMYFUNCTION("""COMPUTED_VALUE"""),"A CONTRATA")</f>
        <v>A CONTRATA</v>
      </c>
      <c r="K107" s="33" t="str">
        <f>IFERROR(__xludf.DUMMYFUNCTION("""COMPUTED_VALUE"""),"PROFESIONAL")</f>
        <v>PROFESIONAL</v>
      </c>
      <c r="L107" s="34" t="str">
        <f>IFERROR(__xludf.DUMMYFUNCTION("""COMPUTED_VALUE"""),"INTERNO")</f>
        <v>INTERNO</v>
      </c>
      <c r="M107" s="34">
        <f>IFERROR(__xludf.DUMMYFUNCTION("""COMPUTED_VALUE"""),2.0)</f>
        <v>2</v>
      </c>
      <c r="N107" s="34" t="str">
        <f>IFERROR(__xludf.DUMMYFUNCTION("""COMPUTED_VALUE"""),"EXTERNO")</f>
        <v>EXTERNO</v>
      </c>
      <c r="O107">
        <f>IFERROR(__xludf.DUMMYFUNCTION("""COMPUTED_VALUE"""),27.0)</f>
        <v>27</v>
      </c>
      <c r="P107">
        <f>IFERROR(__xludf.DUMMYFUNCTION("""COMPUTED_VALUE"""),1.0)</f>
        <v>1</v>
      </c>
      <c r="Q107" s="35">
        <f>IFERROR(__xludf.DUMMYFUNCTION("""COMPUTED_VALUE"""),0.0)</f>
        <v>0</v>
      </c>
      <c r="R107" s="36" t="str">
        <f>IFERROR(__xludf.DUMMYFUNCTION("""COMPUTED_VALUE"""),"SELECCIONADO")</f>
        <v>SELECCIONADO</v>
      </c>
      <c r="S107" s="37">
        <f>IFERROR(__xludf.DUMMYFUNCTION("""COMPUTED_VALUE"""),43230.0)</f>
        <v>43230</v>
      </c>
      <c r="T107" s="34"/>
      <c r="U107" t="str">
        <f>IFERROR(__xludf.DUMMYFUNCTION("""COMPUTED_VALUE"""),"LUIS CLAVERIA CAMBON")</f>
        <v>LUIS CLAVERIA CAMBON</v>
      </c>
      <c r="V107" t="str">
        <f>IFERROR(__xludf.DUMMYFUNCTION("""COMPUTED_VALUE"""),"17699481-9")</f>
        <v>17699481-9</v>
      </c>
      <c r="W107" t="str">
        <f>IFERROR(__xludf.DUMMYFUNCTION("""COMPUTED_VALUE"""),"SI")</f>
        <v>SI</v>
      </c>
      <c r="X107" t="str">
        <f>IFERROR(__xludf.DUMMYFUNCTION("""COMPUTED_VALUE"""),"Capacidad de Planificacion y Organizacion")</f>
        <v>Capacidad de Planificacion y Organizacion</v>
      </c>
      <c r="AA107" s="38">
        <f>IFERROR(__xludf.DUMMYFUNCTION("""COMPUTED_VALUE"""),43194.0)</f>
        <v>43194</v>
      </c>
      <c r="AB107" s="38">
        <f>IFERROR(__xludf.DUMMYFUNCTION("""COMPUTED_VALUE"""),43201.0)</f>
        <v>43201</v>
      </c>
      <c r="AF107" s="39"/>
      <c r="AG107" s="39"/>
      <c r="AH107" s="34" t="str">
        <f>IFERROR(__xludf.DUMMYFUNCTION("""COMPUTED_VALUE"""),"PROCESO DE SELECCIÓN")</f>
        <v>PROCESO DE SELECCIÓN</v>
      </c>
      <c r="AI107" s="34" t="str">
        <f>IFERROR(__xludf.DUMMYFUNCTION("""COMPUTED_VALUE"""),"- ")</f>
        <v>- </v>
      </c>
      <c r="AJ107" s="34"/>
      <c r="AK107" s="34" t="str">
        <f>IFERROR(__xludf.DUMMYFUNCTION("""COMPUTED_VALUE"""),"E")</f>
        <v>E</v>
      </c>
      <c r="AL107">
        <f>IFERROR(__xludf.DUMMYFUNCTION("""COMPUTED_VALUE"""),22.0)</f>
        <v>22</v>
      </c>
      <c r="AM107">
        <f>IFERROR(__xludf.DUMMYFUNCTION("""COMPUTED_VALUE"""),2018.0)</f>
        <v>2018</v>
      </c>
      <c r="AN107" t="str">
        <f t="shared" si="1"/>
        <v>17699481-9</v>
      </c>
    </row>
    <row r="108">
      <c r="A108" s="33">
        <f>IFERROR(__xludf.DUMMYFUNCTION("""COMPUTED_VALUE"""),1.4127573E7)</f>
        <v>14127573</v>
      </c>
      <c r="B108" s="33">
        <f>IFERROR(__xludf.DUMMYFUNCTION("""COMPUTED_VALUE"""),11.0)</f>
        <v>11</v>
      </c>
      <c r="C108" s="33" t="str">
        <f>IFERROR(__xludf.DUMMYFUNCTION("""COMPUTED_VALUE"""),"A189")</f>
        <v>A189</v>
      </c>
      <c r="D108" s="34" t="str">
        <f>IFERROR(__xludf.DUMMYFUNCTION("""COMPUTED_VALUE"""),"INGRESAR CENTRO DE COSTO A LA DERECHA")</f>
        <v>INGRESAR CENTRO DE COSTO A LA DERECHA</v>
      </c>
      <c r="E108" s="34" t="str">
        <f>IFERROR(__xludf.DUMMYFUNCTION("""COMPUTED_VALUE"""),"DPTO. DE FINANZAS Y TESORERIA")</f>
        <v>DPTO. DE FINANZAS Y TESORERIA</v>
      </c>
      <c r="F108" s="34" t="str">
        <f>IFERROR(__xludf.DUMMYFUNCTION("""COMPUTED_VALUE"""),"Analista Contable II")</f>
        <v>Analista Contable II</v>
      </c>
      <c r="G108" s="33" t="str">
        <f>IFERROR(__xludf.DUMMYFUNCTION("""COMPUTED_VALUE"""),"ANALISTA CONTABLE II")</f>
        <v>ANALISTA CONTABLE II</v>
      </c>
      <c r="H108">
        <f>IFERROR(__xludf.DUMMYFUNCTION("""COMPUTED_VALUE"""),13.0)</f>
        <v>13</v>
      </c>
      <c r="I108" s="34" t="str">
        <f>IFERROR(__xludf.DUMMYFUNCTION("""COMPUTED_VALUE"""),"Jornada Completa")</f>
        <v>Jornada Completa</v>
      </c>
      <c r="J108" s="33" t="str">
        <f>IFERROR(__xludf.DUMMYFUNCTION("""COMPUTED_VALUE"""),"A CONTRATA")</f>
        <v>A CONTRATA</v>
      </c>
      <c r="K108" s="33" t="str">
        <f>IFERROR(__xludf.DUMMYFUNCTION("""COMPUTED_VALUE"""),"PROFESIONAL")</f>
        <v>PROFESIONAL</v>
      </c>
      <c r="L108" s="34" t="str">
        <f>IFERROR(__xludf.DUMMYFUNCTION("""COMPUTED_VALUE"""),"INTERNO")</f>
        <v>INTERNO</v>
      </c>
      <c r="M108" s="34">
        <f>IFERROR(__xludf.DUMMYFUNCTION("""COMPUTED_VALUE"""),0.0)</f>
        <v>0</v>
      </c>
      <c r="N108" s="34" t="str">
        <f>IFERROR(__xludf.DUMMYFUNCTION("""COMPUTED_VALUE"""),"EXTERNO")</f>
        <v>EXTERNO</v>
      </c>
      <c r="O108">
        <f>IFERROR(__xludf.DUMMYFUNCTION("""COMPUTED_VALUE"""),10.0)</f>
        <v>10</v>
      </c>
      <c r="P108">
        <f>IFERROR(__xludf.DUMMYFUNCTION("""COMPUTED_VALUE"""),2.0)</f>
        <v>2</v>
      </c>
      <c r="Q108" s="35">
        <f>IFERROR(__xludf.DUMMYFUNCTION("""COMPUTED_VALUE"""),0.0)</f>
        <v>0</v>
      </c>
      <c r="R108" s="36" t="str">
        <f>IFERROR(__xludf.DUMMYFUNCTION("""COMPUTED_VALUE"""),"SELECCIONADA")</f>
        <v>SELECCIONADA</v>
      </c>
      <c r="S108" s="37">
        <f>IFERROR(__xludf.DUMMYFUNCTION("""COMPUTED_VALUE"""),43222.0)</f>
        <v>43222</v>
      </c>
      <c r="T108" s="34"/>
      <c r="U108" t="str">
        <f>IFERROR(__xludf.DUMMYFUNCTION("""COMPUTED_VALUE"""),"CAROLINA DIAZ MORALES")</f>
        <v>CAROLINA DIAZ MORALES</v>
      </c>
      <c r="V108" t="str">
        <f>IFERROR(__xludf.DUMMYFUNCTION("""COMPUTED_VALUE"""),"14127573-9")</f>
        <v>14127573-9</v>
      </c>
      <c r="W108" t="str">
        <f>IFERROR(__xludf.DUMMYFUNCTION("""COMPUTED_VALUE"""),"SI")</f>
        <v>SI</v>
      </c>
      <c r="X108" t="str">
        <f>IFERROR(__xludf.DUMMYFUNCTION("""COMPUTED_VALUE"""),"Orientacion a los Resultados")</f>
        <v>Orientacion a los Resultados</v>
      </c>
      <c r="AA108" s="38">
        <f>IFERROR(__xludf.DUMMYFUNCTION("""COMPUTED_VALUE"""),43187.0)</f>
        <v>43187</v>
      </c>
      <c r="AB108" s="38">
        <f>IFERROR(__xludf.DUMMYFUNCTION("""COMPUTED_VALUE"""),43194.0)</f>
        <v>43194</v>
      </c>
      <c r="AF108" s="39"/>
      <c r="AG108" s="39" t="str">
        <f>IFERROR(__xludf.DUMMYFUNCTION("""COMPUTED_VALUE"""),"SE CONTRATA POR UN PERIODO A PRUEBA DE 3 MESES")</f>
        <v>SE CONTRATA POR UN PERIODO A PRUEBA DE 3 MESES</v>
      </c>
      <c r="AH108" s="34" t="str">
        <f>IFERROR(__xludf.DUMMYFUNCTION("""COMPUTED_VALUE"""),"PROCESO DE SELECCIÓN")</f>
        <v>PROCESO DE SELECCIÓN</v>
      </c>
      <c r="AI108" s="34" t="str">
        <f>IFERROR(__xludf.DUMMYFUNCTION("""COMPUTED_VALUE"""),"DIEGO BUSTAMANTE FLORES")</f>
        <v>DIEGO BUSTAMANTE FLORES</v>
      </c>
      <c r="AJ108" s="34"/>
      <c r="AK108" s="34" t="str">
        <f>IFERROR(__xludf.DUMMYFUNCTION("""COMPUTED_VALUE"""),"E")</f>
        <v>E</v>
      </c>
      <c r="AL108">
        <f>IFERROR(__xludf.DUMMYFUNCTION("""COMPUTED_VALUE"""),21.0)</f>
        <v>21</v>
      </c>
      <c r="AM108">
        <f>IFERROR(__xludf.DUMMYFUNCTION("""COMPUTED_VALUE"""),2018.0)</f>
        <v>2018</v>
      </c>
      <c r="AN108" t="str">
        <f t="shared" si="1"/>
        <v>14127573-9</v>
      </c>
    </row>
    <row r="109">
      <c r="A109" s="33">
        <f>IFERROR(__xludf.DUMMYFUNCTION("""COMPUTED_VALUE"""),1.1491519E7)</f>
        <v>11491519</v>
      </c>
      <c r="B109" s="33">
        <f>IFERROR(__xludf.DUMMYFUNCTION("""COMPUTED_VALUE"""),12.0)</f>
        <v>12</v>
      </c>
      <c r="C109" s="33" t="str">
        <f>IFERROR(__xludf.DUMMYFUNCTION("""COMPUTED_VALUE"""),"A004")</f>
        <v>A004</v>
      </c>
      <c r="D109" s="34" t="str">
        <f>IFERROR(__xludf.DUMMYFUNCTION("""COMPUTED_VALUE"""),"INGRESAR CENTRO DE COSTO A LA DERECHA")</f>
        <v>INGRESAR CENTRO DE COSTO A LA DERECHA</v>
      </c>
      <c r="E109" s="34" t="str">
        <f>IFERROR(__xludf.DUMMYFUNCTION("""COMPUTED_VALUE"""),"FACULTAD DE ADMINIST Y ECONOMI")</f>
        <v>FACULTAD DE ADMINIST Y ECONOMI</v>
      </c>
      <c r="F109" s="34" t="str">
        <f>IFERROR(__xludf.DUMMYFUNCTION("""COMPUTED_VALUE"""),"Secretario(a) de Apoyo Docente")</f>
        <v>Secretario(a) de Apoyo Docente</v>
      </c>
      <c r="G109" s="33" t="str">
        <f>IFERROR(__xludf.DUMMYFUNCTION("""COMPUTED_VALUE"""),"SECRETARIO DE APOYO DOCENTE")</f>
        <v>SECRETARIO DE APOYO DOCENTE</v>
      </c>
      <c r="H109">
        <f>IFERROR(__xludf.DUMMYFUNCTION("""COMPUTED_VALUE"""),17.0)</f>
        <v>17</v>
      </c>
      <c r="I109" s="34" t="str">
        <f>IFERROR(__xludf.DUMMYFUNCTION("""COMPUTED_VALUE"""),"Jornada Completa")</f>
        <v>Jornada Completa</v>
      </c>
      <c r="J109" s="33" t="str">
        <f>IFERROR(__xludf.DUMMYFUNCTION("""COMPUTED_VALUE"""),"A CONTRATA")</f>
        <v>A CONTRATA</v>
      </c>
      <c r="K109" s="33" t="str">
        <f>IFERROR(__xludf.DUMMYFUNCTION("""COMPUTED_VALUE"""),"ADMINISTRATIVO")</f>
        <v>ADMINISTRATIVO</v>
      </c>
      <c r="L109" s="34" t="str">
        <f>IFERROR(__xludf.DUMMYFUNCTION("""COMPUTED_VALUE"""),"INTERNO")</f>
        <v>INTERNO</v>
      </c>
      <c r="M109" s="34">
        <f>IFERROR(__xludf.DUMMYFUNCTION("""COMPUTED_VALUE"""),4.0)</f>
        <v>4</v>
      </c>
      <c r="N109" s="34" t="str">
        <f>IFERROR(__xludf.DUMMYFUNCTION("""COMPUTED_VALUE"""),"EXTERNO")</f>
        <v>EXTERNO</v>
      </c>
      <c r="O109">
        <f>IFERROR(__xludf.DUMMYFUNCTION("""COMPUTED_VALUE"""),12.0)</f>
        <v>12</v>
      </c>
      <c r="P109">
        <f>IFERROR(__xludf.DUMMYFUNCTION("""COMPUTED_VALUE"""),1.0)</f>
        <v>1</v>
      </c>
      <c r="Q109" s="35">
        <f>IFERROR(__xludf.DUMMYFUNCTION("""COMPUTED_VALUE"""),1.0)</f>
        <v>1</v>
      </c>
      <c r="R109" s="36" t="str">
        <f>IFERROR(__xludf.DUMMYFUNCTION("""COMPUTED_VALUE"""),"SELECCIONADA")</f>
        <v>SELECCIONADA</v>
      </c>
      <c r="S109" s="37">
        <f>IFERROR(__xludf.DUMMYFUNCTION("""COMPUTED_VALUE"""),43234.0)</f>
        <v>43234</v>
      </c>
      <c r="T109" s="34"/>
      <c r="U109" t="str">
        <f>IFERROR(__xludf.DUMMYFUNCTION("""COMPUTED_VALUE"""),"CLAUDIA ULLOA BERNALES")</f>
        <v>CLAUDIA ULLOA BERNALES</v>
      </c>
      <c r="V109" t="str">
        <f>IFERROR(__xludf.DUMMYFUNCTION("""COMPUTED_VALUE"""),"11491519-K")</f>
        <v>11491519-K</v>
      </c>
      <c r="W109" t="str">
        <f>IFERROR(__xludf.DUMMYFUNCTION("""COMPUTED_VALUE"""),"SI")</f>
        <v>SI</v>
      </c>
      <c r="X109" t="str">
        <f>IFERROR(__xludf.DUMMYFUNCTION("""COMPUTED_VALUE"""),"Iniciativa")</f>
        <v>Iniciativa</v>
      </c>
      <c r="Y109" t="str">
        <f>IFERROR(__xludf.DUMMYFUNCTION("""COMPUTED_VALUE"""),"Franqueza- Confiabilidad- Integridad")</f>
        <v>Franqueza- Confiabilidad- Integridad</v>
      </c>
      <c r="AA109" s="38">
        <f>IFERROR(__xludf.DUMMYFUNCTION("""COMPUTED_VALUE"""),43175.0)</f>
        <v>43175</v>
      </c>
      <c r="AB109" s="38">
        <f>IFERROR(__xludf.DUMMYFUNCTION("""COMPUTED_VALUE"""),43182.0)</f>
        <v>43182</v>
      </c>
      <c r="AF109" s="39"/>
      <c r="AG109" s="39"/>
      <c r="AH109" s="34" t="str">
        <f>IFERROR(__xludf.DUMMYFUNCTION("""COMPUTED_VALUE"""),"PROCESO DE SELECCIÓN")</f>
        <v>PROCESO DE SELECCIÓN</v>
      </c>
      <c r="AI109" s="34" t="str">
        <f>IFERROR(__xludf.DUMMYFUNCTION("""COMPUTED_VALUE"""),"ELIZABETH DONOSO FRITZ")</f>
        <v>ELIZABETH DONOSO FRITZ</v>
      </c>
      <c r="AJ109" s="34"/>
      <c r="AK109" s="34" t="str">
        <f>IFERROR(__xludf.DUMMYFUNCTION("""COMPUTED_VALUE"""),"P")</f>
        <v>P</v>
      </c>
      <c r="AL109">
        <f>IFERROR(__xludf.DUMMYFUNCTION("""COMPUTED_VALUE"""),37.0)</f>
        <v>37</v>
      </c>
      <c r="AM109">
        <f>IFERROR(__xludf.DUMMYFUNCTION("""COMPUTED_VALUE"""),2018.0)</f>
        <v>2018</v>
      </c>
      <c r="AN109" t="str">
        <f t="shared" si="1"/>
        <v>11491519-K</v>
      </c>
    </row>
    <row r="110">
      <c r="A110" s="33">
        <f>IFERROR(__xludf.DUMMYFUNCTION("""COMPUTED_VALUE"""),1.723705E7)</f>
        <v>17237050</v>
      </c>
      <c r="B110" s="33">
        <f>IFERROR(__xludf.DUMMYFUNCTION("""COMPUTED_VALUE"""),13.0)</f>
        <v>13</v>
      </c>
      <c r="C110" s="33" t="str">
        <f>IFERROR(__xludf.DUMMYFUNCTION("""COMPUTED_VALUE"""),"A85")</f>
        <v>A85</v>
      </c>
      <c r="D110" s="34" t="str">
        <f>IFERROR(__xludf.DUMMYFUNCTION("""COMPUTED_VALUE"""),"INGRESAR CENTRO DE COSTO A LA DERECHA")</f>
        <v>INGRESAR CENTRO DE COSTO A LA DERECHA</v>
      </c>
      <c r="E110" s="34" t="str">
        <f>IFERROR(__xludf.DUMMYFUNCTION("""COMPUTED_VALUE"""),"DPTO. DE GESTION ESTRATEGICA")</f>
        <v>DPTO. DE GESTION ESTRATEGICA</v>
      </c>
      <c r="F110" s="34" t="str">
        <f>IFERROR(__xludf.DUMMYFUNCTION("""COMPUTED_VALUE"""),"Analista de Gestión Estratégica")</f>
        <v>Analista de Gestión Estratégica</v>
      </c>
      <c r="G110" s="33" t="str">
        <f>IFERROR(__xludf.DUMMYFUNCTION("""COMPUTED_VALUE"""),"ANALISTA DE GESTION ESTRATEGICA")</f>
        <v>ANALISTA DE GESTION ESTRATEGICA</v>
      </c>
      <c r="H110">
        <f>IFERROR(__xludf.DUMMYFUNCTION("""COMPUTED_VALUE"""),10.0)</f>
        <v>10</v>
      </c>
      <c r="I110" s="34" t="str">
        <f>IFERROR(__xludf.DUMMYFUNCTION("""COMPUTED_VALUE"""),"Jornada Completa")</f>
        <v>Jornada Completa</v>
      </c>
      <c r="J110" s="33" t="str">
        <f>IFERROR(__xludf.DUMMYFUNCTION("""COMPUTED_VALUE"""),"A CONTRATA")</f>
        <v>A CONTRATA</v>
      </c>
      <c r="K110" s="33" t="str">
        <f>IFERROR(__xludf.DUMMYFUNCTION("""COMPUTED_VALUE"""),"PROFESIONAL")</f>
        <v>PROFESIONAL</v>
      </c>
      <c r="L110" s="34" t="str">
        <f>IFERROR(__xludf.DUMMYFUNCTION("""COMPUTED_VALUE"""),"INTERNO")</f>
        <v>INTERNO</v>
      </c>
      <c r="M110" s="34">
        <f>IFERROR(__xludf.DUMMYFUNCTION("""COMPUTED_VALUE"""),1.0)</f>
        <v>1</v>
      </c>
      <c r="N110" s="34" t="str">
        <f>IFERROR(__xludf.DUMMYFUNCTION("""COMPUTED_VALUE"""),"EXTERNO")</f>
        <v>EXTERNO</v>
      </c>
      <c r="O110">
        <f>IFERROR(__xludf.DUMMYFUNCTION("""COMPUTED_VALUE"""),27.0)</f>
        <v>27</v>
      </c>
      <c r="P110">
        <f>IFERROR(__xludf.DUMMYFUNCTION("""COMPUTED_VALUE"""),3.0)</f>
        <v>3</v>
      </c>
      <c r="Q110" s="35">
        <f>IFERROR(__xludf.DUMMYFUNCTION("""COMPUTED_VALUE"""),0.0)</f>
        <v>0</v>
      </c>
      <c r="R110" s="36" t="str">
        <f>IFERROR(__xludf.DUMMYFUNCTION("""COMPUTED_VALUE"""),"SELECCIONADA")</f>
        <v>SELECCIONADA</v>
      </c>
      <c r="S110" s="37">
        <f>IFERROR(__xludf.DUMMYFUNCTION("""COMPUTED_VALUE"""),43227.0)</f>
        <v>43227</v>
      </c>
      <c r="T110" s="34"/>
      <c r="U110" t="str">
        <f>IFERROR(__xludf.DUMMYFUNCTION("""COMPUTED_VALUE"""),"GLORIA QUEZADA MAYOR")</f>
        <v>GLORIA QUEZADA MAYOR</v>
      </c>
      <c r="V110" t="str">
        <f>IFERROR(__xludf.DUMMYFUNCTION("""COMPUTED_VALUE"""),"17237050-0")</f>
        <v>17237050-0</v>
      </c>
      <c r="W110" t="str">
        <f>IFERROR(__xludf.DUMMYFUNCTION("""COMPUTED_VALUE"""),"SI")</f>
        <v>SI</v>
      </c>
      <c r="X110" t="str">
        <f>IFERROR(__xludf.DUMMYFUNCTION("""COMPUTED_VALUE"""),"Capacidad de Planificacion y Organizacion")</f>
        <v>Capacidad de Planificacion y Organizacion</v>
      </c>
      <c r="AA110" s="38">
        <f>IFERROR(__xludf.DUMMYFUNCTION("""COMPUTED_VALUE"""),43187.0)</f>
        <v>43187</v>
      </c>
      <c r="AB110" s="38">
        <f>IFERROR(__xludf.DUMMYFUNCTION("""COMPUTED_VALUE"""),43196.0)</f>
        <v>43196</v>
      </c>
      <c r="AF110" s="39"/>
      <c r="AG110" s="39"/>
      <c r="AH110" s="34" t="str">
        <f>IFERROR(__xludf.DUMMYFUNCTION("""COMPUTED_VALUE"""),"PROCESO DE SELECCIÓN")</f>
        <v>PROCESO DE SELECCIÓN</v>
      </c>
      <c r="AI110" s="34" t="str">
        <f>IFERROR(__xludf.DUMMYFUNCTION("""COMPUTED_VALUE"""),"IGNACIO VASQUEZ DIAZ")</f>
        <v>IGNACIO VASQUEZ DIAZ</v>
      </c>
      <c r="AJ110" s="34"/>
      <c r="AK110" s="34" t="str">
        <f>IFERROR(__xludf.DUMMYFUNCTION("""COMPUTED_VALUE"""),"E")</f>
        <v>E</v>
      </c>
      <c r="AL110">
        <f>IFERROR(__xludf.DUMMYFUNCTION("""COMPUTED_VALUE"""),22.0)</f>
        <v>22</v>
      </c>
      <c r="AM110">
        <f>IFERROR(__xludf.DUMMYFUNCTION("""COMPUTED_VALUE"""),2018.0)</f>
        <v>2018</v>
      </c>
      <c r="AN110" t="str">
        <f t="shared" si="1"/>
        <v>17237050-0</v>
      </c>
    </row>
    <row r="111">
      <c r="A111" s="33">
        <f>IFERROR(__xludf.DUMMYFUNCTION("""COMPUTED_VALUE"""),1.9528552E7)</f>
        <v>19528552</v>
      </c>
      <c r="B111" s="33">
        <f>IFERROR(__xludf.DUMMYFUNCTION("""COMPUTED_VALUE"""),14.0)</f>
        <v>14</v>
      </c>
      <c r="C111" s="33" t="str">
        <f>IFERROR(__xludf.DUMMYFUNCTION("""COMPUTED_VALUE"""),"S/F")</f>
        <v>S/F</v>
      </c>
      <c r="D111" s="34" t="str">
        <f>IFERROR(__xludf.DUMMYFUNCTION("""COMPUTED_VALUE"""),"INGRESAR CENTRO DE COSTO A LA DERECHA")</f>
        <v>INGRESAR CENTRO DE COSTO A LA DERECHA</v>
      </c>
      <c r="E111" s="34" t="str">
        <f>IFERROR(__xludf.DUMMYFUNCTION("""COMPUTED_VALUE"""),"DPTO. DE INGENIERIA GEOGRAFICA")</f>
        <v>DPTO. DE INGENIERIA GEOGRAFICA</v>
      </c>
      <c r="F111" s="34" t="str">
        <f>IFERROR(__xludf.DUMMYFUNCTION("""COMPUTED_VALUE"""),"Administrativo(a) de Apoyo")</f>
        <v>Administrativo(a) de Apoyo</v>
      </c>
      <c r="G111" s="33" t="str">
        <f>IFERROR(__xludf.DUMMYFUNCTION("""COMPUTED_VALUE"""),"ADMINISTRATIVO DE APOYO")</f>
        <v>ADMINISTRATIVO DE APOYO</v>
      </c>
      <c r="H111">
        <f>IFERROR(__xludf.DUMMYFUNCTION("""COMPUTED_VALUE"""),20.0)</f>
        <v>20</v>
      </c>
      <c r="I111" s="34" t="str">
        <f>IFERROR(__xludf.DUMMYFUNCTION("""COMPUTED_VALUE"""),"Jornada Completa")</f>
        <v>Jornada Completa</v>
      </c>
      <c r="J111" s="33" t="str">
        <f>IFERROR(__xludf.DUMMYFUNCTION("""COMPUTED_VALUE"""),"A CONTRATA")</f>
        <v>A CONTRATA</v>
      </c>
      <c r="K111" s="33" t="str">
        <f>IFERROR(__xludf.DUMMYFUNCTION("""COMPUTED_VALUE"""),"ADMINISTRATIVO")</f>
        <v>ADMINISTRATIVO</v>
      </c>
      <c r="L111" s="34" t="str">
        <f>IFERROR(__xludf.DUMMYFUNCTION("""COMPUTED_VALUE"""),"INTERNO")</f>
        <v>INTERNO</v>
      </c>
      <c r="M111" s="34">
        <f>IFERROR(__xludf.DUMMYFUNCTION("""COMPUTED_VALUE"""),0.0)</f>
        <v>0</v>
      </c>
      <c r="N111" s="34" t="str">
        <f>IFERROR(__xludf.DUMMYFUNCTION("""COMPUTED_VALUE"""),"EXTERNO")</f>
        <v>EXTERNO</v>
      </c>
      <c r="O111">
        <f>IFERROR(__xludf.DUMMYFUNCTION("""COMPUTED_VALUE"""),9.0)</f>
        <v>9</v>
      </c>
      <c r="P111">
        <f>IFERROR(__xludf.DUMMYFUNCTION("""COMPUTED_VALUE"""),4.0)</f>
        <v>4</v>
      </c>
      <c r="Q111" s="35">
        <f>IFERROR(__xludf.DUMMYFUNCTION("""COMPUTED_VALUE"""),3.0)</f>
        <v>3</v>
      </c>
      <c r="R111" s="36" t="str">
        <f>IFERROR(__xludf.DUMMYFUNCTION("""COMPUTED_VALUE"""),"SELECCIONADA")</f>
        <v>SELECCIONADA</v>
      </c>
      <c r="S111" s="37">
        <f>IFERROR(__xludf.DUMMYFUNCTION("""COMPUTED_VALUE"""),43227.0)</f>
        <v>43227</v>
      </c>
      <c r="T111" s="34"/>
      <c r="U111" t="str">
        <f>IFERROR(__xludf.DUMMYFUNCTION("""COMPUTED_VALUE"""),"DANIELA CORTES MOROSO")</f>
        <v>DANIELA CORTES MOROSO</v>
      </c>
      <c r="V111" t="str">
        <f>IFERROR(__xludf.DUMMYFUNCTION("""COMPUTED_VALUE"""),"19528552-7")</f>
        <v>19528552-7</v>
      </c>
      <c r="W111" t="str">
        <f>IFERROR(__xludf.DUMMYFUNCTION("""COMPUTED_VALUE"""),"SI")</f>
        <v>SI</v>
      </c>
      <c r="X111" t="str">
        <f>IFERROR(__xludf.DUMMYFUNCTION("""COMPUTED_VALUE"""),"Comunicacion")</f>
        <v>Comunicacion</v>
      </c>
      <c r="AA111" s="38">
        <f>IFERROR(__xludf.DUMMYFUNCTION("""COMPUTED_VALUE"""),43165.0)</f>
        <v>43165</v>
      </c>
      <c r="AB111" s="38">
        <f>IFERROR(__xludf.DUMMYFUNCTION("""COMPUTED_VALUE"""),43172.0)</f>
        <v>43172</v>
      </c>
      <c r="AF111" s="39"/>
      <c r="AG111" s="39"/>
      <c r="AH111" s="34" t="str">
        <f>IFERROR(__xludf.DUMMYFUNCTION("""COMPUTED_VALUE"""),"PROCESO DE SELECCIÓN")</f>
        <v>PROCESO DE SELECCIÓN</v>
      </c>
      <c r="AI111" s="34" t="str">
        <f>IFERROR(__xludf.DUMMYFUNCTION("""COMPUTED_VALUE"""),"YANIRA ALVAREZ MORALES")</f>
        <v>YANIRA ALVAREZ MORALES</v>
      </c>
      <c r="AJ111" s="34"/>
      <c r="AK111" s="34" t="str">
        <f>IFERROR(__xludf.DUMMYFUNCTION("""COMPUTED_VALUE"""),"E")</f>
        <v>E</v>
      </c>
      <c r="AL111">
        <f>IFERROR(__xludf.DUMMYFUNCTION("""COMPUTED_VALUE"""),40.0)</f>
        <v>40</v>
      </c>
      <c r="AM111">
        <f>IFERROR(__xludf.DUMMYFUNCTION("""COMPUTED_VALUE"""),2018.0)</f>
        <v>2018</v>
      </c>
      <c r="AN111" t="str">
        <f t="shared" si="1"/>
        <v>19528552-7</v>
      </c>
    </row>
    <row r="112">
      <c r="A112" s="33">
        <f>IFERROR(__xludf.DUMMYFUNCTION("""COMPUTED_VALUE"""),1.8167401E7)</f>
        <v>18167401</v>
      </c>
      <c r="B112" s="33">
        <f>IFERROR(__xludf.DUMMYFUNCTION("""COMPUTED_VALUE"""),15.0)</f>
        <v>15</v>
      </c>
      <c r="C112" s="33" t="str">
        <f>IFERROR(__xludf.DUMMYFUNCTION("""COMPUTED_VALUE"""),"ACTA2018-16")</f>
        <v>ACTA2018-16</v>
      </c>
      <c r="D112" s="34" t="str">
        <f>IFERROR(__xludf.DUMMYFUNCTION("""COMPUTED_VALUE"""),"INGRESAR CENTRO DE COSTO A LA DERECHA")</f>
        <v>INGRESAR CENTRO DE COSTO A LA DERECHA</v>
      </c>
      <c r="E112" s="34" t="str">
        <f>IFERROR(__xludf.DUMMYFUNCTION("""COMPUTED_VALUE"""),"SELLO EDITORIAL")</f>
        <v>SELLO EDITORIAL</v>
      </c>
      <c r="F112" s="34" t="str">
        <f>IFERROR(__xludf.DUMMYFUNCTION("""COMPUTED_VALUE"""),"Administrativo(a) de Apoyo")</f>
        <v>Administrativo(a) de Apoyo</v>
      </c>
      <c r="G112" s="33" t="str">
        <f>IFERROR(__xludf.DUMMYFUNCTION("""COMPUTED_VALUE"""),"ADMINISTRATIVO DE APOYO")</f>
        <v>ADMINISTRATIVO DE APOYO</v>
      </c>
      <c r="H112">
        <f>IFERROR(__xludf.DUMMYFUNCTION("""COMPUTED_VALUE"""),20.0)</f>
        <v>20</v>
      </c>
      <c r="I112" s="34" t="str">
        <f>IFERROR(__xludf.DUMMYFUNCTION("""COMPUTED_VALUE"""),"Jornada Completa")</f>
        <v>Jornada Completa</v>
      </c>
      <c r="J112" s="33" t="str">
        <f>IFERROR(__xludf.DUMMYFUNCTION("""COMPUTED_VALUE"""),"A CONTRATA")</f>
        <v>A CONTRATA</v>
      </c>
      <c r="K112" s="33" t="str">
        <f>IFERROR(__xludf.DUMMYFUNCTION("""COMPUTED_VALUE"""),"ADMINISTRATIVO")</f>
        <v>ADMINISTRATIVO</v>
      </c>
      <c r="L112" s="34" t="str">
        <f>IFERROR(__xludf.DUMMYFUNCTION("""COMPUTED_VALUE"""),"INTERNO")</f>
        <v>INTERNO</v>
      </c>
      <c r="M112" s="34">
        <f>IFERROR(__xludf.DUMMYFUNCTION("""COMPUTED_VALUE"""),2.0)</f>
        <v>2</v>
      </c>
      <c r="N112" s="34" t="str">
        <f>IFERROR(__xludf.DUMMYFUNCTION("""COMPUTED_VALUE"""),"EXTERNO")</f>
        <v>EXTERNO</v>
      </c>
      <c r="O112">
        <f>IFERROR(__xludf.DUMMYFUNCTION("""COMPUTED_VALUE"""),13.0)</f>
        <v>13</v>
      </c>
      <c r="P112">
        <f>IFERROR(__xludf.DUMMYFUNCTION("""COMPUTED_VALUE"""),3.0)</f>
        <v>3</v>
      </c>
      <c r="Q112" s="35">
        <f>IFERROR(__xludf.DUMMYFUNCTION("""COMPUTED_VALUE"""),0.0)</f>
        <v>0</v>
      </c>
      <c r="R112" s="36" t="str">
        <f>IFERROR(__xludf.DUMMYFUNCTION("""COMPUTED_VALUE"""),"SELECCIONADO")</f>
        <v>SELECCIONADO</v>
      </c>
      <c r="S112" s="37">
        <f>IFERROR(__xludf.DUMMYFUNCTION("""COMPUTED_VALUE"""),43236.0)</f>
        <v>43236</v>
      </c>
      <c r="T112" s="34"/>
      <c r="U112" t="str">
        <f>IFERROR(__xludf.DUMMYFUNCTION("""COMPUTED_VALUE"""),"ALDO OPAZO ZAMBELLI")</f>
        <v>ALDO OPAZO ZAMBELLI</v>
      </c>
      <c r="V112" t="str">
        <f>IFERROR(__xludf.DUMMYFUNCTION("""COMPUTED_VALUE"""),"18167401-6")</f>
        <v>18167401-6</v>
      </c>
      <c r="W112" t="str">
        <f>IFERROR(__xludf.DUMMYFUNCTION("""COMPUTED_VALUE"""),"NO")</f>
        <v>NO</v>
      </c>
      <c r="AA112" s="38">
        <f>IFERROR(__xludf.DUMMYFUNCTION("""COMPUTED_VALUE"""),43193.0)</f>
        <v>43193</v>
      </c>
      <c r="AB112" s="38">
        <f>IFERROR(__xludf.DUMMYFUNCTION("""COMPUTED_VALUE"""),43200.0)</f>
        <v>43200</v>
      </c>
      <c r="AF112" s="39"/>
      <c r="AG112" s="39"/>
      <c r="AH112" s="34" t="str">
        <f>IFERROR(__xludf.DUMMYFUNCTION("""COMPUTED_VALUE"""),"PROCESO DE SELECCIÓN")</f>
        <v>PROCESO DE SELECCIÓN</v>
      </c>
      <c r="AI112" s="34" t="str">
        <f>IFERROR(__xludf.DUMMYFUNCTION("""COMPUTED_VALUE"""),"- ")</f>
        <v>- </v>
      </c>
      <c r="AJ112" s="34"/>
      <c r="AK112" s="34" t="str">
        <f>IFERROR(__xludf.DUMMYFUNCTION("""COMPUTED_VALUE"""),"E")</f>
        <v>E</v>
      </c>
      <c r="AL112">
        <f>IFERROR(__xludf.DUMMYFUNCTION("""COMPUTED_VALUE"""),27.0)</f>
        <v>27</v>
      </c>
      <c r="AM112">
        <f>IFERROR(__xludf.DUMMYFUNCTION("""COMPUTED_VALUE"""),2018.0)</f>
        <v>2018</v>
      </c>
      <c r="AN112" t="str">
        <f t="shared" si="1"/>
        <v>18167401-6</v>
      </c>
    </row>
    <row r="113">
      <c r="A113" s="33">
        <f>IFERROR(__xludf.DUMMYFUNCTION("""COMPUTED_VALUE"""),1.1172372E7)</f>
        <v>11172372</v>
      </c>
      <c r="B113" s="33">
        <f>IFERROR(__xludf.DUMMYFUNCTION("""COMPUTED_VALUE"""),16.0)</f>
        <v>16</v>
      </c>
      <c r="C113" s="33" t="str">
        <f>IFERROR(__xludf.DUMMYFUNCTION("""COMPUTED_VALUE"""),"A179.1")</f>
        <v>A179.1</v>
      </c>
      <c r="D113" s="34" t="str">
        <f>IFERROR(__xludf.DUMMYFUNCTION("""COMPUTED_VALUE"""),"INGRESAR CENTRO DE COSTO A LA DERECHA")</f>
        <v>INGRESAR CENTRO DE COSTO A LA DERECHA</v>
      </c>
      <c r="E113" s="34" t="str">
        <f>IFERROR(__xludf.DUMMYFUNCTION("""COMPUTED_VALUE"""),"VR. DE POSTGRADO")</f>
        <v>VR. DE POSTGRADO</v>
      </c>
      <c r="F113" s="34" t="str">
        <f>IFERROR(__xludf.DUMMYFUNCTION("""COMPUTED_VALUE"""),"Secretario(a) B")</f>
        <v>Secretario(a) B</v>
      </c>
      <c r="G113" s="33" t="str">
        <f>IFERROR(__xludf.DUMMYFUNCTION("""COMPUTED_VALUE"""),"SECRETARIO (B)  DE DIRECCION")</f>
        <v>SECRETARIO (B)  DE DIRECCION</v>
      </c>
      <c r="H113">
        <f>IFERROR(__xludf.DUMMYFUNCTION("""COMPUTED_VALUE"""),17.0)</f>
        <v>17</v>
      </c>
      <c r="I113" s="34" t="str">
        <f>IFERROR(__xludf.DUMMYFUNCTION("""COMPUTED_VALUE"""),"Jornada Completa")</f>
        <v>Jornada Completa</v>
      </c>
      <c r="J113" s="33" t="str">
        <f>IFERROR(__xludf.DUMMYFUNCTION("""COMPUTED_VALUE"""),"A CONTRATA")</f>
        <v>A CONTRATA</v>
      </c>
      <c r="K113" s="33" t="str">
        <f>IFERROR(__xludf.DUMMYFUNCTION("""COMPUTED_VALUE"""),"ADMINISTRATIVO")</f>
        <v>ADMINISTRATIVO</v>
      </c>
      <c r="L113" s="34" t="str">
        <f>IFERROR(__xludf.DUMMYFUNCTION("""COMPUTED_VALUE"""),"NO")</f>
        <v>NO</v>
      </c>
      <c r="M113" s="34"/>
      <c r="N113" s="34" t="str">
        <f>IFERROR(__xludf.DUMMYFUNCTION("""COMPUTED_VALUE"""),"EXTERNO")</f>
        <v>EXTERNO</v>
      </c>
      <c r="O113">
        <f>IFERROR(__xludf.DUMMYFUNCTION("""COMPUTED_VALUE"""),13.0)</f>
        <v>13</v>
      </c>
      <c r="P113">
        <f>IFERROR(__xludf.DUMMYFUNCTION("""COMPUTED_VALUE"""),1.0)</f>
        <v>1</v>
      </c>
      <c r="Q113" s="35">
        <f>IFERROR(__xludf.DUMMYFUNCTION("""COMPUTED_VALUE"""),0.0)</f>
        <v>0</v>
      </c>
      <c r="R113" s="36" t="str">
        <f>IFERROR(__xludf.DUMMYFUNCTION("""COMPUTED_VALUE"""),"SELECCIONADA")</f>
        <v>SELECCIONADA</v>
      </c>
      <c r="S113" s="37">
        <f>IFERROR(__xludf.DUMMYFUNCTION("""COMPUTED_VALUE"""),43252.0)</f>
        <v>43252</v>
      </c>
      <c r="T113" s="34"/>
      <c r="U113" t="str">
        <f>IFERROR(__xludf.DUMMYFUNCTION("""COMPUTED_VALUE"""),"IRIS TOLEDO PEREZ")</f>
        <v>IRIS TOLEDO PEREZ</v>
      </c>
      <c r="V113" t="str">
        <f>IFERROR(__xludf.DUMMYFUNCTION("""COMPUTED_VALUE"""),"11172372-9")</f>
        <v>11172372-9</v>
      </c>
      <c r="W113" t="str">
        <f>IFERROR(__xludf.DUMMYFUNCTION("""COMPUTED_VALUE"""),"SI")</f>
        <v>SI</v>
      </c>
      <c r="X113" t="str">
        <f>IFERROR(__xludf.DUMMYFUNCTION("""COMPUTED_VALUE"""),"Franqueza- Confiabilidad- Integridad")</f>
        <v>Franqueza- Confiabilidad- Integridad</v>
      </c>
      <c r="AA113" s="38">
        <f>IFERROR(__xludf.DUMMYFUNCTION("""COMPUTED_VALUE"""),43187.0)</f>
        <v>43187</v>
      </c>
      <c r="AB113" s="38">
        <f>IFERROR(__xludf.DUMMYFUNCTION("""COMPUTED_VALUE"""),43194.0)</f>
        <v>43194</v>
      </c>
      <c r="AF113" s="39"/>
      <c r="AG113" s="39"/>
      <c r="AH113" s="34" t="str">
        <f>IFERROR(__xludf.DUMMYFUNCTION("""COMPUTED_VALUE"""),"PROCESO DE SELECCIÓN")</f>
        <v>PROCESO DE SELECCIÓN</v>
      </c>
      <c r="AI113" s="34" t="str">
        <f>IFERROR(__xludf.DUMMYFUNCTION("""COMPUTED_VALUE"""),"- ")</f>
        <v>- </v>
      </c>
      <c r="AJ113" s="34"/>
      <c r="AK113" s="34" t="str">
        <f>IFERROR(__xludf.DUMMYFUNCTION("""COMPUTED_VALUE"""),"P")</f>
        <v>P</v>
      </c>
      <c r="AL113">
        <f>IFERROR(__xludf.DUMMYFUNCTION("""COMPUTED_VALUE"""),43.0)</f>
        <v>43</v>
      </c>
      <c r="AM113">
        <f>IFERROR(__xludf.DUMMYFUNCTION("""COMPUTED_VALUE"""),2018.0)</f>
        <v>2018</v>
      </c>
      <c r="AN113" t="str">
        <f t="shared" si="1"/>
        <v>11172372-9</v>
      </c>
    </row>
    <row r="114">
      <c r="A114" s="33">
        <f>IFERROR(__xludf.DUMMYFUNCTION("""COMPUTED_VALUE"""),1.6709992E7)</f>
        <v>16709992</v>
      </c>
      <c r="B114" s="33">
        <f>IFERROR(__xludf.DUMMYFUNCTION("""COMPUTED_VALUE"""),17.0)</f>
        <v>17</v>
      </c>
      <c r="C114" s="33" t="str">
        <f>IFERROR(__xludf.DUMMYFUNCTION("""COMPUTED_VALUE"""),"S/F")</f>
        <v>S/F</v>
      </c>
      <c r="D114" s="34" t="str">
        <f>IFERROR(__xludf.DUMMYFUNCTION("""COMPUTED_VALUE"""),"INGRESAR CENTRO DE COSTO A LA DERECHA")</f>
        <v>INGRESAR CENTRO DE COSTO A LA DERECHA</v>
      </c>
      <c r="E114" s="34" t="str">
        <f>IFERROR(__xludf.DUMMYFUNCTION("""COMPUTED_VALUE"""),"VR. DE POSTGRADO")</f>
        <v>VR. DE POSTGRADO</v>
      </c>
      <c r="F114" s="34" t="str">
        <f>IFERROR(__xludf.DUMMYFUNCTION("""COMPUTED_VALUE"""),"Analista de Gestión I")</f>
        <v>Analista de Gestión I</v>
      </c>
      <c r="G114" s="33" t="str">
        <f>IFERROR(__xludf.DUMMYFUNCTION("""COMPUTED_VALUE"""),"ANALISTA DE GESTION I")</f>
        <v>ANALISTA DE GESTION I</v>
      </c>
      <c r="H114">
        <f>IFERROR(__xludf.DUMMYFUNCTION("""COMPUTED_VALUE"""),10.0)</f>
        <v>10</v>
      </c>
      <c r="I114" s="34" t="str">
        <f>IFERROR(__xludf.DUMMYFUNCTION("""COMPUTED_VALUE"""),"Jornada Completa")</f>
        <v>Jornada Completa</v>
      </c>
      <c r="J114" s="33" t="str">
        <f>IFERROR(__xludf.DUMMYFUNCTION("""COMPUTED_VALUE"""),"A CONTRATA")</f>
        <v>A CONTRATA</v>
      </c>
      <c r="K114" s="33" t="str">
        <f>IFERROR(__xludf.DUMMYFUNCTION("""COMPUTED_VALUE"""),"PROFESIONAL")</f>
        <v>PROFESIONAL</v>
      </c>
      <c r="L114" s="34" t="str">
        <f>IFERROR(__xludf.DUMMYFUNCTION("""COMPUTED_VALUE"""),"INTERNO")</f>
        <v>INTERNO</v>
      </c>
      <c r="M114" s="34">
        <f>IFERROR(__xludf.DUMMYFUNCTION("""COMPUTED_VALUE"""),7.0)</f>
        <v>7</v>
      </c>
      <c r="N114" s="34" t="str">
        <f>IFERROR(__xludf.DUMMYFUNCTION("""COMPUTED_VALUE"""),"NO")</f>
        <v>NO</v>
      </c>
      <c r="P114">
        <f>IFERROR(__xludf.DUMMYFUNCTION("""COMPUTED_VALUE"""),1.0)</f>
        <v>1</v>
      </c>
      <c r="Q114" s="35"/>
      <c r="R114" s="36" t="str">
        <f>IFERROR(__xludf.DUMMYFUNCTION("""COMPUTED_VALUE"""),"SELECCIONADO")</f>
        <v>SELECCIONADO</v>
      </c>
      <c r="S114" s="37">
        <f>IFERROR(__xludf.DUMMYFUNCTION("""COMPUTED_VALUE"""),43209.0)</f>
        <v>43209</v>
      </c>
      <c r="T114" s="34" t="str">
        <f>IFERROR(__xludf.DUMMYFUNCTION("""COMPUTED_VALUE"""),"HORACIO CORNEJO GARCES")</f>
        <v>HORACIO CORNEJO GARCES</v>
      </c>
      <c r="V114" t="str">
        <f>IFERROR(__xludf.DUMMYFUNCTION("""COMPUTED_VALUE"""),"16709992-0")</f>
        <v>16709992-0</v>
      </c>
      <c r="W114" t="str">
        <f>IFERROR(__xludf.DUMMYFUNCTION("""COMPUTED_VALUE"""),"SI")</f>
        <v>SI</v>
      </c>
      <c r="X114" t="str">
        <f>IFERROR(__xludf.DUMMYFUNCTION("""COMPUTED_VALUE"""),"Capacidad de Planificacion y Organizacion")</f>
        <v>Capacidad de Planificacion y Organizacion</v>
      </c>
      <c r="AA114" s="38">
        <f>IFERROR(__xludf.DUMMYFUNCTION("""COMPUTED_VALUE"""),43180.0)</f>
        <v>43180</v>
      </c>
      <c r="AB114" s="38">
        <f>IFERROR(__xludf.DUMMYFUNCTION("""COMPUTED_VALUE"""),43185.0)</f>
        <v>43185</v>
      </c>
      <c r="AD114" t="str">
        <f>IFERROR(__xludf.DUMMYFUNCTION("""COMPUTED_VALUE"""),"PROF. HORAS ")</f>
        <v>PROF. HORAS </v>
      </c>
      <c r="AE114" t="str">
        <f>IFERROR(__xludf.DUMMYFUNCTION("""COMPUTED_VALUE"""),"PROFESOR")</f>
        <v>PROFESOR</v>
      </c>
      <c r="AF114" s="39"/>
      <c r="AG114" s="39"/>
      <c r="AH114" s="34" t="str">
        <f>IFERROR(__xludf.DUMMYFUNCTION("""COMPUTED_VALUE"""),"PROCESO DE SELECCIÓN")</f>
        <v>PROCESO DE SELECCIÓN</v>
      </c>
      <c r="AI114" s="34" t="str">
        <f>IFERROR(__xludf.DUMMYFUNCTION("""COMPUTED_VALUE"""),"-")</f>
        <v>-</v>
      </c>
      <c r="AJ114" s="34"/>
      <c r="AK114" s="34" t="str">
        <f>IFERROR(__xludf.DUMMYFUNCTION("""COMPUTED_VALUE"""),"C")</f>
        <v>C</v>
      </c>
      <c r="AL114">
        <f>IFERROR(__xludf.DUMMYFUNCTION("""COMPUTED_VALUE"""),19.0)</f>
        <v>19</v>
      </c>
      <c r="AM114">
        <f>IFERROR(__xludf.DUMMYFUNCTION("""COMPUTED_VALUE"""),2018.0)</f>
        <v>2018</v>
      </c>
      <c r="AN114" t="str">
        <f t="shared" si="1"/>
        <v>16709992-0</v>
      </c>
    </row>
    <row r="115">
      <c r="A115" s="33">
        <f>IFERROR(__xludf.DUMMYFUNCTION("""COMPUTED_VALUE"""),1.7608606E7)</f>
        <v>17608606</v>
      </c>
      <c r="B115" s="33">
        <f>IFERROR(__xludf.DUMMYFUNCTION("""COMPUTED_VALUE"""),18.0)</f>
        <v>18</v>
      </c>
      <c r="C115" s="33" t="str">
        <f>IFERROR(__xludf.DUMMYFUNCTION("""COMPUTED_VALUE"""),"ACTA2018-14")</f>
        <v>ACTA2018-14</v>
      </c>
      <c r="D115" s="34" t="str">
        <f>IFERROR(__xludf.DUMMYFUNCTION("""COMPUTED_VALUE"""),"INGRESAR CENTRO DE COSTO A LA DERECHA")</f>
        <v>INGRESAR CENTRO DE COSTO A LA DERECHA</v>
      </c>
      <c r="E115" s="34" t="str">
        <f>IFERROR(__xludf.DUMMYFUNCTION("""COMPUTED_VALUE"""),"DPTO. DE TECNOLOGIAS INDUSTRIALES")</f>
        <v>DPTO. DE TECNOLOGIAS INDUSTRIALES</v>
      </c>
      <c r="F115" s="34" t="str">
        <f>IFERROR(__xludf.DUMMYFUNCTION("""COMPUTED_VALUE"""),"Asistente de Laboratorio")</f>
        <v>Asistente de Laboratorio</v>
      </c>
      <c r="G115" s="33" t="str">
        <f>IFERROR(__xludf.DUMMYFUNCTION("""COMPUTED_VALUE"""),"ASISTENTE DE LABORATORIO")</f>
        <v>ASISTENTE DE LABORATORIO</v>
      </c>
      <c r="H115">
        <f>IFERROR(__xludf.DUMMYFUNCTION("""COMPUTED_VALUE"""),20.0)</f>
        <v>20</v>
      </c>
      <c r="I115" s="34" t="str">
        <f>IFERROR(__xludf.DUMMYFUNCTION("""COMPUTED_VALUE"""),"Jornada Completa")</f>
        <v>Jornada Completa</v>
      </c>
      <c r="J115" s="33" t="str">
        <f>IFERROR(__xludf.DUMMYFUNCTION("""COMPUTED_VALUE"""),"A CONTRATA")</f>
        <v>A CONTRATA</v>
      </c>
      <c r="K115" s="33" t="str">
        <f>IFERROR(__xludf.DUMMYFUNCTION("""COMPUTED_VALUE"""),"TECNICO")</f>
        <v>TECNICO</v>
      </c>
      <c r="L115" s="34" t="str">
        <f>IFERROR(__xludf.DUMMYFUNCTION("""COMPUTED_VALUE"""),"INTERNO")</f>
        <v>INTERNO</v>
      </c>
      <c r="M115" s="34">
        <f>IFERROR(__xludf.DUMMYFUNCTION("""COMPUTED_VALUE"""),0.0)</f>
        <v>0</v>
      </c>
      <c r="N115" s="34" t="str">
        <f>IFERROR(__xludf.DUMMYFUNCTION("""COMPUTED_VALUE"""),"EXTERNO")</f>
        <v>EXTERNO</v>
      </c>
      <c r="O115">
        <f>IFERROR(__xludf.DUMMYFUNCTION("""COMPUTED_VALUE"""),13.0)</f>
        <v>13</v>
      </c>
      <c r="P115">
        <f>IFERROR(__xludf.DUMMYFUNCTION("""COMPUTED_VALUE"""),3.0)</f>
        <v>3</v>
      </c>
      <c r="Q115" s="35">
        <f>IFERROR(__xludf.DUMMYFUNCTION("""COMPUTED_VALUE"""),1.0)</f>
        <v>1</v>
      </c>
      <c r="R115" s="36" t="str">
        <f>IFERROR(__xludf.DUMMYFUNCTION("""COMPUTED_VALUE"""),"SELECCIONADO")</f>
        <v>SELECCIONADO</v>
      </c>
      <c r="S115" s="37">
        <f>IFERROR(__xludf.DUMMYFUNCTION("""COMPUTED_VALUE"""),43234.0)</f>
        <v>43234</v>
      </c>
      <c r="T115" s="34"/>
      <c r="U115" t="str">
        <f>IFERROR(__xludf.DUMMYFUNCTION("""COMPUTED_VALUE"""),"GONZALO PIÑONES NAVARRO")</f>
        <v>GONZALO PIÑONES NAVARRO</v>
      </c>
      <c r="V115" t="str">
        <f>IFERROR(__xludf.DUMMYFUNCTION("""COMPUTED_VALUE"""),"17608606-8")</f>
        <v>17608606-8</v>
      </c>
      <c r="W115" t="str">
        <f>IFERROR(__xludf.DUMMYFUNCTION("""COMPUTED_VALUE"""),"NO")</f>
        <v>NO</v>
      </c>
      <c r="AA115" s="38">
        <f>IFERROR(__xludf.DUMMYFUNCTION("""COMPUTED_VALUE"""),43194.0)</f>
        <v>43194</v>
      </c>
      <c r="AB115" s="38">
        <f>IFERROR(__xludf.DUMMYFUNCTION("""COMPUTED_VALUE"""),43201.0)</f>
        <v>43201</v>
      </c>
      <c r="AF115" s="39"/>
      <c r="AG115" s="39"/>
      <c r="AH115" s="34" t="str">
        <f>IFERROR(__xludf.DUMMYFUNCTION("""COMPUTED_VALUE"""),"PROCESO DE SELECCIÓN")</f>
        <v>PROCESO DE SELECCIÓN</v>
      </c>
      <c r="AI115" s="34" t="str">
        <f>IFERROR(__xludf.DUMMYFUNCTION("""COMPUTED_VALUE"""),"- ")</f>
        <v>- </v>
      </c>
      <c r="AJ115" s="34"/>
      <c r="AK115" s="34" t="str">
        <f>IFERROR(__xludf.DUMMYFUNCTION("""COMPUTED_VALUE"""),"C")</f>
        <v>C</v>
      </c>
      <c r="AL115">
        <f>IFERROR(__xludf.DUMMYFUNCTION("""COMPUTED_VALUE"""),24.0)</f>
        <v>24</v>
      </c>
      <c r="AM115">
        <f>IFERROR(__xludf.DUMMYFUNCTION("""COMPUTED_VALUE"""),2018.0)</f>
        <v>2018</v>
      </c>
      <c r="AN115" t="str">
        <f t="shared" si="1"/>
        <v>17608606-8</v>
      </c>
    </row>
    <row r="116">
      <c r="A116" s="33">
        <f>IFERROR(__xludf.DUMMYFUNCTION("""COMPUTED_VALUE"""),1.9792801E7)</f>
        <v>19792801</v>
      </c>
      <c r="B116" s="33">
        <f>IFERROR(__xludf.DUMMYFUNCTION("""COMPUTED_VALUE"""),19.0)</f>
        <v>19</v>
      </c>
      <c r="C116" s="33"/>
      <c r="D116" s="34" t="str">
        <f>IFERROR(__xludf.DUMMYFUNCTION("""COMPUTED_VALUE"""),"INGRESAR CENTRO DE COSTO A LA DERECHA")</f>
        <v>INGRESAR CENTRO DE COSTO A LA DERECHA</v>
      </c>
      <c r="E116" s="34" t="str">
        <f>IFERROR(__xludf.DUMMYFUNCTION("""COMPUTED_VALUE"""),"VR. ACADEMICA")</f>
        <v>VR. ACADEMICA</v>
      </c>
      <c r="F116" s="34" t="str">
        <f>IFERROR(__xludf.DUMMYFUNCTION("""COMPUTED_VALUE"""),"Estafeta")</f>
        <v>Estafeta</v>
      </c>
      <c r="G116" s="33" t="str">
        <f>IFERROR(__xludf.DUMMYFUNCTION("""COMPUTED_VALUE"""),"ESTAFETA")</f>
        <v>ESTAFETA</v>
      </c>
      <c r="H116">
        <f>IFERROR(__xludf.DUMMYFUNCTION("""COMPUTED_VALUE"""),23.0)</f>
        <v>23</v>
      </c>
      <c r="I116" s="34" t="str">
        <f>IFERROR(__xludf.DUMMYFUNCTION("""COMPUTED_VALUE"""),"Jornada Completa")</f>
        <v>Jornada Completa</v>
      </c>
      <c r="J116" s="33" t="str">
        <f>IFERROR(__xludf.DUMMYFUNCTION("""COMPUTED_VALUE"""),"A CONTRATA")</f>
        <v>A CONTRATA</v>
      </c>
      <c r="K116" s="33" t="str">
        <f>IFERROR(__xludf.DUMMYFUNCTION("""COMPUTED_VALUE"""),"AUXILIAR")</f>
        <v>AUXILIAR</v>
      </c>
      <c r="L116" s="34" t="str">
        <f>IFERROR(__xludf.DUMMYFUNCTION("""COMPUTED_VALUE"""),"INTERNO")</f>
        <v>INTERNO</v>
      </c>
      <c r="M116" s="34">
        <f>IFERROR(__xludf.DUMMYFUNCTION("""COMPUTED_VALUE"""),1.0)</f>
        <v>1</v>
      </c>
      <c r="N116" s="34" t="str">
        <f>IFERROR(__xludf.DUMMYFUNCTION("""COMPUTED_VALUE"""),"EXTERNO")</f>
        <v>EXTERNO</v>
      </c>
      <c r="O116">
        <f>IFERROR(__xludf.DUMMYFUNCTION("""COMPUTED_VALUE"""),16.0)</f>
        <v>16</v>
      </c>
      <c r="P116">
        <f>IFERROR(__xludf.DUMMYFUNCTION("""COMPUTED_VALUE"""),5.0)</f>
        <v>5</v>
      </c>
      <c r="Q116" s="35">
        <f>IFERROR(__xludf.DUMMYFUNCTION("""COMPUTED_VALUE"""),2.0)</f>
        <v>2</v>
      </c>
      <c r="R116" s="36" t="str">
        <f>IFERROR(__xludf.DUMMYFUNCTION("""COMPUTED_VALUE"""),"SELECCIONADO")</f>
        <v>SELECCIONADO</v>
      </c>
      <c r="S116" s="37">
        <f>IFERROR(__xludf.DUMMYFUNCTION("""COMPUTED_VALUE"""),43199.0)</f>
        <v>43199</v>
      </c>
      <c r="T116" s="34"/>
      <c r="U116" t="str">
        <f>IFERROR(__xludf.DUMMYFUNCTION("""COMPUTED_VALUE"""),"GABRIEL JOFRE DOEPKING")</f>
        <v>GABRIEL JOFRE DOEPKING</v>
      </c>
      <c r="V116" t="str">
        <f>IFERROR(__xludf.DUMMYFUNCTION("""COMPUTED_VALUE"""),"19792801-8")</f>
        <v>19792801-8</v>
      </c>
      <c r="W116" t="str">
        <f>IFERROR(__xludf.DUMMYFUNCTION("""COMPUTED_VALUE"""),"NO")</f>
        <v>NO</v>
      </c>
      <c r="AA116" s="38">
        <f>IFERROR(__xludf.DUMMYFUNCTION("""COMPUTED_VALUE"""),43165.0)</f>
        <v>43165</v>
      </c>
      <c r="AB116" s="38">
        <f>IFERROR(__xludf.DUMMYFUNCTION("""COMPUTED_VALUE"""),43172.0)</f>
        <v>43172</v>
      </c>
      <c r="AF116" s="39"/>
      <c r="AG116" s="39"/>
      <c r="AH116" s="34" t="str">
        <f>IFERROR(__xludf.DUMMYFUNCTION("""COMPUTED_VALUE"""),"PROCESO DE SELECCIÓN")</f>
        <v>PROCESO DE SELECCIÓN</v>
      </c>
      <c r="AI116" s="34" t="str">
        <f>IFERROR(__xludf.DUMMYFUNCTION("""COMPUTED_VALUE"""),"JUAN AVILES MORALES")</f>
        <v>JUAN AVILES MORALES</v>
      </c>
      <c r="AJ116" s="34"/>
      <c r="AK116" s="34" t="str">
        <f>IFERROR(__xludf.DUMMYFUNCTION("""COMPUTED_VALUE"""),"E")</f>
        <v>E</v>
      </c>
      <c r="AL116">
        <f>IFERROR(__xludf.DUMMYFUNCTION("""COMPUTED_VALUE"""),20.0)</f>
        <v>20</v>
      </c>
      <c r="AM116">
        <f>IFERROR(__xludf.DUMMYFUNCTION("""COMPUTED_VALUE"""),2018.0)</f>
        <v>2018</v>
      </c>
      <c r="AN116" t="str">
        <f t="shared" si="1"/>
        <v>19792801-8</v>
      </c>
    </row>
    <row r="117">
      <c r="A117" s="33">
        <f>IFERROR(__xludf.DUMMYFUNCTION("""COMPUTED_VALUE"""),1.7434877E7)</f>
        <v>17434877</v>
      </c>
      <c r="B117" s="33">
        <f>IFERROR(__xludf.DUMMYFUNCTION("""COMPUTED_VALUE"""),20.0)</f>
        <v>20</v>
      </c>
      <c r="C117" s="33" t="str">
        <f>IFERROR(__xludf.DUMMYFUNCTION("""COMPUTED_VALUE"""),"A198")</f>
        <v>A198</v>
      </c>
      <c r="D117" s="34" t="str">
        <f>IFERROR(__xludf.DUMMYFUNCTION("""COMPUTED_VALUE"""),"INGRESAR CENTRO DE COSTO A LA DERECHA")</f>
        <v>INGRESAR CENTRO DE COSTO A LA DERECHA</v>
      </c>
      <c r="E117" s="34" t="str">
        <f>IFERROR(__xludf.DUMMYFUNCTION("""COMPUTED_VALUE"""),"DPTO. DE GESTION ESTRATEGICA")</f>
        <v>DPTO. DE GESTION ESTRATEGICA</v>
      </c>
      <c r="F117" s="34" t="str">
        <f>IFERROR(__xludf.DUMMYFUNCTION("""COMPUTED_VALUE"""),"Analista de Gestión Estratégica")</f>
        <v>Analista de Gestión Estratégica</v>
      </c>
      <c r="G117" s="33" t="str">
        <f>IFERROR(__xludf.DUMMYFUNCTION("""COMPUTED_VALUE"""),"ANALISTA DE GESTION ESTRATEGICA")</f>
        <v>ANALISTA DE GESTION ESTRATEGICA</v>
      </c>
      <c r="H117">
        <f>IFERROR(__xludf.DUMMYFUNCTION("""COMPUTED_VALUE"""),10.0)</f>
        <v>10</v>
      </c>
      <c r="I117" s="34" t="str">
        <f>IFERROR(__xludf.DUMMYFUNCTION("""COMPUTED_VALUE"""),"Jornada Completa")</f>
        <v>Jornada Completa</v>
      </c>
      <c r="J117" s="33" t="str">
        <f>IFERROR(__xludf.DUMMYFUNCTION("""COMPUTED_VALUE"""),"A CONTRATA")</f>
        <v>A CONTRATA</v>
      </c>
      <c r="K117" s="33" t="str">
        <f>IFERROR(__xludf.DUMMYFUNCTION("""COMPUTED_VALUE"""),"PROFESIONAL")</f>
        <v>PROFESIONAL</v>
      </c>
      <c r="L117" s="34" t="str">
        <f>IFERROR(__xludf.DUMMYFUNCTION("""COMPUTED_VALUE"""),"INTERNO")</f>
        <v>INTERNO</v>
      </c>
      <c r="M117" s="34">
        <f>IFERROR(__xludf.DUMMYFUNCTION("""COMPUTED_VALUE"""),1.0)</f>
        <v>1</v>
      </c>
      <c r="N117" s="34" t="str">
        <f>IFERROR(__xludf.DUMMYFUNCTION("""COMPUTED_VALUE"""),"EXTERNO")</f>
        <v>EXTERNO</v>
      </c>
      <c r="O117">
        <f>IFERROR(__xludf.DUMMYFUNCTION("""COMPUTED_VALUE"""),27.0)</f>
        <v>27</v>
      </c>
      <c r="P117">
        <f>IFERROR(__xludf.DUMMYFUNCTION("""COMPUTED_VALUE"""),3.0)</f>
        <v>3</v>
      </c>
      <c r="Q117" s="35">
        <f>IFERROR(__xludf.DUMMYFUNCTION("""COMPUTED_VALUE"""),0.0)</f>
        <v>0</v>
      </c>
      <c r="R117" s="36" t="str">
        <f>IFERROR(__xludf.DUMMYFUNCTION("""COMPUTED_VALUE"""),"SELECCIONADO")</f>
        <v>SELECCIONADO</v>
      </c>
      <c r="S117" s="37">
        <f>IFERROR(__xludf.DUMMYFUNCTION("""COMPUTED_VALUE"""),43222.0)</f>
        <v>43222</v>
      </c>
      <c r="T117" s="34"/>
      <c r="U117" t="str">
        <f>IFERROR(__xludf.DUMMYFUNCTION("""COMPUTED_VALUE"""),"JUAN ALANO PALAVECINO")</f>
        <v>JUAN ALANO PALAVECINO</v>
      </c>
      <c r="V117" t="str">
        <f>IFERROR(__xludf.DUMMYFUNCTION("""COMPUTED_VALUE"""),"17434877-4")</f>
        <v>17434877-4</v>
      </c>
      <c r="W117" t="str">
        <f>IFERROR(__xludf.DUMMYFUNCTION("""COMPUTED_VALUE"""),"SI")</f>
        <v>SI</v>
      </c>
      <c r="X117" t="str">
        <f>IFERROR(__xludf.DUMMYFUNCTION("""COMPUTED_VALUE"""),"Pensamiento Analitico")</f>
        <v>Pensamiento Analitico</v>
      </c>
      <c r="Y117" t="str">
        <f>IFERROR(__xludf.DUMMYFUNCTION("""COMPUTED_VALUE"""),"Orientacion a los Resultados")</f>
        <v>Orientacion a los Resultados</v>
      </c>
      <c r="Z117" t="str">
        <f>IFERROR(__xludf.DUMMYFUNCTION("""COMPUTED_VALUE"""),"Capacidad de Planificacion y Organizacion")</f>
        <v>Capacidad de Planificacion y Organizacion</v>
      </c>
      <c r="AA117" s="38">
        <f>IFERROR(__xludf.DUMMYFUNCTION("""COMPUTED_VALUE"""),43187.0)</f>
        <v>43187</v>
      </c>
      <c r="AB117" s="38">
        <f>IFERROR(__xludf.DUMMYFUNCTION("""COMPUTED_VALUE"""),43196.0)</f>
        <v>43196</v>
      </c>
      <c r="AF117" s="39"/>
      <c r="AG117" s="39"/>
      <c r="AH117" s="34" t="str">
        <f>IFERROR(__xludf.DUMMYFUNCTION("""COMPUTED_VALUE"""),"PROCESO DE SELECCIÓN")</f>
        <v>PROCESO DE SELECCIÓN</v>
      </c>
      <c r="AI117" s="34" t="str">
        <f>IFERROR(__xludf.DUMMYFUNCTION("""COMPUTED_VALUE"""),"GODOY MANSILLA GONZALO")</f>
        <v>GODOY MANSILLA GONZALO</v>
      </c>
      <c r="AJ117" s="34"/>
      <c r="AK117" s="34" t="str">
        <f>IFERROR(__xludf.DUMMYFUNCTION("""COMPUTED_VALUE"""),"P")</f>
        <v>P</v>
      </c>
      <c r="AL117">
        <f>IFERROR(__xludf.DUMMYFUNCTION("""COMPUTED_VALUE"""),19.0)</f>
        <v>19</v>
      </c>
      <c r="AM117">
        <f>IFERROR(__xludf.DUMMYFUNCTION("""COMPUTED_VALUE"""),2018.0)</f>
        <v>2018</v>
      </c>
      <c r="AN117" t="str">
        <f t="shared" si="1"/>
        <v>17434877-4</v>
      </c>
    </row>
    <row r="118">
      <c r="A118" s="33">
        <f>IFERROR(__xludf.DUMMYFUNCTION("""COMPUTED_VALUE"""),1.6716976E7)</f>
        <v>16716976</v>
      </c>
      <c r="B118" s="33">
        <f>IFERROR(__xludf.DUMMYFUNCTION("""COMPUTED_VALUE"""),21.0)</f>
        <v>21</v>
      </c>
      <c r="C118" s="33"/>
      <c r="D118" s="34" t="str">
        <f>IFERROR(__xludf.DUMMYFUNCTION("""COMPUTED_VALUE"""),"INGRESAR CENTRO DE COSTO A LA DERECHA")</f>
        <v>INGRESAR CENTRO DE COSTO A LA DERECHA</v>
      </c>
      <c r="E118" s="34" t="str">
        <f>IFERROR(__xludf.DUMMYFUNCTION("""COMPUTED_VALUE"""),"FACULTAD TECNOLOGICA")</f>
        <v>FACULTAD TECNOLOGICA</v>
      </c>
      <c r="F118" s="34" t="str">
        <f>IFERROR(__xludf.DUMMYFUNCTION("""COMPUTED_VALUE"""),"Asistente de Biblioteca")</f>
        <v>Asistente de Biblioteca</v>
      </c>
      <c r="G118" s="33" t="str">
        <f>IFERROR(__xludf.DUMMYFUNCTION("""COMPUTED_VALUE"""),"ASISTENTE DE BIBLIOTECA ( HORARIO VESPERTINO)")</f>
        <v>ASISTENTE DE BIBLIOTECA ( HORARIO VESPERTINO)</v>
      </c>
      <c r="H118">
        <f>IFERROR(__xludf.DUMMYFUNCTION("""COMPUTED_VALUE"""),20.0)</f>
        <v>20</v>
      </c>
      <c r="I118" s="34" t="str">
        <f>IFERROR(__xludf.DUMMYFUNCTION("""COMPUTED_VALUE"""),"Jornada Completa")</f>
        <v>Jornada Completa</v>
      </c>
      <c r="J118" s="33" t="str">
        <f>IFERROR(__xludf.DUMMYFUNCTION("""COMPUTED_VALUE"""),"A CONTRATA")</f>
        <v>A CONTRATA</v>
      </c>
      <c r="K118" s="33" t="str">
        <f>IFERROR(__xludf.DUMMYFUNCTION("""COMPUTED_VALUE"""),"ADMINISTRATIVO")</f>
        <v>ADMINISTRATIVO</v>
      </c>
      <c r="L118" s="34" t="str">
        <f>IFERROR(__xludf.DUMMYFUNCTION("""COMPUTED_VALUE"""),"INTERNO")</f>
        <v>INTERNO</v>
      </c>
      <c r="M118" s="34">
        <f>IFERROR(__xludf.DUMMYFUNCTION("""COMPUTED_VALUE"""),0.0)</f>
        <v>0</v>
      </c>
      <c r="N118" s="34" t="str">
        <f>IFERROR(__xludf.DUMMYFUNCTION("""COMPUTED_VALUE"""),"EXTERNO")</f>
        <v>EXTERNO</v>
      </c>
      <c r="O118">
        <f>IFERROR(__xludf.DUMMYFUNCTION("""COMPUTED_VALUE"""),9.0)</f>
        <v>9</v>
      </c>
      <c r="P118">
        <f>IFERROR(__xludf.DUMMYFUNCTION("""COMPUTED_VALUE"""),3.0)</f>
        <v>3</v>
      </c>
      <c r="Q118" s="35">
        <f>IFERROR(__xludf.DUMMYFUNCTION("""COMPUTED_VALUE"""),0.0)</f>
        <v>0</v>
      </c>
      <c r="R118" s="36" t="str">
        <f>IFERROR(__xludf.DUMMYFUNCTION("""COMPUTED_VALUE"""),"SELECCIONADO")</f>
        <v>SELECCIONADO</v>
      </c>
      <c r="S118" s="37">
        <f>IFERROR(__xludf.DUMMYFUNCTION("""COMPUTED_VALUE"""),43248.0)</f>
        <v>43248</v>
      </c>
      <c r="T118" s="34"/>
      <c r="U118" t="str">
        <f>IFERROR(__xludf.DUMMYFUNCTION("""COMPUTED_VALUE"""),"BASTIAN GONZALEZ CAAMAÑO")</f>
        <v>BASTIAN GONZALEZ CAAMAÑO</v>
      </c>
      <c r="V118" t="str">
        <f>IFERROR(__xludf.DUMMYFUNCTION("""COMPUTED_VALUE"""),"16716976-7")</f>
        <v>16716976-7</v>
      </c>
      <c r="W118" t="str">
        <f>IFERROR(__xludf.DUMMYFUNCTION("""COMPUTED_VALUE"""),"NO")</f>
        <v>NO</v>
      </c>
      <c r="AA118" s="38">
        <f>IFERROR(__xludf.DUMMYFUNCTION("""COMPUTED_VALUE"""),43192.0)</f>
        <v>43192</v>
      </c>
      <c r="AB118" s="38">
        <f>IFERROR(__xludf.DUMMYFUNCTION("""COMPUTED_VALUE"""),43199.0)</f>
        <v>43199</v>
      </c>
      <c r="AF118" s="39"/>
      <c r="AG118" s="39"/>
      <c r="AH118" s="34" t="str">
        <f>IFERROR(__xludf.DUMMYFUNCTION("""COMPUTED_VALUE"""),"PROCESO DE SELECCIÓN")</f>
        <v>PROCESO DE SELECCIÓN</v>
      </c>
      <c r="AI118" s="34" t="str">
        <f>IFERROR(__xludf.DUMMYFUNCTION("""COMPUTED_VALUE""")," MORAGA POBLETE MARIO")</f>
        <v> MORAGA POBLETE MARIO</v>
      </c>
      <c r="AJ118" s="34"/>
      <c r="AK118" s="34" t="str">
        <f>IFERROR(__xludf.DUMMYFUNCTION("""COMPUTED_VALUE"""),"E")</f>
        <v>E</v>
      </c>
      <c r="AL118">
        <f>IFERROR(__xludf.DUMMYFUNCTION("""COMPUTED_VALUE"""),36.0)</f>
        <v>36</v>
      </c>
      <c r="AM118">
        <f>IFERROR(__xludf.DUMMYFUNCTION("""COMPUTED_VALUE"""),2018.0)</f>
        <v>2018</v>
      </c>
      <c r="AN118" t="str">
        <f t="shared" si="1"/>
        <v>16716976-7</v>
      </c>
    </row>
    <row r="119">
      <c r="A119" s="33">
        <f>IFERROR(__xludf.DUMMYFUNCTION("""COMPUTED_VALUE"""),1.3592396E7)</f>
        <v>13592396</v>
      </c>
      <c r="B119" s="33">
        <f>IFERROR(__xludf.DUMMYFUNCTION("""COMPUTED_VALUE"""),22.0)</f>
        <v>22</v>
      </c>
      <c r="C119" s="33" t="str">
        <f>IFERROR(__xludf.DUMMYFUNCTION("""COMPUTED_VALUE"""),"A200")</f>
        <v>A200</v>
      </c>
      <c r="D119" s="34" t="str">
        <f>IFERROR(__xludf.DUMMYFUNCTION("""COMPUTED_VALUE"""),"INGRESAR CENTRO DE COSTO A LA DERECHA")</f>
        <v>INGRESAR CENTRO DE COSTO A LA DERECHA</v>
      </c>
      <c r="E119" s="34" t="str">
        <f>IFERROR(__xludf.DUMMYFUNCTION("""COMPUTED_VALUE"""),"UNIDAD DE PROMOCION DE LA SALUD")</f>
        <v>UNIDAD DE PROMOCION DE LA SALUD</v>
      </c>
      <c r="F119" s="34" t="str">
        <f>IFERROR(__xludf.DUMMYFUNCTION("""COMPUTED_VALUE"""),"Psicólogo(a)")</f>
        <v>Psicólogo(a)</v>
      </c>
      <c r="G119" s="33" t="str">
        <f>IFERROR(__xludf.DUMMYFUNCTION("""COMPUTED_VALUE"""),"PSICOLOGO")</f>
        <v>PSICOLOGO</v>
      </c>
      <c r="H119">
        <f>IFERROR(__xludf.DUMMYFUNCTION("""COMPUTED_VALUE"""),13.0)</f>
        <v>13</v>
      </c>
      <c r="I119" s="34" t="str">
        <f>IFERROR(__xludf.DUMMYFUNCTION("""COMPUTED_VALUE"""),"Jornada Completa")</f>
        <v>Jornada Completa</v>
      </c>
      <c r="J119" s="33" t="str">
        <f>IFERROR(__xludf.DUMMYFUNCTION("""COMPUTED_VALUE"""),"A CONTRATA")</f>
        <v>A CONTRATA</v>
      </c>
      <c r="K119" s="33" t="str">
        <f>IFERROR(__xludf.DUMMYFUNCTION("""COMPUTED_VALUE"""),"PROFESIONAL")</f>
        <v>PROFESIONAL</v>
      </c>
      <c r="L119" s="34" t="str">
        <f>IFERROR(__xludf.DUMMYFUNCTION("""COMPUTED_VALUE"""),"INTERNO")</f>
        <v>INTERNO</v>
      </c>
      <c r="M119" s="34">
        <f>IFERROR(__xludf.DUMMYFUNCTION("""COMPUTED_VALUE"""),1.0)</f>
        <v>1</v>
      </c>
      <c r="N119" s="34" t="str">
        <f>IFERROR(__xludf.DUMMYFUNCTION("""COMPUTED_VALUE"""),"EXTERNO")</f>
        <v>EXTERNO</v>
      </c>
      <c r="O119">
        <f>IFERROR(__xludf.DUMMYFUNCTION("""COMPUTED_VALUE"""),21.0)</f>
        <v>21</v>
      </c>
      <c r="P119">
        <f>IFERROR(__xludf.DUMMYFUNCTION("""COMPUTED_VALUE"""),1.0)</f>
        <v>1</v>
      </c>
      <c r="Q119" s="35">
        <f>IFERROR(__xludf.DUMMYFUNCTION("""COMPUTED_VALUE"""),0.0)</f>
        <v>0</v>
      </c>
      <c r="R119" s="36" t="str">
        <f>IFERROR(__xludf.DUMMYFUNCTION("""COMPUTED_VALUE"""),"SELECCIONADA")</f>
        <v>SELECCIONADA</v>
      </c>
      <c r="S119" s="37">
        <f>IFERROR(__xludf.DUMMYFUNCTION("""COMPUTED_VALUE"""),43248.0)</f>
        <v>43248</v>
      </c>
      <c r="T119" s="34"/>
      <c r="U119" t="str">
        <f>IFERROR(__xludf.DUMMYFUNCTION("""COMPUTED_VALUE"""),"MARIA HAUSDORF STEGER")</f>
        <v>MARIA HAUSDORF STEGER</v>
      </c>
      <c r="V119" t="str">
        <f>IFERROR(__xludf.DUMMYFUNCTION("""COMPUTED_VALUE"""),"13592396-6")</f>
        <v>13592396-6</v>
      </c>
      <c r="W119" t="str">
        <f>IFERROR(__xludf.DUMMYFUNCTION("""COMPUTED_VALUE"""),"NO")</f>
        <v>NO</v>
      </c>
      <c r="AA119" s="38">
        <f>IFERROR(__xludf.DUMMYFUNCTION("""COMPUTED_VALUE"""),43209.0)</f>
        <v>43209</v>
      </c>
      <c r="AB119" s="38">
        <f>IFERROR(__xludf.DUMMYFUNCTION("""COMPUTED_VALUE"""),43244.0)</f>
        <v>43244</v>
      </c>
      <c r="AF119" s="39"/>
      <c r="AG119" s="39"/>
      <c r="AH119" s="34" t="str">
        <f>IFERROR(__xludf.DUMMYFUNCTION("""COMPUTED_VALUE"""),"PROCESO DE SELECCIÓN")</f>
        <v>PROCESO DE SELECCIÓN</v>
      </c>
      <c r="AI119" s="34" t="str">
        <f>IFERROR(__xludf.DUMMYFUNCTION("""COMPUTED_VALUE"""),"DAPHNE PINOCHET VARGAS")</f>
        <v>DAPHNE PINOCHET VARGAS</v>
      </c>
      <c r="AJ119" s="34"/>
      <c r="AK119" s="34" t="str">
        <f>IFERROR(__xludf.DUMMYFUNCTION("""COMPUTED_VALUE"""),"E")</f>
        <v>E</v>
      </c>
      <c r="AL119">
        <f>IFERROR(__xludf.DUMMYFUNCTION("""COMPUTED_VALUE"""),3.0)</f>
        <v>3</v>
      </c>
      <c r="AM119">
        <f>IFERROR(__xludf.DUMMYFUNCTION("""COMPUTED_VALUE"""),2018.0)</f>
        <v>2018</v>
      </c>
      <c r="AN119" t="str">
        <f t="shared" si="1"/>
        <v>13592396-6</v>
      </c>
    </row>
    <row r="120">
      <c r="A120" s="33">
        <f>IFERROR(__xludf.DUMMYFUNCTION("""COMPUTED_VALUE"""),1.4165767E7)</f>
        <v>14165767</v>
      </c>
      <c r="B120" s="33">
        <f>IFERROR(__xludf.DUMMYFUNCTION("""COMPUTED_VALUE"""),23.0)</f>
        <v>23</v>
      </c>
      <c r="C120" s="33"/>
      <c r="D120" s="34" t="str">
        <f>IFERROR(__xludf.DUMMYFUNCTION("""COMPUTED_VALUE"""),"INGRESAR CENTRO DE COSTO A LA DERECHA")</f>
        <v>INGRESAR CENTRO DE COSTO A LA DERECHA</v>
      </c>
      <c r="E120" s="34" t="str">
        <f>IFERROR(__xludf.DUMMYFUNCTION("""COMPUTED_VALUE"""),"DPTO. DE RECURSOS HUMANOS")</f>
        <v>DPTO. DE RECURSOS HUMANOS</v>
      </c>
      <c r="F120" s="34" t="str">
        <f>IFERROR(__xludf.DUMMYFUNCTION("""COMPUTED_VALUE"""),"Administrativo(a) de Recursos Humanos")</f>
        <v>Administrativo(a) de Recursos Humanos</v>
      </c>
      <c r="G120" s="33" t="str">
        <f>IFERROR(__xludf.DUMMYFUNCTION("""COMPUTED_VALUE"""),"ADMINISTRATIVO DE RECURSOS HUMANOS")</f>
        <v>ADMINISTRATIVO DE RECURSOS HUMANOS</v>
      </c>
      <c r="H120">
        <f>IFERROR(__xludf.DUMMYFUNCTION("""COMPUTED_VALUE"""),17.0)</f>
        <v>17</v>
      </c>
      <c r="I120" s="34" t="str">
        <f>IFERROR(__xludf.DUMMYFUNCTION("""COMPUTED_VALUE"""),"Jornada Completa")</f>
        <v>Jornada Completa</v>
      </c>
      <c r="J120" s="33" t="str">
        <f>IFERROR(__xludf.DUMMYFUNCTION("""COMPUTED_VALUE"""),"A CONTRATA")</f>
        <v>A CONTRATA</v>
      </c>
      <c r="K120" s="33" t="str">
        <f>IFERROR(__xludf.DUMMYFUNCTION("""COMPUTED_VALUE"""),"ADMINISTRATIVO")</f>
        <v>ADMINISTRATIVO</v>
      </c>
      <c r="L120" s="34" t="str">
        <f>IFERROR(__xludf.DUMMYFUNCTION("""COMPUTED_VALUE"""),"INTERNO")</f>
        <v>INTERNO</v>
      </c>
      <c r="M120" s="34">
        <f>IFERROR(__xludf.DUMMYFUNCTION("""COMPUTED_VALUE"""),2.0)</f>
        <v>2</v>
      </c>
      <c r="N120" s="34" t="str">
        <f>IFERROR(__xludf.DUMMYFUNCTION("""COMPUTED_VALUE"""),"EXTERNO")</f>
        <v>EXTERNO</v>
      </c>
      <c r="O120">
        <f>IFERROR(__xludf.DUMMYFUNCTION("""COMPUTED_VALUE"""),14.0)</f>
        <v>14</v>
      </c>
      <c r="P120">
        <f>IFERROR(__xludf.DUMMYFUNCTION("""COMPUTED_VALUE"""),3.0)</f>
        <v>3</v>
      </c>
      <c r="Q120" s="35">
        <f>IFERROR(__xludf.DUMMYFUNCTION("""COMPUTED_VALUE"""),0.0)</f>
        <v>0</v>
      </c>
      <c r="R120" s="36" t="str">
        <f>IFERROR(__xludf.DUMMYFUNCTION("""COMPUTED_VALUE"""),"SELECCIONADA")</f>
        <v>SELECCIONADA</v>
      </c>
      <c r="S120" s="37">
        <f>IFERROR(__xludf.DUMMYFUNCTION("""COMPUTED_VALUE"""),43252.0)</f>
        <v>43252</v>
      </c>
      <c r="T120" s="34"/>
      <c r="U120" t="str">
        <f>IFERROR(__xludf.DUMMYFUNCTION("""COMPUTED_VALUE"""),"INGRID SANHUEZA AZUA")</f>
        <v>INGRID SANHUEZA AZUA</v>
      </c>
      <c r="V120" t="str">
        <f>IFERROR(__xludf.DUMMYFUNCTION("""COMPUTED_VALUE"""),"14165767-4")</f>
        <v>14165767-4</v>
      </c>
      <c r="W120" t="str">
        <f>IFERROR(__xludf.DUMMYFUNCTION("""COMPUTED_VALUE"""),"NO")</f>
        <v>NO</v>
      </c>
      <c r="AA120" s="38">
        <f>IFERROR(__xludf.DUMMYFUNCTION("""COMPUTED_VALUE"""),43206.0)</f>
        <v>43206</v>
      </c>
      <c r="AB120" s="38">
        <f>IFERROR(__xludf.DUMMYFUNCTION("""COMPUTED_VALUE"""),43213.0)</f>
        <v>43213</v>
      </c>
      <c r="AF120" s="39"/>
      <c r="AG120" s="39"/>
      <c r="AH120" s="34" t="str">
        <f>IFERROR(__xludf.DUMMYFUNCTION("""COMPUTED_VALUE"""),"PROCESO DE SELECCIÓN")</f>
        <v>PROCESO DE SELECCIÓN</v>
      </c>
      <c r="AI120" s="34" t="str">
        <f>IFERROR(__xludf.DUMMYFUNCTION("""COMPUTED_VALUE"""),"-")</f>
        <v>-</v>
      </c>
      <c r="AJ120" s="34"/>
      <c r="AK120" s="34" t="str">
        <f>IFERROR(__xludf.DUMMYFUNCTION("""COMPUTED_VALUE"""),"E")</f>
        <v>E</v>
      </c>
      <c r="AL120">
        <f>IFERROR(__xludf.DUMMYFUNCTION("""COMPUTED_VALUE"""),30.0)</f>
        <v>30</v>
      </c>
      <c r="AM120">
        <f>IFERROR(__xludf.DUMMYFUNCTION("""COMPUTED_VALUE"""),2018.0)</f>
        <v>2018</v>
      </c>
      <c r="AN120" t="str">
        <f t="shared" si="1"/>
        <v>14165767-4</v>
      </c>
    </row>
    <row r="121">
      <c r="A121" s="33">
        <f>IFERROR(__xludf.DUMMYFUNCTION("""COMPUTED_VALUE"""),1.7484988E7)</f>
        <v>17484988</v>
      </c>
      <c r="B121" s="33">
        <f>IFERROR(__xludf.DUMMYFUNCTION("""COMPUTED_VALUE"""),24.0)</f>
        <v>24</v>
      </c>
      <c r="C121" s="33"/>
      <c r="D121" s="34" t="str">
        <f>IFERROR(__xludf.DUMMYFUNCTION("""COMPUTED_VALUE"""),"INGRESAR CENTRO DE COSTO A LA DERECHA")</f>
        <v>INGRESAR CENTRO DE COSTO A LA DERECHA</v>
      </c>
      <c r="E121" s="34" t="str">
        <f>IFERROR(__xludf.DUMMYFUNCTION("""COMPUTED_VALUE"""),"DPTO. DE RECURSOS HUMANOS")</f>
        <v>DPTO. DE RECURSOS HUMANOS</v>
      </c>
      <c r="F121" s="34" t="str">
        <f>IFERROR(__xludf.DUMMYFUNCTION("""COMPUTED_VALUE"""),"Administrativo(a) de Recursos Humanos")</f>
        <v>Administrativo(a) de Recursos Humanos</v>
      </c>
      <c r="G121" s="33" t="str">
        <f>IFERROR(__xludf.DUMMYFUNCTION("""COMPUTED_VALUE"""),"ADMINISTRATIVO DE RECURSOS HUMANOS")</f>
        <v>ADMINISTRATIVO DE RECURSOS HUMANOS</v>
      </c>
      <c r="H121">
        <f>IFERROR(__xludf.DUMMYFUNCTION("""COMPUTED_VALUE"""),17.0)</f>
        <v>17</v>
      </c>
      <c r="I121" s="34" t="str">
        <f>IFERROR(__xludf.DUMMYFUNCTION("""COMPUTED_VALUE"""),"Jornada Completa")</f>
        <v>Jornada Completa</v>
      </c>
      <c r="J121" s="33" t="str">
        <f>IFERROR(__xludf.DUMMYFUNCTION("""COMPUTED_VALUE"""),"A CONTRATA")</f>
        <v>A CONTRATA</v>
      </c>
      <c r="K121" s="33" t="str">
        <f>IFERROR(__xludf.DUMMYFUNCTION("""COMPUTED_VALUE"""),"ADMINISTRATIVO")</f>
        <v>ADMINISTRATIVO</v>
      </c>
      <c r="L121" s="34" t="str">
        <f>IFERROR(__xludf.DUMMYFUNCTION("""COMPUTED_VALUE"""),"INTERNO")</f>
        <v>INTERNO</v>
      </c>
      <c r="M121" s="34">
        <f>IFERROR(__xludf.DUMMYFUNCTION("""COMPUTED_VALUE"""),2.0)</f>
        <v>2</v>
      </c>
      <c r="N121" s="34" t="str">
        <f>IFERROR(__xludf.DUMMYFUNCTION("""COMPUTED_VALUE"""),"EXTERNO")</f>
        <v>EXTERNO</v>
      </c>
      <c r="O121">
        <f>IFERROR(__xludf.DUMMYFUNCTION("""COMPUTED_VALUE"""),14.0)</f>
        <v>14</v>
      </c>
      <c r="P121">
        <f>IFERROR(__xludf.DUMMYFUNCTION("""COMPUTED_VALUE"""),3.0)</f>
        <v>3</v>
      </c>
      <c r="Q121" s="35">
        <f>IFERROR(__xludf.DUMMYFUNCTION("""COMPUTED_VALUE"""),0.0)</f>
        <v>0</v>
      </c>
      <c r="R121" s="36" t="str">
        <f>IFERROR(__xludf.DUMMYFUNCTION("""COMPUTED_VALUE"""),"SELECCIONADA")</f>
        <v>SELECCIONADA</v>
      </c>
      <c r="S121" s="37">
        <f>IFERROR(__xludf.DUMMYFUNCTION("""COMPUTED_VALUE"""),43252.0)</f>
        <v>43252</v>
      </c>
      <c r="T121" s="34"/>
      <c r="U121" t="str">
        <f>IFERROR(__xludf.DUMMYFUNCTION("""COMPUTED_VALUE"""),"NICOLE OSSES LABORIE")</f>
        <v>NICOLE OSSES LABORIE</v>
      </c>
      <c r="V121" t="str">
        <f>IFERROR(__xludf.DUMMYFUNCTION("""COMPUTED_VALUE"""),"17484988-9")</f>
        <v>17484988-9</v>
      </c>
      <c r="W121" t="str">
        <f>IFERROR(__xludf.DUMMYFUNCTION("""COMPUTED_VALUE"""),"SI")</f>
        <v>SI</v>
      </c>
      <c r="X121" t="str">
        <f>IFERROR(__xludf.DUMMYFUNCTION("""COMPUTED_VALUE"""),"Orientacion a los Resultados")</f>
        <v>Orientacion a los Resultados</v>
      </c>
      <c r="AA121" s="38">
        <f>IFERROR(__xludf.DUMMYFUNCTION("""COMPUTED_VALUE"""),43206.0)</f>
        <v>43206</v>
      </c>
      <c r="AB121" s="38">
        <f>IFERROR(__xludf.DUMMYFUNCTION("""COMPUTED_VALUE"""),43213.0)</f>
        <v>43213</v>
      </c>
      <c r="AF121" s="39"/>
      <c r="AG121" s="39"/>
      <c r="AH121" s="34" t="str">
        <f>IFERROR(__xludf.DUMMYFUNCTION("""COMPUTED_VALUE"""),"PROCESO DE SELECCIÓN")</f>
        <v>PROCESO DE SELECCIÓN</v>
      </c>
      <c r="AI121" s="34" t="str">
        <f>IFERROR(__xludf.DUMMYFUNCTION("""COMPUTED_VALUE"""),"-")</f>
        <v>-</v>
      </c>
      <c r="AJ121" s="34"/>
      <c r="AK121" s="34" t="str">
        <f>IFERROR(__xludf.DUMMYFUNCTION("""COMPUTED_VALUE"""),"E")</f>
        <v>E</v>
      </c>
      <c r="AL121">
        <f>IFERROR(__xludf.DUMMYFUNCTION("""COMPUTED_VALUE"""),30.0)</f>
        <v>30</v>
      </c>
      <c r="AM121">
        <f>IFERROR(__xludf.DUMMYFUNCTION("""COMPUTED_VALUE"""),2018.0)</f>
        <v>2018</v>
      </c>
      <c r="AN121" t="str">
        <f t="shared" si="1"/>
        <v>17484988-9</v>
      </c>
    </row>
    <row r="122">
      <c r="A122" s="33">
        <f>IFERROR(__xludf.DUMMYFUNCTION("""COMPUTED_VALUE"""),1.6201292E7)</f>
        <v>16201292</v>
      </c>
      <c r="B122" s="33">
        <f>IFERROR(__xludf.DUMMYFUNCTION("""COMPUTED_VALUE"""),25.0)</f>
        <v>25</v>
      </c>
      <c r="C122" s="33"/>
      <c r="D122" s="34" t="str">
        <f>IFERROR(__xludf.DUMMYFUNCTION("""COMPUTED_VALUE"""),"INGRESAR CENTRO DE COSTO A LA DERECHA")</f>
        <v>INGRESAR CENTRO DE COSTO A LA DERECHA</v>
      </c>
      <c r="E122" s="34" t="str">
        <f>IFERROR(__xludf.DUMMYFUNCTION("""COMPUTED_VALUE"""),"DIR. DE ASISTENCIA JURIDICA")</f>
        <v>DIR. DE ASISTENCIA JURIDICA</v>
      </c>
      <c r="F122" s="34" t="str">
        <f>IFERROR(__xludf.DUMMYFUNCTION("""COMPUTED_VALUE"""),"Abogado(a) Dirección Juridica")</f>
        <v>Abogado(a) Dirección Juridica</v>
      </c>
      <c r="G122" s="33" t="str">
        <f>IFERROR(__xludf.DUMMYFUNCTION("""COMPUTED_VALUE"""),"ABOGADO DIRECCIÓN JURÍDICA")</f>
        <v>ABOGADO DIRECCIÓN JURÍDICA</v>
      </c>
      <c r="H122">
        <f>IFERROR(__xludf.DUMMYFUNCTION("""COMPUTED_VALUE"""),6.0)</f>
        <v>6</v>
      </c>
      <c r="I122" s="34" t="str">
        <f>IFERROR(__xludf.DUMMYFUNCTION("""COMPUTED_VALUE"""),"Jornada Completa")</f>
        <v>Jornada Completa</v>
      </c>
      <c r="J122" s="33" t="str">
        <f>IFERROR(__xludf.DUMMYFUNCTION("""COMPUTED_VALUE"""),"A CONTRATA")</f>
        <v>A CONTRATA</v>
      </c>
      <c r="K122" s="33" t="str">
        <f>IFERROR(__xludf.DUMMYFUNCTION("""COMPUTED_VALUE"""),"PROFESIONAL")</f>
        <v>PROFESIONAL</v>
      </c>
      <c r="L122" s="34" t="str">
        <f>IFERROR(__xludf.DUMMYFUNCTION("""COMPUTED_VALUE"""),"NO")</f>
        <v>NO</v>
      </c>
      <c r="M122" s="34">
        <f>IFERROR(__xludf.DUMMYFUNCTION("""COMPUTED_VALUE"""),0.0)</f>
        <v>0</v>
      </c>
      <c r="N122" s="34" t="str">
        <f>IFERROR(__xludf.DUMMYFUNCTION("""COMPUTED_VALUE"""),"EXTERNO")</f>
        <v>EXTERNO</v>
      </c>
      <c r="O122">
        <f>IFERROR(__xludf.DUMMYFUNCTION("""COMPUTED_VALUE"""),84.0)</f>
        <v>84</v>
      </c>
      <c r="P122">
        <f>IFERROR(__xludf.DUMMYFUNCTION("""COMPUTED_VALUE"""),5.0)</f>
        <v>5</v>
      </c>
      <c r="Q122" s="35">
        <f>IFERROR(__xludf.DUMMYFUNCTION("""COMPUTED_VALUE"""),0.0)</f>
        <v>0</v>
      </c>
      <c r="R122" s="36" t="str">
        <f>IFERROR(__xludf.DUMMYFUNCTION("""COMPUTED_VALUE"""),"SELECCIONADA")</f>
        <v>SELECCIONADA</v>
      </c>
      <c r="S122" s="37">
        <f>IFERROR(__xludf.DUMMYFUNCTION("""COMPUTED_VALUE"""),43248.0)</f>
        <v>43248</v>
      </c>
      <c r="T122" s="34"/>
      <c r="U122" t="str">
        <f>IFERROR(__xludf.DUMMYFUNCTION("""COMPUTED_VALUE"""),"MELISA FUENTES WEBER")</f>
        <v>MELISA FUENTES WEBER</v>
      </c>
      <c r="V122" t="str">
        <f>IFERROR(__xludf.DUMMYFUNCTION("""COMPUTED_VALUE"""),"16201292-4")</f>
        <v>16201292-4</v>
      </c>
      <c r="W122" t="str">
        <f>IFERROR(__xludf.DUMMYFUNCTION("""COMPUTED_VALUE"""),"SI")</f>
        <v>SI</v>
      </c>
      <c r="X122" t="str">
        <f>IFERROR(__xludf.DUMMYFUNCTION("""COMPUTED_VALUE"""),"Pensamiento Analitico")</f>
        <v>Pensamiento Analitico</v>
      </c>
      <c r="Y122" t="str">
        <f>IFERROR(__xludf.DUMMYFUNCTION("""COMPUTED_VALUE"""),"Iniciativa")</f>
        <v>Iniciativa</v>
      </c>
      <c r="AA122" s="38">
        <f>IFERROR(__xludf.DUMMYFUNCTION("""COMPUTED_VALUE"""),43180.0)</f>
        <v>43180</v>
      </c>
      <c r="AB122" s="38">
        <f>IFERROR(__xludf.DUMMYFUNCTION("""COMPUTED_VALUE"""),43187.0)</f>
        <v>43187</v>
      </c>
      <c r="AF122" s="39"/>
      <c r="AG122" s="39"/>
      <c r="AH122" s="34" t="str">
        <f>IFERROR(__xludf.DUMMYFUNCTION("""COMPUTED_VALUE"""),"PROCESO DE SELECCIÓN")</f>
        <v>PROCESO DE SELECCIÓN</v>
      </c>
      <c r="AI122" s="34" t="str">
        <f>IFERROR(__xludf.DUMMYFUNCTION("""COMPUTED_VALUE"""),"ALIAGA TORRAS CLAUDIA")</f>
        <v>ALIAGA TORRAS CLAUDIA</v>
      </c>
      <c r="AJ122" s="34"/>
      <c r="AK122" s="34" t="str">
        <f>IFERROR(__xludf.DUMMYFUNCTION("""COMPUTED_VALUE"""),"E")</f>
        <v>E</v>
      </c>
      <c r="AL122">
        <f>IFERROR(__xludf.DUMMYFUNCTION("""COMPUTED_VALUE"""),44.0)</f>
        <v>44</v>
      </c>
      <c r="AM122">
        <f>IFERROR(__xludf.DUMMYFUNCTION("""COMPUTED_VALUE"""),2018.0)</f>
        <v>2018</v>
      </c>
      <c r="AN122" t="str">
        <f t="shared" si="1"/>
        <v>16201292-4</v>
      </c>
    </row>
    <row r="123">
      <c r="A123" s="33">
        <f>IFERROR(__xludf.DUMMYFUNCTION("""COMPUTED_VALUE"""),1.6088029E7)</f>
        <v>16088029</v>
      </c>
      <c r="B123" s="33">
        <f>IFERROR(__xludf.DUMMYFUNCTION("""COMPUTED_VALUE"""),26.0)</f>
        <v>26</v>
      </c>
      <c r="C123" s="33" t="str">
        <f>IFERROR(__xludf.DUMMYFUNCTION("""COMPUTED_VALUE"""),"A199")</f>
        <v>A199</v>
      </c>
      <c r="D123" s="34" t="str">
        <f>IFERROR(__xludf.DUMMYFUNCTION("""COMPUTED_VALUE"""),"INGRESAR CENTRO DE COSTO A LA DERECHA")</f>
        <v>INGRESAR CENTRO DE COSTO A LA DERECHA</v>
      </c>
      <c r="E123" s="34" t="str">
        <f>IFERROR(__xludf.DUMMYFUNCTION("""COMPUTED_VALUE"""),"SELLO EDITORIAL")</f>
        <v>SELLO EDITORIAL</v>
      </c>
      <c r="F123" s="34" t="str">
        <f>IFERROR(__xludf.DUMMYFUNCTION("""COMPUTED_VALUE"""),"Administrativo(a) de Apoyo")</f>
        <v>Administrativo(a) de Apoyo</v>
      </c>
      <c r="G123" s="33" t="str">
        <f>IFERROR(__xludf.DUMMYFUNCTION("""COMPUTED_VALUE"""),"ADMINISTRATIVO DE APOYO")</f>
        <v>ADMINISTRATIVO DE APOYO</v>
      </c>
      <c r="H123">
        <f>IFERROR(__xludf.DUMMYFUNCTION("""COMPUTED_VALUE"""),20.0)</f>
        <v>20</v>
      </c>
      <c r="I123" s="34" t="str">
        <f>IFERROR(__xludf.DUMMYFUNCTION("""COMPUTED_VALUE"""),"Jornada Completa")</f>
        <v>Jornada Completa</v>
      </c>
      <c r="J123" s="33" t="str">
        <f>IFERROR(__xludf.DUMMYFUNCTION("""COMPUTED_VALUE"""),"A CONTRATA")</f>
        <v>A CONTRATA</v>
      </c>
      <c r="K123" s="33" t="str">
        <f>IFERROR(__xludf.DUMMYFUNCTION("""COMPUTED_VALUE"""),"ADMINISTRATIVO")</f>
        <v>ADMINISTRATIVO</v>
      </c>
      <c r="L123" s="34" t="str">
        <f>IFERROR(__xludf.DUMMYFUNCTION("""COMPUTED_VALUE"""),"INTERNO")</f>
        <v>INTERNO</v>
      </c>
      <c r="M123" s="34">
        <f>IFERROR(__xludf.DUMMYFUNCTION("""COMPUTED_VALUE"""),0.0)</f>
        <v>0</v>
      </c>
      <c r="N123" s="34" t="str">
        <f>IFERROR(__xludf.DUMMYFUNCTION("""COMPUTED_VALUE"""),"EXTERNO")</f>
        <v>EXTERNO</v>
      </c>
      <c r="O123">
        <f>IFERROR(__xludf.DUMMYFUNCTION("""COMPUTED_VALUE"""),15.0)</f>
        <v>15</v>
      </c>
      <c r="P123">
        <f>IFERROR(__xludf.DUMMYFUNCTION("""COMPUTED_VALUE"""),1.0)</f>
        <v>1</v>
      </c>
      <c r="Q123" s="35">
        <f>IFERROR(__xludf.DUMMYFUNCTION("""COMPUTED_VALUE"""),0.0)</f>
        <v>0</v>
      </c>
      <c r="R123" s="36" t="str">
        <f>IFERROR(__xludf.DUMMYFUNCTION("""COMPUTED_VALUE"""),"SELECCIONADA")</f>
        <v>SELECCIONADA</v>
      </c>
      <c r="S123" s="37">
        <f>IFERROR(__xludf.DUMMYFUNCTION("""COMPUTED_VALUE"""),43252.0)</f>
        <v>43252</v>
      </c>
      <c r="T123" s="34"/>
      <c r="U123" t="str">
        <f>IFERROR(__xludf.DUMMYFUNCTION("""COMPUTED_VALUE"""),"MARIA JOSE CALDERON GARIN")</f>
        <v>MARIA JOSE CALDERON GARIN</v>
      </c>
      <c r="V123" t="str">
        <f>IFERROR(__xludf.DUMMYFUNCTION("""COMPUTED_VALUE"""),"16088029-5")</f>
        <v>16088029-5</v>
      </c>
      <c r="W123" t="str">
        <f>IFERROR(__xludf.DUMMYFUNCTION("""COMPUTED_VALUE"""),"NO")</f>
        <v>NO</v>
      </c>
      <c r="AA123" s="38">
        <f>IFERROR(__xludf.DUMMYFUNCTION("""COMPUTED_VALUE"""),43223.0)</f>
        <v>43223</v>
      </c>
      <c r="AB123" s="38">
        <f>IFERROR(__xludf.DUMMYFUNCTION("""COMPUTED_VALUE"""),43230.0)</f>
        <v>43230</v>
      </c>
      <c r="AF123" s="39"/>
      <c r="AG123" s="39"/>
      <c r="AH123" s="34" t="str">
        <f>IFERROR(__xludf.DUMMYFUNCTION("""COMPUTED_VALUE"""),"PROCESO DE SELECCIÓN")</f>
        <v>PROCESO DE SELECCIÓN</v>
      </c>
      <c r="AI123" s="34" t="str">
        <f>IFERROR(__xludf.DUMMYFUNCTION("""COMPUTED_VALUE"""),"ALMONACID MOLINA ARIEL")</f>
        <v>ALMONACID MOLINA ARIEL</v>
      </c>
      <c r="AJ123" s="34"/>
      <c r="AK123" s="34" t="str">
        <f>IFERROR(__xludf.DUMMYFUNCTION("""COMPUTED_VALUE"""),"P")</f>
        <v>P</v>
      </c>
      <c r="AL123">
        <f>IFERROR(__xludf.DUMMYFUNCTION("""COMPUTED_VALUE"""),17.0)</f>
        <v>17</v>
      </c>
      <c r="AM123">
        <f>IFERROR(__xludf.DUMMYFUNCTION("""COMPUTED_VALUE"""),2018.0)</f>
        <v>2018</v>
      </c>
      <c r="AN123" t="str">
        <f t="shared" si="1"/>
        <v>16088029-5</v>
      </c>
    </row>
    <row r="124">
      <c r="A124" s="33">
        <f>IFERROR(__xludf.DUMMYFUNCTION("""COMPUTED_VALUE"""),1.3886041E7)</f>
        <v>13886041</v>
      </c>
      <c r="B124" s="33">
        <f>IFERROR(__xludf.DUMMYFUNCTION("""COMPUTED_VALUE"""),27.0)</f>
        <v>27</v>
      </c>
      <c r="C124" s="33" t="str">
        <f>IFERROR(__xludf.DUMMYFUNCTION("""COMPUTED_VALUE"""),"A203")</f>
        <v>A203</v>
      </c>
      <c r="D124" s="34" t="str">
        <f>IFERROR(__xludf.DUMMYFUNCTION("""COMPUTED_VALUE"""),"INGRESAR CENTRO DE COSTO A LA DERECHA")</f>
        <v>INGRESAR CENTRO DE COSTO A LA DERECHA</v>
      </c>
      <c r="E124" s="34" t="str">
        <f>IFERROR(__xludf.DUMMYFUNCTION("""COMPUTED_VALUE"""),"UNIDAD DE ATENCION DE SALUD")</f>
        <v>UNIDAD DE ATENCION DE SALUD</v>
      </c>
      <c r="F124" s="34" t="str">
        <f>IFERROR(__xludf.DUMMYFUNCTION("""COMPUTED_VALUE"""),"Chofer de Ambulancia")</f>
        <v>Chofer de Ambulancia</v>
      </c>
      <c r="G124" s="33" t="str">
        <f>IFERROR(__xludf.DUMMYFUNCTION("""COMPUTED_VALUE"""),"CHOFER DE AMBULANCIA")</f>
        <v>CHOFER DE AMBULANCIA</v>
      </c>
      <c r="H124">
        <f>IFERROR(__xludf.DUMMYFUNCTION("""COMPUTED_VALUE"""),18.0)</f>
        <v>18</v>
      </c>
      <c r="I124" s="34" t="str">
        <f>IFERROR(__xludf.DUMMYFUNCTION("""COMPUTED_VALUE"""),"Jornada Completa")</f>
        <v>Jornada Completa</v>
      </c>
      <c r="J124" s="33" t="str">
        <f>IFERROR(__xludf.DUMMYFUNCTION("""COMPUTED_VALUE"""),"A CONTRATA")</f>
        <v>A CONTRATA</v>
      </c>
      <c r="K124" s="33" t="str">
        <f>IFERROR(__xludf.DUMMYFUNCTION("""COMPUTED_VALUE"""),"TECNICO")</f>
        <v>TECNICO</v>
      </c>
      <c r="L124" s="34" t="str">
        <f>IFERROR(__xludf.DUMMYFUNCTION("""COMPUTED_VALUE"""),"INTERNO")</f>
        <v>INTERNO</v>
      </c>
      <c r="M124" s="34">
        <f>IFERROR(__xludf.DUMMYFUNCTION("""COMPUTED_VALUE"""),0.0)</f>
        <v>0</v>
      </c>
      <c r="N124" s="34" t="str">
        <f>IFERROR(__xludf.DUMMYFUNCTION("""COMPUTED_VALUE"""),"EXTERNO")</f>
        <v>EXTERNO</v>
      </c>
      <c r="O124">
        <f>IFERROR(__xludf.DUMMYFUNCTION("""COMPUTED_VALUE"""),7.0)</f>
        <v>7</v>
      </c>
      <c r="P124">
        <f>IFERROR(__xludf.DUMMYFUNCTION("""COMPUTED_VALUE"""),3.0)</f>
        <v>3</v>
      </c>
      <c r="Q124" s="35">
        <f>IFERROR(__xludf.DUMMYFUNCTION("""COMPUTED_VALUE"""),0.0)</f>
        <v>0</v>
      </c>
      <c r="R124" s="36" t="str">
        <f>IFERROR(__xludf.DUMMYFUNCTION("""COMPUTED_VALUE"""),"SELECCIONADO")</f>
        <v>SELECCIONADO</v>
      </c>
      <c r="S124" s="37">
        <f>IFERROR(__xludf.DUMMYFUNCTION("""COMPUTED_VALUE"""),43252.0)</f>
        <v>43252</v>
      </c>
      <c r="T124" s="34"/>
      <c r="U124" t="str">
        <f>IFERROR(__xludf.DUMMYFUNCTION("""COMPUTED_VALUE"""),"JUAN FERRADA BERNAL")</f>
        <v>JUAN FERRADA BERNAL</v>
      </c>
      <c r="V124" t="str">
        <f>IFERROR(__xludf.DUMMYFUNCTION("""COMPUTED_VALUE"""),"13886041-8")</f>
        <v>13886041-8</v>
      </c>
      <c r="W124" t="str">
        <f>IFERROR(__xludf.DUMMYFUNCTION("""COMPUTED_VALUE"""),"NO")</f>
        <v>NO</v>
      </c>
      <c r="AA124" s="38">
        <f>IFERROR(__xludf.DUMMYFUNCTION("""COMPUTED_VALUE"""),43214.0)</f>
        <v>43214</v>
      </c>
      <c r="AB124" s="38">
        <f>IFERROR(__xludf.DUMMYFUNCTION("""COMPUTED_VALUE"""),43220.0)</f>
        <v>43220</v>
      </c>
      <c r="AF124" s="39"/>
      <c r="AG124" s="39"/>
      <c r="AH124" s="34" t="str">
        <f>IFERROR(__xludf.DUMMYFUNCTION("""COMPUTED_VALUE"""),"PROCESO DE SELECCIÓN")</f>
        <v>PROCESO DE SELECCIÓN</v>
      </c>
      <c r="AI124" s="34" t="str">
        <f>IFERROR(__xludf.DUMMYFUNCTION("""COMPUTED_VALUE"""),"DIAZ ARANEDA ISMAEL ")</f>
        <v>DIAZ ARANEDA ISMAEL </v>
      </c>
      <c r="AJ124" s="34"/>
      <c r="AK124" s="34" t="str">
        <f>IFERROR(__xludf.DUMMYFUNCTION("""COMPUTED_VALUE"""),"E")</f>
        <v>E</v>
      </c>
      <c r="AL124">
        <f>IFERROR(__xludf.DUMMYFUNCTION("""COMPUTED_VALUE"""),25.0)</f>
        <v>25</v>
      </c>
      <c r="AM124">
        <f>IFERROR(__xludf.DUMMYFUNCTION("""COMPUTED_VALUE"""),2018.0)</f>
        <v>2018</v>
      </c>
      <c r="AN124" t="str">
        <f t="shared" si="1"/>
        <v>13886041-8</v>
      </c>
    </row>
    <row r="125">
      <c r="A125" s="33">
        <f>IFERROR(__xludf.DUMMYFUNCTION("""COMPUTED_VALUE"""),9243470.0)</f>
        <v>9243470</v>
      </c>
      <c r="B125" s="33">
        <f>IFERROR(__xludf.DUMMYFUNCTION("""COMPUTED_VALUE"""),28.0)</f>
        <v>28</v>
      </c>
      <c r="C125" s="33"/>
      <c r="D125" s="34" t="str">
        <f>IFERROR(__xludf.DUMMYFUNCTION("""COMPUTED_VALUE"""),"INGRESAR CENTRO DE COSTO A LA DERECHA")</f>
        <v>INGRESAR CENTRO DE COSTO A LA DERECHA</v>
      </c>
      <c r="E125" s="34" t="str">
        <f>IFERROR(__xludf.DUMMYFUNCTION("""COMPUTED_VALUE"""),"VR. DE POSTGRADO")</f>
        <v>VR. DE POSTGRADO</v>
      </c>
      <c r="F125" s="34" t="str">
        <f>IFERROR(__xludf.DUMMYFUNCTION("""COMPUTED_VALUE"""),"Jefe(a) de Área")</f>
        <v>Jefe(a) de Área</v>
      </c>
      <c r="G125" s="33" t="str">
        <f>IFERROR(__xludf.DUMMYFUNCTION("""COMPUTED_VALUE"""),"JEFE DE AREA CURRICULAR")</f>
        <v>JEFE DE AREA CURRICULAR</v>
      </c>
      <c r="H125">
        <f>IFERROR(__xludf.DUMMYFUNCTION("""COMPUTED_VALUE"""),8.0)</f>
        <v>8</v>
      </c>
      <c r="I125" s="34" t="str">
        <f>IFERROR(__xludf.DUMMYFUNCTION("""COMPUTED_VALUE"""),"Jornada Completa")</f>
        <v>Jornada Completa</v>
      </c>
      <c r="J125" s="33" t="str">
        <f>IFERROR(__xludf.DUMMYFUNCTION("""COMPUTED_VALUE"""),"A CONTRATA")</f>
        <v>A CONTRATA</v>
      </c>
      <c r="K125" s="33" t="str">
        <f>IFERROR(__xludf.DUMMYFUNCTION("""COMPUTED_VALUE"""),"PROFESIONAL")</f>
        <v>PROFESIONAL</v>
      </c>
      <c r="L125" s="34" t="str">
        <f>IFERROR(__xludf.DUMMYFUNCTION("""COMPUTED_VALUE"""),"INTERNO")</f>
        <v>INTERNO</v>
      </c>
      <c r="M125" s="34">
        <f>IFERROR(__xludf.DUMMYFUNCTION("""COMPUTED_VALUE"""),2.0)</f>
        <v>2</v>
      </c>
      <c r="N125" s="34" t="str">
        <f>IFERROR(__xludf.DUMMYFUNCTION("""COMPUTED_VALUE"""),"EXTERNO")</f>
        <v>EXTERNO</v>
      </c>
      <c r="O125">
        <f>IFERROR(__xludf.DUMMYFUNCTION("""COMPUTED_VALUE"""),18.0)</f>
        <v>18</v>
      </c>
      <c r="P125">
        <f>IFERROR(__xludf.DUMMYFUNCTION("""COMPUTED_VALUE"""),1.0)</f>
        <v>1</v>
      </c>
      <c r="Q125" s="35">
        <f>IFERROR(__xludf.DUMMYFUNCTION("""COMPUTED_VALUE"""),0.0)</f>
        <v>0</v>
      </c>
      <c r="R125" s="36" t="str">
        <f>IFERROR(__xludf.DUMMYFUNCTION("""COMPUTED_VALUE"""),"SELECCIONADO")</f>
        <v>SELECCIONADO</v>
      </c>
      <c r="S125" s="37">
        <f>IFERROR(__xludf.DUMMYFUNCTION("""COMPUTED_VALUE"""),43252.0)</f>
        <v>43252</v>
      </c>
      <c r="T125" s="34"/>
      <c r="U125" t="str">
        <f>IFERROR(__xludf.DUMMYFUNCTION("""COMPUTED_VALUE"""),"DIEGO MANDIOLA GRECCO")</f>
        <v>DIEGO MANDIOLA GRECCO</v>
      </c>
      <c r="V125" t="str">
        <f>IFERROR(__xludf.DUMMYFUNCTION("""COMPUTED_VALUE"""),"09243470-2")</f>
        <v>09243470-2</v>
      </c>
      <c r="W125" t="str">
        <f>IFERROR(__xludf.DUMMYFUNCTION("""COMPUTED_VALUE"""),"SI")</f>
        <v>SI</v>
      </c>
      <c r="X125" t="str">
        <f>IFERROR(__xludf.DUMMYFUNCTION("""COMPUTED_VALUE"""),"Capacidad de Planificacion y Organizacion")</f>
        <v>Capacidad de Planificacion y Organizacion</v>
      </c>
      <c r="Y125" t="str">
        <f>IFERROR(__xludf.DUMMYFUNCTION("""COMPUTED_VALUE"""),"Orientacion a los Resultados")</f>
        <v>Orientacion a los Resultados</v>
      </c>
      <c r="AA125" s="38">
        <f>IFERROR(__xludf.DUMMYFUNCTION("""COMPUTED_VALUE"""),43214.0)</f>
        <v>43214</v>
      </c>
      <c r="AB125" s="38">
        <f>IFERROR(__xludf.DUMMYFUNCTION("""COMPUTED_VALUE"""),43220.0)</f>
        <v>43220</v>
      </c>
      <c r="AF125" s="39"/>
      <c r="AG125" s="39"/>
      <c r="AH125" s="34" t="str">
        <f>IFERROR(__xludf.DUMMYFUNCTION("""COMPUTED_VALUE"""),"PROCESO DE SELECCIÓN")</f>
        <v>PROCESO DE SELECCIÓN</v>
      </c>
      <c r="AI125" s="34" t="str">
        <f>IFERROR(__xludf.DUMMYFUNCTION("""COMPUTED_VALUE"""),"FUENTES ASPEE JESSENIA")</f>
        <v>FUENTES ASPEE JESSENIA</v>
      </c>
      <c r="AJ125" s="34"/>
      <c r="AK125" s="34" t="str">
        <f>IFERROR(__xludf.DUMMYFUNCTION("""COMPUTED_VALUE"""),"P")</f>
        <v>P</v>
      </c>
      <c r="AL125">
        <f>IFERROR(__xludf.DUMMYFUNCTION("""COMPUTED_VALUE"""),25.0)</f>
        <v>25</v>
      </c>
      <c r="AM125">
        <f>IFERROR(__xludf.DUMMYFUNCTION("""COMPUTED_VALUE"""),2018.0)</f>
        <v>2018</v>
      </c>
      <c r="AN125" t="str">
        <f t="shared" si="1"/>
        <v>09243470-2</v>
      </c>
    </row>
    <row r="126">
      <c r="A126" s="33">
        <f>IFERROR(__xludf.DUMMYFUNCTION("""COMPUTED_VALUE"""),9665534.0)</f>
        <v>9665534</v>
      </c>
      <c r="B126" s="33">
        <f>IFERROR(__xludf.DUMMYFUNCTION("""COMPUTED_VALUE"""),29.0)</f>
        <v>29</v>
      </c>
      <c r="C126" s="33"/>
      <c r="D126" s="34" t="str">
        <f>IFERROR(__xludf.DUMMYFUNCTION("""COMPUTED_VALUE"""),"INGRESAR CENTRO DE COSTO A LA DERECHA")</f>
        <v>INGRESAR CENTRO DE COSTO A LA DERECHA</v>
      </c>
      <c r="E126" s="34" t="str">
        <f>IFERROR(__xludf.DUMMYFUNCTION("""COMPUTED_VALUE"""),"VR. DE APOYO AL ESTUDIANTE")</f>
        <v>VR. DE APOYO AL ESTUDIANTE</v>
      </c>
      <c r="F126" s="34" t="str">
        <f>IFERROR(__xludf.DUMMYFUNCTION("""COMPUTED_VALUE"""),"Mayordomo(a)")</f>
        <v>Mayordomo(a)</v>
      </c>
      <c r="G126" s="33" t="str">
        <f>IFERROR(__xludf.DUMMYFUNCTION("""COMPUTED_VALUE"""),"MAYORDOMO")</f>
        <v>MAYORDOMO</v>
      </c>
      <c r="H126">
        <f>IFERROR(__xludf.DUMMYFUNCTION("""COMPUTED_VALUE"""),21.0)</f>
        <v>21</v>
      </c>
      <c r="I126" s="34" t="str">
        <f>IFERROR(__xludf.DUMMYFUNCTION("""COMPUTED_VALUE"""),"Jornada Completa")</f>
        <v>Jornada Completa</v>
      </c>
      <c r="J126" s="33" t="str">
        <f>IFERROR(__xludf.DUMMYFUNCTION("""COMPUTED_VALUE"""),"A CONTRATA")</f>
        <v>A CONTRATA</v>
      </c>
      <c r="K126" s="33" t="str">
        <f>IFERROR(__xludf.DUMMYFUNCTION("""COMPUTED_VALUE"""),"AUXILIAR")</f>
        <v>AUXILIAR</v>
      </c>
      <c r="L126" s="34" t="str">
        <f>IFERROR(__xludf.DUMMYFUNCTION("""COMPUTED_VALUE"""),"INTERNO")</f>
        <v>INTERNO</v>
      </c>
      <c r="M126" s="34">
        <f>IFERROR(__xludf.DUMMYFUNCTION("""COMPUTED_VALUE"""),0.0)</f>
        <v>0</v>
      </c>
      <c r="N126" s="34" t="str">
        <f>IFERROR(__xludf.DUMMYFUNCTION("""COMPUTED_VALUE"""),"EXTERNO")</f>
        <v>EXTERNO</v>
      </c>
      <c r="O126">
        <f>IFERROR(__xludf.DUMMYFUNCTION("""COMPUTED_VALUE"""),5.0)</f>
        <v>5</v>
      </c>
      <c r="P126">
        <f>IFERROR(__xludf.DUMMYFUNCTION("""COMPUTED_VALUE"""),1.0)</f>
        <v>1</v>
      </c>
      <c r="Q126" s="35">
        <f>IFERROR(__xludf.DUMMYFUNCTION("""COMPUTED_VALUE"""),1.0)</f>
        <v>1</v>
      </c>
      <c r="R126" s="36" t="str">
        <f>IFERROR(__xludf.DUMMYFUNCTION("""COMPUTED_VALUE"""),"SELECCIONADA")</f>
        <v>SELECCIONADA</v>
      </c>
      <c r="S126" s="37">
        <f>IFERROR(__xludf.DUMMYFUNCTION("""COMPUTED_VALUE"""),43256.0)</f>
        <v>43256</v>
      </c>
      <c r="T126" s="34"/>
      <c r="U126" t="str">
        <f>IFERROR(__xludf.DUMMYFUNCTION("""COMPUTED_VALUE"""),"ALICIA BLANCO GALLARDO")</f>
        <v>ALICIA BLANCO GALLARDO</v>
      </c>
      <c r="V126" t="str">
        <f>IFERROR(__xludf.DUMMYFUNCTION("""COMPUTED_VALUE"""),"09665534-7")</f>
        <v>09665534-7</v>
      </c>
      <c r="W126" t="str">
        <f>IFERROR(__xludf.DUMMYFUNCTION("""COMPUTED_VALUE"""),"SI")</f>
        <v>SI</v>
      </c>
      <c r="X126" t="str">
        <f>IFERROR(__xludf.DUMMYFUNCTION("""COMPUTED_VALUE"""),"Trabajo en Equipo")</f>
        <v>Trabajo en Equipo</v>
      </c>
      <c r="AA126" s="38">
        <f>IFERROR(__xludf.DUMMYFUNCTION("""COMPUTED_VALUE"""),43217.0)</f>
        <v>43217</v>
      </c>
      <c r="AB126" s="38">
        <f>IFERROR(__xludf.DUMMYFUNCTION("""COMPUTED_VALUE"""),43224.0)</f>
        <v>43224</v>
      </c>
      <c r="AF126" s="39"/>
      <c r="AG126" s="39"/>
      <c r="AH126" s="34" t="str">
        <f>IFERROR(__xludf.DUMMYFUNCTION("""COMPUTED_VALUE"""),"PROCESO DE SELECCIÓN")</f>
        <v>PROCESO DE SELECCIÓN</v>
      </c>
      <c r="AI126" s="34" t="str">
        <f>IFERROR(__xludf.DUMMYFUNCTION("""COMPUTED_VALUE"""),"MUÑOZ CESPEDES FERNANDO")</f>
        <v>MUÑOZ CESPEDES FERNANDO</v>
      </c>
      <c r="AJ126" s="34"/>
      <c r="AK126" s="34" t="str">
        <f>IFERROR(__xludf.DUMMYFUNCTION("""COMPUTED_VALUE"""),"E")</f>
        <v>E</v>
      </c>
      <c r="AL126">
        <f>IFERROR(__xludf.DUMMYFUNCTION("""COMPUTED_VALUE"""),23.0)</f>
        <v>23</v>
      </c>
      <c r="AM126">
        <f>IFERROR(__xludf.DUMMYFUNCTION("""COMPUTED_VALUE"""),2018.0)</f>
        <v>2018</v>
      </c>
      <c r="AN126" t="str">
        <f t="shared" si="1"/>
        <v>09665534-7</v>
      </c>
    </row>
    <row r="127">
      <c r="A127" s="33">
        <f>IFERROR(__xludf.DUMMYFUNCTION("""COMPUTED_VALUE"""),1.3031839E7)</f>
        <v>13031839</v>
      </c>
      <c r="B127" s="33">
        <f>IFERROR(__xludf.DUMMYFUNCTION("""COMPUTED_VALUE"""),30.0)</f>
        <v>30</v>
      </c>
      <c r="C127" s="33"/>
      <c r="D127" s="34" t="str">
        <f>IFERROR(__xludf.DUMMYFUNCTION("""COMPUTED_VALUE"""),"INGRESAR CENTRO DE COSTO A LA DERECHA")</f>
        <v>INGRESAR CENTRO DE COSTO A LA DERECHA</v>
      </c>
      <c r="E127" s="34" t="str">
        <f>IFERROR(__xludf.DUMMYFUNCTION("""COMPUTED_VALUE"""),"DPTO. DE INGENIERIA MECANICA")</f>
        <v>DPTO. DE INGENIERIA MECANICA</v>
      </c>
      <c r="F127" s="34" t="str">
        <f>IFERROR(__xludf.DUMMYFUNCTION("""COMPUTED_VALUE"""),"Mayordomo(a)")</f>
        <v>Mayordomo(a)</v>
      </c>
      <c r="G127" s="33" t="str">
        <f>IFERROR(__xludf.DUMMYFUNCTION("""COMPUTED_VALUE"""),"MAYORDOMO")</f>
        <v>MAYORDOMO</v>
      </c>
      <c r="H127">
        <f>IFERROR(__xludf.DUMMYFUNCTION("""COMPUTED_VALUE"""),21.0)</f>
        <v>21</v>
      </c>
      <c r="I127" s="34" t="str">
        <f>IFERROR(__xludf.DUMMYFUNCTION("""COMPUTED_VALUE"""),"Jornada Completa")</f>
        <v>Jornada Completa</v>
      </c>
      <c r="J127" s="33" t="str">
        <f>IFERROR(__xludf.DUMMYFUNCTION("""COMPUTED_VALUE"""),"A CONTRATA")</f>
        <v>A CONTRATA</v>
      </c>
      <c r="K127" s="33" t="str">
        <f>IFERROR(__xludf.DUMMYFUNCTION("""COMPUTED_VALUE"""),"AUXILIAR")</f>
        <v>AUXILIAR</v>
      </c>
      <c r="L127" s="34" t="str">
        <f>IFERROR(__xludf.DUMMYFUNCTION("""COMPUTED_VALUE"""),"INTERNO")</f>
        <v>INTERNO</v>
      </c>
      <c r="M127" s="34">
        <f>IFERROR(__xludf.DUMMYFUNCTION("""COMPUTED_VALUE"""),0.0)</f>
        <v>0</v>
      </c>
      <c r="N127" s="34" t="str">
        <f>IFERROR(__xludf.DUMMYFUNCTION("""COMPUTED_VALUE"""),"EXTERNO")</f>
        <v>EXTERNO</v>
      </c>
      <c r="O127">
        <f>IFERROR(__xludf.DUMMYFUNCTION("""COMPUTED_VALUE"""),4.0)</f>
        <v>4</v>
      </c>
      <c r="P127">
        <f>IFERROR(__xludf.DUMMYFUNCTION("""COMPUTED_VALUE"""),2.0)</f>
        <v>2</v>
      </c>
      <c r="Q127" s="35">
        <f>IFERROR(__xludf.DUMMYFUNCTION("""COMPUTED_VALUE"""),0.0)</f>
        <v>0</v>
      </c>
      <c r="R127" s="36" t="str">
        <f>IFERROR(__xludf.DUMMYFUNCTION("""COMPUTED_VALUE"""),"SELECCIONADA")</f>
        <v>SELECCIONADA</v>
      </c>
      <c r="S127" s="37">
        <f>IFERROR(__xludf.DUMMYFUNCTION("""COMPUTED_VALUE"""),43252.0)</f>
        <v>43252</v>
      </c>
      <c r="T127" s="34"/>
      <c r="U127" t="str">
        <f>IFERROR(__xludf.DUMMYFUNCTION("""COMPUTED_VALUE"""),"JOHANNA SANDOVAL PEREZ")</f>
        <v>JOHANNA SANDOVAL PEREZ</v>
      </c>
      <c r="V127" t="str">
        <f>IFERROR(__xludf.DUMMYFUNCTION("""COMPUTED_VALUE"""),"13031839-8")</f>
        <v>13031839-8</v>
      </c>
      <c r="W127" t="str">
        <f>IFERROR(__xludf.DUMMYFUNCTION("""COMPUTED_VALUE"""),"SI")</f>
        <v>SI</v>
      </c>
      <c r="X127" t="str">
        <f>IFERROR(__xludf.DUMMYFUNCTION("""COMPUTED_VALUE"""),"Trabajo en Equipo")</f>
        <v>Trabajo en Equipo</v>
      </c>
      <c r="AA127" s="38">
        <f>IFERROR(__xludf.DUMMYFUNCTION("""COMPUTED_VALUE"""),43182.0)</f>
        <v>43182</v>
      </c>
      <c r="AB127" s="38">
        <f>IFERROR(__xludf.DUMMYFUNCTION("""COMPUTED_VALUE"""),43189.0)</f>
        <v>43189</v>
      </c>
      <c r="AF127" s="39"/>
      <c r="AG127" s="39"/>
      <c r="AH127" s="34" t="str">
        <f>IFERROR(__xludf.DUMMYFUNCTION("""COMPUTED_VALUE"""),"PROCESO DE SELECCIÓN")</f>
        <v>PROCESO DE SELECCIÓN</v>
      </c>
      <c r="AI127" s="34" t="str">
        <f>IFERROR(__xludf.DUMMYFUNCTION("""COMPUTED_VALUE"""),"MARSCHHAUSEN OGALDE MARIO")</f>
        <v>MARSCHHAUSEN OGALDE MARIO</v>
      </c>
      <c r="AJ127" s="34"/>
      <c r="AK127" s="34" t="str">
        <f>IFERROR(__xludf.DUMMYFUNCTION("""COMPUTED_VALUE"""),"E")</f>
        <v>E</v>
      </c>
      <c r="AL127">
        <f>IFERROR(__xludf.DUMMYFUNCTION("""COMPUTED_VALUE"""),46.0)</f>
        <v>46</v>
      </c>
      <c r="AM127">
        <f>IFERROR(__xludf.DUMMYFUNCTION("""COMPUTED_VALUE"""),2018.0)</f>
        <v>2018</v>
      </c>
      <c r="AN127" t="str">
        <f t="shared" si="1"/>
        <v>13031839-8</v>
      </c>
    </row>
    <row r="128">
      <c r="A128" s="33">
        <f>IFERROR(__xludf.DUMMYFUNCTION("""COMPUTED_VALUE"""),1.7014369E7)</f>
        <v>17014369</v>
      </c>
      <c r="B128" s="33">
        <f>IFERROR(__xludf.DUMMYFUNCTION("""COMPUTED_VALUE"""),31.0)</f>
        <v>31</v>
      </c>
      <c r="C128" s="33" t="str">
        <f>IFERROR(__xludf.DUMMYFUNCTION("""COMPUTED_VALUE"""),"S/F")</f>
        <v>S/F</v>
      </c>
      <c r="D128" s="34" t="str">
        <f>IFERROR(__xludf.DUMMYFUNCTION("""COMPUTED_VALUE"""),"INGRESAR CENTRO DE COSTO A LA DERECHA")</f>
        <v>INGRESAR CENTRO DE COSTO A LA DERECHA</v>
      </c>
      <c r="E128" s="34" t="str">
        <f>IFERROR(__xludf.DUMMYFUNCTION("""COMPUTED_VALUE"""),"VR. DE POSTGRADO")</f>
        <v>VR. DE POSTGRADO</v>
      </c>
      <c r="F128" s="34" t="str">
        <f>IFERROR(__xludf.DUMMYFUNCTION("""COMPUTED_VALUE"""),"Analista de Gestión I")</f>
        <v>Analista de Gestión I</v>
      </c>
      <c r="G128" s="33" t="str">
        <f>IFERROR(__xludf.DUMMYFUNCTION("""COMPUTED_VALUE"""),"ANALISTA DE GESTION I")</f>
        <v>ANALISTA DE GESTION I</v>
      </c>
      <c r="H128">
        <f>IFERROR(__xludf.DUMMYFUNCTION("""COMPUTED_VALUE"""),10.0)</f>
        <v>10</v>
      </c>
      <c r="I128" s="34" t="str">
        <f>IFERROR(__xludf.DUMMYFUNCTION("""COMPUTED_VALUE"""),"Jornada Completa")</f>
        <v>Jornada Completa</v>
      </c>
      <c r="J128" s="33" t="str">
        <f>IFERROR(__xludf.DUMMYFUNCTION("""COMPUTED_VALUE"""),"A CONTRATA")</f>
        <v>A CONTRATA</v>
      </c>
      <c r="K128" s="33" t="str">
        <f>IFERROR(__xludf.DUMMYFUNCTION("""COMPUTED_VALUE"""),"PROFESIONAL")</f>
        <v>PROFESIONAL</v>
      </c>
      <c r="L128" s="34" t="str">
        <f>IFERROR(__xludf.DUMMYFUNCTION("""COMPUTED_VALUE"""),"INTERNO")</f>
        <v>INTERNO</v>
      </c>
      <c r="M128" s="34">
        <f>IFERROR(__xludf.DUMMYFUNCTION("""COMPUTED_VALUE"""),4.0)</f>
        <v>4</v>
      </c>
      <c r="N128" s="34" t="str">
        <f>IFERROR(__xludf.DUMMYFUNCTION("""COMPUTED_VALUE"""),"EXTERNO")</f>
        <v>EXTERNO</v>
      </c>
      <c r="O128">
        <f>IFERROR(__xludf.DUMMYFUNCTION("""COMPUTED_VALUE"""),26.0)</f>
        <v>26</v>
      </c>
      <c r="P128">
        <f>IFERROR(__xludf.DUMMYFUNCTION("""COMPUTED_VALUE"""),2.0)</f>
        <v>2</v>
      </c>
      <c r="Q128" s="35">
        <f>IFERROR(__xludf.DUMMYFUNCTION("""COMPUTED_VALUE"""),0.0)</f>
        <v>0</v>
      </c>
      <c r="R128" s="36" t="str">
        <f>IFERROR(__xludf.DUMMYFUNCTION("""COMPUTED_VALUE"""),"SELECCIONADO")</f>
        <v>SELECCIONADO</v>
      </c>
      <c r="S128" s="37">
        <f>IFERROR(__xludf.DUMMYFUNCTION("""COMPUTED_VALUE"""),43263.0)</f>
        <v>43263</v>
      </c>
      <c r="T128" s="34"/>
      <c r="U128" t="str">
        <f>IFERROR(__xludf.DUMMYFUNCTION("""COMPUTED_VALUE"""),"DAMIAN MANSILLA NUÑEZ")</f>
        <v>DAMIAN MANSILLA NUÑEZ</v>
      </c>
      <c r="V128" t="str">
        <f>IFERROR(__xludf.DUMMYFUNCTION("""COMPUTED_VALUE"""),"17014369-8")</f>
        <v>17014369-8</v>
      </c>
      <c r="W128" t="str">
        <f>IFERROR(__xludf.DUMMYFUNCTION("""COMPUTED_VALUE"""),"SI")</f>
        <v>SI</v>
      </c>
      <c r="X128" t="str">
        <f>IFERROR(__xludf.DUMMYFUNCTION("""COMPUTED_VALUE"""),"Pensamiento Analitico")</f>
        <v>Pensamiento Analitico</v>
      </c>
      <c r="AA128" s="38">
        <f>IFERROR(__xludf.DUMMYFUNCTION("""COMPUTED_VALUE"""),43200.0)</f>
        <v>43200</v>
      </c>
      <c r="AB128" s="38">
        <f>IFERROR(__xludf.DUMMYFUNCTION("""COMPUTED_VALUE"""),43207.0)</f>
        <v>43207</v>
      </c>
      <c r="AF128" s="39"/>
      <c r="AG128" s="39"/>
      <c r="AH128" s="34" t="str">
        <f>IFERROR(__xludf.DUMMYFUNCTION("""COMPUTED_VALUE"""),"PROCESO DE SELECCIÓN")</f>
        <v>PROCESO DE SELECCIÓN</v>
      </c>
      <c r="AI128" s="34" t="str">
        <f>IFERROR(__xludf.DUMMYFUNCTION("""COMPUTED_VALUE"""),"-")</f>
        <v>-</v>
      </c>
      <c r="AJ128" s="34"/>
      <c r="AK128" s="34" t="str">
        <f>IFERROR(__xludf.DUMMYFUNCTION("""COMPUTED_VALUE"""),"E")</f>
        <v>E</v>
      </c>
      <c r="AL128">
        <f>IFERROR(__xludf.DUMMYFUNCTION("""COMPUTED_VALUE"""),41.0)</f>
        <v>41</v>
      </c>
      <c r="AM128">
        <f>IFERROR(__xludf.DUMMYFUNCTION("""COMPUTED_VALUE"""),2018.0)</f>
        <v>2018</v>
      </c>
      <c r="AN128" t="str">
        <f t="shared" si="1"/>
        <v>17014369-8</v>
      </c>
    </row>
    <row r="129">
      <c r="A129" s="33">
        <f>IFERROR(__xludf.DUMMYFUNCTION("""COMPUTED_VALUE"""),1.116727E7)</f>
        <v>11167270</v>
      </c>
      <c r="B129" s="33">
        <f>IFERROR(__xludf.DUMMYFUNCTION("""COMPUTED_VALUE"""),32.0)</f>
        <v>32</v>
      </c>
      <c r="C129" s="33"/>
      <c r="D129" s="34" t="str">
        <f>IFERROR(__xludf.DUMMYFUNCTION("""COMPUTED_VALUE"""),"INGRESAR CENTRO DE COSTO A LA DERECHA")</f>
        <v>INGRESAR CENTRO DE COSTO A LA DERECHA</v>
      </c>
      <c r="E129" s="34" t="str">
        <f>IFERROR(__xludf.DUMMYFUNCTION("""COMPUTED_VALUE"""),"VR. ACADEMICA")</f>
        <v>VR. ACADEMICA</v>
      </c>
      <c r="F129" s="34" t="str">
        <f>IFERROR(__xludf.DUMMYFUNCTION("""COMPUTED_VALUE"""),"Auxiliar de Servicios")</f>
        <v>Auxiliar de Servicios</v>
      </c>
      <c r="G129" s="33" t="str">
        <f>IFERROR(__xludf.DUMMYFUNCTION("""COMPUTED_VALUE"""),"AUXILIAR DE SERVICIO")</f>
        <v>AUXILIAR DE SERVICIO</v>
      </c>
      <c r="H129">
        <f>IFERROR(__xludf.DUMMYFUNCTION("""COMPUTED_VALUE"""),23.0)</f>
        <v>23</v>
      </c>
      <c r="I129" s="34" t="str">
        <f>IFERROR(__xludf.DUMMYFUNCTION("""COMPUTED_VALUE"""),"Jornada Completa")</f>
        <v>Jornada Completa</v>
      </c>
      <c r="J129" s="33" t="str">
        <f>IFERROR(__xludf.DUMMYFUNCTION("""COMPUTED_VALUE"""),"A CONTRATA")</f>
        <v>A CONTRATA</v>
      </c>
      <c r="K129" s="33" t="str">
        <f>IFERROR(__xludf.DUMMYFUNCTION("""COMPUTED_VALUE"""),"AUXILIAR")</f>
        <v>AUXILIAR</v>
      </c>
      <c r="L129" s="34" t="str">
        <f>IFERROR(__xludf.DUMMYFUNCTION("""COMPUTED_VALUE"""),"NO")</f>
        <v>NO</v>
      </c>
      <c r="M129" s="34">
        <f>IFERROR(__xludf.DUMMYFUNCTION("""COMPUTED_VALUE"""),0.0)</f>
        <v>0</v>
      </c>
      <c r="N129" s="34" t="str">
        <f>IFERROR(__xludf.DUMMYFUNCTION("""COMPUTED_VALUE"""),"EXTERNO")</f>
        <v>EXTERNO</v>
      </c>
      <c r="O129">
        <f>IFERROR(__xludf.DUMMYFUNCTION("""COMPUTED_VALUE"""),3.0)</f>
        <v>3</v>
      </c>
      <c r="P129">
        <f>IFERROR(__xludf.DUMMYFUNCTION("""COMPUTED_VALUE"""),1.0)</f>
        <v>1</v>
      </c>
      <c r="Q129" s="35">
        <f>IFERROR(__xludf.DUMMYFUNCTION("""COMPUTED_VALUE"""),4.0)</f>
        <v>4</v>
      </c>
      <c r="R129" s="36" t="str">
        <f>IFERROR(__xludf.DUMMYFUNCTION("""COMPUTED_VALUE"""),"SELECCIONADO")</f>
        <v>SELECCIONADO</v>
      </c>
      <c r="S129" s="37">
        <f>IFERROR(__xludf.DUMMYFUNCTION("""COMPUTED_VALUE"""),43251.0)</f>
        <v>43251</v>
      </c>
      <c r="T129" s="34"/>
      <c r="U129" t="str">
        <f>IFERROR(__xludf.DUMMYFUNCTION("""COMPUTED_VALUE"""),"DOMINGO PEREZ HERRERA")</f>
        <v>DOMINGO PEREZ HERRERA</v>
      </c>
      <c r="V129" t="str">
        <f>IFERROR(__xludf.DUMMYFUNCTION("""COMPUTED_VALUE"""),"11167270-9")</f>
        <v>11167270-9</v>
      </c>
      <c r="W129" t="str">
        <f>IFERROR(__xludf.DUMMYFUNCTION("""COMPUTED_VALUE"""),"NO")</f>
        <v>NO</v>
      </c>
      <c r="AA129" s="38">
        <f>IFERROR(__xludf.DUMMYFUNCTION("""COMPUTED_VALUE"""),43210.0)</f>
        <v>43210</v>
      </c>
      <c r="AB129" s="38">
        <f>IFERROR(__xludf.DUMMYFUNCTION("""COMPUTED_VALUE"""),43217.0)</f>
        <v>43217</v>
      </c>
      <c r="AF129" s="39"/>
      <c r="AG129" s="39"/>
      <c r="AH129" s="34" t="str">
        <f>IFERROR(__xludf.DUMMYFUNCTION("""COMPUTED_VALUE"""),"PROCESO DE SELECCIÓN")</f>
        <v>PROCESO DE SELECCIÓN</v>
      </c>
      <c r="AI129" s="34"/>
      <c r="AJ129" s="34"/>
      <c r="AK129" s="34" t="str">
        <f>IFERROR(__xludf.DUMMYFUNCTION("""COMPUTED_VALUE"""),"E")</f>
        <v>E</v>
      </c>
      <c r="AL129">
        <f>IFERROR(__xludf.DUMMYFUNCTION("""COMPUTED_VALUE"""),25.0)</f>
        <v>25</v>
      </c>
      <c r="AM129">
        <f>IFERROR(__xludf.DUMMYFUNCTION("""COMPUTED_VALUE"""),2018.0)</f>
        <v>2018</v>
      </c>
      <c r="AN129" t="str">
        <f t="shared" si="1"/>
        <v>11167270-9</v>
      </c>
    </row>
    <row r="130">
      <c r="A130" s="33">
        <f>IFERROR(__xludf.DUMMYFUNCTION("""COMPUTED_VALUE"""),1.7879126E7)</f>
        <v>17879126</v>
      </c>
      <c r="B130" s="33">
        <f>IFERROR(__xludf.DUMMYFUNCTION("""COMPUTED_VALUE"""),33.0)</f>
        <v>33</v>
      </c>
      <c r="C130" s="33" t="str">
        <f>IFERROR(__xludf.DUMMYFUNCTION("""COMPUTED_VALUE"""),"A208")</f>
        <v>A208</v>
      </c>
      <c r="D130" s="34" t="str">
        <f>IFERROR(__xludf.DUMMYFUNCTION("""COMPUTED_VALUE"""),"INGRESAR CENTRO DE COSTO A LA DERECHA")</f>
        <v>INGRESAR CENTRO DE COSTO A LA DERECHA</v>
      </c>
      <c r="E130" s="34" t="str">
        <f>IFERROR(__xludf.DUMMYFUNCTION("""COMPUTED_VALUE"""),"VR. DE VINCULACION CON EL MEDIO")</f>
        <v>VR. DE VINCULACION CON EL MEDIO</v>
      </c>
      <c r="F130" s="34" t="str">
        <f>IFERROR(__xludf.DUMMYFUNCTION("""COMPUTED_VALUE"""),"Analista de Gestión Administrativa")</f>
        <v>Analista de Gestión Administrativa</v>
      </c>
      <c r="G130" s="33" t="str">
        <f>IFERROR(__xludf.DUMMYFUNCTION("""COMPUTED_VALUE"""),"ANALISTA DE GESTION ADMINISTRATIVA")</f>
        <v>ANALISTA DE GESTION ADMINISTRATIVA</v>
      </c>
      <c r="H130">
        <f>IFERROR(__xludf.DUMMYFUNCTION("""COMPUTED_VALUE"""),14.0)</f>
        <v>14</v>
      </c>
      <c r="I130" s="34" t="str">
        <f>IFERROR(__xludf.DUMMYFUNCTION("""COMPUTED_VALUE"""),"Jornada Completa")</f>
        <v>Jornada Completa</v>
      </c>
      <c r="J130" s="33" t="str">
        <f>IFERROR(__xludf.DUMMYFUNCTION("""COMPUTED_VALUE"""),"A CONTRATA")</f>
        <v>A CONTRATA</v>
      </c>
      <c r="K130" s="33" t="str">
        <f>IFERROR(__xludf.DUMMYFUNCTION("""COMPUTED_VALUE"""),"PROFESIONAL")</f>
        <v>PROFESIONAL</v>
      </c>
      <c r="L130" s="34" t="str">
        <f>IFERROR(__xludf.DUMMYFUNCTION("""COMPUTED_VALUE"""),"INTERNO")</f>
        <v>INTERNO</v>
      </c>
      <c r="M130" s="34">
        <f>IFERROR(__xludf.DUMMYFUNCTION("""COMPUTED_VALUE"""),2.0)</f>
        <v>2</v>
      </c>
      <c r="N130" s="34" t="str">
        <f>IFERROR(__xludf.DUMMYFUNCTION("""COMPUTED_VALUE"""),"EXTERNO")</f>
        <v>EXTERNO</v>
      </c>
      <c r="O130">
        <f>IFERROR(__xludf.DUMMYFUNCTION("""COMPUTED_VALUE"""),10.0)</f>
        <v>10</v>
      </c>
      <c r="P130">
        <f>IFERROR(__xludf.DUMMYFUNCTION("""COMPUTED_VALUE"""),4.0)</f>
        <v>4</v>
      </c>
      <c r="Q130" s="35">
        <f>IFERROR(__xludf.DUMMYFUNCTION("""COMPUTED_VALUE"""),0.0)</f>
        <v>0</v>
      </c>
      <c r="R130" s="36" t="str">
        <f>IFERROR(__xludf.DUMMYFUNCTION("""COMPUTED_VALUE"""),"SELECCIONADA")</f>
        <v>SELECCIONADA</v>
      </c>
      <c r="S130" s="37">
        <f>IFERROR(__xludf.DUMMYFUNCTION("""COMPUTED_VALUE"""),43262.0)</f>
        <v>43262</v>
      </c>
      <c r="T130" s="34"/>
      <c r="U130" t="str">
        <f>IFERROR(__xludf.DUMMYFUNCTION("""COMPUTED_VALUE"""),"MONICA CORTES FLORES")</f>
        <v>MONICA CORTES FLORES</v>
      </c>
      <c r="V130" t="str">
        <f>IFERROR(__xludf.DUMMYFUNCTION("""COMPUTED_VALUE"""),"17879126-5")</f>
        <v>17879126-5</v>
      </c>
      <c r="W130" t="str">
        <f>IFERROR(__xludf.DUMMYFUNCTION("""COMPUTED_VALUE"""),"NO")</f>
        <v>NO</v>
      </c>
      <c r="AA130" s="38">
        <f>IFERROR(__xludf.DUMMYFUNCTION("""COMPUTED_VALUE"""),43230.0)</f>
        <v>43230</v>
      </c>
      <c r="AB130" s="38">
        <f>IFERROR(__xludf.DUMMYFUNCTION("""COMPUTED_VALUE"""),43237.0)</f>
        <v>43237</v>
      </c>
      <c r="AF130" s="39"/>
      <c r="AG130" s="39"/>
      <c r="AH130" s="34" t="str">
        <f>IFERROR(__xludf.DUMMYFUNCTION("""COMPUTED_VALUE"""),"PROCESO DE SELECCIÓN")</f>
        <v>PROCESO DE SELECCIÓN</v>
      </c>
      <c r="AI130" s="34" t="str">
        <f>IFERROR(__xludf.DUMMYFUNCTION("""COMPUTED_VALUE""")," ALBORNOZ SAN MARTIN GABRIELA")</f>
        <v> ALBORNOZ SAN MARTIN GABRIELA</v>
      </c>
      <c r="AJ130" s="34"/>
      <c r="AK130" s="34" t="str">
        <f>IFERROR(__xludf.DUMMYFUNCTION("""COMPUTED_VALUE"""),"E")</f>
        <v>E</v>
      </c>
      <c r="AL130">
        <f>IFERROR(__xludf.DUMMYFUNCTION("""COMPUTED_VALUE"""),18.0)</f>
        <v>18</v>
      </c>
      <c r="AM130">
        <f>IFERROR(__xludf.DUMMYFUNCTION("""COMPUTED_VALUE"""),2018.0)</f>
        <v>2018</v>
      </c>
      <c r="AN130" t="str">
        <f t="shared" si="1"/>
        <v>17879126-5</v>
      </c>
    </row>
    <row r="131">
      <c r="A131" s="33">
        <f>IFERROR(__xludf.DUMMYFUNCTION("""COMPUTED_VALUE"""),1.7737715E7)</f>
        <v>17737715</v>
      </c>
      <c r="B131" s="33">
        <f>IFERROR(__xludf.DUMMYFUNCTION("""COMPUTED_VALUE"""),34.0)</f>
        <v>34</v>
      </c>
      <c r="C131" s="33"/>
      <c r="D131" s="34" t="str">
        <f>IFERROR(__xludf.DUMMYFUNCTION("""COMPUTED_VALUE"""),"INGRESAR CENTRO DE COSTO A LA DERECHA")</f>
        <v>INGRESAR CENTRO DE COSTO A LA DERECHA</v>
      </c>
      <c r="E131" s="34" t="str">
        <f>IFERROR(__xludf.DUMMYFUNCTION("""COMPUTED_VALUE"""),"DPTO. DE RELAC. INTERUNIV E INTERN")</f>
        <v>DPTO. DE RELAC. INTERUNIV E INTERN</v>
      </c>
      <c r="F131" s="34" t="str">
        <f>IFERROR(__xludf.DUMMYFUNCTION("""COMPUTED_VALUE"""),"Secretario(a) C")</f>
        <v>Secretario(a) C</v>
      </c>
      <c r="G131" s="33" t="str">
        <f>IFERROR(__xludf.DUMMYFUNCTION("""COMPUTED_VALUE"""),"SECRETARIO C")</f>
        <v>SECRETARIO C</v>
      </c>
      <c r="H131">
        <f>IFERROR(__xludf.DUMMYFUNCTION("""COMPUTED_VALUE"""),20.0)</f>
        <v>20</v>
      </c>
      <c r="I131" s="34" t="str">
        <f>IFERROR(__xludf.DUMMYFUNCTION("""COMPUTED_VALUE"""),"Jornada Completa")</f>
        <v>Jornada Completa</v>
      </c>
      <c r="J131" s="33" t="str">
        <f>IFERROR(__xludf.DUMMYFUNCTION("""COMPUTED_VALUE"""),"A CONTRATA")</f>
        <v>A CONTRATA</v>
      </c>
      <c r="K131" s="33" t="str">
        <f>IFERROR(__xludf.DUMMYFUNCTION("""COMPUTED_VALUE"""),"ADMINISTRATIVO")</f>
        <v>ADMINISTRATIVO</v>
      </c>
      <c r="L131" s="34" t="str">
        <f>IFERROR(__xludf.DUMMYFUNCTION("""COMPUTED_VALUE"""),"INTERNO")</f>
        <v>INTERNO</v>
      </c>
      <c r="M131" s="34">
        <f>IFERROR(__xludf.DUMMYFUNCTION("""COMPUTED_VALUE"""),0.0)</f>
        <v>0</v>
      </c>
      <c r="N131" s="34" t="str">
        <f>IFERROR(__xludf.DUMMYFUNCTION("""COMPUTED_VALUE"""),"EXTERNO")</f>
        <v>EXTERNO</v>
      </c>
      <c r="O131">
        <f>IFERROR(__xludf.DUMMYFUNCTION("""COMPUTED_VALUE"""),6.0)</f>
        <v>6</v>
      </c>
      <c r="P131">
        <f>IFERROR(__xludf.DUMMYFUNCTION("""COMPUTED_VALUE"""),2.0)</f>
        <v>2</v>
      </c>
      <c r="Q131" s="35">
        <f>IFERROR(__xludf.DUMMYFUNCTION("""COMPUTED_VALUE"""),1.0)</f>
        <v>1</v>
      </c>
      <c r="R131" s="36" t="str">
        <f>IFERROR(__xludf.DUMMYFUNCTION("""COMPUTED_VALUE"""),"SELECCIONADA")</f>
        <v>SELECCIONADA</v>
      </c>
      <c r="S131" s="37">
        <f>IFERROR(__xludf.DUMMYFUNCTION("""COMPUTED_VALUE"""),43266.0)</f>
        <v>43266</v>
      </c>
      <c r="T131" s="34"/>
      <c r="U131" t="str">
        <f>IFERROR(__xludf.DUMMYFUNCTION("""COMPUTED_VALUE"""),"ROXANA MIRANDA AGUILERA")</f>
        <v>ROXANA MIRANDA AGUILERA</v>
      </c>
      <c r="V131" t="str">
        <f>IFERROR(__xludf.DUMMYFUNCTION("""COMPUTED_VALUE"""),"17737715-5")</f>
        <v>17737715-5</v>
      </c>
      <c r="W131" t="str">
        <f>IFERROR(__xludf.DUMMYFUNCTION("""COMPUTED_VALUE"""),"NO")</f>
        <v>NO</v>
      </c>
      <c r="AA131" s="38">
        <f>IFERROR(__xludf.DUMMYFUNCTION("""COMPUTED_VALUE"""),43173.0)</f>
        <v>43173</v>
      </c>
      <c r="AB131" s="38">
        <f>IFERROR(__xludf.DUMMYFUNCTION("""COMPUTED_VALUE"""),43179.0)</f>
        <v>43179</v>
      </c>
      <c r="AF131" s="39"/>
      <c r="AG131" s="39"/>
      <c r="AH131" s="34" t="str">
        <f>IFERROR(__xludf.DUMMYFUNCTION("""COMPUTED_VALUE"""),"PROCESO DE SELECCIÓN")</f>
        <v>PROCESO DE SELECCIÓN</v>
      </c>
      <c r="AI131" s="34" t="str">
        <f>IFERROR(__xludf.DUMMYFUNCTION("""COMPUTED_VALUE"""),"FLORES HUICHAHUALA MAGALY ")</f>
        <v>FLORES HUICHAHUALA MAGALY </v>
      </c>
      <c r="AJ131" s="34"/>
      <c r="AK131" s="34" t="str">
        <f>IFERROR(__xludf.DUMMYFUNCTION("""COMPUTED_VALUE"""),"C")</f>
        <v>C</v>
      </c>
      <c r="AL131">
        <f>IFERROR(__xludf.DUMMYFUNCTION("""COMPUTED_VALUE"""),64.0)</f>
        <v>64</v>
      </c>
      <c r="AM131">
        <f>IFERROR(__xludf.DUMMYFUNCTION("""COMPUTED_VALUE"""),2018.0)</f>
        <v>2018</v>
      </c>
      <c r="AN131" t="str">
        <f t="shared" si="1"/>
        <v>17737715-5</v>
      </c>
    </row>
    <row r="132">
      <c r="A132" s="33">
        <f>IFERROR(__xludf.DUMMYFUNCTION("""COMPUTED_VALUE"""),1.7484138E7)</f>
        <v>17484138</v>
      </c>
      <c r="B132" s="33">
        <f>IFERROR(__xludf.DUMMYFUNCTION("""COMPUTED_VALUE"""),35.0)</f>
        <v>35</v>
      </c>
      <c r="C132" s="33" t="str">
        <f>IFERROR(__xludf.DUMMYFUNCTION("""COMPUTED_VALUE"""),"S/F")</f>
        <v>S/F</v>
      </c>
      <c r="D132" s="34" t="str">
        <f>IFERROR(__xludf.DUMMYFUNCTION("""COMPUTED_VALUE"""),"INGRESAR CENTRO DE COSTO A LA DERECHA")</f>
        <v>INGRESAR CENTRO DE COSTO A LA DERECHA</v>
      </c>
      <c r="E132" s="34" t="str">
        <f>IFERROR(__xludf.DUMMYFUNCTION("""COMPUTED_VALUE"""),"VR. DE POSTGRADO")</f>
        <v>VR. DE POSTGRADO</v>
      </c>
      <c r="F132" s="34" t="str">
        <f>IFERROR(__xludf.DUMMYFUNCTION("""COMPUTED_VALUE"""),"Analista de Gestión I")</f>
        <v>Analista de Gestión I</v>
      </c>
      <c r="G132" s="33" t="str">
        <f>IFERROR(__xludf.DUMMYFUNCTION("""COMPUTED_VALUE"""),"ANALISTA DE GESTION I")</f>
        <v>ANALISTA DE GESTION I</v>
      </c>
      <c r="H132">
        <f>IFERROR(__xludf.DUMMYFUNCTION("""COMPUTED_VALUE"""),10.0)</f>
        <v>10</v>
      </c>
      <c r="I132" s="34" t="str">
        <f>IFERROR(__xludf.DUMMYFUNCTION("""COMPUTED_VALUE"""),"Jornada Completa")</f>
        <v>Jornada Completa</v>
      </c>
      <c r="J132" s="33" t="str">
        <f>IFERROR(__xludf.DUMMYFUNCTION("""COMPUTED_VALUE"""),"A CONTRATA")</f>
        <v>A CONTRATA</v>
      </c>
      <c r="K132" s="33" t="str">
        <f>IFERROR(__xludf.DUMMYFUNCTION("""COMPUTED_VALUE"""),"PROFESIONAL")</f>
        <v>PROFESIONAL</v>
      </c>
      <c r="L132" s="34" t="str">
        <f>IFERROR(__xludf.DUMMYFUNCTION("""COMPUTED_VALUE"""),"INTERNO")</f>
        <v>INTERNO</v>
      </c>
      <c r="M132" s="34">
        <f>IFERROR(__xludf.DUMMYFUNCTION("""COMPUTED_VALUE"""),4.0)</f>
        <v>4</v>
      </c>
      <c r="N132" s="34" t="str">
        <f>IFERROR(__xludf.DUMMYFUNCTION("""COMPUTED_VALUE"""),"EXTERNO")</f>
        <v>EXTERNO</v>
      </c>
      <c r="O132">
        <f>IFERROR(__xludf.DUMMYFUNCTION("""COMPUTED_VALUE"""),26.0)</f>
        <v>26</v>
      </c>
      <c r="P132">
        <f>IFERROR(__xludf.DUMMYFUNCTION("""COMPUTED_VALUE"""),2.0)</f>
        <v>2</v>
      </c>
      <c r="Q132" s="35">
        <f>IFERROR(__xludf.DUMMYFUNCTION("""COMPUTED_VALUE"""),0.0)</f>
        <v>0</v>
      </c>
      <c r="R132" s="36" t="str">
        <f>IFERROR(__xludf.DUMMYFUNCTION("""COMPUTED_VALUE"""),"SELECCIONADO")</f>
        <v>SELECCIONADO</v>
      </c>
      <c r="S132" s="37">
        <f>IFERROR(__xludf.DUMMYFUNCTION("""COMPUTED_VALUE"""),43282.0)</f>
        <v>43282</v>
      </c>
      <c r="T132" s="34"/>
      <c r="U132" t="str">
        <f>IFERROR(__xludf.DUMMYFUNCTION("""COMPUTED_VALUE"""),"ALFREDO MUÑOZ ALARCON")</f>
        <v>ALFREDO MUÑOZ ALARCON</v>
      </c>
      <c r="V132" t="str">
        <f>IFERROR(__xludf.DUMMYFUNCTION("""COMPUTED_VALUE"""),"17484138-1")</f>
        <v>17484138-1</v>
      </c>
      <c r="W132" t="str">
        <f>IFERROR(__xludf.DUMMYFUNCTION("""COMPUTED_VALUE"""),"SI")</f>
        <v>SI</v>
      </c>
      <c r="X132" t="str">
        <f>IFERROR(__xludf.DUMMYFUNCTION("""COMPUTED_VALUE"""),"Capacidad de Planificacion y Organizacion")</f>
        <v>Capacidad de Planificacion y Organizacion</v>
      </c>
      <c r="AA132" s="38">
        <f>IFERROR(__xludf.DUMMYFUNCTION("""COMPUTED_VALUE"""),43200.0)</f>
        <v>43200</v>
      </c>
      <c r="AB132" s="38">
        <f>IFERROR(__xludf.DUMMYFUNCTION("""COMPUTED_VALUE"""),43207.0)</f>
        <v>43207</v>
      </c>
      <c r="AF132" s="39"/>
      <c r="AG132" s="39"/>
      <c r="AH132" s="34" t="str">
        <f>IFERROR(__xludf.DUMMYFUNCTION("""COMPUTED_VALUE"""),"PROCESO DE SELECCIÓN")</f>
        <v>PROCESO DE SELECCIÓN</v>
      </c>
      <c r="AI132" s="34" t="str">
        <f>IFERROR(__xludf.DUMMYFUNCTION("""COMPUTED_VALUE"""),"-")</f>
        <v>-</v>
      </c>
      <c r="AJ132" s="34"/>
      <c r="AK132" s="34" t="str">
        <f>IFERROR(__xludf.DUMMYFUNCTION("""COMPUTED_VALUE"""),"P")</f>
        <v>P</v>
      </c>
      <c r="AL132">
        <f>IFERROR(__xludf.DUMMYFUNCTION("""COMPUTED_VALUE"""),54.0)</f>
        <v>54</v>
      </c>
      <c r="AM132">
        <f>IFERROR(__xludf.DUMMYFUNCTION("""COMPUTED_VALUE"""),2018.0)</f>
        <v>2018</v>
      </c>
      <c r="AN132" t="str">
        <f t="shared" si="1"/>
        <v>17484138-1</v>
      </c>
    </row>
    <row r="133">
      <c r="A133" s="33">
        <f>IFERROR(__xludf.DUMMYFUNCTION("""COMPUTED_VALUE"""),1.555009E7)</f>
        <v>15550090</v>
      </c>
      <c r="B133" s="33">
        <f>IFERROR(__xludf.DUMMYFUNCTION("""COMPUTED_VALUE"""),36.0)</f>
        <v>36</v>
      </c>
      <c r="C133" s="33"/>
      <c r="D133" s="34" t="str">
        <f>IFERROR(__xludf.DUMMYFUNCTION("""COMPUTED_VALUE"""),"INGRESAR CENTRO DE COSTO A LA DERECHA")</f>
        <v>INGRESAR CENTRO DE COSTO A LA DERECHA</v>
      </c>
      <c r="E133" s="34" t="str">
        <f>IFERROR(__xludf.DUMMYFUNCTION("""COMPUTED_VALUE"""),"DIR. DE ASISTENCIA JURIDICA")</f>
        <v>DIR. DE ASISTENCIA JURIDICA</v>
      </c>
      <c r="F133" s="34" t="str">
        <f>IFERROR(__xludf.DUMMYFUNCTION("""COMPUTED_VALUE"""),"Abogado(a) Dirección Juridica")</f>
        <v>Abogado(a) Dirección Juridica</v>
      </c>
      <c r="G133" s="33" t="str">
        <f>IFERROR(__xludf.DUMMYFUNCTION("""COMPUTED_VALUE"""),"ABOGADO DIRECCIÓN JURÍDICA")</f>
        <v>ABOGADO DIRECCIÓN JURÍDICA</v>
      </c>
      <c r="H133">
        <f>IFERROR(__xludf.DUMMYFUNCTION("""COMPUTED_VALUE"""),8.0)</f>
        <v>8</v>
      </c>
      <c r="I133" s="34" t="str">
        <f>IFERROR(__xludf.DUMMYFUNCTION("""COMPUTED_VALUE"""),"Jornada Completa")</f>
        <v>Jornada Completa</v>
      </c>
      <c r="J133" s="33" t="str">
        <f>IFERROR(__xludf.DUMMYFUNCTION("""COMPUTED_VALUE"""),"A CONTRATA")</f>
        <v>A CONTRATA</v>
      </c>
      <c r="K133" s="33" t="str">
        <f>IFERROR(__xludf.DUMMYFUNCTION("""COMPUTED_VALUE"""),"PROFESIONAL")</f>
        <v>PROFESIONAL</v>
      </c>
      <c r="L133" s="34" t="str">
        <f>IFERROR(__xludf.DUMMYFUNCTION("""COMPUTED_VALUE"""),"NO")</f>
        <v>NO</v>
      </c>
      <c r="M133" s="34">
        <f>IFERROR(__xludf.DUMMYFUNCTION("""COMPUTED_VALUE"""),0.0)</f>
        <v>0</v>
      </c>
      <c r="N133" s="34" t="str">
        <f>IFERROR(__xludf.DUMMYFUNCTION("""COMPUTED_VALUE"""),"EXTERNO")</f>
        <v>EXTERNO</v>
      </c>
      <c r="O133">
        <f>IFERROR(__xludf.DUMMYFUNCTION("""COMPUTED_VALUE"""),52.0)</f>
        <v>52</v>
      </c>
      <c r="P133">
        <f>IFERROR(__xludf.DUMMYFUNCTION("""COMPUTED_VALUE"""),1.0)</f>
        <v>1</v>
      </c>
      <c r="Q133" s="35">
        <f>IFERROR(__xludf.DUMMYFUNCTION("""COMPUTED_VALUE"""),0.0)</f>
        <v>0</v>
      </c>
      <c r="R133" s="36" t="str">
        <f>IFERROR(__xludf.DUMMYFUNCTION("""COMPUTED_VALUE"""),"SELECCIONADO")</f>
        <v>SELECCIONADO</v>
      </c>
      <c r="S133" s="37">
        <f>IFERROR(__xludf.DUMMYFUNCTION("""COMPUTED_VALUE"""),43269.0)</f>
        <v>43269</v>
      </c>
      <c r="T133" s="34"/>
      <c r="U133" t="str">
        <f>IFERROR(__xludf.DUMMYFUNCTION("""COMPUTED_VALUE"""),"STEPHAN ANDEREYA ESPINOSA")</f>
        <v>STEPHAN ANDEREYA ESPINOSA</v>
      </c>
      <c r="V133" t="str">
        <f>IFERROR(__xludf.DUMMYFUNCTION("""COMPUTED_VALUE"""),"15550090-5")</f>
        <v>15550090-5</v>
      </c>
      <c r="W133" t="str">
        <f>IFERROR(__xludf.DUMMYFUNCTION("""COMPUTED_VALUE"""),"NO")</f>
        <v>NO</v>
      </c>
      <c r="AA133" s="38">
        <f>IFERROR(__xludf.DUMMYFUNCTION("""COMPUTED_VALUE"""),43259.0)</f>
        <v>43259</v>
      </c>
      <c r="AB133" s="38">
        <f>IFERROR(__xludf.DUMMYFUNCTION("""COMPUTED_VALUE"""),43263.0)</f>
        <v>43263</v>
      </c>
      <c r="AF133" s="39"/>
      <c r="AG133" s="39"/>
      <c r="AH133" s="34" t="str">
        <f>IFERROR(__xludf.DUMMYFUNCTION("""COMPUTED_VALUE"""),"PROCESO DE SELECCIÓN")</f>
        <v>PROCESO DE SELECCIÓN</v>
      </c>
      <c r="AI133" s="34" t="str">
        <f>IFERROR(__xludf.DUMMYFUNCTION("""COMPUTED_VALUE"""),"- ")</f>
        <v>- </v>
      </c>
      <c r="AJ133" s="34"/>
      <c r="AK133" s="34" t="str">
        <f>IFERROR(__xludf.DUMMYFUNCTION("""COMPUTED_VALUE"""),"E")</f>
        <v>E</v>
      </c>
      <c r="AL133">
        <f>IFERROR(__xludf.DUMMYFUNCTION("""COMPUTED_VALUE"""),5.0)</f>
        <v>5</v>
      </c>
      <c r="AM133">
        <f>IFERROR(__xludf.DUMMYFUNCTION("""COMPUTED_VALUE"""),2018.0)</f>
        <v>2018</v>
      </c>
      <c r="AN133" t="str">
        <f t="shared" si="1"/>
        <v>15550090-5</v>
      </c>
    </row>
    <row r="134">
      <c r="A134" s="33">
        <f>IFERROR(__xludf.DUMMYFUNCTION("""COMPUTED_VALUE"""),1.5841378E7)</f>
        <v>15841378</v>
      </c>
      <c r="B134" s="33">
        <f>IFERROR(__xludf.DUMMYFUNCTION("""COMPUTED_VALUE"""),37.0)</f>
        <v>37</v>
      </c>
      <c r="C134" s="33" t="str">
        <f>IFERROR(__xludf.DUMMYFUNCTION("""COMPUTED_VALUE"""),"COMISION")</f>
        <v>COMISION</v>
      </c>
      <c r="D134" s="34" t="str">
        <f>IFERROR(__xludf.DUMMYFUNCTION("""COMPUTED_VALUE"""),"INGRESAR CENTRO DE COSTO A LA DERECHA")</f>
        <v>INGRESAR CENTRO DE COSTO A LA DERECHA</v>
      </c>
      <c r="E134" s="34" t="str">
        <f>IFERROR(__xludf.DUMMYFUNCTION("""COMPUTED_VALUE"""),"UNIDAD DE REGISTRO ACADEMICO Y CURRICULAR")</f>
        <v>UNIDAD DE REGISTRO ACADEMICO Y CURRICULAR</v>
      </c>
      <c r="F134" s="34" t="str">
        <f>IFERROR(__xludf.DUMMYFUNCTION("""COMPUTED_VALUE"""),"Analista de Base de Datos")</f>
        <v>Analista de Base de Datos</v>
      </c>
      <c r="G134" s="33" t="str">
        <f>IFERROR(__xludf.DUMMYFUNCTION("""COMPUTED_VALUE"""),"ANALISTA DE BASE DE DATOS")</f>
        <v>ANALISTA DE BASE DE DATOS</v>
      </c>
      <c r="H134">
        <f>IFERROR(__xludf.DUMMYFUNCTION("""COMPUTED_VALUE"""),13.0)</f>
        <v>13</v>
      </c>
      <c r="I134" s="34" t="str">
        <f>IFERROR(__xludf.DUMMYFUNCTION("""COMPUTED_VALUE"""),"Jornada Completa")</f>
        <v>Jornada Completa</v>
      </c>
      <c r="J134" s="33" t="str">
        <f>IFERROR(__xludf.DUMMYFUNCTION("""COMPUTED_VALUE"""),"A CONTRATA")</f>
        <v>A CONTRATA</v>
      </c>
      <c r="K134" s="33" t="str">
        <f>IFERROR(__xludf.DUMMYFUNCTION("""COMPUTED_VALUE"""),"PROFESIONAL")</f>
        <v>PROFESIONAL</v>
      </c>
      <c r="L134" s="34" t="str">
        <f>IFERROR(__xludf.DUMMYFUNCTION("""COMPUTED_VALUE"""),"INTERNO")</f>
        <v>INTERNO</v>
      </c>
      <c r="M134" s="34">
        <f>IFERROR(__xludf.DUMMYFUNCTION("""COMPUTED_VALUE"""),0.0)</f>
        <v>0</v>
      </c>
      <c r="N134" s="34" t="str">
        <f>IFERROR(__xludf.DUMMYFUNCTION("""COMPUTED_VALUE"""),"EXTERNO")</f>
        <v>EXTERNO</v>
      </c>
      <c r="O134">
        <f>IFERROR(__xludf.DUMMYFUNCTION("""COMPUTED_VALUE"""),7.0)</f>
        <v>7</v>
      </c>
      <c r="P134">
        <f>IFERROR(__xludf.DUMMYFUNCTION("""COMPUTED_VALUE"""),1.0)</f>
        <v>1</v>
      </c>
      <c r="Q134" s="35">
        <f>IFERROR(__xludf.DUMMYFUNCTION("""COMPUTED_VALUE"""),0.0)</f>
        <v>0</v>
      </c>
      <c r="R134" s="36" t="str">
        <f>IFERROR(__xludf.DUMMYFUNCTION("""COMPUTED_VALUE"""),"SELECCIONADO")</f>
        <v>SELECCIONADO</v>
      </c>
      <c r="S134" s="37">
        <f>IFERROR(__xludf.DUMMYFUNCTION("""COMPUTED_VALUE"""),43252.0)</f>
        <v>43252</v>
      </c>
      <c r="T134" s="34"/>
      <c r="U134" t="str">
        <f>IFERROR(__xludf.DUMMYFUNCTION("""COMPUTED_VALUE"""),"FELIPE ARANCIBIA MIRANDA")</f>
        <v>FELIPE ARANCIBIA MIRANDA</v>
      </c>
      <c r="V134" t="str">
        <f>IFERROR(__xludf.DUMMYFUNCTION("""COMPUTED_VALUE"""),"15841378-7")</f>
        <v>15841378-7</v>
      </c>
      <c r="W134" t="str">
        <f>IFERROR(__xludf.DUMMYFUNCTION("""COMPUTED_VALUE"""),"NO")</f>
        <v>NO</v>
      </c>
      <c r="AA134" s="38">
        <f>IFERROR(__xludf.DUMMYFUNCTION("""COMPUTED_VALUE"""),43165.0)</f>
        <v>43165</v>
      </c>
      <c r="AB134" s="38">
        <f>IFERROR(__xludf.DUMMYFUNCTION("""COMPUTED_VALUE"""),43172.0)</f>
        <v>43172</v>
      </c>
      <c r="AF134" s="39"/>
      <c r="AG134" s="39"/>
      <c r="AH134" s="34" t="str">
        <f>IFERROR(__xludf.DUMMYFUNCTION("""COMPUTED_VALUE"""),"PROCESO DE SELECCIÓN")</f>
        <v>PROCESO DE SELECCIÓN</v>
      </c>
      <c r="AI134" s="34" t="str">
        <f>IFERROR(__xludf.DUMMYFUNCTION("""COMPUTED_VALUE"""),"- ")</f>
        <v>- </v>
      </c>
      <c r="AJ134" s="34"/>
      <c r="AK134" s="34" t="str">
        <f>IFERROR(__xludf.DUMMYFUNCTION("""COMPUTED_VALUE"""),"E")</f>
        <v>E</v>
      </c>
      <c r="AL134">
        <f>IFERROR(__xludf.DUMMYFUNCTION("""COMPUTED_VALUE"""),59.0)</f>
        <v>59</v>
      </c>
      <c r="AM134">
        <f>IFERROR(__xludf.DUMMYFUNCTION("""COMPUTED_VALUE"""),2018.0)</f>
        <v>2018</v>
      </c>
      <c r="AN134" t="str">
        <f t="shared" si="1"/>
        <v>15841378-7</v>
      </c>
    </row>
    <row r="135">
      <c r="A135" s="33">
        <f>IFERROR(__xludf.DUMMYFUNCTION("""COMPUTED_VALUE"""),1.5894218E7)</f>
        <v>15894218</v>
      </c>
      <c r="B135" s="33">
        <f>IFERROR(__xludf.DUMMYFUNCTION("""COMPUTED_VALUE"""),38.0)</f>
        <v>38</v>
      </c>
      <c r="C135" s="33" t="str">
        <f>IFERROR(__xludf.DUMMYFUNCTION("""COMPUTED_VALUE"""),"A191")</f>
        <v>A191</v>
      </c>
      <c r="D135" s="34" t="str">
        <f>IFERROR(__xludf.DUMMYFUNCTION("""COMPUTED_VALUE"""),"INGRESAR CENTRO DE COSTO A LA DERECHA")</f>
        <v>INGRESAR CENTRO DE COSTO A LA DERECHA</v>
      </c>
      <c r="E135" s="34" t="str">
        <f>IFERROR(__xludf.DUMMYFUNCTION("""COMPUTED_VALUE"""),"DPTO. DE INGENIERIA METALURGICA")</f>
        <v>DPTO. DE INGENIERIA METALURGICA</v>
      </c>
      <c r="F135" s="34" t="str">
        <f>IFERROR(__xludf.DUMMYFUNCTION("""COMPUTED_VALUE"""),"Encargado(a) de Laboratorio")</f>
        <v>Encargado(a) de Laboratorio</v>
      </c>
      <c r="G135" s="33" t="str">
        <f>IFERROR(__xludf.DUMMYFUNCTION("""COMPUTED_VALUE"""),"ENCARGADO DE LABORATORIO ( HIDROMETALURGIA)")</f>
        <v>ENCARGADO DE LABORATORIO ( HIDROMETALURGIA)</v>
      </c>
      <c r="H135">
        <f>IFERROR(__xludf.DUMMYFUNCTION("""COMPUTED_VALUE"""),13.0)</f>
        <v>13</v>
      </c>
      <c r="I135" s="34" t="str">
        <f>IFERROR(__xludf.DUMMYFUNCTION("""COMPUTED_VALUE"""),"Jornada Completa")</f>
        <v>Jornada Completa</v>
      </c>
      <c r="J135" s="33" t="str">
        <f>IFERROR(__xludf.DUMMYFUNCTION("""COMPUTED_VALUE"""),"A CONTRATA")</f>
        <v>A CONTRATA</v>
      </c>
      <c r="K135" s="33" t="str">
        <f>IFERROR(__xludf.DUMMYFUNCTION("""COMPUTED_VALUE"""),"PROFESIONAL")</f>
        <v>PROFESIONAL</v>
      </c>
      <c r="L135" s="34" t="str">
        <f>IFERROR(__xludf.DUMMYFUNCTION("""COMPUTED_VALUE"""),"INTERNO")</f>
        <v>INTERNO</v>
      </c>
      <c r="M135" s="34">
        <f>IFERROR(__xludf.DUMMYFUNCTION("""COMPUTED_VALUE"""),1.0)</f>
        <v>1</v>
      </c>
      <c r="N135" s="34" t="str">
        <f>IFERROR(__xludf.DUMMYFUNCTION("""COMPUTED_VALUE"""),"NO")</f>
        <v>NO</v>
      </c>
      <c r="O135">
        <f>IFERROR(__xludf.DUMMYFUNCTION("""COMPUTED_VALUE"""),0.0)</f>
        <v>0</v>
      </c>
      <c r="P135">
        <f>IFERROR(__xludf.DUMMYFUNCTION("""COMPUTED_VALUE"""),1.0)</f>
        <v>1</v>
      </c>
      <c r="Q135" s="35">
        <f>IFERROR(__xludf.DUMMYFUNCTION("""COMPUTED_VALUE"""),0.0)</f>
        <v>0</v>
      </c>
      <c r="R135" s="36" t="str">
        <f>IFERROR(__xludf.DUMMYFUNCTION("""COMPUTED_VALUE"""),"SELECCIONADO")</f>
        <v>SELECCIONADO</v>
      </c>
      <c r="S135" s="37">
        <f>IFERROR(__xludf.DUMMYFUNCTION("""COMPUTED_VALUE"""),43282.0)</f>
        <v>43282</v>
      </c>
      <c r="T135" s="34"/>
      <c r="U135" t="str">
        <f>IFERROR(__xludf.DUMMYFUNCTION("""COMPUTED_VALUE"""),"DANIEL ESPINOZA ESPINOZA")</f>
        <v>DANIEL ESPINOZA ESPINOZA</v>
      </c>
      <c r="V135" t="str">
        <f>IFERROR(__xludf.DUMMYFUNCTION("""COMPUTED_VALUE"""),"15894218-6")</f>
        <v>15894218-6</v>
      </c>
      <c r="W135" t="str">
        <f>IFERROR(__xludf.DUMMYFUNCTION("""COMPUTED_VALUE"""),"SI")</f>
        <v>SI</v>
      </c>
      <c r="X135" t="str">
        <f>IFERROR(__xludf.DUMMYFUNCTION("""COMPUTED_VALUE"""),"Trabajo en Equipo")</f>
        <v>Trabajo en Equipo</v>
      </c>
      <c r="Y135" t="str">
        <f>IFERROR(__xludf.DUMMYFUNCTION("""COMPUTED_VALUE"""),"Capacidad de Planificacion y Organizacion")</f>
        <v>Capacidad de Planificacion y Organizacion</v>
      </c>
      <c r="AA135" s="38">
        <f>IFERROR(__xludf.DUMMYFUNCTION("""COMPUTED_VALUE"""),43251.0)</f>
        <v>43251</v>
      </c>
      <c r="AB135" s="38">
        <f>IFERROR(__xludf.DUMMYFUNCTION("""COMPUTED_VALUE"""),43257.0)</f>
        <v>43257</v>
      </c>
      <c r="AF135" s="39"/>
      <c r="AG135" s="39"/>
      <c r="AH135" s="34" t="str">
        <f>IFERROR(__xludf.DUMMYFUNCTION("""COMPUTED_VALUE"""),"PROCESO DE SELECCIÓN")</f>
        <v>PROCESO DE SELECCIÓN</v>
      </c>
      <c r="AI135" s="34" t="str">
        <f>IFERROR(__xludf.DUMMYFUNCTION("""COMPUTED_VALUE"""),"MUÑOZ ZUÑIGA PATRICIA ")</f>
        <v>MUÑOZ ZUÑIGA PATRICIA </v>
      </c>
      <c r="AJ135" s="34"/>
      <c r="AK135" s="34" t="str">
        <f>IFERROR(__xludf.DUMMYFUNCTION("""COMPUTED_VALUE"""),"E")</f>
        <v>E</v>
      </c>
      <c r="AL135">
        <f>IFERROR(__xludf.DUMMYFUNCTION("""COMPUTED_VALUE"""),18.0)</f>
        <v>18</v>
      </c>
      <c r="AM135">
        <f>IFERROR(__xludf.DUMMYFUNCTION("""COMPUTED_VALUE"""),2018.0)</f>
        <v>2018</v>
      </c>
      <c r="AN135" t="str">
        <f t="shared" si="1"/>
        <v>15894218-6</v>
      </c>
    </row>
    <row r="136">
      <c r="A136" s="33">
        <f>IFERROR(__xludf.DUMMYFUNCTION("""COMPUTED_VALUE"""),1.7381673E7)</f>
        <v>17381673</v>
      </c>
      <c r="B136" s="33">
        <f>IFERROR(__xludf.DUMMYFUNCTION("""COMPUTED_VALUE"""),39.0)</f>
        <v>39</v>
      </c>
      <c r="C136" s="33" t="str">
        <f>IFERROR(__xludf.DUMMYFUNCTION("""COMPUTED_VALUE"""),"A126")</f>
        <v>A126</v>
      </c>
      <c r="D136" s="34" t="str">
        <f>IFERROR(__xludf.DUMMYFUNCTION("""COMPUTED_VALUE"""),"INGRESAR CENTRO DE COSTO A LA DERECHA")</f>
        <v>INGRESAR CENTRO DE COSTO A LA DERECHA</v>
      </c>
      <c r="E136" s="34" t="str">
        <f>IFERROR(__xludf.DUMMYFUNCTION("""COMPUTED_VALUE"""),"UNIDAD DE ADM. SERV. ALIMENTARIOS")</f>
        <v>UNIDAD DE ADM. SERV. ALIMENTARIOS</v>
      </c>
      <c r="F136" s="34" t="str">
        <f>IFERROR(__xludf.DUMMYFUNCTION("""COMPUTED_VALUE"""),"Auxiliar de Servicios")</f>
        <v>Auxiliar de Servicios</v>
      </c>
      <c r="G136" s="33" t="str">
        <f>IFERROR(__xludf.DUMMYFUNCTION("""COMPUTED_VALUE"""),"AUXILIAR DE SERVICIO")</f>
        <v>AUXILIAR DE SERVICIO</v>
      </c>
      <c r="H136">
        <f>IFERROR(__xludf.DUMMYFUNCTION("""COMPUTED_VALUE"""),23.0)</f>
        <v>23</v>
      </c>
      <c r="I136" s="34" t="str">
        <f>IFERROR(__xludf.DUMMYFUNCTION("""COMPUTED_VALUE"""),"Jornada Completa")</f>
        <v>Jornada Completa</v>
      </c>
      <c r="J136" s="33" t="str">
        <f>IFERROR(__xludf.DUMMYFUNCTION("""COMPUTED_VALUE"""),"A CONTRATA")</f>
        <v>A CONTRATA</v>
      </c>
      <c r="K136" s="33" t="str">
        <f>IFERROR(__xludf.DUMMYFUNCTION("""COMPUTED_VALUE"""),"AUXILIAR")</f>
        <v>AUXILIAR</v>
      </c>
      <c r="L136" s="34" t="str">
        <f>IFERROR(__xludf.DUMMYFUNCTION("""COMPUTED_VALUE"""),"INTERNO")</f>
        <v>INTERNO</v>
      </c>
      <c r="M136" s="34">
        <f>IFERROR(__xludf.DUMMYFUNCTION("""COMPUTED_VALUE"""),0.0)</f>
        <v>0</v>
      </c>
      <c r="N136" s="34" t="str">
        <f>IFERROR(__xludf.DUMMYFUNCTION("""COMPUTED_VALUE"""),"EXTERNO")</f>
        <v>EXTERNO</v>
      </c>
      <c r="O136">
        <f>IFERROR(__xludf.DUMMYFUNCTION("""COMPUTED_VALUE"""),10.0)</f>
        <v>10</v>
      </c>
      <c r="P136">
        <f>IFERROR(__xludf.DUMMYFUNCTION("""COMPUTED_VALUE"""),3.0)</f>
        <v>3</v>
      </c>
      <c r="Q136" s="35">
        <f>IFERROR(__xludf.DUMMYFUNCTION("""COMPUTED_VALUE"""),4.0)</f>
        <v>4</v>
      </c>
      <c r="R136" s="36" t="str">
        <f>IFERROR(__xludf.DUMMYFUNCTION("""COMPUTED_VALUE"""),"SELECCIONADO")</f>
        <v>SELECCIONADO</v>
      </c>
      <c r="S136" s="37">
        <f>IFERROR(__xludf.DUMMYFUNCTION("""COMPUTED_VALUE"""),43252.0)</f>
        <v>43252</v>
      </c>
      <c r="T136" s="34"/>
      <c r="U136" t="str">
        <f>IFERROR(__xludf.DUMMYFUNCTION("""COMPUTED_VALUE"""),"FREDDY ULLOA ORELLANA")</f>
        <v>FREDDY ULLOA ORELLANA</v>
      </c>
      <c r="V136" t="str">
        <f>IFERROR(__xludf.DUMMYFUNCTION("""COMPUTED_VALUE"""),"17381673-1")</f>
        <v>17381673-1</v>
      </c>
      <c r="W136" t="str">
        <f>IFERROR(__xludf.DUMMYFUNCTION("""COMPUTED_VALUE"""),"SI")</f>
        <v>SI</v>
      </c>
      <c r="X136" t="str">
        <f>IFERROR(__xludf.DUMMYFUNCTION("""COMPUTED_VALUE"""),"Trabajo en Equipo")</f>
        <v>Trabajo en Equipo</v>
      </c>
      <c r="Y136" t="str">
        <f>IFERROR(__xludf.DUMMYFUNCTION("""COMPUTED_VALUE"""),"Iniciativa")</f>
        <v>Iniciativa</v>
      </c>
      <c r="Z136" t="str">
        <f>IFERROR(__xludf.DUMMYFUNCTION("""COMPUTED_VALUE"""),"Comunicacion")</f>
        <v>Comunicacion</v>
      </c>
      <c r="AA136" s="38">
        <f>IFERROR(__xludf.DUMMYFUNCTION("""COMPUTED_VALUE"""),43222.0)</f>
        <v>43222</v>
      </c>
      <c r="AB136" s="38">
        <f>IFERROR(__xludf.DUMMYFUNCTION("""COMPUTED_VALUE"""),43228.0)</f>
        <v>43228</v>
      </c>
      <c r="AF136" s="39"/>
      <c r="AG136" s="39"/>
      <c r="AH136" s="34" t="str">
        <f>IFERROR(__xludf.DUMMYFUNCTION("""COMPUTED_VALUE"""),"PROCESO DE SELECCIÓN")</f>
        <v>PROCESO DE SELECCIÓN</v>
      </c>
      <c r="AI136" s="34" t="str">
        <f>IFERROR(__xludf.DUMMYFUNCTION("""COMPUTED_VALUE"""),"AVILA GALVEZ RAQUEL ")</f>
        <v>AVILA GALVEZ RAQUEL </v>
      </c>
      <c r="AJ136" s="34"/>
      <c r="AK136" s="34" t="str">
        <f>IFERROR(__xludf.DUMMYFUNCTION("""COMPUTED_VALUE"""),"E")</f>
        <v>E</v>
      </c>
      <c r="AL136">
        <f>IFERROR(__xludf.DUMMYFUNCTION("""COMPUTED_VALUE"""),19.0)</f>
        <v>19</v>
      </c>
      <c r="AM136">
        <f>IFERROR(__xludf.DUMMYFUNCTION("""COMPUTED_VALUE"""),2018.0)</f>
        <v>2018</v>
      </c>
      <c r="AN136" t="str">
        <f t="shared" si="1"/>
        <v>17381673-1</v>
      </c>
    </row>
    <row r="137">
      <c r="A137" s="33">
        <f>IFERROR(__xludf.DUMMYFUNCTION("""COMPUTED_VALUE"""),9577358.0)</f>
        <v>9577358</v>
      </c>
      <c r="B137" s="33">
        <f>IFERROR(__xludf.DUMMYFUNCTION("""COMPUTED_VALUE"""),40.0)</f>
        <v>40</v>
      </c>
      <c r="C137" s="33"/>
      <c r="D137" s="34" t="str">
        <f>IFERROR(__xludf.DUMMYFUNCTION("""COMPUTED_VALUE"""),"INGRESAR CENTRO DE COSTO A LA DERECHA")</f>
        <v>INGRESAR CENTRO DE COSTO A LA DERECHA</v>
      </c>
      <c r="E137" s="34" t="str">
        <f>IFERROR(__xludf.DUMMYFUNCTION("""COMPUTED_VALUE"""),"DPTO. DE EDUCACION")</f>
        <v>DPTO. DE EDUCACION</v>
      </c>
      <c r="F137" s="34" t="str">
        <f>IFERROR(__xludf.DUMMYFUNCTION("""COMPUTED_VALUE"""),"Mayordomo(a)")</f>
        <v>Mayordomo(a)</v>
      </c>
      <c r="G137" s="33" t="str">
        <f>IFERROR(__xludf.DUMMYFUNCTION("""COMPUTED_VALUE"""),"MAYORDOMO")</f>
        <v>MAYORDOMO</v>
      </c>
      <c r="H137">
        <f>IFERROR(__xludf.DUMMYFUNCTION("""COMPUTED_VALUE"""),21.0)</f>
        <v>21</v>
      </c>
      <c r="I137" s="34" t="str">
        <f>IFERROR(__xludf.DUMMYFUNCTION("""COMPUTED_VALUE"""),"Jornada Completa")</f>
        <v>Jornada Completa</v>
      </c>
      <c r="J137" s="33" t="str">
        <f>IFERROR(__xludf.DUMMYFUNCTION("""COMPUTED_VALUE"""),"A CONTRATA")</f>
        <v>A CONTRATA</v>
      </c>
      <c r="K137" s="33" t="str">
        <f>IFERROR(__xludf.DUMMYFUNCTION("""COMPUTED_VALUE"""),"AUXILIAR")</f>
        <v>AUXILIAR</v>
      </c>
      <c r="L137" s="34" t="str">
        <f>IFERROR(__xludf.DUMMYFUNCTION("""COMPUTED_VALUE"""),"INTERNO")</f>
        <v>INTERNO</v>
      </c>
      <c r="M137" s="34">
        <f>IFERROR(__xludf.DUMMYFUNCTION("""COMPUTED_VALUE"""),0.0)</f>
        <v>0</v>
      </c>
      <c r="N137" s="34" t="str">
        <f>IFERROR(__xludf.DUMMYFUNCTION("""COMPUTED_VALUE"""),"EXTERNO")</f>
        <v>EXTERNO</v>
      </c>
      <c r="O137">
        <f>IFERROR(__xludf.DUMMYFUNCTION("""COMPUTED_VALUE"""),4.0)</f>
        <v>4</v>
      </c>
      <c r="P137">
        <f>IFERROR(__xludf.DUMMYFUNCTION("""COMPUTED_VALUE"""),1.0)</f>
        <v>1</v>
      </c>
      <c r="Q137" s="35">
        <f>IFERROR(__xludf.DUMMYFUNCTION("""COMPUTED_VALUE"""),3.0)</f>
        <v>3</v>
      </c>
      <c r="R137" s="36" t="str">
        <f>IFERROR(__xludf.DUMMYFUNCTION("""COMPUTED_VALUE"""),"SELECCIONADO")</f>
        <v>SELECCIONADO</v>
      </c>
      <c r="S137" s="37">
        <f>IFERROR(__xludf.DUMMYFUNCTION("""COMPUTED_VALUE"""),43266.0)</f>
        <v>43266</v>
      </c>
      <c r="T137" s="34"/>
      <c r="U137" t="str">
        <f>IFERROR(__xludf.DUMMYFUNCTION("""COMPUTED_VALUE"""),"GUILLERMO CAMPOS CUTURRUFO")</f>
        <v>GUILLERMO CAMPOS CUTURRUFO</v>
      </c>
      <c r="V137" t="str">
        <f>IFERROR(__xludf.DUMMYFUNCTION("""COMPUTED_VALUE"""),"9577358-3")</f>
        <v>9577358-3</v>
      </c>
      <c r="W137" t="str">
        <f>IFERROR(__xludf.DUMMYFUNCTION("""COMPUTED_VALUE"""),"NO")</f>
        <v>NO</v>
      </c>
      <c r="AA137" s="38">
        <f>IFERROR(__xludf.DUMMYFUNCTION("""COMPUTED_VALUE"""),43207.0)</f>
        <v>43207</v>
      </c>
      <c r="AB137" s="38">
        <f>IFERROR(__xludf.DUMMYFUNCTION("""COMPUTED_VALUE"""),43214.0)</f>
        <v>43214</v>
      </c>
      <c r="AF137" s="39"/>
      <c r="AG137" s="39"/>
      <c r="AH137" s="34" t="str">
        <f>IFERROR(__xludf.DUMMYFUNCTION("""COMPUTED_VALUE"""),"PROCESO DE SELECCIÓN")</f>
        <v>PROCESO DE SELECCIÓN</v>
      </c>
      <c r="AI137" s="34" t="str">
        <f>IFERROR(__xludf.DUMMYFUNCTION("""COMPUTED_VALUE"""),"LEIVA MALDONADO CRISTIAN")</f>
        <v>LEIVA MALDONADO CRISTIAN</v>
      </c>
      <c r="AJ137" s="34"/>
      <c r="AK137" s="34"/>
      <c r="AL137">
        <f>IFERROR(__xludf.DUMMYFUNCTION("""COMPUTED_VALUE"""),39.0)</f>
        <v>39</v>
      </c>
      <c r="AM137">
        <f>IFERROR(__xludf.DUMMYFUNCTION("""COMPUTED_VALUE"""),2018.0)</f>
        <v>2018</v>
      </c>
      <c r="AN137" t="str">
        <f t="shared" si="1"/>
        <v>09577358-3</v>
      </c>
    </row>
    <row r="138">
      <c r="A138" s="33">
        <f>IFERROR(__xludf.DUMMYFUNCTION("""COMPUTED_VALUE"""),1.715035E7)</f>
        <v>17150350</v>
      </c>
      <c r="B138" s="33">
        <f>IFERROR(__xludf.DUMMYFUNCTION("""COMPUTED_VALUE"""),41.0)</f>
        <v>41</v>
      </c>
      <c r="C138" s="33"/>
      <c r="D138" s="34" t="str">
        <f>IFERROR(__xludf.DUMMYFUNCTION("""COMPUTED_VALUE"""),"INGRESAR CENTRO DE COSTO A LA DERECHA")</f>
        <v>INGRESAR CENTRO DE COSTO A LA DERECHA</v>
      </c>
      <c r="E138" s="34" t="str">
        <f>IFERROR(__xludf.DUMMYFUNCTION("""COMPUTED_VALUE"""),"CONTRALORIA UNIVERSITARIA")</f>
        <v>CONTRALORIA UNIVERSITARIA</v>
      </c>
      <c r="F138" s="34" t="str">
        <f>IFERROR(__xludf.DUMMYFUNCTION("""COMPUTED_VALUE"""),"Abogado(a) Contraloria Universitaria")</f>
        <v>Abogado(a) Contraloria Universitaria</v>
      </c>
      <c r="G138" s="33" t="str">
        <f>IFERROR(__xludf.DUMMYFUNCTION("""COMPUTED_VALUE"""),"ABOGADO CONTRALORIA UNIVERSITARIA")</f>
        <v>ABOGADO CONTRALORIA UNIVERSITARIA</v>
      </c>
      <c r="H138">
        <f>IFERROR(__xludf.DUMMYFUNCTION("""COMPUTED_VALUE"""),8.0)</f>
        <v>8</v>
      </c>
      <c r="I138" s="34" t="str">
        <f>IFERROR(__xludf.DUMMYFUNCTION("""COMPUTED_VALUE"""),"Jornada Completa")</f>
        <v>Jornada Completa</v>
      </c>
      <c r="J138" s="33" t="str">
        <f>IFERROR(__xludf.DUMMYFUNCTION("""COMPUTED_VALUE"""),"A CONTRATA")</f>
        <v>A CONTRATA</v>
      </c>
      <c r="K138" s="33" t="str">
        <f>IFERROR(__xludf.DUMMYFUNCTION("""COMPUTED_VALUE"""),"PROFESIONAL")</f>
        <v>PROFESIONAL</v>
      </c>
      <c r="L138" s="34" t="str">
        <f>IFERROR(__xludf.DUMMYFUNCTION("""COMPUTED_VALUE"""),"INTERNO")</f>
        <v>INTERNO</v>
      </c>
      <c r="M138" s="34">
        <f>IFERROR(__xludf.DUMMYFUNCTION("""COMPUTED_VALUE"""),0.0)</f>
        <v>0</v>
      </c>
      <c r="N138" s="34" t="str">
        <f>IFERROR(__xludf.DUMMYFUNCTION("""COMPUTED_VALUE"""),"EXTERNO")</f>
        <v>EXTERNO</v>
      </c>
      <c r="O138">
        <f>IFERROR(__xludf.DUMMYFUNCTION("""COMPUTED_VALUE"""),34.0)</f>
        <v>34</v>
      </c>
      <c r="P138">
        <f>IFERROR(__xludf.DUMMYFUNCTION("""COMPUTED_VALUE"""),1.0)</f>
        <v>1</v>
      </c>
      <c r="Q138" s="35">
        <f>IFERROR(__xludf.DUMMYFUNCTION("""COMPUTED_VALUE"""),0.0)</f>
        <v>0</v>
      </c>
      <c r="R138" s="36" t="str">
        <f>IFERROR(__xludf.DUMMYFUNCTION("""COMPUTED_VALUE"""),"SELECCIONADA")</f>
        <v>SELECCIONADA</v>
      </c>
      <c r="S138" s="37">
        <f>IFERROR(__xludf.DUMMYFUNCTION("""COMPUTED_VALUE"""),43284.0)</f>
        <v>43284</v>
      </c>
      <c r="T138" s="34"/>
      <c r="U138" t="str">
        <f>IFERROR(__xludf.DUMMYFUNCTION("""COMPUTED_VALUE"""),"JOCELYN ARCOS MORALES")</f>
        <v>JOCELYN ARCOS MORALES</v>
      </c>
      <c r="V138" t="str">
        <f>IFERROR(__xludf.DUMMYFUNCTION("""COMPUTED_VALUE"""),"17150350-7")</f>
        <v>17150350-7</v>
      </c>
      <c r="W138" t="str">
        <f>IFERROR(__xludf.DUMMYFUNCTION("""COMPUTED_VALUE"""),"SI")</f>
        <v>SI</v>
      </c>
      <c r="X138" t="str">
        <f>IFERROR(__xludf.DUMMYFUNCTION("""COMPUTED_VALUE"""),"Pensamiento Analitico")</f>
        <v>Pensamiento Analitico</v>
      </c>
      <c r="Y138" t="str">
        <f>IFERROR(__xludf.DUMMYFUNCTION("""COMPUTED_VALUE"""),"Iniciativa")</f>
        <v>Iniciativa</v>
      </c>
      <c r="AA138" s="38">
        <f>IFERROR(__xludf.DUMMYFUNCTION("""COMPUTED_VALUE"""),43258.0)</f>
        <v>43258</v>
      </c>
      <c r="AB138" s="38">
        <f>IFERROR(__xludf.DUMMYFUNCTION("""COMPUTED_VALUE"""),43263.0)</f>
        <v>43263</v>
      </c>
      <c r="AF138" s="39"/>
      <c r="AG138" s="39"/>
      <c r="AH138" s="34" t="str">
        <f>IFERROR(__xludf.DUMMYFUNCTION("""COMPUTED_VALUE"""),"PROCESO DE SELECCIÓN")</f>
        <v>PROCESO DE SELECCIÓN</v>
      </c>
      <c r="AI138" s="34" t="str">
        <f>IFERROR(__xludf.DUMMYFUNCTION("""COMPUTED_VALUE""")," PINCHEIRA SEPULVEDA CAROLINA")</f>
        <v> PINCHEIRA SEPULVEDA CAROLINA</v>
      </c>
      <c r="AJ138" s="34"/>
      <c r="AK138" s="34" t="str">
        <f>IFERROR(__xludf.DUMMYFUNCTION("""COMPUTED_VALUE"""),"C")</f>
        <v>C</v>
      </c>
      <c r="AL138">
        <f>IFERROR(__xludf.DUMMYFUNCTION("""COMPUTED_VALUE"""),16.0)</f>
        <v>16</v>
      </c>
      <c r="AM138">
        <f>IFERROR(__xludf.DUMMYFUNCTION("""COMPUTED_VALUE"""),2018.0)</f>
        <v>2018</v>
      </c>
      <c r="AN138" t="str">
        <f t="shared" si="1"/>
        <v>17150350-7</v>
      </c>
    </row>
    <row r="139">
      <c r="A139" s="33">
        <f>IFERROR(__xludf.DUMMYFUNCTION("""COMPUTED_VALUE"""),1.5639128E7)</f>
        <v>15639128</v>
      </c>
      <c r="B139" s="33">
        <f>IFERROR(__xludf.DUMMYFUNCTION("""COMPUTED_VALUE"""),42.0)</f>
        <v>42</v>
      </c>
      <c r="C139" s="33" t="str">
        <f>IFERROR(__xludf.DUMMYFUNCTION("""COMPUTED_VALUE"""),"ACTA VRAE")</f>
        <v>ACTA VRAE</v>
      </c>
      <c r="D139" s="34" t="str">
        <f>IFERROR(__xludf.DUMMYFUNCTION("""COMPUTED_VALUE"""),"INGRESAR CENTRO DE COSTO A LA DERECHA")</f>
        <v>INGRESAR CENTRO DE COSTO A LA DERECHA</v>
      </c>
      <c r="E139" s="34" t="str">
        <f>IFERROR(__xludf.DUMMYFUNCTION("""COMPUTED_VALUE"""),"DPTO. DE DEPORTES")</f>
        <v>DPTO. DE DEPORTES</v>
      </c>
      <c r="F139" s="34" t="str">
        <f>IFERROR(__xludf.DUMMYFUNCTION("""COMPUTED_VALUE"""),"Secretario(a) B")</f>
        <v>Secretario(a) B</v>
      </c>
      <c r="G139" s="33" t="str">
        <f>IFERROR(__xludf.DUMMYFUNCTION("""COMPUTED_VALUE"""),"SECRETARIA B")</f>
        <v>SECRETARIA B</v>
      </c>
      <c r="H139">
        <f>IFERROR(__xludf.DUMMYFUNCTION("""COMPUTED_VALUE"""),17.0)</f>
        <v>17</v>
      </c>
      <c r="I139" s="34" t="str">
        <f>IFERROR(__xludf.DUMMYFUNCTION("""COMPUTED_VALUE"""),"Jornada Completa")</f>
        <v>Jornada Completa</v>
      </c>
      <c r="J139" s="33" t="str">
        <f>IFERROR(__xludf.DUMMYFUNCTION("""COMPUTED_VALUE"""),"A CONTRATA")</f>
        <v>A CONTRATA</v>
      </c>
      <c r="K139" s="33" t="str">
        <f>IFERROR(__xludf.DUMMYFUNCTION("""COMPUTED_VALUE"""),"ADMINISTRATIVO")</f>
        <v>ADMINISTRATIVO</v>
      </c>
      <c r="L139" s="34" t="str">
        <f>IFERROR(__xludf.DUMMYFUNCTION("""COMPUTED_VALUE"""),"INTERNO")</f>
        <v>INTERNO</v>
      </c>
      <c r="M139" s="34">
        <f>IFERROR(__xludf.DUMMYFUNCTION("""COMPUTED_VALUE"""),2.0)</f>
        <v>2</v>
      </c>
      <c r="N139" s="34" t="str">
        <f>IFERROR(__xludf.DUMMYFUNCTION("""COMPUTED_VALUE"""),"NO")</f>
        <v>NO</v>
      </c>
      <c r="O139">
        <f>IFERROR(__xludf.DUMMYFUNCTION("""COMPUTED_VALUE"""),0.0)</f>
        <v>0</v>
      </c>
      <c r="P139">
        <f>IFERROR(__xludf.DUMMYFUNCTION("""COMPUTED_VALUE"""),2.0)</f>
        <v>2</v>
      </c>
      <c r="Q139" s="35">
        <f>IFERROR(__xludf.DUMMYFUNCTION("""COMPUTED_VALUE"""),0.0)</f>
        <v>0</v>
      </c>
      <c r="R139" s="36" t="str">
        <f>IFERROR(__xludf.DUMMYFUNCTION("""COMPUTED_VALUE"""),"SELECCIONADA")</f>
        <v>SELECCIONADA</v>
      </c>
      <c r="S139" s="37">
        <f>IFERROR(__xludf.DUMMYFUNCTION("""COMPUTED_VALUE"""),43293.0)</f>
        <v>43293</v>
      </c>
      <c r="T139" s="34" t="str">
        <f>IFERROR(__xludf.DUMMYFUNCTION("""COMPUTED_VALUE"""),"MIRANDA MIRANDA MYRTHA CAROLINA")</f>
        <v>MIRANDA MIRANDA MYRTHA CAROLINA</v>
      </c>
      <c r="V139" t="str">
        <f>IFERROR(__xludf.DUMMYFUNCTION("""COMPUTED_VALUE"""),"15639128-K")</f>
        <v>15639128-K</v>
      </c>
      <c r="W139" t="str">
        <f>IFERROR(__xludf.DUMMYFUNCTION("""COMPUTED_VALUE"""),"NO")</f>
        <v>NO</v>
      </c>
      <c r="AA139" s="38">
        <f>IFERROR(__xludf.DUMMYFUNCTION("""COMPUTED_VALUE"""),43248.0)</f>
        <v>43248</v>
      </c>
      <c r="AB139" s="38">
        <f>IFERROR(__xludf.DUMMYFUNCTION("""COMPUTED_VALUE"""),43255.0)</f>
        <v>43255</v>
      </c>
      <c r="AF139" s="39"/>
      <c r="AG139" s="39"/>
      <c r="AH139" s="34" t="str">
        <f>IFERROR(__xludf.DUMMYFUNCTION("""COMPUTED_VALUE"""),"PROCESO DE SELECCIÓN")</f>
        <v>PROCESO DE SELECCIÓN</v>
      </c>
      <c r="AI139" s="34" t="str">
        <f>IFERROR(__xludf.DUMMYFUNCTION("""COMPUTED_VALUE"""),"-")</f>
        <v>-</v>
      </c>
      <c r="AJ139" s="34"/>
      <c r="AK139" s="34" t="str">
        <f>IFERROR(__xludf.DUMMYFUNCTION("""COMPUTED_VALUE"""),"C")</f>
        <v>C</v>
      </c>
      <c r="AL139">
        <f>IFERROR(__xludf.DUMMYFUNCTION("""COMPUTED_VALUE"""),29.0)</f>
        <v>29</v>
      </c>
      <c r="AM139">
        <f>IFERROR(__xludf.DUMMYFUNCTION("""COMPUTED_VALUE"""),2018.0)</f>
        <v>2018</v>
      </c>
      <c r="AN139" t="str">
        <f t="shared" si="1"/>
        <v>15639128-K</v>
      </c>
    </row>
    <row r="140">
      <c r="A140" s="33">
        <f>IFERROR(__xludf.DUMMYFUNCTION("""COMPUTED_VALUE"""),1.3926873E7)</f>
        <v>13926873</v>
      </c>
      <c r="B140" s="33">
        <f>IFERROR(__xludf.DUMMYFUNCTION("""COMPUTED_VALUE"""),43.0)</f>
        <v>43</v>
      </c>
      <c r="C140" s="33" t="str">
        <f>IFERROR(__xludf.DUMMYFUNCTION("""COMPUTED_VALUE"""),"COMISION")</f>
        <v>COMISION</v>
      </c>
      <c r="D140" s="34" t="str">
        <f>IFERROR(__xludf.DUMMYFUNCTION("""COMPUTED_VALUE"""),"INGRESAR CENTRO DE COSTO A LA DERECHA")</f>
        <v>INGRESAR CENTRO DE COSTO A LA DERECHA</v>
      </c>
      <c r="E140" s="34" t="str">
        <f>IFERROR(__xludf.DUMMYFUNCTION("""COMPUTED_VALUE"""),"UNIDAD DE ADM. SERV. ALIMENTARIOS")</f>
        <v>UNIDAD DE ADM. SERV. ALIMENTARIOS</v>
      </c>
      <c r="F140" s="34" t="str">
        <f>IFERROR(__xludf.DUMMYFUNCTION("""COMPUTED_VALUE"""),"Auxiliar de Servicios")</f>
        <v>Auxiliar de Servicios</v>
      </c>
      <c r="G140" s="33" t="str">
        <f>IFERROR(__xludf.DUMMYFUNCTION("""COMPUTED_VALUE"""),"AUXILIAR DE SERVICIO")</f>
        <v>AUXILIAR DE SERVICIO</v>
      </c>
      <c r="H140">
        <f>IFERROR(__xludf.DUMMYFUNCTION("""COMPUTED_VALUE"""),23.0)</f>
        <v>23</v>
      </c>
      <c r="I140" s="34" t="str">
        <f>IFERROR(__xludf.DUMMYFUNCTION("""COMPUTED_VALUE"""),"Jornada Completa")</f>
        <v>Jornada Completa</v>
      </c>
      <c r="J140" s="33" t="str">
        <f>IFERROR(__xludf.DUMMYFUNCTION("""COMPUTED_VALUE"""),"A CONTRATA")</f>
        <v>A CONTRATA</v>
      </c>
      <c r="K140" s="33" t="str">
        <f>IFERROR(__xludf.DUMMYFUNCTION("""COMPUTED_VALUE"""),"AUXILIAR")</f>
        <v>AUXILIAR</v>
      </c>
      <c r="L140" s="34" t="str">
        <f>IFERROR(__xludf.DUMMYFUNCTION("""COMPUTED_VALUE"""),"INTERNO")</f>
        <v>INTERNO</v>
      </c>
      <c r="M140" s="34">
        <f>IFERROR(__xludf.DUMMYFUNCTION("""COMPUTED_VALUE"""),0.0)</f>
        <v>0</v>
      </c>
      <c r="N140" s="34" t="str">
        <f>IFERROR(__xludf.DUMMYFUNCTION("""COMPUTED_VALUE"""),"EXTERNO")</f>
        <v>EXTERNO</v>
      </c>
      <c r="O140">
        <f>IFERROR(__xludf.DUMMYFUNCTION("""COMPUTED_VALUE"""),5.0)</f>
        <v>5</v>
      </c>
      <c r="P140">
        <f>IFERROR(__xludf.DUMMYFUNCTION("""COMPUTED_VALUE"""),2.0)</f>
        <v>2</v>
      </c>
      <c r="Q140" s="35">
        <f>IFERROR(__xludf.DUMMYFUNCTION("""COMPUTED_VALUE"""),1.0)</f>
        <v>1</v>
      </c>
      <c r="R140" s="36" t="str">
        <f>IFERROR(__xludf.DUMMYFUNCTION("""COMPUTED_VALUE"""),"SELECCIONADO")</f>
        <v>SELECCIONADO</v>
      </c>
      <c r="S140" s="37">
        <f>IFERROR(__xludf.DUMMYFUNCTION("""COMPUTED_VALUE"""),43299.0)</f>
        <v>43299</v>
      </c>
      <c r="T140" s="34"/>
      <c r="U140" t="str">
        <f>IFERROR(__xludf.DUMMYFUNCTION("""COMPUTED_VALUE"""),"LUIS NEGRETE LOPEZ")</f>
        <v>LUIS NEGRETE LOPEZ</v>
      </c>
      <c r="V140" t="str">
        <f>IFERROR(__xludf.DUMMYFUNCTION("""COMPUTED_VALUE"""),"13926873-3")</f>
        <v>13926873-3</v>
      </c>
      <c r="W140" t="str">
        <f>IFERROR(__xludf.DUMMYFUNCTION("""COMPUTED_VALUE"""),"SI")</f>
        <v>SI</v>
      </c>
      <c r="X140" t="str">
        <f>IFERROR(__xludf.DUMMYFUNCTION("""COMPUTED_VALUE"""),"Trabajo en Equipo")</f>
        <v>Trabajo en Equipo</v>
      </c>
      <c r="AA140" s="38">
        <f>IFERROR(__xludf.DUMMYFUNCTION("""COMPUTED_VALUE"""),43248.0)</f>
        <v>43248</v>
      </c>
      <c r="AB140" s="38">
        <f>IFERROR(__xludf.DUMMYFUNCTION("""COMPUTED_VALUE"""),43255.0)</f>
        <v>43255</v>
      </c>
      <c r="AF140" s="39"/>
      <c r="AG140" s="39"/>
      <c r="AH140" s="34" t="str">
        <f>IFERROR(__xludf.DUMMYFUNCTION("""COMPUTED_VALUE"""),"PROCESO DE SELECCIÓN")</f>
        <v>PROCESO DE SELECCIÓN</v>
      </c>
      <c r="AI140" s="34" t="str">
        <f>IFERROR(__xludf.DUMMYFUNCTION("""COMPUTED_VALUE"""),"- ")</f>
        <v>- </v>
      </c>
      <c r="AJ140" s="34"/>
      <c r="AK140" s="34" t="str">
        <f>IFERROR(__xludf.DUMMYFUNCTION("""COMPUTED_VALUE"""),"E")</f>
        <v>E</v>
      </c>
      <c r="AL140">
        <f>IFERROR(__xludf.DUMMYFUNCTION("""COMPUTED_VALUE"""),33.0)</f>
        <v>33</v>
      </c>
      <c r="AM140">
        <f>IFERROR(__xludf.DUMMYFUNCTION("""COMPUTED_VALUE"""),2018.0)</f>
        <v>2018</v>
      </c>
      <c r="AN140" t="str">
        <f t="shared" si="1"/>
        <v>13926873-3</v>
      </c>
    </row>
    <row r="141">
      <c r="A141" s="33">
        <f>IFERROR(__xludf.DUMMYFUNCTION("""COMPUTED_VALUE"""),1.2894346E7)</f>
        <v>12894346</v>
      </c>
      <c r="B141" s="33">
        <f>IFERROR(__xludf.DUMMYFUNCTION("""COMPUTED_VALUE"""),44.0)</f>
        <v>44</v>
      </c>
      <c r="C141" s="33"/>
      <c r="D141" s="34" t="str">
        <f>IFERROR(__xludf.DUMMYFUNCTION("""COMPUTED_VALUE"""),"INGRESAR CENTRO DE COSTO A LA DERECHA")</f>
        <v>INGRESAR CENTRO DE COSTO A LA DERECHA</v>
      </c>
      <c r="E141" s="34" t="str">
        <f>IFERROR(__xludf.DUMMYFUNCTION("""COMPUTED_VALUE"""),"DPTO. DE RECURSOS HUMANOS")</f>
        <v>DPTO. DE RECURSOS HUMANOS</v>
      </c>
      <c r="F141" s="34" t="str">
        <f>IFERROR(__xludf.DUMMYFUNCTION("""COMPUTED_VALUE"""),"Secretario(a) B")</f>
        <v>Secretario(a) B</v>
      </c>
      <c r="G141" s="33" t="str">
        <f>IFERROR(__xludf.DUMMYFUNCTION("""COMPUTED_VALUE"""),"Secretaria B")</f>
        <v>Secretaria B</v>
      </c>
      <c r="H141">
        <f>IFERROR(__xludf.DUMMYFUNCTION("""COMPUTED_VALUE"""),17.0)</f>
        <v>17</v>
      </c>
      <c r="I141" s="34" t="str">
        <f>IFERROR(__xludf.DUMMYFUNCTION("""COMPUTED_VALUE"""),"Jornada Completa")</f>
        <v>Jornada Completa</v>
      </c>
      <c r="J141" s="33" t="str">
        <f>IFERROR(__xludf.DUMMYFUNCTION("""COMPUTED_VALUE"""),"A CONTRATA")</f>
        <v>A CONTRATA</v>
      </c>
      <c r="K141" s="33" t="str">
        <f>IFERROR(__xludf.DUMMYFUNCTION("""COMPUTED_VALUE"""),"ADMINISTRATIVO")</f>
        <v>ADMINISTRATIVO</v>
      </c>
      <c r="L141" s="34" t="str">
        <f>IFERROR(__xludf.DUMMYFUNCTION("""COMPUTED_VALUE"""),"INTERNO")</f>
        <v>INTERNO</v>
      </c>
      <c r="M141" s="34">
        <f>IFERROR(__xludf.DUMMYFUNCTION("""COMPUTED_VALUE"""),2.0)</f>
        <v>2</v>
      </c>
      <c r="N141" s="34" t="str">
        <f>IFERROR(__xludf.DUMMYFUNCTION("""COMPUTED_VALUE"""),"EXTERNO")</f>
        <v>EXTERNO</v>
      </c>
      <c r="O141">
        <f>IFERROR(__xludf.DUMMYFUNCTION("""COMPUTED_VALUE"""),19.0)</f>
        <v>19</v>
      </c>
      <c r="P141">
        <f>IFERROR(__xludf.DUMMYFUNCTION("""COMPUTED_VALUE"""),2.0)</f>
        <v>2</v>
      </c>
      <c r="Q141" s="35">
        <f>IFERROR(__xludf.DUMMYFUNCTION("""COMPUTED_VALUE"""),0.0)</f>
        <v>0</v>
      </c>
      <c r="R141" s="36" t="str">
        <f>IFERROR(__xludf.DUMMYFUNCTION("""COMPUTED_VALUE"""),"SELECCIONADA")</f>
        <v>SELECCIONADA</v>
      </c>
      <c r="S141" s="37">
        <f>IFERROR(__xludf.DUMMYFUNCTION("""COMPUTED_VALUE"""),43299.0)</f>
        <v>43299</v>
      </c>
      <c r="T141" s="34"/>
      <c r="U141" t="str">
        <f>IFERROR(__xludf.DUMMYFUNCTION("""COMPUTED_VALUE"""),"EVELYN RIQUELME CUBILLOS")</f>
        <v>EVELYN RIQUELME CUBILLOS</v>
      </c>
      <c r="V141" t="str">
        <f>IFERROR(__xludf.DUMMYFUNCTION("""COMPUTED_VALUE"""),"12894346-3")</f>
        <v>12894346-3</v>
      </c>
      <c r="W141" t="str">
        <f>IFERROR(__xludf.DUMMYFUNCTION("""COMPUTED_VALUE"""),"NO")</f>
        <v>NO</v>
      </c>
      <c r="AA141" s="38">
        <f>IFERROR(__xludf.DUMMYFUNCTION("""COMPUTED_VALUE"""),43266.0)</f>
        <v>43266</v>
      </c>
      <c r="AB141" s="38">
        <f>IFERROR(__xludf.DUMMYFUNCTION("""COMPUTED_VALUE"""),43271.0)</f>
        <v>43271</v>
      </c>
      <c r="AF141" s="39"/>
      <c r="AG141" s="39"/>
      <c r="AH141" s="34" t="str">
        <f>IFERROR(__xludf.DUMMYFUNCTION("""COMPUTED_VALUE"""),"PROCESO DE SELECCIÓN")</f>
        <v>PROCESO DE SELECCIÓN</v>
      </c>
      <c r="AI141" s="34" t="str">
        <f>IFERROR(__xludf.DUMMYFUNCTION("""COMPUTED_VALUE"""),"CANTELLANO MARTINEZ VERONICA ")</f>
        <v>CANTELLANO MARTINEZ VERONICA </v>
      </c>
      <c r="AJ141" s="34"/>
      <c r="AK141" s="34" t="str">
        <f>IFERROR(__xludf.DUMMYFUNCTION("""COMPUTED_VALUE"""),"C")</f>
        <v>C</v>
      </c>
      <c r="AL141">
        <f>IFERROR(__xludf.DUMMYFUNCTION("""COMPUTED_VALUE"""),21.0)</f>
        <v>21</v>
      </c>
      <c r="AM141">
        <f>IFERROR(__xludf.DUMMYFUNCTION("""COMPUTED_VALUE"""),2018.0)</f>
        <v>2018</v>
      </c>
      <c r="AN141" t="str">
        <f t="shared" si="1"/>
        <v>12894346-3</v>
      </c>
    </row>
    <row r="142">
      <c r="A142" s="33">
        <f>IFERROR(__xludf.DUMMYFUNCTION("""COMPUTED_VALUE"""),1.4128405E7)</f>
        <v>14128405</v>
      </c>
      <c r="B142" s="33">
        <f>IFERROR(__xludf.DUMMYFUNCTION("""COMPUTED_VALUE"""),45.0)</f>
        <v>45</v>
      </c>
      <c r="C142" s="33" t="str">
        <f>IFERROR(__xludf.DUMMYFUNCTION("""COMPUTED_VALUE"""),"A207")</f>
        <v>A207</v>
      </c>
      <c r="D142" s="34" t="str">
        <f>IFERROR(__xludf.DUMMYFUNCTION("""COMPUTED_VALUE"""),"INGRESAR CENTRO DE COSTO A LA DERECHA")</f>
        <v>INGRESAR CENTRO DE COSTO A LA DERECHA</v>
      </c>
      <c r="E142" s="34" t="str">
        <f>IFERROR(__xludf.DUMMYFUNCTION("""COMPUTED_VALUE"""),"FACULTAD DE QUIMICA Y BIOLOGIA")</f>
        <v>FACULTAD DE QUIMICA Y BIOLOGIA</v>
      </c>
      <c r="F142" s="34" t="str">
        <f>IFERROR(__xludf.DUMMYFUNCTION("""COMPUTED_VALUE"""),"Técnico(a) de Laboratorio Especializado")</f>
        <v>Técnico(a) de Laboratorio Especializado</v>
      </c>
      <c r="G142" s="33" t="str">
        <f>IFERROR(__xludf.DUMMYFUNCTION("""COMPUTED_VALUE"""),"TECNICO DE LABORATORIO ESPECIALIZADO ( ESTABULARIO)")</f>
        <v>TECNICO DE LABORATORIO ESPECIALIZADO ( ESTABULARIO)</v>
      </c>
      <c r="H142">
        <f>IFERROR(__xludf.DUMMYFUNCTION("""COMPUTED_VALUE"""),14.0)</f>
        <v>14</v>
      </c>
      <c r="I142" s="34" t="str">
        <f>IFERROR(__xludf.DUMMYFUNCTION("""COMPUTED_VALUE"""),"Jornada Completa")</f>
        <v>Jornada Completa</v>
      </c>
      <c r="J142" s="33" t="str">
        <f>IFERROR(__xludf.DUMMYFUNCTION("""COMPUTED_VALUE"""),"A CONTRATA")</f>
        <v>A CONTRATA</v>
      </c>
      <c r="K142" s="33" t="str">
        <f>IFERROR(__xludf.DUMMYFUNCTION("""COMPUTED_VALUE"""),"TECNICO")</f>
        <v>TECNICO</v>
      </c>
      <c r="L142" s="34" t="str">
        <f>IFERROR(__xludf.DUMMYFUNCTION("""COMPUTED_VALUE"""),"NO")</f>
        <v>NO</v>
      </c>
      <c r="M142" s="34">
        <f>IFERROR(__xludf.DUMMYFUNCTION("""COMPUTED_VALUE"""),0.0)</f>
        <v>0</v>
      </c>
      <c r="N142" s="34" t="str">
        <f>IFERROR(__xludf.DUMMYFUNCTION("""COMPUTED_VALUE"""),"EXTERNO")</f>
        <v>EXTERNO</v>
      </c>
      <c r="O142">
        <f>IFERROR(__xludf.DUMMYFUNCTION("""COMPUTED_VALUE"""),7.0)</f>
        <v>7</v>
      </c>
      <c r="P142">
        <f>IFERROR(__xludf.DUMMYFUNCTION("""COMPUTED_VALUE"""),1.0)</f>
        <v>1</v>
      </c>
      <c r="Q142" s="35">
        <f>IFERROR(__xludf.DUMMYFUNCTION("""COMPUTED_VALUE"""),0.0)</f>
        <v>0</v>
      </c>
      <c r="R142" s="36" t="str">
        <f>IFERROR(__xludf.DUMMYFUNCTION("""COMPUTED_VALUE"""),"SELECCIONADO")</f>
        <v>SELECCIONADO</v>
      </c>
      <c r="S142" s="37">
        <f>IFERROR(__xludf.DUMMYFUNCTION("""COMPUTED_VALUE"""),43284.0)</f>
        <v>43284</v>
      </c>
      <c r="T142" s="34"/>
      <c r="U142" t="str">
        <f>IFERROR(__xludf.DUMMYFUNCTION("""COMPUTED_VALUE"""),"ALEXIS BARRIOS POBLETE")</f>
        <v>ALEXIS BARRIOS POBLETE</v>
      </c>
      <c r="V142" t="str">
        <f>IFERROR(__xludf.DUMMYFUNCTION("""COMPUTED_VALUE"""),"14128405-3")</f>
        <v>14128405-3</v>
      </c>
      <c r="W142" t="str">
        <f>IFERROR(__xludf.DUMMYFUNCTION("""COMPUTED_VALUE"""),"SI")</f>
        <v>SI</v>
      </c>
      <c r="X142" t="str">
        <f>IFERROR(__xludf.DUMMYFUNCTION("""COMPUTED_VALUE"""),"Trabajo en Equipo")</f>
        <v>Trabajo en Equipo</v>
      </c>
      <c r="Y142" t="str">
        <f>IFERROR(__xludf.DUMMYFUNCTION("""COMPUTED_VALUE"""),"Iniciativa")</f>
        <v>Iniciativa</v>
      </c>
      <c r="AA142" s="38">
        <f>IFERROR(__xludf.DUMMYFUNCTION("""COMPUTED_VALUE"""),43234.0)</f>
        <v>43234</v>
      </c>
      <c r="AB142" s="38">
        <f>IFERROR(__xludf.DUMMYFUNCTION("""COMPUTED_VALUE"""),43236.0)</f>
        <v>43236</v>
      </c>
      <c r="AF142" s="39"/>
      <c r="AG142" s="39"/>
      <c r="AH142" s="34" t="str">
        <f>IFERROR(__xludf.DUMMYFUNCTION("""COMPUTED_VALUE"""),"PROCESO DE SELECCIÓN")</f>
        <v>PROCESO DE SELECCIÓN</v>
      </c>
      <c r="AI142" s="34" t="str">
        <f>IFERROR(__xludf.DUMMYFUNCTION("""COMPUTED_VALUE"""),"-")</f>
        <v>-</v>
      </c>
      <c r="AJ142" s="34"/>
      <c r="AK142" s="34" t="str">
        <f>IFERROR(__xludf.DUMMYFUNCTION("""COMPUTED_VALUE"""),"E")</f>
        <v>E</v>
      </c>
      <c r="AL142">
        <f>IFERROR(__xludf.DUMMYFUNCTION("""COMPUTED_VALUE"""),35.0)</f>
        <v>35</v>
      </c>
      <c r="AM142">
        <f>IFERROR(__xludf.DUMMYFUNCTION("""COMPUTED_VALUE"""),2018.0)</f>
        <v>2018</v>
      </c>
      <c r="AN142" t="str">
        <f t="shared" si="1"/>
        <v>14128405-3</v>
      </c>
    </row>
    <row r="143">
      <c r="A143" s="33">
        <f>IFERROR(__xludf.DUMMYFUNCTION("""COMPUTED_VALUE"""),1.0328126E7)</f>
        <v>10328126</v>
      </c>
      <c r="B143" s="33">
        <f>IFERROR(__xludf.DUMMYFUNCTION("""COMPUTED_VALUE"""),46.0)</f>
        <v>46</v>
      </c>
      <c r="C143" s="33" t="str">
        <f>IFERROR(__xludf.DUMMYFUNCTION("""COMPUTED_VALUE"""),"A217")</f>
        <v>A217</v>
      </c>
      <c r="D143" s="34" t="str">
        <f>IFERROR(__xludf.DUMMYFUNCTION("""COMPUTED_VALUE"""),"INGRESAR CENTRO DE COSTO A LA DERECHA")</f>
        <v>INGRESAR CENTRO DE COSTO A LA DERECHA</v>
      </c>
      <c r="E143" s="34" t="str">
        <f>IFERROR(__xludf.DUMMYFUNCTION("""COMPUTED_VALUE"""),"UNIDAD DE ATENCION DE SALUD")</f>
        <v>UNIDAD DE ATENCION DE SALUD</v>
      </c>
      <c r="F143" s="34" t="str">
        <f>IFERROR(__xludf.DUMMYFUNCTION("""COMPUTED_VALUE"""),"Médicos(as) y Dentistas")</f>
        <v>Médicos(as) y Dentistas</v>
      </c>
      <c r="G143" s="33" t="str">
        <f>IFERROR(__xludf.DUMMYFUNCTION("""COMPUTED_VALUE"""),"MEDICO CIRUJANO LEY 19664")</f>
        <v>MEDICO CIRUJANO LEY 19664</v>
      </c>
      <c r="I143" s="34" t="str">
        <f>IFERROR(__xludf.DUMMYFUNCTION("""COMPUTED_VALUE"""),"1/2 Jornada")</f>
        <v>1/2 Jornada</v>
      </c>
      <c r="J143" s="33" t="str">
        <f>IFERROR(__xludf.DUMMYFUNCTION("""COMPUTED_VALUE"""),"A CONTRATA")</f>
        <v>A CONTRATA</v>
      </c>
      <c r="K143" s="33"/>
      <c r="L143" s="34" t="str">
        <f>IFERROR(__xludf.DUMMYFUNCTION("""COMPUTED_VALUE"""),"NO")</f>
        <v>NO</v>
      </c>
      <c r="M143" s="34">
        <f>IFERROR(__xludf.DUMMYFUNCTION("""COMPUTED_VALUE"""),0.0)</f>
        <v>0</v>
      </c>
      <c r="N143" s="34" t="str">
        <f>IFERROR(__xludf.DUMMYFUNCTION("""COMPUTED_VALUE"""),"EXTERNO")</f>
        <v>EXTERNO</v>
      </c>
      <c r="O143">
        <f>IFERROR(__xludf.DUMMYFUNCTION("""COMPUTED_VALUE"""),6.0)</f>
        <v>6</v>
      </c>
      <c r="P143">
        <f>IFERROR(__xludf.DUMMYFUNCTION("""COMPUTED_VALUE"""),2.0)</f>
        <v>2</v>
      </c>
      <c r="Q143" s="35">
        <f>IFERROR(__xludf.DUMMYFUNCTION("""COMPUTED_VALUE"""),0.0)</f>
        <v>0</v>
      </c>
      <c r="R143" s="36" t="str">
        <f>IFERROR(__xludf.DUMMYFUNCTION("""COMPUTED_VALUE"""),"SELECCIONADO")</f>
        <v>SELECCIONADO</v>
      </c>
      <c r="S143" s="37">
        <f>IFERROR(__xludf.DUMMYFUNCTION("""COMPUTED_VALUE"""),43298.0)</f>
        <v>43298</v>
      </c>
      <c r="T143" s="34"/>
      <c r="U143" t="str">
        <f>IFERROR(__xludf.DUMMYFUNCTION("""COMPUTED_VALUE"""),"JORGE DOBBS LIZANA")</f>
        <v>JORGE DOBBS LIZANA</v>
      </c>
      <c r="V143" t="str">
        <f>IFERROR(__xludf.DUMMYFUNCTION("""COMPUTED_VALUE"""),"10328126-1")</f>
        <v>10328126-1</v>
      </c>
      <c r="W143" t="str">
        <f>IFERROR(__xludf.DUMMYFUNCTION("""COMPUTED_VALUE"""),"SI")</f>
        <v>SI</v>
      </c>
      <c r="X143" t="str">
        <f>IFERROR(__xludf.DUMMYFUNCTION("""COMPUTED_VALUE"""),"Capacidad de Planificacion y Organizacion")</f>
        <v>Capacidad de Planificacion y Organizacion</v>
      </c>
      <c r="AA143" s="38">
        <f>IFERROR(__xludf.DUMMYFUNCTION("""COMPUTED_VALUE"""),43257.0)</f>
        <v>43257</v>
      </c>
      <c r="AB143" s="38">
        <f>IFERROR(__xludf.DUMMYFUNCTION("""COMPUTED_VALUE"""),43264.0)</f>
        <v>43264</v>
      </c>
      <c r="AF143" s="39"/>
      <c r="AG143" s="39"/>
      <c r="AH143" s="34" t="str">
        <f>IFERROR(__xludf.DUMMYFUNCTION("""COMPUTED_VALUE"""),"PROCESO DE SELECCIÓN")</f>
        <v>PROCESO DE SELECCIÓN</v>
      </c>
      <c r="AI143" s="34" t="str">
        <f>IFERROR(__xludf.DUMMYFUNCTION("""COMPUTED_VALUE"""),"GUTIERREZ PEÑAILILLO PAULINA")</f>
        <v>GUTIERREZ PEÑAILILLO PAULINA</v>
      </c>
      <c r="AJ143" s="34"/>
      <c r="AK143" s="34" t="str">
        <f>IFERROR(__xludf.DUMMYFUNCTION("""COMPUTED_VALUE"""),"C")</f>
        <v>C</v>
      </c>
      <c r="AL143">
        <f>IFERROR(__xludf.DUMMYFUNCTION("""COMPUTED_VALUE"""),25.0)</f>
        <v>25</v>
      </c>
      <c r="AM143">
        <f>IFERROR(__xludf.DUMMYFUNCTION("""COMPUTED_VALUE"""),2018.0)</f>
        <v>2018</v>
      </c>
      <c r="AN143" t="str">
        <f t="shared" si="1"/>
        <v>10328126-1</v>
      </c>
    </row>
    <row r="144">
      <c r="A144" s="33">
        <f>IFERROR(__xludf.DUMMYFUNCTION("""COMPUTED_VALUE"""),1.7306385E7)</f>
        <v>17306385</v>
      </c>
      <c r="B144" s="33">
        <f>IFERROR(__xludf.DUMMYFUNCTION("""COMPUTED_VALUE"""),47.0)</f>
        <v>47</v>
      </c>
      <c r="C144" s="33" t="str">
        <f>IFERROR(__xludf.DUMMYFUNCTION("""COMPUTED_VALUE"""),"IR2018-01")</f>
        <v>IR2018-01</v>
      </c>
      <c r="D144" s="34" t="str">
        <f>IFERROR(__xludf.DUMMYFUNCTION("""COMPUTED_VALUE"""),"INGRESAR CENTRO DE COSTO A LA DERECHA")</f>
        <v>INGRESAR CENTRO DE COSTO A LA DERECHA</v>
      </c>
      <c r="E144" s="34" t="str">
        <f>IFERROR(__xludf.DUMMYFUNCTION("""COMPUTED_VALUE"""),"DPTO. DE EXTENSION")</f>
        <v>DPTO. DE EXTENSION</v>
      </c>
      <c r="F144" s="34" t="str">
        <f>IFERROR(__xludf.DUMMYFUNCTION("""COMPUTED_VALUE"""),"Asistente de Grupo Artistico")</f>
        <v>Asistente de Grupo Artistico</v>
      </c>
      <c r="G144" s="33" t="str">
        <f>IFERROR(__xludf.DUMMYFUNCTION("""COMPUTED_VALUE"""),"ASISTENTE GRUPO ARTISTICO ( INSPECTOR DE ORQUESTA)")</f>
        <v>ASISTENTE GRUPO ARTISTICO ( INSPECTOR DE ORQUESTA)</v>
      </c>
      <c r="H144">
        <f>IFERROR(__xludf.DUMMYFUNCTION("""COMPUTED_VALUE"""),20.0)</f>
        <v>20</v>
      </c>
      <c r="I144" s="34" t="str">
        <f>IFERROR(__xludf.DUMMYFUNCTION("""COMPUTED_VALUE"""),"Jornada Completa")</f>
        <v>Jornada Completa</v>
      </c>
      <c r="J144" s="33" t="str">
        <f>IFERROR(__xludf.DUMMYFUNCTION("""COMPUTED_VALUE"""),"A CONTRATA")</f>
        <v>A CONTRATA</v>
      </c>
      <c r="K144" s="33" t="str">
        <f>IFERROR(__xludf.DUMMYFUNCTION("""COMPUTED_VALUE"""),"TECNICO")</f>
        <v>TECNICO</v>
      </c>
      <c r="L144" s="34" t="str">
        <f>IFERROR(__xludf.DUMMYFUNCTION("""COMPUTED_VALUE"""),"INTERNO")</f>
        <v>INTERNO</v>
      </c>
      <c r="M144" s="34">
        <f>IFERROR(__xludf.DUMMYFUNCTION("""COMPUTED_VALUE"""),1.0)</f>
        <v>1</v>
      </c>
      <c r="N144" s="34" t="str">
        <f>IFERROR(__xludf.DUMMYFUNCTION("""COMPUTED_VALUE"""),"EXTERNO")</f>
        <v>EXTERNO</v>
      </c>
      <c r="O144">
        <f>IFERROR(__xludf.DUMMYFUNCTION("""COMPUTED_VALUE"""),2.0)</f>
        <v>2</v>
      </c>
      <c r="P144">
        <f>IFERROR(__xludf.DUMMYFUNCTION("""COMPUTED_VALUE"""),1.0)</f>
        <v>1</v>
      </c>
      <c r="Q144" s="35">
        <f>IFERROR(__xludf.DUMMYFUNCTION("""COMPUTED_VALUE"""),0.0)</f>
        <v>0</v>
      </c>
      <c r="R144" s="36" t="str">
        <f>IFERROR(__xludf.DUMMYFUNCTION("""COMPUTED_VALUE"""),"SELECCIONADA")</f>
        <v>SELECCIONADA</v>
      </c>
      <c r="S144" s="37">
        <f>IFERROR(__xludf.DUMMYFUNCTION("""COMPUTED_VALUE"""),43313.0)</f>
        <v>43313</v>
      </c>
      <c r="T144" s="34"/>
      <c r="U144" t="str">
        <f>IFERROR(__xludf.DUMMYFUNCTION("""COMPUTED_VALUE"""),"DANIELA ZAMORANO GONZALEZ")</f>
        <v>DANIELA ZAMORANO GONZALEZ</v>
      </c>
      <c r="V144" t="str">
        <f>IFERROR(__xludf.DUMMYFUNCTION("""COMPUTED_VALUE"""),"17306385-7")</f>
        <v>17306385-7</v>
      </c>
      <c r="W144" t="str">
        <f>IFERROR(__xludf.DUMMYFUNCTION("""COMPUTED_VALUE"""),"NO")</f>
        <v>NO</v>
      </c>
      <c r="AA144" s="38">
        <f>IFERROR(__xludf.DUMMYFUNCTION("""COMPUTED_VALUE"""),43279.0)</f>
        <v>43279</v>
      </c>
      <c r="AB144" s="38">
        <f>IFERROR(__xludf.DUMMYFUNCTION("""COMPUTED_VALUE"""),43283.0)</f>
        <v>43283</v>
      </c>
      <c r="AF144" s="39"/>
      <c r="AG144" s="39"/>
      <c r="AH144" s="34" t="str">
        <f>IFERROR(__xludf.DUMMYFUNCTION("""COMPUTED_VALUE"""),"PROCESO DE SELECCIÓN")</f>
        <v>PROCESO DE SELECCIÓN</v>
      </c>
      <c r="AI144" s="34" t="str">
        <f>IFERROR(__xludf.DUMMYFUNCTION("""COMPUTED_VALUE"""),"GONZALEZ RECABAL CARLOS")</f>
        <v>GONZALEZ RECABAL CARLOS</v>
      </c>
      <c r="AJ144" s="34"/>
      <c r="AK144" s="34" t="str">
        <f>IFERROR(__xludf.DUMMYFUNCTION("""COMPUTED_VALUE"""),"C")</f>
        <v>C</v>
      </c>
      <c r="AL144">
        <f>IFERROR(__xludf.DUMMYFUNCTION("""COMPUTED_VALUE"""),23.0)</f>
        <v>23</v>
      </c>
      <c r="AM144">
        <f>IFERROR(__xludf.DUMMYFUNCTION("""COMPUTED_VALUE"""),2018.0)</f>
        <v>2018</v>
      </c>
      <c r="AN144" t="str">
        <f t="shared" si="1"/>
        <v>17306385-7</v>
      </c>
    </row>
    <row r="145">
      <c r="A145" s="33">
        <f>IFERROR(__xludf.DUMMYFUNCTION("""COMPUTED_VALUE"""),1.3661288E7)</f>
        <v>13661288</v>
      </c>
      <c r="B145" s="33">
        <f>IFERROR(__xludf.DUMMYFUNCTION("""COMPUTED_VALUE"""),48.0)</f>
        <v>48</v>
      </c>
      <c r="C145" s="33"/>
      <c r="D145" s="34" t="str">
        <f>IFERROR(__xludf.DUMMYFUNCTION("""COMPUTED_VALUE"""),"INGRESAR CENTRO DE COSTO A LA DERECHA")</f>
        <v>INGRESAR CENTRO DE COSTO A LA DERECHA</v>
      </c>
      <c r="E145" s="34" t="str">
        <f>IFERROR(__xludf.DUMMYFUNCTION("""COMPUTED_VALUE"""),"FACULTAD DE CIENCIAS MEDICAS")</f>
        <v>FACULTAD DE CIENCIAS MEDICAS</v>
      </c>
      <c r="F145" s="34" t="str">
        <f>IFERROR(__xludf.DUMMYFUNCTION("""COMPUTED_VALUE"""),"Secretario(a) de Apoyo Docente")</f>
        <v>Secretario(a) de Apoyo Docente</v>
      </c>
      <c r="G145" s="33" t="str">
        <f>IFERROR(__xludf.DUMMYFUNCTION("""COMPUTED_VALUE"""),"SECRETARIA DE APOYO DOCENTE ( EDIFICIO INTECTUR)")</f>
        <v>SECRETARIA DE APOYO DOCENTE ( EDIFICIO INTECTUR)</v>
      </c>
      <c r="H145">
        <f>IFERROR(__xludf.DUMMYFUNCTION("""COMPUTED_VALUE"""),17.0)</f>
        <v>17</v>
      </c>
      <c r="I145" s="34" t="str">
        <f>IFERROR(__xludf.DUMMYFUNCTION("""COMPUTED_VALUE"""),"Jornada Completa")</f>
        <v>Jornada Completa</v>
      </c>
      <c r="J145" s="33" t="str">
        <f>IFERROR(__xludf.DUMMYFUNCTION("""COMPUTED_VALUE"""),"A CONTRATA")</f>
        <v>A CONTRATA</v>
      </c>
      <c r="K145" s="33" t="str">
        <f>IFERROR(__xludf.DUMMYFUNCTION("""COMPUTED_VALUE"""),"ADMINISTRATIVO")</f>
        <v>ADMINISTRATIVO</v>
      </c>
      <c r="L145" s="34" t="str">
        <f>IFERROR(__xludf.DUMMYFUNCTION("""COMPUTED_VALUE"""),"INTERNO")</f>
        <v>INTERNO</v>
      </c>
      <c r="M145" s="34">
        <f>IFERROR(__xludf.DUMMYFUNCTION("""COMPUTED_VALUE"""),3.0)</f>
        <v>3</v>
      </c>
      <c r="N145" s="34" t="str">
        <f>IFERROR(__xludf.DUMMYFUNCTION("""COMPUTED_VALUE"""),"EXTERNO")</f>
        <v>EXTERNO</v>
      </c>
      <c r="O145">
        <f>IFERROR(__xludf.DUMMYFUNCTION("""COMPUTED_VALUE"""),17.0)</f>
        <v>17</v>
      </c>
      <c r="P145">
        <f>IFERROR(__xludf.DUMMYFUNCTION("""COMPUTED_VALUE"""),4.0)</f>
        <v>4</v>
      </c>
      <c r="Q145" s="35">
        <f>IFERROR(__xludf.DUMMYFUNCTION("""COMPUTED_VALUE"""),0.0)</f>
        <v>0</v>
      </c>
      <c r="R145" s="36" t="str">
        <f>IFERROR(__xludf.DUMMYFUNCTION("""COMPUTED_VALUE"""),"SELECCIONADA")</f>
        <v>SELECCIONADA</v>
      </c>
      <c r="S145" s="37">
        <f>IFERROR(__xludf.DUMMYFUNCTION("""COMPUTED_VALUE"""),43299.0)</f>
        <v>43299</v>
      </c>
      <c r="T145" s="34"/>
      <c r="U145" t="str">
        <f>IFERROR(__xludf.DUMMYFUNCTION("""COMPUTED_VALUE"""),"CAROLINA GARCIA VILLALOBOS")</f>
        <v>CAROLINA GARCIA VILLALOBOS</v>
      </c>
      <c r="V145" t="str">
        <f>IFERROR(__xludf.DUMMYFUNCTION("""COMPUTED_VALUE"""),"13661288-3")</f>
        <v>13661288-3</v>
      </c>
      <c r="W145" t="str">
        <f>IFERROR(__xludf.DUMMYFUNCTION("""COMPUTED_VALUE"""),"SI")</f>
        <v>SI</v>
      </c>
      <c r="X145" t="str">
        <f>IFERROR(__xludf.DUMMYFUNCTION("""COMPUTED_VALUE"""),"Iniciativa")</f>
        <v>Iniciativa</v>
      </c>
      <c r="AA145" s="38">
        <f>IFERROR(__xludf.DUMMYFUNCTION("""COMPUTED_VALUE"""),43242.0)</f>
        <v>43242</v>
      </c>
      <c r="AB145" s="38">
        <f>IFERROR(__xludf.DUMMYFUNCTION("""COMPUTED_VALUE"""),43248.0)</f>
        <v>43248</v>
      </c>
      <c r="AF145" s="39"/>
      <c r="AG145" s="39"/>
      <c r="AH145" s="34" t="str">
        <f>IFERROR(__xludf.DUMMYFUNCTION("""COMPUTED_VALUE"""),"PROCESO DE SELECCIÓN")</f>
        <v>PROCESO DE SELECCIÓN</v>
      </c>
      <c r="AI145" s="34" t="str">
        <f>IFERROR(__xludf.DUMMYFUNCTION("""COMPUTED_VALUE"""),"-")</f>
        <v>-</v>
      </c>
      <c r="AJ145" s="34"/>
      <c r="AK145" s="34" t="str">
        <f>IFERROR(__xludf.DUMMYFUNCTION("""COMPUTED_VALUE"""),"E")</f>
        <v>E</v>
      </c>
      <c r="AL145">
        <f>IFERROR(__xludf.DUMMYFUNCTION("""COMPUTED_VALUE"""),38.0)</f>
        <v>38</v>
      </c>
      <c r="AM145">
        <f>IFERROR(__xludf.DUMMYFUNCTION("""COMPUTED_VALUE"""),2018.0)</f>
        <v>2018</v>
      </c>
      <c r="AN145" t="str">
        <f t="shared" si="1"/>
        <v>13661288-3</v>
      </c>
    </row>
    <row r="146">
      <c r="A146" s="33">
        <f>IFERROR(__xludf.DUMMYFUNCTION("""COMPUTED_VALUE"""),1.8305027E7)</f>
        <v>18305027</v>
      </c>
      <c r="B146" s="33">
        <f>IFERROR(__xludf.DUMMYFUNCTION("""COMPUTED_VALUE"""),49.0)</f>
        <v>49</v>
      </c>
      <c r="C146" s="33" t="str">
        <f>IFERROR(__xludf.DUMMYFUNCTION("""COMPUTED_VALUE"""),"A212")</f>
        <v>A212</v>
      </c>
      <c r="D146" s="34" t="str">
        <f>IFERROR(__xludf.DUMMYFUNCTION("""COMPUTED_VALUE"""),"INGRESAR CENTRO DE COSTO A LA DERECHA")</f>
        <v>INGRESAR CENTRO DE COSTO A LA DERECHA</v>
      </c>
      <c r="E146" s="34" t="str">
        <f>IFERROR(__xludf.DUMMYFUNCTION("""COMPUTED_VALUE"""),"UNIDAD DE BIBLIOTECAS")</f>
        <v>UNIDAD DE BIBLIOTECAS</v>
      </c>
      <c r="F146" s="34" t="str">
        <f>IFERROR(__xludf.DUMMYFUNCTION("""COMPUTED_VALUE"""),"Bibliotecario(a)")</f>
        <v>Bibliotecario(a)</v>
      </c>
      <c r="G146" s="33" t="str">
        <f>IFERROR(__xludf.DUMMYFUNCTION("""COMPUTED_VALUE"""),"BIBLIOTECARIO")</f>
        <v>BIBLIOTECARIO</v>
      </c>
      <c r="H146">
        <f>IFERROR(__xludf.DUMMYFUNCTION("""COMPUTED_VALUE"""),14.0)</f>
        <v>14</v>
      </c>
      <c r="I146" s="34" t="str">
        <f>IFERROR(__xludf.DUMMYFUNCTION("""COMPUTED_VALUE"""),"Jornada Completa")</f>
        <v>Jornada Completa</v>
      </c>
      <c r="J146" s="33" t="str">
        <f>IFERROR(__xludf.DUMMYFUNCTION("""COMPUTED_VALUE"""),"A CONTRATA")</f>
        <v>A CONTRATA</v>
      </c>
      <c r="K146" s="33" t="str">
        <f>IFERROR(__xludf.DUMMYFUNCTION("""COMPUTED_VALUE"""),"PROFESIONAL")</f>
        <v>PROFESIONAL</v>
      </c>
      <c r="L146" s="34" t="str">
        <f>IFERROR(__xludf.DUMMYFUNCTION("""COMPUTED_VALUE"""),"INTERNO")</f>
        <v>INTERNO</v>
      </c>
      <c r="M146" s="34">
        <f>IFERROR(__xludf.DUMMYFUNCTION("""COMPUTED_VALUE"""),0.0)</f>
        <v>0</v>
      </c>
      <c r="N146" s="34" t="str">
        <f>IFERROR(__xludf.DUMMYFUNCTION("""COMPUTED_VALUE"""),"EXTERNO")</f>
        <v>EXTERNO</v>
      </c>
      <c r="O146">
        <f>IFERROR(__xludf.DUMMYFUNCTION("""COMPUTED_VALUE"""),16.0)</f>
        <v>16</v>
      </c>
      <c r="P146">
        <f>IFERROR(__xludf.DUMMYFUNCTION("""COMPUTED_VALUE"""),2.0)</f>
        <v>2</v>
      </c>
      <c r="Q146" s="35">
        <f>IFERROR(__xludf.DUMMYFUNCTION("""COMPUTED_VALUE"""),0.0)</f>
        <v>0</v>
      </c>
      <c r="R146" s="36" t="str">
        <f>IFERROR(__xludf.DUMMYFUNCTION("""COMPUTED_VALUE"""),"SELECCIONADA")</f>
        <v>SELECCIONADA</v>
      </c>
      <c r="S146" s="37">
        <f>IFERROR(__xludf.DUMMYFUNCTION("""COMPUTED_VALUE"""),43313.0)</f>
        <v>43313</v>
      </c>
      <c r="T146" s="34"/>
      <c r="U146" t="str">
        <f>IFERROR(__xludf.DUMMYFUNCTION("""COMPUTED_VALUE"""),"FRESIA TAPIA PEREZ")</f>
        <v>FRESIA TAPIA PEREZ</v>
      </c>
      <c r="V146" t="str">
        <f>IFERROR(__xludf.DUMMYFUNCTION("""COMPUTED_VALUE"""),"18305027-3")</f>
        <v>18305027-3</v>
      </c>
      <c r="W146" t="str">
        <f>IFERROR(__xludf.DUMMYFUNCTION("""COMPUTED_VALUE"""),"SI")</f>
        <v>SI</v>
      </c>
      <c r="X146" t="str">
        <f>IFERROR(__xludf.DUMMYFUNCTION("""COMPUTED_VALUE"""),"Trabajo en Equipo")</f>
        <v>Trabajo en Equipo</v>
      </c>
      <c r="AA146" s="38">
        <f>IFERROR(__xludf.DUMMYFUNCTION("""COMPUTED_VALUE"""),43259.0)</f>
        <v>43259</v>
      </c>
      <c r="AB146" s="38">
        <f>IFERROR(__xludf.DUMMYFUNCTION("""COMPUTED_VALUE"""),43264.0)</f>
        <v>43264</v>
      </c>
      <c r="AF146" s="39"/>
      <c r="AG146" s="39"/>
      <c r="AH146" s="34" t="str">
        <f>IFERROR(__xludf.DUMMYFUNCTION("""COMPUTED_VALUE"""),"PROCESO DE SELECCIÓN")</f>
        <v>PROCESO DE SELECCIÓN</v>
      </c>
      <c r="AI146" s="34" t="str">
        <f>IFERROR(__xludf.DUMMYFUNCTION("""COMPUTED_VALUE"""),"CEPEDA BRITO OLENKHA")</f>
        <v>CEPEDA BRITO OLENKHA</v>
      </c>
      <c r="AJ146" s="34"/>
      <c r="AK146" s="34" t="str">
        <f>IFERROR(__xludf.DUMMYFUNCTION("""COMPUTED_VALUE"""),"E")</f>
        <v>E</v>
      </c>
      <c r="AL146">
        <f>IFERROR(__xludf.DUMMYFUNCTION("""COMPUTED_VALUE"""),36.0)</f>
        <v>36</v>
      </c>
      <c r="AM146">
        <f>IFERROR(__xludf.DUMMYFUNCTION("""COMPUTED_VALUE"""),2018.0)</f>
        <v>2018</v>
      </c>
      <c r="AN146" t="str">
        <f t="shared" si="1"/>
        <v>18305027-3</v>
      </c>
    </row>
    <row r="147">
      <c r="A147" s="33">
        <f>IFERROR(__xludf.DUMMYFUNCTION("""COMPUTED_VALUE"""),1.7030596E7)</f>
        <v>17030596</v>
      </c>
      <c r="B147" s="33">
        <f>IFERROR(__xludf.DUMMYFUNCTION("""COMPUTED_VALUE"""),50.0)</f>
        <v>50</v>
      </c>
      <c r="C147" s="33" t="str">
        <f>IFERROR(__xludf.DUMMYFUNCTION("""COMPUTED_VALUE"""),"S/F")</f>
        <v>S/F</v>
      </c>
      <c r="D147" s="34" t="str">
        <f>IFERROR(__xludf.DUMMYFUNCTION("""COMPUTED_VALUE"""),"INGRESAR CENTRO DE COSTO A LA DERECHA")</f>
        <v>INGRESAR CENTRO DE COSTO A LA DERECHA</v>
      </c>
      <c r="E147" s="34" t="str">
        <f>IFERROR(__xludf.DUMMYFUNCTION("""COMPUTED_VALUE"""),"VR. DE POSTGRADO")</f>
        <v>VR. DE POSTGRADO</v>
      </c>
      <c r="F147" s="34" t="str">
        <f>IFERROR(__xludf.DUMMYFUNCTION("""COMPUTED_VALUE"""),"Analista de Gestión I")</f>
        <v>Analista de Gestión I</v>
      </c>
      <c r="G147" s="33" t="str">
        <f>IFERROR(__xludf.DUMMYFUNCTION("""COMPUTED_VALUE"""),"ANALISTA DE GESTION I ")</f>
        <v>ANALISTA DE GESTION I </v>
      </c>
      <c r="H147">
        <f>IFERROR(__xludf.DUMMYFUNCTION("""COMPUTED_VALUE"""),10.0)</f>
        <v>10</v>
      </c>
      <c r="I147" s="34" t="str">
        <f>IFERROR(__xludf.DUMMYFUNCTION("""COMPUTED_VALUE"""),"Jornada Completa")</f>
        <v>Jornada Completa</v>
      </c>
      <c r="J147" s="33" t="str">
        <f>IFERROR(__xludf.DUMMYFUNCTION("""COMPUTED_VALUE"""),"A CONTRATA")</f>
        <v>A CONTRATA</v>
      </c>
      <c r="K147" s="33" t="str">
        <f>IFERROR(__xludf.DUMMYFUNCTION("""COMPUTED_VALUE"""),"PROFESIONAL")</f>
        <v>PROFESIONAL</v>
      </c>
      <c r="L147" s="34" t="str">
        <f>IFERROR(__xludf.DUMMYFUNCTION("""COMPUTED_VALUE"""),"INTERNO")</f>
        <v>INTERNO</v>
      </c>
      <c r="M147" s="34">
        <f>IFERROR(__xludf.DUMMYFUNCTION("""COMPUTED_VALUE"""),2.0)</f>
        <v>2</v>
      </c>
      <c r="N147" s="34" t="str">
        <f>IFERROR(__xludf.DUMMYFUNCTION("""COMPUTED_VALUE"""),"EXTERNO")</f>
        <v>EXTERNO</v>
      </c>
      <c r="O147">
        <f>IFERROR(__xludf.DUMMYFUNCTION("""COMPUTED_VALUE"""),32.0)</f>
        <v>32</v>
      </c>
      <c r="P147">
        <f>IFERROR(__xludf.DUMMYFUNCTION("""COMPUTED_VALUE"""),3.0)</f>
        <v>3</v>
      </c>
      <c r="Q147" s="35">
        <f>IFERROR(__xludf.DUMMYFUNCTION("""COMPUTED_VALUE"""),0.0)</f>
        <v>0</v>
      </c>
      <c r="R147" s="36" t="str">
        <f>IFERROR(__xludf.DUMMYFUNCTION("""COMPUTED_VALUE"""),"SELECCIONADA")</f>
        <v>SELECCIONADA</v>
      </c>
      <c r="S147" s="37">
        <f>IFERROR(__xludf.DUMMYFUNCTION("""COMPUTED_VALUE"""),43318.0)</f>
        <v>43318</v>
      </c>
      <c r="T147" s="34"/>
      <c r="U147" t="str">
        <f>IFERROR(__xludf.DUMMYFUNCTION("""COMPUTED_VALUE"""),"CLAUDIA ARENAS YANTORNO")</f>
        <v>CLAUDIA ARENAS YANTORNO</v>
      </c>
      <c r="V147" t="str">
        <f>IFERROR(__xludf.DUMMYFUNCTION("""COMPUTED_VALUE"""),"17030596-5")</f>
        <v>17030596-5</v>
      </c>
      <c r="W147" t="str">
        <f>IFERROR(__xludf.DUMMYFUNCTION("""COMPUTED_VALUE"""),"NO")</f>
        <v>NO</v>
      </c>
      <c r="AA147" s="38">
        <f>IFERROR(__xludf.DUMMYFUNCTION("""COMPUTED_VALUE"""),43259.0)</f>
        <v>43259</v>
      </c>
      <c r="AB147" s="38">
        <f>IFERROR(__xludf.DUMMYFUNCTION("""COMPUTED_VALUE"""),43266.0)</f>
        <v>43266</v>
      </c>
      <c r="AF147" s="39"/>
      <c r="AG147" s="39"/>
      <c r="AH147" s="34" t="str">
        <f>IFERROR(__xludf.DUMMYFUNCTION("""COMPUTED_VALUE"""),"PROCESO DE SELECCIÓN")</f>
        <v>PROCESO DE SELECCIÓN</v>
      </c>
      <c r="AI147" s="34" t="str">
        <f>IFERROR(__xludf.DUMMYFUNCTION("""COMPUTED_VALUE"""),"- ")</f>
        <v>- </v>
      </c>
      <c r="AJ147" s="34"/>
      <c r="AK147" s="34"/>
      <c r="AL147">
        <f>IFERROR(__xludf.DUMMYFUNCTION("""COMPUTED_VALUE"""),37.0)</f>
        <v>37</v>
      </c>
      <c r="AM147">
        <f>IFERROR(__xludf.DUMMYFUNCTION("""COMPUTED_VALUE"""),2018.0)</f>
        <v>2018</v>
      </c>
      <c r="AN147" t="str">
        <f t="shared" si="1"/>
        <v>17030596-5</v>
      </c>
    </row>
    <row r="148">
      <c r="A148" s="33">
        <f>IFERROR(__xludf.DUMMYFUNCTION("""COMPUTED_VALUE"""),1.728677E7)</f>
        <v>17286770</v>
      </c>
      <c r="B148" s="33">
        <f>IFERROR(__xludf.DUMMYFUNCTION("""COMPUTED_VALUE"""),51.0)</f>
        <v>51</v>
      </c>
      <c r="C148" s="33" t="str">
        <f>IFERROR(__xludf.DUMMYFUNCTION("""COMPUTED_VALUE"""),"A213")</f>
        <v>A213</v>
      </c>
      <c r="D148" s="34" t="str">
        <f>IFERROR(__xludf.DUMMYFUNCTION("""COMPUTED_VALUE"""),"INGRESAR CENTRO DE COSTO A LA DERECHA")</f>
        <v>INGRESAR CENTRO DE COSTO A LA DERECHA</v>
      </c>
      <c r="E148" s="34" t="str">
        <f>IFERROR(__xludf.DUMMYFUNCTION("""COMPUTED_VALUE"""),"DPTO. DE RECURSOS HUMANOS")</f>
        <v>DPTO. DE RECURSOS HUMANOS</v>
      </c>
      <c r="F148" s="34" t="str">
        <f>IFERROR(__xludf.DUMMYFUNCTION("""COMPUTED_VALUE"""),"Administrativo(a) de Proceso")</f>
        <v>Administrativo(a) de Proceso</v>
      </c>
      <c r="G148" s="33" t="str">
        <f>IFERROR(__xludf.DUMMYFUNCTION("""COMPUTED_VALUE"""),"ADMINISTRATIVO DE PROCESO")</f>
        <v>ADMINISTRATIVO DE PROCESO</v>
      </c>
      <c r="H148">
        <f>IFERROR(__xludf.DUMMYFUNCTION("""COMPUTED_VALUE"""),17.0)</f>
        <v>17</v>
      </c>
      <c r="I148" s="34" t="str">
        <f>IFERROR(__xludf.DUMMYFUNCTION("""COMPUTED_VALUE"""),"Jornada Completa")</f>
        <v>Jornada Completa</v>
      </c>
      <c r="J148" s="33" t="str">
        <f>IFERROR(__xludf.DUMMYFUNCTION("""COMPUTED_VALUE"""),"A CONTRATA")</f>
        <v>A CONTRATA</v>
      </c>
      <c r="K148" s="33" t="str">
        <f>IFERROR(__xludf.DUMMYFUNCTION("""COMPUTED_VALUE"""),"ADMINISTRATIVO")</f>
        <v>ADMINISTRATIVO</v>
      </c>
      <c r="L148" s="34" t="str">
        <f>IFERROR(__xludf.DUMMYFUNCTION("""COMPUTED_VALUE"""),"INTERNO")</f>
        <v>INTERNO</v>
      </c>
      <c r="M148" s="34">
        <f>IFERROR(__xludf.DUMMYFUNCTION("""COMPUTED_VALUE"""),6.0)</f>
        <v>6</v>
      </c>
      <c r="N148" s="34" t="str">
        <f>IFERROR(__xludf.DUMMYFUNCTION("""COMPUTED_VALUE"""),"NO")</f>
        <v>NO</v>
      </c>
      <c r="O148">
        <f>IFERROR(__xludf.DUMMYFUNCTION("""COMPUTED_VALUE"""),0.0)</f>
        <v>0</v>
      </c>
      <c r="P148">
        <f>IFERROR(__xludf.DUMMYFUNCTION("""COMPUTED_VALUE"""),3.0)</f>
        <v>3</v>
      </c>
      <c r="Q148" s="35">
        <f>IFERROR(__xludf.DUMMYFUNCTION("""COMPUTED_VALUE"""),0.0)</f>
        <v>0</v>
      </c>
      <c r="R148" s="36" t="str">
        <f>IFERROR(__xludf.DUMMYFUNCTION("""COMPUTED_VALUE"""),"SELECCIONADA")</f>
        <v>SELECCIONADA</v>
      </c>
      <c r="S148" s="37">
        <f>IFERROR(__xludf.DUMMYFUNCTION("""COMPUTED_VALUE"""),43315.0)</f>
        <v>43315</v>
      </c>
      <c r="T148" s="34" t="str">
        <f>IFERROR(__xludf.DUMMYFUNCTION("""COMPUTED_VALUE"""),"VILLAR SANDOVAL SILVANA")</f>
        <v>VILLAR SANDOVAL SILVANA</v>
      </c>
      <c r="V148" s="40" t="str">
        <f>IFERROR(__xludf.DUMMYFUNCTION("""COMPUTED_VALUE"""),"17286770-7")</f>
        <v>17286770-7</v>
      </c>
      <c r="W148" t="str">
        <f>IFERROR(__xludf.DUMMYFUNCTION("""COMPUTED_VALUE"""),"NO")</f>
        <v>NO</v>
      </c>
      <c r="AA148" s="38">
        <f>IFERROR(__xludf.DUMMYFUNCTION("""COMPUTED_VALUE"""),43273.0)</f>
        <v>43273</v>
      </c>
      <c r="AB148" s="38">
        <f>IFERROR(__xludf.DUMMYFUNCTION("""COMPUTED_VALUE"""),43277.0)</f>
        <v>43277</v>
      </c>
      <c r="AF148" s="39"/>
      <c r="AG148" s="39"/>
      <c r="AH148" s="34" t="str">
        <f>IFERROR(__xludf.DUMMYFUNCTION("""COMPUTED_VALUE"""),"PROCESO DE SELECCIÓN")</f>
        <v>PROCESO DE SELECCIÓN</v>
      </c>
      <c r="AI148" s="34" t="str">
        <f>IFERROR(__xludf.DUMMYFUNCTION("""COMPUTED_VALUE"""),"ORDENES GARAY KATYA")</f>
        <v>ORDENES GARAY KATYA</v>
      </c>
      <c r="AJ148" s="34"/>
      <c r="AK148" s="34" t="str">
        <f>IFERROR(__xludf.DUMMYFUNCTION("""COMPUTED_VALUE"""),"C")</f>
        <v>C</v>
      </c>
      <c r="AL148">
        <f>IFERROR(__xludf.DUMMYFUNCTION("""COMPUTED_VALUE"""),29.0)</f>
        <v>29</v>
      </c>
      <c r="AM148">
        <f>IFERROR(__xludf.DUMMYFUNCTION("""COMPUTED_VALUE"""),2018.0)</f>
        <v>2018</v>
      </c>
      <c r="AN148" t="str">
        <f t="shared" si="1"/>
        <v>17286770-7</v>
      </c>
    </row>
    <row r="149">
      <c r="A149" s="33">
        <f>IFERROR(__xludf.DUMMYFUNCTION("""COMPUTED_VALUE"""),1.5463491E7)</f>
        <v>15463491</v>
      </c>
      <c r="B149" s="33">
        <f>IFERROR(__xludf.DUMMYFUNCTION("""COMPUTED_VALUE"""),52.0)</f>
        <v>52</v>
      </c>
      <c r="C149" s="33" t="str">
        <f>IFERROR(__xludf.DUMMYFUNCTION("""COMPUTED_VALUE"""),"IR2018-04")</f>
        <v>IR2018-04</v>
      </c>
      <c r="D149" s="34" t="str">
        <f>IFERROR(__xludf.DUMMYFUNCTION("""COMPUTED_VALUE"""),"INGRESAR CENTRO DE COSTO A LA DERECHA")</f>
        <v>INGRESAR CENTRO DE COSTO A LA DERECHA</v>
      </c>
      <c r="E149" s="34" t="str">
        <f>IFERROR(__xludf.DUMMYFUNCTION("""COMPUTED_VALUE"""),"UNIDAD DE ATENCION DE SALUD")</f>
        <v>UNIDAD DE ATENCION DE SALUD</v>
      </c>
      <c r="F149" s="34" t="str">
        <f>IFERROR(__xludf.DUMMYFUNCTION("""COMPUTED_VALUE"""),"Auxiliar de Enfermería")</f>
        <v>Auxiliar de Enfermería</v>
      </c>
      <c r="G149" s="33" t="str">
        <f>IFERROR(__xludf.DUMMYFUNCTION("""COMPUTED_VALUE"""),"AUXILIAR DE ENFERMERIA")</f>
        <v>AUXILIAR DE ENFERMERIA</v>
      </c>
      <c r="H149">
        <f>IFERROR(__xludf.DUMMYFUNCTION("""COMPUTED_VALUE"""),17.0)</f>
        <v>17</v>
      </c>
      <c r="I149" s="34" t="str">
        <f>IFERROR(__xludf.DUMMYFUNCTION("""COMPUTED_VALUE"""),"Jornada Completa")</f>
        <v>Jornada Completa</v>
      </c>
      <c r="J149" s="33" t="str">
        <f>IFERROR(__xludf.DUMMYFUNCTION("""COMPUTED_VALUE"""),"A CONTRATA")</f>
        <v>A CONTRATA</v>
      </c>
      <c r="K149" s="33" t="str">
        <f>IFERROR(__xludf.DUMMYFUNCTION("""COMPUTED_VALUE"""),"TECNICO")</f>
        <v>TECNICO</v>
      </c>
      <c r="L149" s="34" t="str">
        <f>IFERROR(__xludf.DUMMYFUNCTION("""COMPUTED_VALUE"""),"INTERNO")</f>
        <v>INTERNO</v>
      </c>
      <c r="M149" s="34">
        <f>IFERROR(__xludf.DUMMYFUNCTION("""COMPUTED_VALUE"""),0.0)</f>
        <v>0</v>
      </c>
      <c r="N149" s="34" t="str">
        <f>IFERROR(__xludf.DUMMYFUNCTION("""COMPUTED_VALUE"""),"EXTERNO")</f>
        <v>EXTERNO</v>
      </c>
      <c r="O149">
        <f>IFERROR(__xludf.DUMMYFUNCTION("""COMPUTED_VALUE"""),19.0)</f>
        <v>19</v>
      </c>
      <c r="P149">
        <f>IFERROR(__xludf.DUMMYFUNCTION("""COMPUTED_VALUE"""),3.0)</f>
        <v>3</v>
      </c>
      <c r="Q149" s="35">
        <f>IFERROR(__xludf.DUMMYFUNCTION("""COMPUTED_VALUE"""),0.0)</f>
        <v>0</v>
      </c>
      <c r="R149" s="36" t="str">
        <f>IFERROR(__xludf.DUMMYFUNCTION("""COMPUTED_VALUE"""),"SELECCIONADA")</f>
        <v>SELECCIONADA</v>
      </c>
      <c r="S149" s="37">
        <f>IFERROR(__xludf.DUMMYFUNCTION("""COMPUTED_VALUE"""),43318.0)</f>
        <v>43318</v>
      </c>
      <c r="T149" s="34"/>
      <c r="U149" t="str">
        <f>IFERROR(__xludf.DUMMYFUNCTION("""COMPUTED_VALUE"""),"MARIA ALVAREZ GALLEGUILLOS")</f>
        <v>MARIA ALVAREZ GALLEGUILLOS</v>
      </c>
      <c r="V149" t="str">
        <f>IFERROR(__xludf.DUMMYFUNCTION("""COMPUTED_VALUE"""),"15463491-6")</f>
        <v>15463491-6</v>
      </c>
      <c r="W149" t="str">
        <f>IFERROR(__xludf.DUMMYFUNCTION("""COMPUTED_VALUE"""),"SI")</f>
        <v>SI</v>
      </c>
      <c r="X149" t="str">
        <f>IFERROR(__xludf.DUMMYFUNCTION("""COMPUTED_VALUE"""),"Trabajo en Equipo")</f>
        <v>Trabajo en Equipo</v>
      </c>
      <c r="AA149" s="38">
        <f>IFERROR(__xludf.DUMMYFUNCTION("""COMPUTED_VALUE"""),43279.0)</f>
        <v>43279</v>
      </c>
      <c r="AB149" s="38">
        <f>IFERROR(__xludf.DUMMYFUNCTION("""COMPUTED_VALUE"""),43285.0)</f>
        <v>43285</v>
      </c>
      <c r="AF149" s="39"/>
      <c r="AG149" s="39"/>
      <c r="AH149" s="34" t="str">
        <f>IFERROR(__xludf.DUMMYFUNCTION("""COMPUTED_VALUE"""),"PROCESO DE SELECCIÓN")</f>
        <v>PROCESO DE SELECCIÓN</v>
      </c>
      <c r="AI149" s="34" t="str">
        <f>IFERROR(__xludf.DUMMYFUNCTION("""COMPUTED_VALUE"""),"JARA SANDOVAL LIDIA")</f>
        <v>JARA SANDOVAL LIDIA</v>
      </c>
      <c r="AJ149" s="34"/>
      <c r="AK149" s="34" t="str">
        <f>IFERROR(__xludf.DUMMYFUNCTION("""COMPUTED_VALUE"""),"E")</f>
        <v>E</v>
      </c>
      <c r="AL149">
        <f>IFERROR(__xludf.DUMMYFUNCTION("""COMPUTED_VALUE"""),24.0)</f>
        <v>24</v>
      </c>
      <c r="AM149">
        <f>IFERROR(__xludf.DUMMYFUNCTION("""COMPUTED_VALUE"""),2018.0)</f>
        <v>2018</v>
      </c>
      <c r="AN149" t="str">
        <f t="shared" si="1"/>
        <v>15463491-6</v>
      </c>
    </row>
    <row r="150">
      <c r="A150" s="33">
        <f>IFERROR(__xludf.DUMMYFUNCTION("""COMPUTED_VALUE"""),1.7340975E7)</f>
        <v>17340975</v>
      </c>
      <c r="B150" s="33">
        <f>IFERROR(__xludf.DUMMYFUNCTION("""COMPUTED_VALUE"""),53.0)</f>
        <v>53</v>
      </c>
      <c r="C150" s="33"/>
      <c r="D150" s="34" t="str">
        <f>IFERROR(__xludf.DUMMYFUNCTION("""COMPUTED_VALUE"""),"INGRESAR CENTRO DE COSTO A LA DERECHA")</f>
        <v>INGRESAR CENTRO DE COSTO A LA DERECHA</v>
      </c>
      <c r="E150" s="34" t="str">
        <f>IFERROR(__xludf.DUMMYFUNCTION("""COMPUTED_VALUE"""),"DPTO. DE FINANZAS Y TESORERIA")</f>
        <v>DPTO. DE FINANZAS Y TESORERIA</v>
      </c>
      <c r="F150" s="34" t="str">
        <f>IFERROR(__xludf.DUMMYFUNCTION("""COMPUTED_VALUE"""),"Administrativo(a) Especializado")</f>
        <v>Administrativo(a) Especializado</v>
      </c>
      <c r="G150" s="33" t="str">
        <f>IFERROR(__xludf.DUMMYFUNCTION("""COMPUTED_VALUE"""),"ADMINISTRATIVO ESPECIALIZADO ( CONTROL Y GESTION)")</f>
        <v>ADMINISTRATIVO ESPECIALIZADO ( CONTROL Y GESTION)</v>
      </c>
      <c r="H150">
        <f>IFERROR(__xludf.DUMMYFUNCTION("""COMPUTED_VALUE"""),12.0)</f>
        <v>12</v>
      </c>
      <c r="I150" s="34" t="str">
        <f>IFERROR(__xludf.DUMMYFUNCTION("""COMPUTED_VALUE"""),"Jornada Completa")</f>
        <v>Jornada Completa</v>
      </c>
      <c r="J150" s="33" t="str">
        <f>IFERROR(__xludf.DUMMYFUNCTION("""COMPUTED_VALUE"""),"A CONTRATA")</f>
        <v>A CONTRATA</v>
      </c>
      <c r="K150" s="33" t="str">
        <f>IFERROR(__xludf.DUMMYFUNCTION("""COMPUTED_VALUE"""),"ADMINISTRATIVO")</f>
        <v>ADMINISTRATIVO</v>
      </c>
      <c r="L150" s="34" t="str">
        <f>IFERROR(__xludf.DUMMYFUNCTION("""COMPUTED_VALUE"""),"NO")</f>
        <v>NO</v>
      </c>
      <c r="M150" s="34">
        <f>IFERROR(__xludf.DUMMYFUNCTION("""COMPUTED_VALUE"""),0.0)</f>
        <v>0</v>
      </c>
      <c r="N150" s="34" t="str">
        <f>IFERROR(__xludf.DUMMYFUNCTION("""COMPUTED_VALUE"""),"EXTERNO")</f>
        <v>EXTERNO</v>
      </c>
      <c r="O150">
        <f>IFERROR(__xludf.DUMMYFUNCTION("""COMPUTED_VALUE"""),9.0)</f>
        <v>9</v>
      </c>
      <c r="P150">
        <f>IFERROR(__xludf.DUMMYFUNCTION("""COMPUTED_VALUE"""),2.0)</f>
        <v>2</v>
      </c>
      <c r="Q150" s="35">
        <f>IFERROR(__xludf.DUMMYFUNCTION("""COMPUTED_VALUE"""),0.0)</f>
        <v>0</v>
      </c>
      <c r="R150" s="36" t="str">
        <f>IFERROR(__xludf.DUMMYFUNCTION("""COMPUTED_VALUE"""),"SELECCIONADO")</f>
        <v>SELECCIONADO</v>
      </c>
      <c r="S150" s="37">
        <f>IFERROR(__xludf.DUMMYFUNCTION("""COMPUTED_VALUE"""),43313.0)</f>
        <v>43313</v>
      </c>
      <c r="T150" s="34"/>
      <c r="U150" t="str">
        <f>IFERROR(__xludf.DUMMYFUNCTION("""COMPUTED_VALUE"""),"JONATHAN VALDES HERRERA")</f>
        <v>JONATHAN VALDES HERRERA</v>
      </c>
      <c r="V150" t="str">
        <f>IFERROR(__xludf.DUMMYFUNCTION("""COMPUTED_VALUE"""),"17340975-3")</f>
        <v>17340975-3</v>
      </c>
      <c r="W150" t="str">
        <f>IFERROR(__xludf.DUMMYFUNCTION("""COMPUTED_VALUE"""),"SI")</f>
        <v>SI</v>
      </c>
      <c r="X150" t="str">
        <f>IFERROR(__xludf.DUMMYFUNCTION("""COMPUTED_VALUE"""),"Busqueda de Informacion")</f>
        <v>Busqueda de Informacion</v>
      </c>
      <c r="AA150" s="38">
        <f>IFERROR(__xludf.DUMMYFUNCTION("""COMPUTED_VALUE"""),43278.0)</f>
        <v>43278</v>
      </c>
      <c r="AB150" s="38">
        <f>IFERROR(__xludf.DUMMYFUNCTION("""COMPUTED_VALUE"""),43283.0)</f>
        <v>43283</v>
      </c>
      <c r="AF150" s="39"/>
      <c r="AG150" s="39"/>
      <c r="AH150" s="34" t="str">
        <f>IFERROR(__xludf.DUMMYFUNCTION("""COMPUTED_VALUE"""),"PROCESO DE SELECCIÓN")</f>
        <v>PROCESO DE SELECCIÓN</v>
      </c>
      <c r="AI150" s="34" t="str">
        <f>IFERROR(__xludf.DUMMYFUNCTION("""COMPUTED_VALUE"""),"GONZALEZ AVILES FRANCISCA")</f>
        <v>GONZALEZ AVILES FRANCISCA</v>
      </c>
      <c r="AJ150" s="34"/>
      <c r="AK150" s="34" t="str">
        <f>IFERROR(__xludf.DUMMYFUNCTION("""COMPUTED_VALUE"""),"E")</f>
        <v>E</v>
      </c>
      <c r="AL150">
        <f>IFERROR(__xludf.DUMMYFUNCTION("""COMPUTED_VALUE"""),23.0)</f>
        <v>23</v>
      </c>
      <c r="AM150">
        <f>IFERROR(__xludf.DUMMYFUNCTION("""COMPUTED_VALUE"""),2018.0)</f>
        <v>2018</v>
      </c>
      <c r="AN150" t="str">
        <f t="shared" si="1"/>
        <v>17340975-3</v>
      </c>
    </row>
    <row r="151">
      <c r="A151" s="33">
        <f>IFERROR(__xludf.DUMMYFUNCTION("""COMPUTED_VALUE"""),1.6418228E7)</f>
        <v>16418228</v>
      </c>
      <c r="B151" s="33">
        <f>IFERROR(__xludf.DUMMYFUNCTION("""COMPUTED_VALUE"""),54.0)</f>
        <v>54</v>
      </c>
      <c r="C151" s="33" t="str">
        <f>IFERROR(__xludf.DUMMYFUNCTION("""COMPUTED_VALUE"""),"IR2018-05")</f>
        <v>IR2018-05</v>
      </c>
      <c r="D151" s="34" t="str">
        <f>IFERROR(__xludf.DUMMYFUNCTION("""COMPUTED_VALUE"""),"INGRESAR CENTRO DE COSTO A LA DERECHA")</f>
        <v>INGRESAR CENTRO DE COSTO A LA DERECHA</v>
      </c>
      <c r="E151" s="34" t="str">
        <f>IFERROR(__xludf.DUMMYFUNCTION("""COMPUTED_VALUE"""),"UNIDAD DE ATENCION DE SALUD")</f>
        <v>UNIDAD DE ATENCION DE SALUD</v>
      </c>
      <c r="F151" s="34" t="str">
        <f>IFERROR(__xludf.DUMMYFUNCTION("""COMPUTED_VALUE"""),"Administrativo(a) de Apoyo")</f>
        <v>Administrativo(a) de Apoyo</v>
      </c>
      <c r="G151" s="33" t="str">
        <f>IFERROR(__xludf.DUMMYFUNCTION("""COMPUTED_VALUE"""),"ADMINISTRATIVO DE APOYO RECEPCIONISTA")</f>
        <v>ADMINISTRATIVO DE APOYO RECEPCIONISTA</v>
      </c>
      <c r="H151">
        <f>IFERROR(__xludf.DUMMYFUNCTION("""COMPUTED_VALUE"""),20.0)</f>
        <v>20</v>
      </c>
      <c r="I151" s="34" t="str">
        <f>IFERROR(__xludf.DUMMYFUNCTION("""COMPUTED_VALUE"""),"Jornada Completa")</f>
        <v>Jornada Completa</v>
      </c>
      <c r="J151" s="33" t="str">
        <f>IFERROR(__xludf.DUMMYFUNCTION("""COMPUTED_VALUE"""),"A CONTRATA")</f>
        <v>A CONTRATA</v>
      </c>
      <c r="K151" s="33" t="str">
        <f>IFERROR(__xludf.DUMMYFUNCTION("""COMPUTED_VALUE"""),"ADMINISTRATIVO")</f>
        <v>ADMINISTRATIVO</v>
      </c>
      <c r="L151" s="34" t="str">
        <f>IFERROR(__xludf.DUMMYFUNCTION("""COMPUTED_VALUE"""),"INTERNO")</f>
        <v>INTERNO</v>
      </c>
      <c r="M151" s="34">
        <f>IFERROR(__xludf.DUMMYFUNCTION("""COMPUTED_VALUE"""),1.0)</f>
        <v>1</v>
      </c>
      <c r="N151" s="34" t="str">
        <f>IFERROR(__xludf.DUMMYFUNCTION("""COMPUTED_VALUE"""),"NO")</f>
        <v>NO</v>
      </c>
      <c r="O151">
        <f>IFERROR(__xludf.DUMMYFUNCTION("""COMPUTED_VALUE"""),0.0)</f>
        <v>0</v>
      </c>
      <c r="P151">
        <f>IFERROR(__xludf.DUMMYFUNCTION("""COMPUTED_VALUE"""),1.0)</f>
        <v>1</v>
      </c>
      <c r="Q151" s="35">
        <f>IFERROR(__xludf.DUMMYFUNCTION("""COMPUTED_VALUE"""),0.0)</f>
        <v>0</v>
      </c>
      <c r="R151" s="36" t="str">
        <f>IFERROR(__xludf.DUMMYFUNCTION("""COMPUTED_VALUE"""),"SELECCIONADO")</f>
        <v>SELECCIONADO</v>
      </c>
      <c r="S151" s="37">
        <f>IFERROR(__xludf.DUMMYFUNCTION("""COMPUTED_VALUE"""),43326.0)</f>
        <v>43326</v>
      </c>
      <c r="T151" s="34" t="str">
        <f>IFERROR(__xludf.DUMMYFUNCTION("""COMPUTED_VALUE"""),"HUENUQUEO FERRADA JOSE MANUEL")</f>
        <v>HUENUQUEO FERRADA JOSE MANUEL</v>
      </c>
      <c r="V151" t="str">
        <f>IFERROR(__xludf.DUMMYFUNCTION("""COMPUTED_VALUE"""),"16418228-2")</f>
        <v>16418228-2</v>
      </c>
      <c r="W151" t="str">
        <f>IFERROR(__xludf.DUMMYFUNCTION("""COMPUTED_VALUE"""),"SI")</f>
        <v>SI</v>
      </c>
      <c r="X151" t="str">
        <f>IFERROR(__xludf.DUMMYFUNCTION("""COMPUTED_VALUE"""),"Trabajo en Equipo")</f>
        <v>Trabajo en Equipo</v>
      </c>
      <c r="AA151" s="38">
        <f>IFERROR(__xludf.DUMMYFUNCTION("""COMPUTED_VALUE"""),43273.0)</f>
        <v>43273</v>
      </c>
      <c r="AB151" s="38">
        <f>IFERROR(__xludf.DUMMYFUNCTION("""COMPUTED_VALUE"""),43278.0)</f>
        <v>43278</v>
      </c>
      <c r="AF151" s="39"/>
      <c r="AG151" s="39"/>
      <c r="AH151" s="34" t="str">
        <f>IFERROR(__xludf.DUMMYFUNCTION("""COMPUTED_VALUE"""),"PROCESO DE SELECCIÓN")</f>
        <v>PROCESO DE SELECCIÓN</v>
      </c>
      <c r="AI151" s="34" t="str">
        <f>IFERROR(__xludf.DUMMYFUNCTION("""COMPUTED_VALUE"""),"ORELLANA RIVERA DORIS")</f>
        <v>ORELLANA RIVERA DORIS</v>
      </c>
      <c r="AJ151" s="34"/>
      <c r="AK151" s="34" t="str">
        <f>IFERROR(__xludf.DUMMYFUNCTION("""COMPUTED_VALUE"""),"C")</f>
        <v>C</v>
      </c>
      <c r="AL151">
        <f>IFERROR(__xludf.DUMMYFUNCTION("""COMPUTED_VALUE"""),35.0)</f>
        <v>35</v>
      </c>
      <c r="AM151">
        <f>IFERROR(__xludf.DUMMYFUNCTION("""COMPUTED_VALUE"""),2018.0)</f>
        <v>2018</v>
      </c>
      <c r="AN151" t="str">
        <f t="shared" si="1"/>
        <v>16418228-2</v>
      </c>
    </row>
    <row r="152">
      <c r="A152" s="33">
        <f>IFERROR(__xludf.DUMMYFUNCTION("""COMPUTED_VALUE"""),1.4284438E7)</f>
        <v>14284438</v>
      </c>
      <c r="B152" s="33">
        <f>IFERROR(__xludf.DUMMYFUNCTION("""COMPUTED_VALUE"""),55.0)</f>
        <v>55</v>
      </c>
      <c r="C152" s="33" t="str">
        <f>IFERROR(__xludf.DUMMYFUNCTION("""COMPUTED_VALUE"""),"IR2018-02")</f>
        <v>IR2018-02</v>
      </c>
      <c r="D152" s="34" t="str">
        <f>IFERROR(__xludf.DUMMYFUNCTION("""COMPUTED_VALUE"""),"INGRESAR CENTRO DE COSTO A LA DERECHA")</f>
        <v>INGRESAR CENTRO DE COSTO A LA DERECHA</v>
      </c>
      <c r="E152" s="34" t="str">
        <f>IFERROR(__xludf.DUMMYFUNCTION("""COMPUTED_VALUE"""),"DPTO. DE INGENIERIA GEOGRAFICA")</f>
        <v>DPTO. DE INGENIERIA GEOGRAFICA</v>
      </c>
      <c r="F152" s="34" t="str">
        <f>IFERROR(__xludf.DUMMYFUNCTION("""COMPUTED_VALUE"""),"Mayordomo(a)")</f>
        <v>Mayordomo(a)</v>
      </c>
      <c r="G152" s="33" t="str">
        <f>IFERROR(__xludf.DUMMYFUNCTION("""COMPUTED_VALUE"""),"MAYORDOMO")</f>
        <v>MAYORDOMO</v>
      </c>
      <c r="H152">
        <f>IFERROR(__xludf.DUMMYFUNCTION("""COMPUTED_VALUE"""),21.0)</f>
        <v>21</v>
      </c>
      <c r="I152" s="34" t="str">
        <f>IFERROR(__xludf.DUMMYFUNCTION("""COMPUTED_VALUE"""),"Jornada Completa")</f>
        <v>Jornada Completa</v>
      </c>
      <c r="J152" s="33" t="str">
        <f>IFERROR(__xludf.DUMMYFUNCTION("""COMPUTED_VALUE"""),"A CONTRATA")</f>
        <v>A CONTRATA</v>
      </c>
      <c r="K152" s="33" t="str">
        <f>IFERROR(__xludf.DUMMYFUNCTION("""COMPUTED_VALUE"""),"AUXILIAR")</f>
        <v>AUXILIAR</v>
      </c>
      <c r="L152" s="34" t="str">
        <f>IFERROR(__xludf.DUMMYFUNCTION("""COMPUTED_VALUE"""),"INTERNO")</f>
        <v>INTERNO</v>
      </c>
      <c r="M152" s="34">
        <f>IFERROR(__xludf.DUMMYFUNCTION("""COMPUTED_VALUE"""),1.0)</f>
        <v>1</v>
      </c>
      <c r="N152" s="34" t="str">
        <f>IFERROR(__xludf.DUMMYFUNCTION("""COMPUTED_VALUE"""),"NO")</f>
        <v>NO</v>
      </c>
      <c r="O152">
        <f>IFERROR(__xludf.DUMMYFUNCTION("""COMPUTED_VALUE"""),0.0)</f>
        <v>0</v>
      </c>
      <c r="P152">
        <f>IFERROR(__xludf.DUMMYFUNCTION("""COMPUTED_VALUE"""),1.0)</f>
        <v>1</v>
      </c>
      <c r="Q152" s="35">
        <f>IFERROR(__xludf.DUMMYFUNCTION("""COMPUTED_VALUE"""),0.0)</f>
        <v>0</v>
      </c>
      <c r="R152" s="36" t="str">
        <f>IFERROR(__xludf.DUMMYFUNCTION("""COMPUTED_VALUE"""),"SELECCIONADO")</f>
        <v>SELECCIONADO</v>
      </c>
      <c r="S152" s="37">
        <f>IFERROR(__xludf.DUMMYFUNCTION("""COMPUTED_VALUE"""),43333.0)</f>
        <v>43333</v>
      </c>
      <c r="T152" s="34" t="str">
        <f>IFERROR(__xludf.DUMMYFUNCTION("""COMPUTED_VALUE"""),"BUSTOS SAEZ HUGO RUBEN")</f>
        <v>BUSTOS SAEZ HUGO RUBEN</v>
      </c>
      <c r="V152" t="str">
        <f>IFERROR(__xludf.DUMMYFUNCTION("""COMPUTED_VALUE"""),"14284438-9")</f>
        <v>14284438-9</v>
      </c>
      <c r="W152" t="str">
        <f>IFERROR(__xludf.DUMMYFUNCTION("""COMPUTED_VALUE"""),"SI")</f>
        <v>SI</v>
      </c>
      <c r="X152" t="str">
        <f>IFERROR(__xludf.DUMMYFUNCTION("""COMPUTED_VALUE"""),"Trabajo en Equipo")</f>
        <v>Trabajo en Equipo</v>
      </c>
      <c r="AA152" s="38">
        <f>IFERROR(__xludf.DUMMYFUNCTION("""COMPUTED_VALUE"""),43271.0)</f>
        <v>43271</v>
      </c>
      <c r="AB152" s="38">
        <f>IFERROR(__xludf.DUMMYFUNCTION("""COMPUTED_VALUE"""),43276.0)</f>
        <v>43276</v>
      </c>
      <c r="AF152" s="39"/>
      <c r="AG152" s="39"/>
      <c r="AH152" s="34" t="str">
        <f>IFERROR(__xludf.DUMMYFUNCTION("""COMPUTED_VALUE"""),"PROCESO DE SELECCIÓN")</f>
        <v>PROCESO DE SELECCIÓN</v>
      </c>
      <c r="AI152" s="34" t="str">
        <f>IFERROR(__xludf.DUMMYFUNCTION("""COMPUTED_VALUE"""),"PEÑA GODOY JUAN")</f>
        <v>PEÑA GODOY JUAN</v>
      </c>
      <c r="AJ152" s="34"/>
      <c r="AK152" s="34" t="str">
        <f>IFERROR(__xludf.DUMMYFUNCTION("""COMPUTED_VALUE"""),"C")</f>
        <v>C</v>
      </c>
      <c r="AL152">
        <f>IFERROR(__xludf.DUMMYFUNCTION("""COMPUTED_VALUE"""),42.0)</f>
        <v>42</v>
      </c>
      <c r="AM152">
        <f>IFERROR(__xludf.DUMMYFUNCTION("""COMPUTED_VALUE"""),2018.0)</f>
        <v>2018</v>
      </c>
      <c r="AN152" t="str">
        <f t="shared" si="1"/>
        <v>14284438-9</v>
      </c>
    </row>
    <row r="153">
      <c r="A153" s="33">
        <f>IFERROR(__xludf.DUMMYFUNCTION("""COMPUTED_VALUE"""),1.1667471E7)</f>
        <v>11667471</v>
      </c>
      <c r="B153" s="33">
        <f>IFERROR(__xludf.DUMMYFUNCTION("""COMPUTED_VALUE"""),56.0)</f>
        <v>56</v>
      </c>
      <c r="C153" s="33" t="str">
        <f>IFERROR(__xludf.DUMMYFUNCTION("""COMPUTED_VALUE"""),"IR2018-16")</f>
        <v>IR2018-16</v>
      </c>
      <c r="D153" s="34" t="str">
        <f>IFERROR(__xludf.DUMMYFUNCTION("""COMPUTED_VALUE"""),"INGRESAR CENTRO DE COSTO A LA DERECHA")</f>
        <v>INGRESAR CENTRO DE COSTO A LA DERECHA</v>
      </c>
      <c r="E153" s="34" t="str">
        <f>IFERROR(__xludf.DUMMYFUNCTION("""COMPUTED_VALUE"""),"VR. DE INVEST. DESARR E INNOVACION")</f>
        <v>VR. DE INVEST. DESARR E INNOVACION</v>
      </c>
      <c r="F153" s="34" t="str">
        <f>IFERROR(__xludf.DUMMYFUNCTION("""COMPUTED_VALUE"""),"Analista de Gestión Administrativa")</f>
        <v>Analista de Gestión Administrativa</v>
      </c>
      <c r="G153" s="33" t="str">
        <f>IFERROR(__xludf.DUMMYFUNCTION("""COMPUTED_VALUE"""),"ANALISTA DE GESTION ADMINISTRATIVA")</f>
        <v>ANALISTA DE GESTION ADMINISTRATIVA</v>
      </c>
      <c r="H153">
        <f>IFERROR(__xludf.DUMMYFUNCTION("""COMPUTED_VALUE"""),14.0)</f>
        <v>14</v>
      </c>
      <c r="I153" s="34" t="str">
        <f>IFERROR(__xludf.DUMMYFUNCTION("""COMPUTED_VALUE"""),"Jornada Completa")</f>
        <v>Jornada Completa</v>
      </c>
      <c r="J153" s="33" t="str">
        <f>IFERROR(__xludf.DUMMYFUNCTION("""COMPUTED_VALUE"""),"A CONTRATA")</f>
        <v>A CONTRATA</v>
      </c>
      <c r="K153" s="33" t="str">
        <f>IFERROR(__xludf.DUMMYFUNCTION("""COMPUTED_VALUE"""),"PROFESIONAL")</f>
        <v>PROFESIONAL</v>
      </c>
      <c r="L153" s="34" t="str">
        <f>IFERROR(__xludf.DUMMYFUNCTION("""COMPUTED_VALUE"""),"INTERNO")</f>
        <v>INTERNO</v>
      </c>
      <c r="M153" s="34">
        <f>IFERROR(__xludf.DUMMYFUNCTION("""COMPUTED_VALUE"""),2.0)</f>
        <v>2</v>
      </c>
      <c r="N153" s="34" t="str">
        <f>IFERROR(__xludf.DUMMYFUNCTION("""COMPUTED_VALUE"""),"NO")</f>
        <v>NO</v>
      </c>
      <c r="O153">
        <f>IFERROR(__xludf.DUMMYFUNCTION("""COMPUTED_VALUE"""),0.0)</f>
        <v>0</v>
      </c>
      <c r="P153">
        <f>IFERROR(__xludf.DUMMYFUNCTION("""COMPUTED_VALUE"""),1.0)</f>
        <v>1</v>
      </c>
      <c r="Q153" s="35">
        <f>IFERROR(__xludf.DUMMYFUNCTION("""COMPUTED_VALUE"""),0.0)</f>
        <v>0</v>
      </c>
      <c r="R153" s="36" t="str">
        <f>IFERROR(__xludf.DUMMYFUNCTION("""COMPUTED_VALUE"""),"SELECCIONADO")</f>
        <v>SELECCIONADO</v>
      </c>
      <c r="S153" s="37">
        <f>IFERROR(__xludf.DUMMYFUNCTION("""COMPUTED_VALUE"""),43332.0)</f>
        <v>43332</v>
      </c>
      <c r="T153" s="34" t="str">
        <f>IFERROR(__xludf.DUMMYFUNCTION("""COMPUTED_VALUE"""),"JIMENEZ RAMIREZ JAIME ANTONIO")</f>
        <v>JIMENEZ RAMIREZ JAIME ANTONIO</v>
      </c>
      <c r="V153" t="str">
        <f>IFERROR(__xludf.DUMMYFUNCTION("""COMPUTED_VALUE"""),"11667471-8")</f>
        <v>11667471-8</v>
      </c>
      <c r="W153" t="str">
        <f>IFERROR(__xludf.DUMMYFUNCTION("""COMPUTED_VALUE"""),"NO")</f>
        <v>NO</v>
      </c>
      <c r="AA153" s="38">
        <f>IFERROR(__xludf.DUMMYFUNCTION("""COMPUTED_VALUE"""),43306.0)</f>
        <v>43306</v>
      </c>
      <c r="AB153" s="38">
        <f>IFERROR(__xludf.DUMMYFUNCTION("""COMPUTED_VALUE"""),43311.0)</f>
        <v>43311</v>
      </c>
      <c r="AF153" s="39"/>
      <c r="AG153" s="39"/>
      <c r="AH153" s="34" t="str">
        <f>IFERROR(__xludf.DUMMYFUNCTION("""COMPUTED_VALUE"""),"PROCESO DE SELECCIÓN")</f>
        <v>PROCESO DE SELECCIÓN</v>
      </c>
      <c r="AI153" s="34" t="str">
        <f>IFERROR(__xludf.DUMMYFUNCTION("""COMPUTED_VALUE"""),"VALENZUELA CALDERON CRISTINA")</f>
        <v>VALENZUELA CALDERON CRISTINA</v>
      </c>
      <c r="AJ153" s="34"/>
      <c r="AK153" s="34" t="str">
        <f>IFERROR(__xludf.DUMMYFUNCTION("""COMPUTED_VALUE"""),"P")</f>
        <v>P</v>
      </c>
      <c r="AL153">
        <f>IFERROR(__xludf.DUMMYFUNCTION("""COMPUTED_VALUE"""),16.0)</f>
        <v>16</v>
      </c>
      <c r="AM153">
        <f>IFERROR(__xludf.DUMMYFUNCTION("""COMPUTED_VALUE"""),2018.0)</f>
        <v>2018</v>
      </c>
      <c r="AN153" t="str">
        <f t="shared" si="1"/>
        <v>11667471-8</v>
      </c>
    </row>
    <row r="154">
      <c r="A154" s="33">
        <f>IFERROR(__xludf.DUMMYFUNCTION("""COMPUTED_VALUE"""),1.7705852E7)</f>
        <v>17705852</v>
      </c>
      <c r="B154" s="33">
        <f>IFERROR(__xludf.DUMMYFUNCTION("""COMPUTED_VALUE"""),57.0)</f>
        <v>57</v>
      </c>
      <c r="C154" s="33"/>
      <c r="D154" s="34" t="str">
        <f>IFERROR(__xludf.DUMMYFUNCTION("""COMPUTED_VALUE"""),"INGRESAR CENTRO DE COSTO A LA DERECHA")</f>
        <v>INGRESAR CENTRO DE COSTO A LA DERECHA</v>
      </c>
      <c r="E154" s="34" t="str">
        <f>IFERROR(__xludf.DUMMYFUNCTION("""COMPUTED_VALUE"""),"DIR. DE ASISTENCIA JURIDICA")</f>
        <v>DIR. DE ASISTENCIA JURIDICA</v>
      </c>
      <c r="F154" s="34" t="str">
        <f>IFERROR(__xludf.DUMMYFUNCTION("""COMPUTED_VALUE"""),"Abogado(a) Dirección Juridica")</f>
        <v>Abogado(a) Dirección Juridica</v>
      </c>
      <c r="G154" s="33" t="str">
        <f>IFERROR(__xludf.DUMMYFUNCTION("""COMPUTED_VALUE"""),"ABOGADO DIRECCIÓN JURÍDICA")</f>
        <v>ABOGADO DIRECCIÓN JURÍDICA</v>
      </c>
      <c r="H154">
        <f>IFERROR(__xludf.DUMMYFUNCTION("""COMPUTED_VALUE"""),8.0)</f>
        <v>8</v>
      </c>
      <c r="I154" s="34" t="str">
        <f>IFERROR(__xludf.DUMMYFUNCTION("""COMPUTED_VALUE"""),"Jornada Completa")</f>
        <v>Jornada Completa</v>
      </c>
      <c r="J154" s="33" t="str">
        <f>IFERROR(__xludf.DUMMYFUNCTION("""COMPUTED_VALUE"""),"A CONTRATA")</f>
        <v>A CONTRATA</v>
      </c>
      <c r="K154" s="33" t="str">
        <f>IFERROR(__xludf.DUMMYFUNCTION("""COMPUTED_VALUE"""),"PROFESIONAL")</f>
        <v>PROFESIONAL</v>
      </c>
      <c r="L154" s="34" t="str">
        <f>IFERROR(__xludf.DUMMYFUNCTION("""COMPUTED_VALUE"""),"NO")</f>
        <v>NO</v>
      </c>
      <c r="M154" s="34">
        <f>IFERROR(__xludf.DUMMYFUNCTION("""COMPUTED_VALUE"""),0.0)</f>
        <v>0</v>
      </c>
      <c r="N154" s="34" t="str">
        <f>IFERROR(__xludf.DUMMYFUNCTION("""COMPUTED_VALUE"""),"EXTERNO")</f>
        <v>EXTERNO</v>
      </c>
      <c r="O154">
        <f>IFERROR(__xludf.DUMMYFUNCTION("""COMPUTED_VALUE"""),52.0)</f>
        <v>52</v>
      </c>
      <c r="P154">
        <f>IFERROR(__xludf.DUMMYFUNCTION("""COMPUTED_VALUE"""),3.0)</f>
        <v>3</v>
      </c>
      <c r="Q154" s="35">
        <f>IFERROR(__xludf.DUMMYFUNCTION("""COMPUTED_VALUE"""),0.0)</f>
        <v>0</v>
      </c>
      <c r="R154" s="36" t="str">
        <f>IFERROR(__xludf.DUMMYFUNCTION("""COMPUTED_VALUE"""),"SELECCIONADO")</f>
        <v>SELECCIONADO</v>
      </c>
      <c r="S154" s="37">
        <f>IFERROR(__xludf.DUMMYFUNCTION("""COMPUTED_VALUE"""),43325.0)</f>
        <v>43325</v>
      </c>
      <c r="T154" s="34"/>
      <c r="U154" t="str">
        <f>IFERROR(__xludf.DUMMYFUNCTION("""COMPUTED_VALUE"""),"IGNACIO PORTE BARREAUX")</f>
        <v>IGNACIO PORTE BARREAUX</v>
      </c>
      <c r="V154" t="str">
        <f>IFERROR(__xludf.DUMMYFUNCTION("""COMPUTED_VALUE"""),"17705852-1")</f>
        <v>17705852-1</v>
      </c>
      <c r="W154" t="str">
        <f>IFERROR(__xludf.DUMMYFUNCTION("""COMPUTED_VALUE"""),"NO")</f>
        <v>NO</v>
      </c>
      <c r="AA154" s="38">
        <f>IFERROR(__xludf.DUMMYFUNCTION("""COMPUTED_VALUE"""),43259.0)</f>
        <v>43259</v>
      </c>
      <c r="AB154" s="38">
        <f>IFERROR(__xludf.DUMMYFUNCTION("""COMPUTED_VALUE"""),43263.0)</f>
        <v>43263</v>
      </c>
      <c r="AF154" s="39"/>
      <c r="AG154" s="39"/>
      <c r="AH154" s="34"/>
      <c r="AI154" s="34"/>
      <c r="AJ154" s="34"/>
      <c r="AK154" s="34"/>
      <c r="AM154">
        <f>IFERROR(__xludf.DUMMYFUNCTION("""COMPUTED_VALUE"""),2018.0)</f>
        <v>2018</v>
      </c>
      <c r="AN154" t="str">
        <f t="shared" si="1"/>
        <v>17705852-1</v>
      </c>
    </row>
    <row r="155">
      <c r="A155" s="33">
        <f>IFERROR(__xludf.DUMMYFUNCTION("""COMPUTED_VALUE"""),1.6226942E7)</f>
        <v>16226942</v>
      </c>
      <c r="B155" s="33">
        <f>IFERROR(__xludf.DUMMYFUNCTION("""COMPUTED_VALUE"""),58.0)</f>
        <v>58</v>
      </c>
      <c r="C155" s="33"/>
      <c r="D155" s="34" t="str">
        <f>IFERROR(__xludf.DUMMYFUNCTION("""COMPUTED_VALUE"""),"INGRESAR CENTRO DE COSTO A LA DERECHA")</f>
        <v>INGRESAR CENTRO DE COSTO A LA DERECHA</v>
      </c>
      <c r="E155" s="34" t="str">
        <f>IFERROR(__xludf.DUMMYFUNCTION("""COMPUTED_VALUE"""),"DPTO. DE FISICA")</f>
        <v>DPTO. DE FISICA</v>
      </c>
      <c r="F155" s="34" t="str">
        <f>IFERROR(__xludf.DUMMYFUNCTION("""COMPUTED_VALUE"""),"Encargado(a) de Laboratorio")</f>
        <v>Encargado(a) de Laboratorio</v>
      </c>
      <c r="G155" s="33" t="str">
        <f>IFERROR(__xludf.DUMMYFUNCTION("""COMPUTED_VALUE"""),"ENCARGADO DE LABORATORIO   ")</f>
        <v>ENCARGADO DE LABORATORIO   </v>
      </c>
      <c r="H155">
        <f>IFERROR(__xludf.DUMMYFUNCTION("""COMPUTED_VALUE"""),13.0)</f>
        <v>13</v>
      </c>
      <c r="I155" s="34" t="str">
        <f>IFERROR(__xludf.DUMMYFUNCTION("""COMPUTED_VALUE"""),"Jornada Completa")</f>
        <v>Jornada Completa</v>
      </c>
      <c r="J155" s="33" t="str">
        <f>IFERROR(__xludf.DUMMYFUNCTION("""COMPUTED_VALUE"""),"A CONTRATA")</f>
        <v>A CONTRATA</v>
      </c>
      <c r="K155" s="33" t="str">
        <f>IFERROR(__xludf.DUMMYFUNCTION("""COMPUTED_VALUE"""),"PROFESIONAL")</f>
        <v>PROFESIONAL</v>
      </c>
      <c r="L155" s="34" t="str">
        <f>IFERROR(__xludf.DUMMYFUNCTION("""COMPUTED_VALUE"""),"INTERNO")</f>
        <v>INTERNO</v>
      </c>
      <c r="M155" s="34">
        <f>IFERROR(__xludf.DUMMYFUNCTION("""COMPUTED_VALUE"""),0.0)</f>
        <v>0</v>
      </c>
      <c r="N155" s="34" t="str">
        <f>IFERROR(__xludf.DUMMYFUNCTION("""COMPUTED_VALUE"""),"EXTERNO")</f>
        <v>EXTERNO</v>
      </c>
      <c r="O155">
        <f>IFERROR(__xludf.DUMMYFUNCTION("""COMPUTED_VALUE"""),29.0)</f>
        <v>29</v>
      </c>
      <c r="P155">
        <f>IFERROR(__xludf.DUMMYFUNCTION("""COMPUTED_VALUE"""),3.0)</f>
        <v>3</v>
      </c>
      <c r="Q155" s="35">
        <f>IFERROR(__xludf.DUMMYFUNCTION("""COMPUTED_VALUE"""),0.0)</f>
        <v>0</v>
      </c>
      <c r="R155" s="36" t="str">
        <f>IFERROR(__xludf.DUMMYFUNCTION("""COMPUTED_VALUE"""),"SELECCIONADO")</f>
        <v>SELECCIONADO</v>
      </c>
      <c r="S155" s="37">
        <f>IFERROR(__xludf.DUMMYFUNCTION("""COMPUTED_VALUE"""),43344.0)</f>
        <v>43344</v>
      </c>
      <c r="T155" s="34"/>
      <c r="U155" t="str">
        <f>IFERROR(__xludf.DUMMYFUNCTION("""COMPUTED_VALUE"""),"MAXIMILIANO VELEZ MONTECINOS")</f>
        <v>MAXIMILIANO VELEZ MONTECINOS</v>
      </c>
      <c r="V155" t="str">
        <f>IFERROR(__xludf.DUMMYFUNCTION("""COMPUTED_VALUE"""),"16226942-9")</f>
        <v>16226942-9</v>
      </c>
      <c r="W155" t="str">
        <f>IFERROR(__xludf.DUMMYFUNCTION("""COMPUTED_VALUE"""),"SI")</f>
        <v>SI</v>
      </c>
      <c r="X155" t="str">
        <f>IFERROR(__xludf.DUMMYFUNCTION("""COMPUTED_VALUE"""),"Capacidad de Planificacion y Organizacion")</f>
        <v>Capacidad de Planificacion y Organizacion</v>
      </c>
      <c r="AA155" s="38">
        <f>IFERROR(__xludf.DUMMYFUNCTION("""COMPUTED_VALUE"""),43236.0)</f>
        <v>43236</v>
      </c>
      <c r="AB155" s="38">
        <f>IFERROR(__xludf.DUMMYFUNCTION("""COMPUTED_VALUE"""),43255.0)</f>
        <v>43255</v>
      </c>
      <c r="AF155" s="39"/>
      <c r="AG155" s="39"/>
      <c r="AH155" s="34" t="str">
        <f>IFERROR(__xludf.DUMMYFUNCTION("""COMPUTED_VALUE"""),"PROCESO DE SELECCIÓN")</f>
        <v>PROCESO DE SELECCIÓN</v>
      </c>
      <c r="AI155" s="34" t="str">
        <f>IFERROR(__xludf.DUMMYFUNCTION("""COMPUTED_VALUE""")," - ")</f>
        <v> - </v>
      </c>
      <c r="AJ155" s="34"/>
      <c r="AK155" s="34" t="str">
        <f>IFERROR(__xludf.DUMMYFUNCTION("""COMPUTED_VALUE"""),"E")</f>
        <v>E</v>
      </c>
      <c r="AL155">
        <f>IFERROR(__xludf.DUMMYFUNCTION("""COMPUTED_VALUE"""),65.0)</f>
        <v>65</v>
      </c>
      <c r="AM155">
        <f>IFERROR(__xludf.DUMMYFUNCTION("""COMPUTED_VALUE"""),2018.0)</f>
        <v>2018</v>
      </c>
      <c r="AN155" t="str">
        <f t="shared" si="1"/>
        <v>16226942-9</v>
      </c>
    </row>
    <row r="156">
      <c r="A156" s="33">
        <f>IFERROR(__xludf.DUMMYFUNCTION("""COMPUTED_VALUE"""),1.2673028E7)</f>
        <v>12673028</v>
      </c>
      <c r="B156" s="33">
        <f>IFERROR(__xludf.DUMMYFUNCTION("""COMPUTED_VALUE"""),59.0)</f>
        <v>59</v>
      </c>
      <c r="C156" s="33"/>
      <c r="D156" s="34" t="str">
        <f>IFERROR(__xludf.DUMMYFUNCTION("""COMPUTED_VALUE"""),"INGRESAR CENTRO DE COSTO A LA DERECHA")</f>
        <v>INGRESAR CENTRO DE COSTO A LA DERECHA</v>
      </c>
      <c r="E156" s="34" t="str">
        <f>IFERROR(__xludf.DUMMYFUNCTION("""COMPUTED_VALUE"""),"DPTO. DE GESTION AGRARIA")</f>
        <v>DPTO. DE GESTION AGRARIA</v>
      </c>
      <c r="F156" s="34" t="str">
        <f>IFERROR(__xludf.DUMMYFUNCTION("""COMPUTED_VALUE"""),"Secretario(a) de Apoyo Docente")</f>
        <v>Secretario(a) de Apoyo Docente</v>
      </c>
      <c r="G156" s="33" t="str">
        <f>IFERROR(__xludf.DUMMYFUNCTION("""COMPUTED_VALUE"""),"SECRETARIA DE APOYO DOCENTE    ")</f>
        <v>SECRETARIA DE APOYO DOCENTE    </v>
      </c>
      <c r="H156">
        <f>IFERROR(__xludf.DUMMYFUNCTION("""COMPUTED_VALUE"""),17.0)</f>
        <v>17</v>
      </c>
      <c r="I156" s="34" t="str">
        <f>IFERROR(__xludf.DUMMYFUNCTION("""COMPUTED_VALUE"""),"Jornada Completa")</f>
        <v>Jornada Completa</v>
      </c>
      <c r="J156" s="33" t="str">
        <f>IFERROR(__xludf.DUMMYFUNCTION("""COMPUTED_VALUE"""),"A CONTRATA")</f>
        <v>A CONTRATA</v>
      </c>
      <c r="K156" s="33" t="str">
        <f>IFERROR(__xludf.DUMMYFUNCTION("""COMPUTED_VALUE"""),"ADMINISTRATIVO")</f>
        <v>ADMINISTRATIVO</v>
      </c>
      <c r="L156" s="34" t="str">
        <f>IFERROR(__xludf.DUMMYFUNCTION("""COMPUTED_VALUE"""),"INTERNO")</f>
        <v>INTERNO</v>
      </c>
      <c r="M156" s="34">
        <f>IFERROR(__xludf.DUMMYFUNCTION("""COMPUTED_VALUE"""),1.0)</f>
        <v>1</v>
      </c>
      <c r="N156" s="34" t="str">
        <f>IFERROR(__xludf.DUMMYFUNCTION("""COMPUTED_VALUE"""),"EXTERNO")</f>
        <v>EXTERNO</v>
      </c>
      <c r="O156">
        <f>IFERROR(__xludf.DUMMYFUNCTION("""COMPUTED_VALUE"""),23.0)</f>
        <v>23</v>
      </c>
      <c r="P156">
        <f>IFERROR(__xludf.DUMMYFUNCTION("""COMPUTED_VALUE"""),3.0)</f>
        <v>3</v>
      </c>
      <c r="Q156" s="35">
        <f>IFERROR(__xludf.DUMMYFUNCTION("""COMPUTED_VALUE"""),0.0)</f>
        <v>0</v>
      </c>
      <c r="R156" s="36" t="str">
        <f>IFERROR(__xludf.DUMMYFUNCTION("""COMPUTED_VALUE"""),"SELECCIONADA")</f>
        <v>SELECCIONADA</v>
      </c>
      <c r="S156" s="37">
        <f>IFERROR(__xludf.DUMMYFUNCTION("""COMPUTED_VALUE"""),43346.0)</f>
        <v>43346</v>
      </c>
      <c r="T156" s="34"/>
      <c r="U156" t="str">
        <f>IFERROR(__xludf.DUMMYFUNCTION("""COMPUTED_VALUE"""),"FRANCIA MOLINA VILLALOBOS")</f>
        <v>FRANCIA MOLINA VILLALOBOS</v>
      </c>
      <c r="V156" t="str">
        <f>IFERROR(__xludf.DUMMYFUNCTION("""COMPUTED_VALUE"""),"12673028-4")</f>
        <v>12673028-4</v>
      </c>
      <c r="W156" t="str">
        <f>IFERROR(__xludf.DUMMYFUNCTION("""COMPUTED_VALUE"""),"SI")</f>
        <v>SI</v>
      </c>
      <c r="X156" t="str">
        <f>IFERROR(__xludf.DUMMYFUNCTION("""COMPUTED_VALUE"""),"Trabajo en Equipo")</f>
        <v>Trabajo en Equipo</v>
      </c>
      <c r="Y156" t="str">
        <f>IFERROR(__xludf.DUMMYFUNCTION("""COMPUTED_VALUE"""),"Franqueza- Confiabilidad- Integridad")</f>
        <v>Franqueza- Confiabilidad- Integridad</v>
      </c>
      <c r="AA156" s="38">
        <f>IFERROR(__xludf.DUMMYFUNCTION("""COMPUTED_VALUE"""),43292.0)</f>
        <v>43292</v>
      </c>
      <c r="AB156" s="38">
        <f>IFERROR(__xludf.DUMMYFUNCTION("""COMPUTED_VALUE"""),43299.0)</f>
        <v>43299</v>
      </c>
      <c r="AF156" s="39"/>
      <c r="AG156" s="39"/>
      <c r="AH156" s="34" t="str">
        <f>IFERROR(__xludf.DUMMYFUNCTION("""COMPUTED_VALUE"""),"PROCESO DE SELECCIÓN")</f>
        <v>PROCESO DE SELECCIÓN</v>
      </c>
      <c r="AI156" s="34" t="str">
        <f>IFERROR(__xludf.DUMMYFUNCTION("""COMPUTED_VALUE"""),"ORELLANA SANDOVAL JAZMIN")</f>
        <v>ORELLANA SANDOVAL JAZMIN</v>
      </c>
      <c r="AJ156" s="34"/>
      <c r="AK156" s="34" t="str">
        <f>IFERROR(__xludf.DUMMYFUNCTION("""COMPUTED_VALUE"""),"E")</f>
        <v>E</v>
      </c>
      <c r="AL156">
        <f>IFERROR(__xludf.DUMMYFUNCTION("""COMPUTED_VALUE"""),34.0)</f>
        <v>34</v>
      </c>
      <c r="AM156">
        <f>IFERROR(__xludf.DUMMYFUNCTION("""COMPUTED_VALUE"""),2018.0)</f>
        <v>2018</v>
      </c>
      <c r="AN156" t="str">
        <f t="shared" si="1"/>
        <v>12673028-4</v>
      </c>
    </row>
    <row r="157">
      <c r="A157" s="33">
        <f>IFERROR(__xludf.DUMMYFUNCTION("""COMPUTED_VALUE"""),1.0531801E7)</f>
        <v>10531801</v>
      </c>
      <c r="B157" s="33">
        <f>IFERROR(__xludf.DUMMYFUNCTION("""COMPUTED_VALUE"""),60.0)</f>
        <v>60</v>
      </c>
      <c r="C157" s="33" t="str">
        <f>IFERROR(__xludf.DUMMYFUNCTION("""COMPUTED_VALUE"""),"IR2018-09")</f>
        <v>IR2018-09</v>
      </c>
      <c r="D157" s="34" t="str">
        <f>IFERROR(__xludf.DUMMYFUNCTION("""COMPUTED_VALUE"""),"INGRESAR CENTRO DE COSTO A LA DERECHA")</f>
        <v>INGRESAR CENTRO DE COSTO A LA DERECHA</v>
      </c>
      <c r="E157" s="34" t="str">
        <f>IFERROR(__xludf.DUMMYFUNCTION("""COMPUTED_VALUE"""),"FACULTAD TECNOLOGICA")</f>
        <v>FACULTAD TECNOLOGICA</v>
      </c>
      <c r="F157" s="34" t="str">
        <f>IFERROR(__xludf.DUMMYFUNCTION("""COMPUTED_VALUE"""),"Secretario(a) A")</f>
        <v>Secretario(a) A</v>
      </c>
      <c r="G157" s="33" t="str">
        <f>IFERROR(__xludf.DUMMYFUNCTION("""COMPUTED_VALUE"""),"SECRETARIA A DECANATO")</f>
        <v>SECRETARIA A DECANATO</v>
      </c>
      <c r="H157">
        <f>IFERROR(__xludf.DUMMYFUNCTION("""COMPUTED_VALUE"""),13.0)</f>
        <v>13</v>
      </c>
      <c r="I157" s="34" t="str">
        <f>IFERROR(__xludf.DUMMYFUNCTION("""COMPUTED_VALUE"""),"Jornada Completa")</f>
        <v>Jornada Completa</v>
      </c>
      <c r="J157" s="33" t="str">
        <f>IFERROR(__xludf.DUMMYFUNCTION("""COMPUTED_VALUE"""),"A CONTRATA")</f>
        <v>A CONTRATA</v>
      </c>
      <c r="K157" s="33" t="str">
        <f>IFERROR(__xludf.DUMMYFUNCTION("""COMPUTED_VALUE"""),"ADMINISTRATIVO")</f>
        <v>ADMINISTRATIVO</v>
      </c>
      <c r="L157" s="34" t="str">
        <f>IFERROR(__xludf.DUMMYFUNCTION("""COMPUTED_VALUE"""),"INTERNO")</f>
        <v>INTERNO</v>
      </c>
      <c r="M157" s="34">
        <f>IFERROR(__xludf.DUMMYFUNCTION("""COMPUTED_VALUE"""),9.0)</f>
        <v>9</v>
      </c>
      <c r="N157" s="34" t="str">
        <f>IFERROR(__xludf.DUMMYFUNCTION("""COMPUTED_VALUE"""),"NO")</f>
        <v>NO</v>
      </c>
      <c r="O157">
        <f>IFERROR(__xludf.DUMMYFUNCTION("""COMPUTED_VALUE"""),0.0)</f>
        <v>0</v>
      </c>
      <c r="P157">
        <f>IFERROR(__xludf.DUMMYFUNCTION("""COMPUTED_VALUE"""),3.0)</f>
        <v>3</v>
      </c>
      <c r="Q157" s="35">
        <f>IFERROR(__xludf.DUMMYFUNCTION("""COMPUTED_VALUE"""),0.0)</f>
        <v>0</v>
      </c>
      <c r="R157" s="36" t="str">
        <f>IFERROR(__xludf.DUMMYFUNCTION("""COMPUTED_VALUE"""),"SELECCIONADA")</f>
        <v>SELECCIONADA</v>
      </c>
      <c r="S157" s="37">
        <f>IFERROR(__xludf.DUMMYFUNCTION("""COMPUTED_VALUE"""),43346.0)</f>
        <v>43346</v>
      </c>
      <c r="T157" s="34" t="str">
        <f>IFERROR(__xludf.DUMMYFUNCTION("""COMPUTED_VALUE"""),"PEREZ ACUNA PATRICIA VERONICA")</f>
        <v>PEREZ ACUNA PATRICIA VERONICA</v>
      </c>
      <c r="V157" t="str">
        <f>IFERROR(__xludf.DUMMYFUNCTION("""COMPUTED_VALUE"""),"10531801-4")</f>
        <v>10531801-4</v>
      </c>
      <c r="W157" t="str">
        <f>IFERROR(__xludf.DUMMYFUNCTION("""COMPUTED_VALUE"""),"SI")</f>
        <v>SI</v>
      </c>
      <c r="X157" t="str">
        <f>IFERROR(__xludf.DUMMYFUNCTION("""COMPUTED_VALUE"""),"Franqueza- Confiabilidad- Integridad")</f>
        <v>Franqueza- Confiabilidad- Integridad</v>
      </c>
      <c r="AA157" s="38">
        <f>IFERROR(__xludf.DUMMYFUNCTION("""COMPUTED_VALUE"""),43298.0)</f>
        <v>43298</v>
      </c>
      <c r="AB157" s="38">
        <f>IFERROR(__xludf.DUMMYFUNCTION("""COMPUTED_VALUE"""),43301.0)</f>
        <v>43301</v>
      </c>
      <c r="AF157" s="39"/>
      <c r="AG157" s="39"/>
      <c r="AH157" s="34" t="str">
        <f>IFERROR(__xludf.DUMMYFUNCTION("""COMPUTED_VALUE"""),"PROCESO DE SELECCIÓN")</f>
        <v>PROCESO DE SELECCIÓN</v>
      </c>
      <c r="AI157" s="34" t="str">
        <f>IFERROR(__xludf.DUMMYFUNCTION("""COMPUTED_VALUE"""),"ROMERO CERDA ELIANA")</f>
        <v>ROMERO CERDA ELIANA</v>
      </c>
      <c r="AJ157" s="34"/>
      <c r="AK157" s="34" t="str">
        <f>IFERROR(__xludf.DUMMYFUNCTION("""COMPUTED_VALUE"""),"P")</f>
        <v>P</v>
      </c>
      <c r="AL157">
        <f>IFERROR(__xludf.DUMMYFUNCTION("""COMPUTED_VALUE"""),32.0)</f>
        <v>32</v>
      </c>
      <c r="AM157">
        <f>IFERROR(__xludf.DUMMYFUNCTION("""COMPUTED_VALUE"""),2018.0)</f>
        <v>2018</v>
      </c>
      <c r="AN157" t="str">
        <f t="shared" si="1"/>
        <v>10531801-4</v>
      </c>
    </row>
    <row r="158">
      <c r="A158" s="33">
        <f>IFERROR(__xludf.DUMMYFUNCTION("""COMPUTED_VALUE"""),1.0044346E7)</f>
        <v>10044346</v>
      </c>
      <c r="B158" s="33">
        <f>IFERROR(__xludf.DUMMYFUNCTION("""COMPUTED_VALUE"""),61.0)</f>
        <v>61</v>
      </c>
      <c r="C158" s="33"/>
      <c r="D158" s="34" t="str">
        <f>IFERROR(__xludf.DUMMYFUNCTION("""COMPUTED_VALUE"""),"INGRESAR CENTRO DE COSTO A LA DERECHA")</f>
        <v>INGRESAR CENTRO DE COSTO A LA DERECHA</v>
      </c>
      <c r="E158" s="34" t="str">
        <f>IFERROR(__xludf.DUMMYFUNCTION("""COMPUTED_VALUE"""),"ESCUELA DE ARQUITECTURA")</f>
        <v>ESCUELA DE ARQUITECTURA</v>
      </c>
      <c r="F158" s="34" t="str">
        <f>IFERROR(__xludf.DUMMYFUNCTION("""COMPUTED_VALUE"""),"Mayordomo(a)")</f>
        <v>Mayordomo(a)</v>
      </c>
      <c r="G158" s="33" t="str">
        <f>IFERROR(__xludf.DUMMYFUNCTION("""COMPUTED_VALUE"""),"MAYORDOMO")</f>
        <v>MAYORDOMO</v>
      </c>
      <c r="H158">
        <f>IFERROR(__xludf.DUMMYFUNCTION("""COMPUTED_VALUE"""),21.0)</f>
        <v>21</v>
      </c>
      <c r="I158" s="34" t="str">
        <f>IFERROR(__xludf.DUMMYFUNCTION("""COMPUTED_VALUE"""),"Jornada Completa")</f>
        <v>Jornada Completa</v>
      </c>
      <c r="J158" s="33" t="str">
        <f>IFERROR(__xludf.DUMMYFUNCTION("""COMPUTED_VALUE"""),"A CONTRATA")</f>
        <v>A CONTRATA</v>
      </c>
      <c r="K158" s="33" t="str">
        <f>IFERROR(__xludf.DUMMYFUNCTION("""COMPUTED_VALUE"""),"AUXILIAR")</f>
        <v>AUXILIAR</v>
      </c>
      <c r="L158" s="34" t="str">
        <f>IFERROR(__xludf.DUMMYFUNCTION("""COMPUTED_VALUE"""),"INTERNO")</f>
        <v>INTERNO</v>
      </c>
      <c r="M158" s="34">
        <f>IFERROR(__xludf.DUMMYFUNCTION("""COMPUTED_VALUE"""),0.0)</f>
        <v>0</v>
      </c>
      <c r="N158" s="34" t="str">
        <f>IFERROR(__xludf.DUMMYFUNCTION("""COMPUTED_VALUE"""),"EXTERNO")</f>
        <v>EXTERNO</v>
      </c>
      <c r="O158">
        <f>IFERROR(__xludf.DUMMYFUNCTION("""COMPUTED_VALUE"""),20.0)</f>
        <v>20</v>
      </c>
      <c r="P158">
        <f>IFERROR(__xludf.DUMMYFUNCTION("""COMPUTED_VALUE"""),5.0)</f>
        <v>5</v>
      </c>
      <c r="Q158" s="35">
        <f>IFERROR(__xludf.DUMMYFUNCTION("""COMPUTED_VALUE"""),1.0)</f>
        <v>1</v>
      </c>
      <c r="R158" s="36" t="str">
        <f>IFERROR(__xludf.DUMMYFUNCTION("""COMPUTED_VALUE"""),"SELECCIONADO")</f>
        <v>SELECCIONADO</v>
      </c>
      <c r="S158" s="37">
        <f>IFERROR(__xludf.DUMMYFUNCTION("""COMPUTED_VALUE"""),43346.0)</f>
        <v>43346</v>
      </c>
      <c r="T158" s="34"/>
      <c r="U158" t="str">
        <f>IFERROR(__xludf.DUMMYFUNCTION("""COMPUTED_VALUE"""),"MIGUEL ARRIAGADA ORTEGA")</f>
        <v>MIGUEL ARRIAGADA ORTEGA</v>
      </c>
      <c r="V158" t="str">
        <f>IFERROR(__xludf.DUMMYFUNCTION("""COMPUTED_VALUE"""),"10044346-5")</f>
        <v>10044346-5</v>
      </c>
      <c r="W158" t="str">
        <f>IFERROR(__xludf.DUMMYFUNCTION("""COMPUTED_VALUE"""),"NO")</f>
        <v>NO</v>
      </c>
      <c r="AA158" s="38">
        <f>IFERROR(__xludf.DUMMYFUNCTION("""COMPUTED_VALUE"""),43292.0)</f>
        <v>43292</v>
      </c>
      <c r="AB158" s="38">
        <f>IFERROR(__xludf.DUMMYFUNCTION("""COMPUTED_VALUE"""),43299.0)</f>
        <v>43299</v>
      </c>
      <c r="AF158" s="39"/>
      <c r="AG158" s="39"/>
      <c r="AH158" s="34" t="str">
        <f>IFERROR(__xludf.DUMMYFUNCTION("""COMPUTED_VALUE"""),"PROCESO DE SELECCIÓN")</f>
        <v>PROCESO DE SELECCIÓN</v>
      </c>
      <c r="AI158" s="34" t="str">
        <f>IFERROR(__xludf.DUMMYFUNCTION("""COMPUTED_VALUE"""),"ESPINOZA TORO SALVADOR")</f>
        <v>ESPINOZA TORO SALVADOR</v>
      </c>
      <c r="AJ158" s="34"/>
      <c r="AK158" s="34" t="str">
        <f>IFERROR(__xludf.DUMMYFUNCTION("""COMPUTED_VALUE"""),"E")</f>
        <v>E</v>
      </c>
      <c r="AL158">
        <f>IFERROR(__xludf.DUMMYFUNCTION("""COMPUTED_VALUE"""),34.0)</f>
        <v>34</v>
      </c>
      <c r="AM158">
        <f>IFERROR(__xludf.DUMMYFUNCTION("""COMPUTED_VALUE"""),2018.0)</f>
        <v>2018</v>
      </c>
      <c r="AN158" t="str">
        <f t="shared" si="1"/>
        <v>10044346-5</v>
      </c>
    </row>
    <row r="159">
      <c r="A159" s="33">
        <f>IFERROR(__xludf.DUMMYFUNCTION("""COMPUTED_VALUE"""),1.8410852E7)</f>
        <v>18410852</v>
      </c>
      <c r="B159" s="33">
        <f>IFERROR(__xludf.DUMMYFUNCTION("""COMPUTED_VALUE"""),62.0)</f>
        <v>62</v>
      </c>
      <c r="C159" s="33"/>
      <c r="D159" s="34" t="str">
        <f>IFERROR(__xludf.DUMMYFUNCTION("""COMPUTED_VALUE"""),"INGRESAR CENTRO DE COSTO A LA DERECHA")</f>
        <v>INGRESAR CENTRO DE COSTO A LA DERECHA</v>
      </c>
      <c r="E159" s="34" t="str">
        <f>IFERROR(__xludf.DUMMYFUNCTION("""COMPUTED_VALUE"""),"ESCUELA DE ARQUITECTURA")</f>
        <v>ESCUELA DE ARQUITECTURA</v>
      </c>
      <c r="F159" s="34" t="str">
        <f>IFERROR(__xludf.DUMMYFUNCTION("""COMPUTED_VALUE"""),"Encargado(a) Técnico(a) de Laboratorio")</f>
        <v>Encargado(a) Técnico(a) de Laboratorio</v>
      </c>
      <c r="G159" s="33" t="str">
        <f>IFERROR(__xludf.DUMMYFUNCTION("""COMPUTED_VALUE"""),"ENCARGADO TECNICO DE LABORATORIO")</f>
        <v>ENCARGADO TECNICO DE LABORATORIO</v>
      </c>
      <c r="H159">
        <f>IFERROR(__xludf.DUMMYFUNCTION("""COMPUTED_VALUE"""),14.0)</f>
        <v>14</v>
      </c>
      <c r="I159" s="34" t="str">
        <f>IFERROR(__xludf.DUMMYFUNCTION("""COMPUTED_VALUE"""),"Jornada Completa")</f>
        <v>Jornada Completa</v>
      </c>
      <c r="J159" s="33" t="str">
        <f>IFERROR(__xludf.DUMMYFUNCTION("""COMPUTED_VALUE"""),"A CONTRATA")</f>
        <v>A CONTRATA</v>
      </c>
      <c r="K159" s="33" t="str">
        <f>IFERROR(__xludf.DUMMYFUNCTION("""COMPUTED_VALUE"""),"TECNICO")</f>
        <v>TECNICO</v>
      </c>
      <c r="L159" s="34" t="str">
        <f>IFERROR(__xludf.DUMMYFUNCTION("""COMPUTED_VALUE"""),"INTERNO")</f>
        <v>INTERNO</v>
      </c>
      <c r="M159" s="34">
        <f>IFERROR(__xludf.DUMMYFUNCTION("""COMPUTED_VALUE"""),5.0)</f>
        <v>5</v>
      </c>
      <c r="N159" s="34" t="str">
        <f>IFERROR(__xludf.DUMMYFUNCTION("""COMPUTED_VALUE"""),"EXTERNO")</f>
        <v>EXTERNO</v>
      </c>
      <c r="O159">
        <f>IFERROR(__xludf.DUMMYFUNCTION("""COMPUTED_VALUE"""),11.0)</f>
        <v>11</v>
      </c>
      <c r="P159">
        <f>IFERROR(__xludf.DUMMYFUNCTION("""COMPUTED_VALUE"""),6.0)</f>
        <v>6</v>
      </c>
      <c r="Q159" s="35">
        <f>IFERROR(__xludf.DUMMYFUNCTION("""COMPUTED_VALUE"""),1.0)</f>
        <v>1</v>
      </c>
      <c r="R159" s="36" t="str">
        <f>IFERROR(__xludf.DUMMYFUNCTION("""COMPUTED_VALUE"""),"SELECCIONADO")</f>
        <v>SELECCIONADO</v>
      </c>
      <c r="S159" s="37">
        <f>IFERROR(__xludf.DUMMYFUNCTION("""COMPUTED_VALUE"""),43346.0)</f>
        <v>43346</v>
      </c>
      <c r="T159" s="34"/>
      <c r="U159" t="str">
        <f>IFERROR(__xludf.DUMMYFUNCTION("""COMPUTED_VALUE"""),"AGDALIN VALENZUELA SANHUEZA")</f>
        <v>AGDALIN VALENZUELA SANHUEZA</v>
      </c>
      <c r="V159" t="str">
        <f>IFERROR(__xludf.DUMMYFUNCTION("""COMPUTED_VALUE"""),"18410852-6")</f>
        <v>18410852-6</v>
      </c>
      <c r="W159" t="str">
        <f>IFERROR(__xludf.DUMMYFUNCTION("""COMPUTED_VALUE"""),"SI")</f>
        <v>SI</v>
      </c>
      <c r="X159" t="str">
        <f>IFERROR(__xludf.DUMMYFUNCTION("""COMPUTED_VALUE"""),"Capacidad de Planificacion y Organizacion")</f>
        <v>Capacidad de Planificacion y Organizacion</v>
      </c>
      <c r="Y159" t="str">
        <f>IFERROR(__xludf.DUMMYFUNCTION("""COMPUTED_VALUE"""),"Iniciativa")</f>
        <v>Iniciativa</v>
      </c>
      <c r="Z159" t="str">
        <f>IFERROR(__xludf.DUMMYFUNCTION("""COMPUTED_VALUE"""),"Orientacion a los Resultados")</f>
        <v>Orientacion a los Resultados</v>
      </c>
      <c r="AA159" s="38">
        <f>IFERROR(__xludf.DUMMYFUNCTION("""COMPUTED_VALUE"""),43315.0)</f>
        <v>43315</v>
      </c>
      <c r="AB159" s="38">
        <f>IFERROR(__xludf.DUMMYFUNCTION("""COMPUTED_VALUE"""),43320.0)</f>
        <v>43320</v>
      </c>
      <c r="AF159" s="39"/>
      <c r="AG159" s="39"/>
      <c r="AH159" s="34" t="str">
        <f>IFERROR(__xludf.DUMMYFUNCTION("""COMPUTED_VALUE"""),"PROCESO DE SELECCIÓN")</f>
        <v>PROCESO DE SELECCIÓN</v>
      </c>
      <c r="AI159" s="34" t="str">
        <f>IFERROR(__xludf.DUMMYFUNCTION("""COMPUTED_VALUE"""),"MOYANO FUENTES JUDITH")</f>
        <v>MOYANO FUENTES JUDITH</v>
      </c>
      <c r="AJ159" s="34"/>
      <c r="AK159" s="34" t="str">
        <f>IFERROR(__xludf.DUMMYFUNCTION("""COMPUTED_VALUE"""),"C")</f>
        <v>C</v>
      </c>
      <c r="AL159">
        <f>IFERROR(__xludf.DUMMYFUNCTION("""COMPUTED_VALUE"""),19.0)</f>
        <v>19</v>
      </c>
      <c r="AM159">
        <f>IFERROR(__xludf.DUMMYFUNCTION("""COMPUTED_VALUE"""),2018.0)</f>
        <v>2018</v>
      </c>
      <c r="AN159" t="str">
        <f t="shared" si="1"/>
        <v>18410852-6</v>
      </c>
    </row>
    <row r="160">
      <c r="A160" s="33">
        <f>IFERROR(__xludf.DUMMYFUNCTION("""COMPUTED_VALUE"""),1.0499435E7)</f>
        <v>10499435</v>
      </c>
      <c r="B160" s="33">
        <f>IFERROR(__xludf.DUMMYFUNCTION("""COMPUTED_VALUE"""),63.0)</f>
        <v>63</v>
      </c>
      <c r="C160" s="33" t="str">
        <f>IFERROR(__xludf.DUMMYFUNCTION("""COMPUTED_VALUE"""),"IR2018-11")</f>
        <v>IR2018-11</v>
      </c>
      <c r="D160" s="34" t="str">
        <f>IFERROR(__xludf.DUMMYFUNCTION("""COMPUTED_VALUE"""),"INGRESAR CENTRO DE COSTO A LA DERECHA")</f>
        <v>INGRESAR CENTRO DE COSTO A LA DERECHA</v>
      </c>
      <c r="E160" s="34" t="str">
        <f>IFERROR(__xludf.DUMMYFUNCTION("""COMPUTED_VALUE"""),"SELLO EDITORIAL")</f>
        <v>SELLO EDITORIAL</v>
      </c>
      <c r="F160" s="34" t="str">
        <f>IFERROR(__xludf.DUMMYFUNCTION("""COMPUTED_VALUE"""),"Cajero(a) B 2º categoria")</f>
        <v>Cajero(a) B 2º categoria</v>
      </c>
      <c r="G160" s="33" t="str">
        <f>IFERROR(__xludf.DUMMYFUNCTION("""COMPUTED_VALUE"""),"CAJERO B 2° CATEGORIA")</f>
        <v>CAJERO B 2° CATEGORIA</v>
      </c>
      <c r="H160">
        <f>IFERROR(__xludf.DUMMYFUNCTION("""COMPUTED_VALUE"""),17.0)</f>
        <v>17</v>
      </c>
      <c r="I160" s="34" t="str">
        <f>IFERROR(__xludf.DUMMYFUNCTION("""COMPUTED_VALUE"""),"Jornada Completa")</f>
        <v>Jornada Completa</v>
      </c>
      <c r="J160" s="33" t="str">
        <f>IFERROR(__xludf.DUMMYFUNCTION("""COMPUTED_VALUE"""),"A CONTRATA")</f>
        <v>A CONTRATA</v>
      </c>
      <c r="K160" s="33" t="str">
        <f>IFERROR(__xludf.DUMMYFUNCTION("""COMPUTED_VALUE"""),"TECNICO")</f>
        <v>TECNICO</v>
      </c>
      <c r="L160" s="34" t="str">
        <f>IFERROR(__xludf.DUMMYFUNCTION("""COMPUTED_VALUE"""),"INTERNO")</f>
        <v>INTERNO</v>
      </c>
      <c r="M160" s="34">
        <f>IFERROR(__xludf.DUMMYFUNCTION("""COMPUTED_VALUE"""),1.0)</f>
        <v>1</v>
      </c>
      <c r="N160" s="34" t="str">
        <f>IFERROR(__xludf.DUMMYFUNCTION("""COMPUTED_VALUE"""),"NO")</f>
        <v>NO</v>
      </c>
      <c r="O160">
        <f>IFERROR(__xludf.DUMMYFUNCTION("""COMPUTED_VALUE"""),0.0)</f>
        <v>0</v>
      </c>
      <c r="P160">
        <f>IFERROR(__xludf.DUMMYFUNCTION("""COMPUTED_VALUE"""),1.0)</f>
        <v>1</v>
      </c>
      <c r="Q160" s="35">
        <f>IFERROR(__xludf.DUMMYFUNCTION("""COMPUTED_VALUE"""),0.0)</f>
        <v>0</v>
      </c>
      <c r="R160" s="36" t="str">
        <f>IFERROR(__xludf.DUMMYFUNCTION("""COMPUTED_VALUE"""),"SELECCIONADO")</f>
        <v>SELECCIONADO</v>
      </c>
      <c r="S160" s="37">
        <f>IFERROR(__xludf.DUMMYFUNCTION("""COMPUTED_VALUE"""),43374.0)</f>
        <v>43374</v>
      </c>
      <c r="T160" s="34" t="str">
        <f>IFERROR(__xludf.DUMMYFUNCTION("""COMPUTED_VALUE"""),"SOLIS PEREZ JAVIER ALEJANDRO")</f>
        <v>SOLIS PEREZ JAVIER ALEJANDRO</v>
      </c>
      <c r="V160" t="str">
        <f>IFERROR(__xludf.DUMMYFUNCTION("""COMPUTED_VALUE"""),"10499435-0")</f>
        <v>10499435-0</v>
      </c>
      <c r="W160" t="str">
        <f>IFERROR(__xludf.DUMMYFUNCTION("""COMPUTED_VALUE"""),"SI")</f>
        <v>SI</v>
      </c>
      <c r="X160" t="str">
        <f>IFERROR(__xludf.DUMMYFUNCTION("""COMPUTED_VALUE"""),"Trabajo en Equipo")</f>
        <v>Trabajo en Equipo</v>
      </c>
      <c r="AA160" s="38">
        <f>IFERROR(__xludf.DUMMYFUNCTION("""COMPUTED_VALUE"""),43332.0)</f>
        <v>43332</v>
      </c>
      <c r="AB160" s="38">
        <f>IFERROR(__xludf.DUMMYFUNCTION("""COMPUTED_VALUE"""),43339.0)</f>
        <v>43339</v>
      </c>
      <c r="AF160" s="39"/>
      <c r="AG160" s="39"/>
      <c r="AH160" s="34" t="str">
        <f>IFERROR(__xludf.DUMMYFUNCTION("""COMPUTED_VALUE"""),"PROCESO DE SELECCIÓN")</f>
        <v>PROCESO DE SELECCIÓN</v>
      </c>
      <c r="AI160" s="34" t="str">
        <f>IFERROR(__xludf.DUMMYFUNCTION("""COMPUTED_VALUE"""),"CALDERON SOTO - AGUILAR GLORIA")</f>
        <v>CALDERON SOTO - AGUILAR GLORIA</v>
      </c>
      <c r="AJ160" s="34"/>
      <c r="AK160" s="34" t="str">
        <f>IFERROR(__xludf.DUMMYFUNCTION("""COMPUTED_VALUE"""),"P")</f>
        <v>P</v>
      </c>
      <c r="AL160">
        <f>IFERROR(__xludf.DUMMYFUNCTION("""COMPUTED_VALUE"""),26.0)</f>
        <v>26</v>
      </c>
      <c r="AM160">
        <f>IFERROR(__xludf.DUMMYFUNCTION("""COMPUTED_VALUE"""),2018.0)</f>
        <v>2018</v>
      </c>
      <c r="AN160" t="str">
        <f t="shared" si="1"/>
        <v>10499435-0</v>
      </c>
    </row>
    <row r="161">
      <c r="A161" s="33">
        <f>IFERROR(__xludf.DUMMYFUNCTION("""COMPUTED_VALUE"""),1.1752677E7)</f>
        <v>11752677</v>
      </c>
      <c r="B161" s="33">
        <f>IFERROR(__xludf.DUMMYFUNCTION("""COMPUTED_VALUE"""),64.0)</f>
        <v>64</v>
      </c>
      <c r="C161" s="33" t="str">
        <f>IFERROR(__xludf.DUMMYFUNCTION("""COMPUTED_VALUE"""),"IR2018-10")</f>
        <v>IR2018-10</v>
      </c>
      <c r="D161" s="34" t="str">
        <f>IFERROR(__xludf.DUMMYFUNCTION("""COMPUTED_VALUE"""),"INGRESAR CENTRO DE COSTO A LA DERECHA")</f>
        <v>INGRESAR CENTRO DE COSTO A LA DERECHA</v>
      </c>
      <c r="E161" s="34" t="str">
        <f>IFERROR(__xludf.DUMMYFUNCTION("""COMPUTED_VALUE"""),"UNIDAD DE BIENESTAR DEL PERSONAL")</f>
        <v>UNIDAD DE BIENESTAR DEL PERSONAL</v>
      </c>
      <c r="F161" s="34" t="str">
        <f>IFERROR(__xludf.DUMMYFUNCTION("""COMPUTED_VALUE"""),"Técnico(a) en Atención de Párvulos")</f>
        <v>Técnico(a) en Atención de Párvulos</v>
      </c>
      <c r="G161" s="33" t="str">
        <f>IFERROR(__xludf.DUMMYFUNCTION("""COMPUTED_VALUE"""),"TECNICO EN ATENCION DE PARVULOS")</f>
        <v>TECNICO EN ATENCION DE PARVULOS</v>
      </c>
      <c r="H161">
        <f>IFERROR(__xludf.DUMMYFUNCTION("""COMPUTED_VALUE"""),17.0)</f>
        <v>17</v>
      </c>
      <c r="I161" s="34" t="str">
        <f>IFERROR(__xludf.DUMMYFUNCTION("""COMPUTED_VALUE"""),"Jornada Completa")</f>
        <v>Jornada Completa</v>
      </c>
      <c r="J161" s="33" t="str">
        <f>IFERROR(__xludf.DUMMYFUNCTION("""COMPUTED_VALUE"""),"A CONTRATA")</f>
        <v>A CONTRATA</v>
      </c>
      <c r="K161" s="33" t="str">
        <f>IFERROR(__xludf.DUMMYFUNCTION("""COMPUTED_VALUE"""),"TECNICO")</f>
        <v>TECNICO</v>
      </c>
      <c r="L161" s="34" t="str">
        <f>IFERROR(__xludf.DUMMYFUNCTION("""COMPUTED_VALUE"""),"INTERNO")</f>
        <v>INTERNO</v>
      </c>
      <c r="M161" s="34">
        <f>IFERROR(__xludf.DUMMYFUNCTION("""COMPUTED_VALUE"""),0.0)</f>
        <v>0</v>
      </c>
      <c r="N161" s="34" t="str">
        <f>IFERROR(__xludf.DUMMYFUNCTION("""COMPUTED_VALUE"""),"EXTERNO")</f>
        <v>EXTERNO</v>
      </c>
      <c r="O161">
        <f>IFERROR(__xludf.DUMMYFUNCTION("""COMPUTED_VALUE"""),14.0)</f>
        <v>14</v>
      </c>
      <c r="P161">
        <f>IFERROR(__xludf.DUMMYFUNCTION("""COMPUTED_VALUE"""),3.0)</f>
        <v>3</v>
      </c>
      <c r="Q161" s="35">
        <f>IFERROR(__xludf.DUMMYFUNCTION("""COMPUTED_VALUE"""),0.0)</f>
        <v>0</v>
      </c>
      <c r="R161" s="36" t="str">
        <f>IFERROR(__xludf.DUMMYFUNCTION("""COMPUTED_VALUE"""),"SELECCIONADA")</f>
        <v>SELECCIONADA</v>
      </c>
      <c r="S161" s="37">
        <f>IFERROR(__xludf.DUMMYFUNCTION("""COMPUTED_VALUE"""),43374.0)</f>
        <v>43374</v>
      </c>
      <c r="T161" s="34"/>
      <c r="U161" t="str">
        <f>IFERROR(__xludf.DUMMYFUNCTION("""COMPUTED_VALUE"""),"MARICEL SILVA GUTIERREZ")</f>
        <v>MARICEL SILVA GUTIERREZ</v>
      </c>
      <c r="V161" t="str">
        <f>IFERROR(__xludf.DUMMYFUNCTION("""COMPUTED_VALUE"""),"11752677-1")</f>
        <v>11752677-1</v>
      </c>
      <c r="W161" t="str">
        <f>IFERROR(__xludf.DUMMYFUNCTION("""COMPUTED_VALUE"""),"SI")</f>
        <v>SI</v>
      </c>
      <c r="X161" t="str">
        <f>IFERROR(__xludf.DUMMYFUNCTION("""COMPUTED_VALUE"""),"Tolerancia a la presion")</f>
        <v>Tolerancia a la presion</v>
      </c>
      <c r="Y161" t="str">
        <f>IFERROR(__xludf.DUMMYFUNCTION("""COMPUTED_VALUE"""),"Autocontrol")</f>
        <v>Autocontrol</v>
      </c>
      <c r="AA161" s="38">
        <f>IFERROR(__xludf.DUMMYFUNCTION("""COMPUTED_VALUE"""),43308.0)</f>
        <v>43308</v>
      </c>
      <c r="AB161" s="38">
        <f>IFERROR(__xludf.DUMMYFUNCTION("""COMPUTED_VALUE"""),43315.0)</f>
        <v>43315</v>
      </c>
      <c r="AF161" s="39"/>
      <c r="AG161" s="39"/>
      <c r="AH161" s="34" t="str">
        <f>IFERROR(__xludf.DUMMYFUNCTION("""COMPUTED_VALUE"""),"PROCESO DE SELECCIÓN")</f>
        <v>PROCESO DE SELECCIÓN</v>
      </c>
      <c r="AI161" s="34" t="str">
        <f>IFERROR(__xludf.DUMMYFUNCTION("""COMPUTED_VALUE"""),"BRIONES VIDAL PATRICIA")</f>
        <v>BRIONES VIDAL PATRICIA</v>
      </c>
      <c r="AJ161" s="34"/>
      <c r="AK161" s="34" t="str">
        <f>IFERROR(__xludf.DUMMYFUNCTION("""COMPUTED_VALUE"""),"E")</f>
        <v>E</v>
      </c>
      <c r="AL161">
        <f>IFERROR(__xludf.DUMMYFUNCTION("""COMPUTED_VALUE"""),42.0)</f>
        <v>42</v>
      </c>
      <c r="AM161">
        <f>IFERROR(__xludf.DUMMYFUNCTION("""COMPUTED_VALUE"""),2018.0)</f>
        <v>2018</v>
      </c>
      <c r="AN161" t="str">
        <f t="shared" si="1"/>
        <v>11752677-1</v>
      </c>
    </row>
    <row r="162">
      <c r="A162" s="33">
        <f>IFERROR(__xludf.DUMMYFUNCTION("""COMPUTED_VALUE"""),1.7663754E7)</f>
        <v>17663754</v>
      </c>
      <c r="B162" s="33">
        <f>IFERROR(__xludf.DUMMYFUNCTION("""COMPUTED_VALUE"""),65.0)</f>
        <v>65</v>
      </c>
      <c r="C162" s="33" t="str">
        <f>IFERROR(__xludf.DUMMYFUNCTION("""COMPUTED_VALUE"""),"A177")</f>
        <v>A177</v>
      </c>
      <c r="D162" s="34" t="str">
        <f>IFERROR(__xludf.DUMMYFUNCTION("""COMPUTED_VALUE"""),"INGRESAR CENTRO DE COSTO A LA DERECHA")</f>
        <v>INGRESAR CENTRO DE COSTO A LA DERECHA</v>
      </c>
      <c r="E162" s="34" t="str">
        <f>IFERROR(__xludf.DUMMYFUNCTION("""COMPUTED_VALUE"""),"VR. DE INVEST. DESARR E INNOVACION")</f>
        <v>VR. DE INVEST. DESARR E INNOVACION</v>
      </c>
      <c r="F162" s="34" t="str">
        <f>IFERROR(__xludf.DUMMYFUNCTION("""COMPUTED_VALUE"""),"Administrativo(a) de Proceso")</f>
        <v>Administrativo(a) de Proceso</v>
      </c>
      <c r="G162" s="33" t="str">
        <f>IFERROR(__xludf.DUMMYFUNCTION("""COMPUTED_VALUE"""),"ADMINISTRATIVO DE PROCESO")</f>
        <v>ADMINISTRATIVO DE PROCESO</v>
      </c>
      <c r="H162">
        <f>IFERROR(__xludf.DUMMYFUNCTION("""COMPUTED_VALUE"""),17.0)</f>
        <v>17</v>
      </c>
      <c r="I162" s="34" t="str">
        <f>IFERROR(__xludf.DUMMYFUNCTION("""COMPUTED_VALUE"""),"Jornada Completa")</f>
        <v>Jornada Completa</v>
      </c>
      <c r="J162" s="33" t="str">
        <f>IFERROR(__xludf.DUMMYFUNCTION("""COMPUTED_VALUE"""),"A CONTRATA")</f>
        <v>A CONTRATA</v>
      </c>
      <c r="K162" s="33" t="str">
        <f>IFERROR(__xludf.DUMMYFUNCTION("""COMPUTED_VALUE"""),"ADMINISTRATIVO")</f>
        <v>ADMINISTRATIVO</v>
      </c>
      <c r="L162" s="34" t="str">
        <f>IFERROR(__xludf.DUMMYFUNCTION("""COMPUTED_VALUE"""),"INTERNO")</f>
        <v>INTERNO</v>
      </c>
      <c r="M162" s="34">
        <f>IFERROR(__xludf.DUMMYFUNCTION("""COMPUTED_VALUE"""),3.0)</f>
        <v>3</v>
      </c>
      <c r="N162" s="34" t="str">
        <f>IFERROR(__xludf.DUMMYFUNCTION("""COMPUTED_VALUE"""),"NO")</f>
        <v>NO</v>
      </c>
      <c r="O162">
        <f>IFERROR(__xludf.DUMMYFUNCTION("""COMPUTED_VALUE"""),5.0)</f>
        <v>5</v>
      </c>
      <c r="P162">
        <f>IFERROR(__xludf.DUMMYFUNCTION("""COMPUTED_VALUE"""),1.0)</f>
        <v>1</v>
      </c>
      <c r="Q162" s="35">
        <f>IFERROR(__xludf.DUMMYFUNCTION("""COMPUTED_VALUE"""),1.0)</f>
        <v>1</v>
      </c>
      <c r="R162" s="36" t="str">
        <f>IFERROR(__xludf.DUMMYFUNCTION("""COMPUTED_VALUE"""),"SELECCIONADA")</f>
        <v>SELECCIONADA</v>
      </c>
      <c r="S162" s="37">
        <f>IFERROR(__xludf.DUMMYFUNCTION("""COMPUTED_VALUE"""),43356.0)</f>
        <v>43356</v>
      </c>
      <c r="T162" s="34" t="str">
        <f>IFERROR(__xludf.DUMMYFUNCTION("""COMPUTED_VALUE"""),"CUBILLOS CASTRO MARIA PAZ")</f>
        <v>CUBILLOS CASTRO MARIA PAZ</v>
      </c>
      <c r="V162" t="str">
        <f>IFERROR(__xludf.DUMMYFUNCTION("""COMPUTED_VALUE"""),"17663754-4")</f>
        <v>17663754-4</v>
      </c>
      <c r="W162" t="str">
        <f>IFERROR(__xludf.DUMMYFUNCTION("""COMPUTED_VALUE"""),"SI")</f>
        <v>SI</v>
      </c>
      <c r="X162" t="str">
        <f>IFERROR(__xludf.DUMMYFUNCTION("""COMPUTED_VALUE"""),"Orientacion a los Resultados")</f>
        <v>Orientacion a los Resultados</v>
      </c>
      <c r="AA162" s="38">
        <f>IFERROR(__xludf.DUMMYFUNCTION("""COMPUTED_VALUE"""),43314.0)</f>
        <v>43314</v>
      </c>
      <c r="AB162" s="38">
        <f>IFERROR(__xludf.DUMMYFUNCTION("""COMPUTED_VALUE"""),43320.0)</f>
        <v>43320</v>
      </c>
      <c r="AF162" s="39"/>
      <c r="AG162" s="39"/>
      <c r="AH162" s="34" t="str">
        <f>IFERROR(__xludf.DUMMYFUNCTION("""COMPUTED_VALUE"""),"PROCESO DE SELECCIÓN")</f>
        <v>PROCESO DE SELECCIÓN</v>
      </c>
      <c r="AI162" s="34" t="str">
        <f>IFERROR(__xludf.DUMMYFUNCTION("""COMPUTED_VALUE"""),"OLGUIN FERNANDEZ VERONICA")</f>
        <v>OLGUIN FERNANDEZ VERONICA</v>
      </c>
      <c r="AJ162" s="34"/>
      <c r="AK162" s="34" t="str">
        <f>IFERROR(__xludf.DUMMYFUNCTION("""COMPUTED_VALUE"""),"C")</f>
        <v>C</v>
      </c>
      <c r="AL162">
        <f>IFERROR(__xludf.DUMMYFUNCTION("""COMPUTED_VALUE"""),27.0)</f>
        <v>27</v>
      </c>
      <c r="AM162">
        <f>IFERROR(__xludf.DUMMYFUNCTION("""COMPUTED_VALUE"""),2018.0)</f>
        <v>2018</v>
      </c>
      <c r="AN162" t="str">
        <f t="shared" si="1"/>
        <v>17663754-4</v>
      </c>
    </row>
    <row r="163">
      <c r="A163" s="33">
        <f>IFERROR(__xludf.DUMMYFUNCTION("""COMPUTED_VALUE"""),1.7225035E7)</f>
        <v>17225035</v>
      </c>
      <c r="B163" s="33">
        <f>IFERROR(__xludf.DUMMYFUNCTION("""COMPUTED_VALUE"""),66.0)</f>
        <v>66</v>
      </c>
      <c r="C163" s="33" t="str">
        <f>IFERROR(__xludf.DUMMYFUNCTION("""COMPUTED_VALUE"""),"A215")</f>
        <v>A215</v>
      </c>
      <c r="D163" s="34" t="str">
        <f>IFERROR(__xludf.DUMMYFUNCTION("""COMPUTED_VALUE"""),"INGRESAR CENTRO DE COSTO A LA DERECHA")</f>
        <v>INGRESAR CENTRO DE COSTO A LA DERECHA</v>
      </c>
      <c r="E163" s="34" t="str">
        <f>IFERROR(__xludf.DUMMYFUNCTION("""COMPUTED_VALUE"""),"DPTO. DE CALIDAD Y ACREDITACION")</f>
        <v>DPTO. DE CALIDAD Y ACREDITACION</v>
      </c>
      <c r="F163" s="34" t="str">
        <f>IFERROR(__xludf.DUMMYFUNCTION("""COMPUTED_VALUE"""),"Analista de Acreditación")</f>
        <v>Analista de Acreditación</v>
      </c>
      <c r="G163" s="33" t="str">
        <f>IFERROR(__xludf.DUMMYFUNCTION("""COMPUTED_VALUE"""),"ANALISTA DE ACREDITACION")</f>
        <v>ANALISTA DE ACREDITACION</v>
      </c>
      <c r="H163">
        <f>IFERROR(__xludf.DUMMYFUNCTION("""COMPUTED_VALUE"""),10.0)</f>
        <v>10</v>
      </c>
      <c r="I163" s="34" t="str">
        <f>IFERROR(__xludf.DUMMYFUNCTION("""COMPUTED_VALUE"""),"Jornada Completa")</f>
        <v>Jornada Completa</v>
      </c>
      <c r="J163" s="33" t="str">
        <f>IFERROR(__xludf.DUMMYFUNCTION("""COMPUTED_VALUE"""),"A CONTRATA")</f>
        <v>A CONTRATA</v>
      </c>
      <c r="K163" s="33" t="str">
        <f>IFERROR(__xludf.DUMMYFUNCTION("""COMPUTED_VALUE"""),"PROFESIONAL")</f>
        <v>PROFESIONAL</v>
      </c>
      <c r="L163" s="34" t="str">
        <f>IFERROR(__xludf.DUMMYFUNCTION("""COMPUTED_VALUE"""),"INTERNO")</f>
        <v>INTERNO</v>
      </c>
      <c r="M163" s="34">
        <f>IFERROR(__xludf.DUMMYFUNCTION("""COMPUTED_VALUE"""),2.0)</f>
        <v>2</v>
      </c>
      <c r="N163" s="34" t="str">
        <f>IFERROR(__xludf.DUMMYFUNCTION("""COMPUTED_VALUE"""),"EXTERNO")</f>
        <v>EXTERNO</v>
      </c>
      <c r="O163">
        <f>IFERROR(__xludf.DUMMYFUNCTION("""COMPUTED_VALUE"""),14.0)</f>
        <v>14</v>
      </c>
      <c r="P163">
        <f>IFERROR(__xludf.DUMMYFUNCTION("""COMPUTED_VALUE"""),1.0)</f>
        <v>1</v>
      </c>
      <c r="Q163" s="35">
        <f>IFERROR(__xludf.DUMMYFUNCTION("""COMPUTED_VALUE"""),0.0)</f>
        <v>0</v>
      </c>
      <c r="R163" s="36" t="str">
        <f>IFERROR(__xludf.DUMMYFUNCTION("""COMPUTED_VALUE"""),"SELECCIONADO")</f>
        <v>SELECCIONADO</v>
      </c>
      <c r="S163" s="37">
        <f>IFERROR(__xludf.DUMMYFUNCTION("""COMPUTED_VALUE"""),43344.0)</f>
        <v>43344</v>
      </c>
      <c r="T163" s="34"/>
      <c r="U163" t="str">
        <f>IFERROR(__xludf.DUMMYFUNCTION("""COMPUTED_VALUE"""),"FELIPE MATUS VALENZUELA")</f>
        <v>FELIPE MATUS VALENZUELA</v>
      </c>
      <c r="V163" t="str">
        <f>IFERROR(__xludf.DUMMYFUNCTION("""COMPUTED_VALUE"""),"17225035-1")</f>
        <v>17225035-1</v>
      </c>
      <c r="W163" t="str">
        <f>IFERROR(__xludf.DUMMYFUNCTION("""COMPUTED_VALUE"""),"SI")</f>
        <v>SI</v>
      </c>
      <c r="X163" t="str">
        <f>IFERROR(__xludf.DUMMYFUNCTION("""COMPUTED_VALUE"""),"Pensamiento Analitico")</f>
        <v>Pensamiento Analitico</v>
      </c>
      <c r="Y163" t="str">
        <f>IFERROR(__xludf.DUMMYFUNCTION("""COMPUTED_VALUE"""),"Capacidad de Planificacion y Organizacion")</f>
        <v>Capacidad de Planificacion y Organizacion</v>
      </c>
      <c r="AA163" s="38">
        <f>IFERROR(__xludf.DUMMYFUNCTION("""COMPUTED_VALUE"""),43306.0)</f>
        <v>43306</v>
      </c>
      <c r="AB163" s="38">
        <f>IFERROR(__xludf.DUMMYFUNCTION("""COMPUTED_VALUE"""),43312.0)</f>
        <v>43312</v>
      </c>
      <c r="AF163" s="39"/>
      <c r="AG163" s="39"/>
      <c r="AH163" s="34" t="str">
        <f>IFERROR(__xludf.DUMMYFUNCTION("""COMPUTED_VALUE"""),"PROCESO DE SELECCIÓN")</f>
        <v>PROCESO DE SELECCIÓN</v>
      </c>
      <c r="AI163" s="34" t="str">
        <f>IFERROR(__xludf.DUMMYFUNCTION("""COMPUTED_VALUE"""),"ORELLANA GARRIDO CLAUDIA")</f>
        <v>ORELLANA GARRIDO CLAUDIA</v>
      </c>
      <c r="AJ163" s="34"/>
      <c r="AK163" s="34" t="str">
        <f>IFERROR(__xludf.DUMMYFUNCTION("""COMPUTED_VALUE"""),"E")</f>
        <v>E</v>
      </c>
      <c r="AL163">
        <f>IFERROR(__xludf.DUMMYFUNCTION("""COMPUTED_VALUE"""),24.0)</f>
        <v>24</v>
      </c>
      <c r="AM163">
        <f>IFERROR(__xludf.DUMMYFUNCTION("""COMPUTED_VALUE"""),2018.0)</f>
        <v>2018</v>
      </c>
      <c r="AN163" t="str">
        <f t="shared" si="1"/>
        <v>17225035-1</v>
      </c>
    </row>
    <row r="164">
      <c r="A164" s="33">
        <f>IFERROR(__xludf.DUMMYFUNCTION("""COMPUTED_VALUE"""),1.7879933E7)</f>
        <v>17879933</v>
      </c>
      <c r="B164" s="33">
        <f>IFERROR(__xludf.DUMMYFUNCTION("""COMPUTED_VALUE"""),67.0)</f>
        <v>67</v>
      </c>
      <c r="C164" s="33" t="str">
        <f>IFERROR(__xludf.DUMMYFUNCTION("""COMPUTED_VALUE"""),"IR2018-18")</f>
        <v>IR2018-18</v>
      </c>
      <c r="D164" s="34" t="str">
        <f>IFERROR(__xludf.DUMMYFUNCTION("""COMPUTED_VALUE"""),"INGRESAR CENTRO DE COSTO A LA DERECHA")</f>
        <v>INGRESAR CENTRO DE COSTO A LA DERECHA</v>
      </c>
      <c r="E164" s="34" t="str">
        <f>IFERROR(__xludf.DUMMYFUNCTION("""COMPUTED_VALUE"""),"UNIDAD DE BIBLIOTECAS")</f>
        <v>UNIDAD DE BIBLIOTECAS</v>
      </c>
      <c r="F164" s="34" t="str">
        <f>IFERROR(__xludf.DUMMYFUNCTION("""COMPUTED_VALUE"""),"Asistente de Biblioteca")</f>
        <v>Asistente de Biblioteca</v>
      </c>
      <c r="G164" s="33" t="str">
        <f>IFERROR(__xludf.DUMMYFUNCTION("""COMPUTED_VALUE"""),"ASISTENTE DE BIBLIOTECA  ")</f>
        <v>ASISTENTE DE BIBLIOTECA  </v>
      </c>
      <c r="H164">
        <f>IFERROR(__xludf.DUMMYFUNCTION("""COMPUTED_VALUE"""),20.0)</f>
        <v>20</v>
      </c>
      <c r="I164" s="34" t="str">
        <f>IFERROR(__xludf.DUMMYFUNCTION("""COMPUTED_VALUE"""),"Jornada Completa")</f>
        <v>Jornada Completa</v>
      </c>
      <c r="J164" s="33" t="str">
        <f>IFERROR(__xludf.DUMMYFUNCTION("""COMPUTED_VALUE"""),"A CONTRATA")</f>
        <v>A CONTRATA</v>
      </c>
      <c r="K164" s="33" t="str">
        <f>IFERROR(__xludf.DUMMYFUNCTION("""COMPUTED_VALUE"""),"ADMINISTRATIVO")</f>
        <v>ADMINISTRATIVO</v>
      </c>
      <c r="L164" s="34" t="str">
        <f>IFERROR(__xludf.DUMMYFUNCTION("""COMPUTED_VALUE"""),"INTERNO")</f>
        <v>INTERNO</v>
      </c>
      <c r="M164" s="34">
        <f>IFERROR(__xludf.DUMMYFUNCTION("""COMPUTED_VALUE"""),1.0)</f>
        <v>1</v>
      </c>
      <c r="N164" s="34" t="str">
        <f>IFERROR(__xludf.DUMMYFUNCTION("""COMPUTED_VALUE"""),"NO")</f>
        <v>NO</v>
      </c>
      <c r="O164">
        <f>IFERROR(__xludf.DUMMYFUNCTION("""COMPUTED_VALUE"""),0.0)</f>
        <v>0</v>
      </c>
      <c r="P164">
        <f>IFERROR(__xludf.DUMMYFUNCTION("""COMPUTED_VALUE"""),1.0)</f>
        <v>1</v>
      </c>
      <c r="Q164" s="35">
        <f>IFERROR(__xludf.DUMMYFUNCTION("""COMPUTED_VALUE"""),0.0)</f>
        <v>0</v>
      </c>
      <c r="R164" s="36" t="str">
        <f>IFERROR(__xludf.DUMMYFUNCTION("""COMPUTED_VALUE"""),"SELECCIONADA")</f>
        <v>SELECCIONADA</v>
      </c>
      <c r="S164" s="37">
        <f>IFERROR(__xludf.DUMMYFUNCTION("""COMPUTED_VALUE"""),43374.0)</f>
        <v>43374</v>
      </c>
      <c r="T164" s="34" t="str">
        <f>IFERROR(__xludf.DUMMYFUNCTION("""COMPUTED_VALUE"""),"CERDA ARANCIBIA SUSANA ANDREA")</f>
        <v>CERDA ARANCIBIA SUSANA ANDREA</v>
      </c>
      <c r="V164" t="str">
        <f>IFERROR(__xludf.DUMMYFUNCTION("""COMPUTED_VALUE"""),"17879933-9")</f>
        <v>17879933-9</v>
      </c>
      <c r="W164" t="str">
        <f>IFERROR(__xludf.DUMMYFUNCTION("""COMPUTED_VALUE"""),"SI")</f>
        <v>SI</v>
      </c>
      <c r="X164" t="str">
        <f>IFERROR(__xludf.DUMMYFUNCTION("""COMPUTED_VALUE"""),"Preocupacion por el Orden y la Claridad")</f>
        <v>Preocupacion por el Orden y la Claridad</v>
      </c>
      <c r="AA164" s="38">
        <f>IFERROR(__xludf.DUMMYFUNCTION("""COMPUTED_VALUE"""),43381.0)</f>
        <v>43381</v>
      </c>
      <c r="AB164" s="38">
        <f>IFERROR(__xludf.DUMMYFUNCTION("""COMPUTED_VALUE"""),43325.0)</f>
        <v>43325</v>
      </c>
      <c r="AF164" s="39"/>
      <c r="AG164" s="39"/>
      <c r="AH164" s="34" t="str">
        <f>IFERROR(__xludf.DUMMYFUNCTION("""COMPUTED_VALUE"""),"PROCESO DE SELECCIÓN")</f>
        <v>PROCESO DE SELECCIÓN</v>
      </c>
      <c r="AI164" s="34" t="str">
        <f>IFERROR(__xludf.DUMMYFUNCTION("""COMPUTED_VALUE"""),"- ")</f>
        <v>- </v>
      </c>
      <c r="AJ164" s="34"/>
      <c r="AK164" s="34" t="str">
        <f>IFERROR(__xludf.DUMMYFUNCTION("""COMPUTED_VALUE"""),"C")</f>
        <v>C</v>
      </c>
      <c r="AL164">
        <f>IFERROR(__xludf.DUMMYFUNCTION("""COMPUTED_VALUE"""),36.0)</f>
        <v>36</v>
      </c>
      <c r="AM164">
        <f>IFERROR(__xludf.DUMMYFUNCTION("""COMPUTED_VALUE"""),2018.0)</f>
        <v>2018</v>
      </c>
      <c r="AN164" t="str">
        <f t="shared" si="1"/>
        <v>17879933-9</v>
      </c>
    </row>
    <row r="165">
      <c r="A165" s="33">
        <f>IFERROR(__xludf.DUMMYFUNCTION("""COMPUTED_VALUE"""),9095484.0)</f>
        <v>9095484</v>
      </c>
      <c r="B165" s="33">
        <f>IFERROR(__xludf.DUMMYFUNCTION("""COMPUTED_VALUE"""),68.0)</f>
        <v>68</v>
      </c>
      <c r="C165" s="33" t="str">
        <f>IFERROR(__xludf.DUMMYFUNCTION("""COMPUTED_VALUE"""),"IR2018-19")</f>
        <v>IR2018-19</v>
      </c>
      <c r="D165" s="34" t="str">
        <f>IFERROR(__xludf.DUMMYFUNCTION("""COMPUTED_VALUE"""),"INGRESAR CENTRO DE COSTO A LA DERECHA")</f>
        <v>INGRESAR CENTRO DE COSTO A LA DERECHA</v>
      </c>
      <c r="E165" s="34" t="str">
        <f>IFERROR(__xludf.DUMMYFUNCTION("""COMPUTED_VALUE"""),"UNIDAD DE BIBLIOTECAS")</f>
        <v>UNIDAD DE BIBLIOTECAS</v>
      </c>
      <c r="F165" s="34" t="str">
        <f>IFERROR(__xludf.DUMMYFUNCTION("""COMPUTED_VALUE"""),"Asistente de Biblioteca")</f>
        <v>Asistente de Biblioteca</v>
      </c>
      <c r="G165" s="33" t="str">
        <f>IFERROR(__xludf.DUMMYFUNCTION("""COMPUTED_VALUE"""),"ASISTENTE DE BIBLIOTECA ( HORARIO VESPERTINO)")</f>
        <v>ASISTENTE DE BIBLIOTECA ( HORARIO VESPERTINO)</v>
      </c>
      <c r="H165">
        <f>IFERROR(__xludf.DUMMYFUNCTION("""COMPUTED_VALUE"""),20.0)</f>
        <v>20</v>
      </c>
      <c r="I165" s="34" t="str">
        <f>IFERROR(__xludf.DUMMYFUNCTION("""COMPUTED_VALUE"""),"Jornada Completa")</f>
        <v>Jornada Completa</v>
      </c>
      <c r="J165" s="33" t="str">
        <f>IFERROR(__xludf.DUMMYFUNCTION("""COMPUTED_VALUE"""),"A CONTRATA")</f>
        <v>A CONTRATA</v>
      </c>
      <c r="K165" s="33" t="str">
        <f>IFERROR(__xludf.DUMMYFUNCTION("""COMPUTED_VALUE"""),"ADMINISTRATIVO")</f>
        <v>ADMINISTRATIVO</v>
      </c>
      <c r="L165" s="34" t="str">
        <f>IFERROR(__xludf.DUMMYFUNCTION("""COMPUTED_VALUE"""),"INTERNO")</f>
        <v>INTERNO</v>
      </c>
      <c r="M165" s="34">
        <f>IFERROR(__xludf.DUMMYFUNCTION("""COMPUTED_VALUE"""),0.0)</f>
        <v>0</v>
      </c>
      <c r="N165" s="34" t="str">
        <f>IFERROR(__xludf.DUMMYFUNCTION("""COMPUTED_VALUE"""),"EXTERNO")</f>
        <v>EXTERNO</v>
      </c>
      <c r="O165">
        <f>IFERROR(__xludf.DUMMYFUNCTION("""COMPUTED_VALUE"""),6.0)</f>
        <v>6</v>
      </c>
      <c r="P165">
        <f>IFERROR(__xludf.DUMMYFUNCTION("""COMPUTED_VALUE"""),1.0)</f>
        <v>1</v>
      </c>
      <c r="Q165" s="35">
        <f>IFERROR(__xludf.DUMMYFUNCTION("""COMPUTED_VALUE"""),0.0)</f>
        <v>0</v>
      </c>
      <c r="R165" s="36" t="str">
        <f>IFERROR(__xludf.DUMMYFUNCTION("""COMPUTED_VALUE"""),"SELECCIONADO")</f>
        <v>SELECCIONADO</v>
      </c>
      <c r="S165" s="37">
        <f>IFERROR(__xludf.DUMMYFUNCTION("""COMPUTED_VALUE"""),43374.0)</f>
        <v>43374</v>
      </c>
      <c r="T165" s="34"/>
      <c r="U165" t="str">
        <f>IFERROR(__xludf.DUMMYFUNCTION("""COMPUTED_VALUE"""),"LUIS FUENTES COELLO")</f>
        <v>LUIS FUENTES COELLO</v>
      </c>
      <c r="V165" t="str">
        <f>IFERROR(__xludf.DUMMYFUNCTION("""COMPUTED_VALUE"""),"9095484-9")</f>
        <v>9095484-9</v>
      </c>
      <c r="W165" t="str">
        <f>IFERROR(__xludf.DUMMYFUNCTION("""COMPUTED_VALUE"""),"SI")</f>
        <v>SI</v>
      </c>
      <c r="X165" t="str">
        <f>IFERROR(__xludf.DUMMYFUNCTION("""COMPUTED_VALUE"""),"Comunicacion")</f>
        <v>Comunicacion</v>
      </c>
      <c r="AA165" s="38">
        <f>IFERROR(__xludf.DUMMYFUNCTION("""COMPUTED_VALUE"""),43316.0)</f>
        <v>43316</v>
      </c>
      <c r="AB165" s="38">
        <f>IFERROR(__xludf.DUMMYFUNCTION("""COMPUTED_VALUE"""),43332.0)</f>
        <v>43332</v>
      </c>
      <c r="AF165" s="39"/>
      <c r="AG165" s="39"/>
      <c r="AH165" s="34" t="str">
        <f>IFERROR(__xludf.DUMMYFUNCTION("""COMPUTED_VALUE"""),"PROCESO DE SELECCIÓN")</f>
        <v>PROCESO DE SELECCIÓN</v>
      </c>
      <c r="AI165" s="34" t="str">
        <f>IFERROR(__xludf.DUMMYFUNCTION("""COMPUTED_VALUE""")," - ")</f>
        <v> - </v>
      </c>
      <c r="AJ165" s="34"/>
      <c r="AK165" s="34" t="str">
        <f>IFERROR(__xludf.DUMMYFUNCTION("""COMPUTED_VALUE"""),"C")</f>
        <v>C</v>
      </c>
      <c r="AL165">
        <f>IFERROR(__xludf.DUMMYFUNCTION("""COMPUTED_VALUE"""),31.0)</f>
        <v>31</v>
      </c>
      <c r="AM165">
        <f>IFERROR(__xludf.DUMMYFUNCTION("""COMPUTED_VALUE"""),2018.0)</f>
        <v>2018</v>
      </c>
      <c r="AN165" t="str">
        <f t="shared" si="1"/>
        <v>09095484-9</v>
      </c>
    </row>
    <row r="166">
      <c r="A166" s="33">
        <f>IFERROR(__xludf.DUMMYFUNCTION("""COMPUTED_VALUE"""),1.6562789E7)</f>
        <v>16562789</v>
      </c>
      <c r="B166" s="33">
        <f>IFERROR(__xludf.DUMMYFUNCTION("""COMPUTED_VALUE"""),70.0)</f>
        <v>70</v>
      </c>
      <c r="C166" s="33" t="str">
        <f>IFERROR(__xludf.DUMMYFUNCTION("""COMPUTED_VALUE"""),"A223")</f>
        <v>A223</v>
      </c>
      <c r="D166" s="34" t="str">
        <f>IFERROR(__xludf.DUMMYFUNCTION("""COMPUTED_VALUE"""),"INGRESAR CENTRO DE COSTO A LA DERECHA")</f>
        <v>INGRESAR CENTRO DE COSTO A LA DERECHA</v>
      </c>
      <c r="E166" s="34" t="str">
        <f>IFERROR(__xludf.DUMMYFUNCTION("""COMPUTED_VALUE"""),"UNIDAD DE ADM. SERV. ALIMENTARIOS")</f>
        <v>UNIDAD DE ADM. SERV. ALIMENTARIOS</v>
      </c>
      <c r="F166" s="34" t="str">
        <f>IFERROR(__xludf.DUMMYFUNCTION("""COMPUTED_VALUE"""),"Encargado(a) de Compras Unidad")</f>
        <v>Encargado(a) de Compras Unidad</v>
      </c>
      <c r="G166" s="33" t="str">
        <f>IFERROR(__xludf.DUMMYFUNCTION("""COMPUTED_VALUE"""),"ENCARGADO DE COMPRAS UNIDAD")</f>
        <v>ENCARGADO DE COMPRAS UNIDAD</v>
      </c>
      <c r="H166">
        <f>IFERROR(__xludf.DUMMYFUNCTION("""COMPUTED_VALUE"""),17.0)</f>
        <v>17</v>
      </c>
      <c r="I166" s="34" t="str">
        <f>IFERROR(__xludf.DUMMYFUNCTION("""COMPUTED_VALUE"""),"Jornada Completa")</f>
        <v>Jornada Completa</v>
      </c>
      <c r="J166" s="33" t="str">
        <f>IFERROR(__xludf.DUMMYFUNCTION("""COMPUTED_VALUE"""),"A CONTRATA")</f>
        <v>A CONTRATA</v>
      </c>
      <c r="K166" s="33" t="str">
        <f>IFERROR(__xludf.DUMMYFUNCTION("""COMPUTED_VALUE"""),"ADMINISTRATIVO")</f>
        <v>ADMINISTRATIVO</v>
      </c>
      <c r="L166" s="34" t="str">
        <f>IFERROR(__xludf.DUMMYFUNCTION("""COMPUTED_VALUE"""),"INTERNO")</f>
        <v>INTERNO</v>
      </c>
      <c r="M166" s="34">
        <f>IFERROR(__xludf.DUMMYFUNCTION("""COMPUTED_VALUE"""),2.0)</f>
        <v>2</v>
      </c>
      <c r="N166" s="34" t="str">
        <f>IFERROR(__xludf.DUMMYFUNCTION("""COMPUTED_VALUE"""),"NO")</f>
        <v>NO</v>
      </c>
      <c r="O166">
        <f>IFERROR(__xludf.DUMMYFUNCTION("""COMPUTED_VALUE"""),0.0)</f>
        <v>0</v>
      </c>
      <c r="P166">
        <f>IFERROR(__xludf.DUMMYFUNCTION("""COMPUTED_VALUE"""),2.0)</f>
        <v>2</v>
      </c>
      <c r="Q166" s="35">
        <f>IFERROR(__xludf.DUMMYFUNCTION("""COMPUTED_VALUE"""),0.0)</f>
        <v>0</v>
      </c>
      <c r="R166" s="36" t="str">
        <f>IFERROR(__xludf.DUMMYFUNCTION("""COMPUTED_VALUE"""),"SELECCIONADO")</f>
        <v>SELECCIONADO</v>
      </c>
      <c r="S166" s="37">
        <f>IFERROR(__xludf.DUMMYFUNCTION("""COMPUTED_VALUE"""),43376.0)</f>
        <v>43376</v>
      </c>
      <c r="T166" s="34" t="str">
        <f>IFERROR(__xludf.DUMMYFUNCTION("""COMPUTED_VALUE"""),"CARRERA MOLINA JUAN ANDRES")</f>
        <v>CARRERA MOLINA JUAN ANDRES</v>
      </c>
      <c r="V166" t="str">
        <f>IFERROR(__xludf.DUMMYFUNCTION("""COMPUTED_VALUE"""),"16562789-K")</f>
        <v>16562789-K</v>
      </c>
      <c r="W166" t="str">
        <f>IFERROR(__xludf.DUMMYFUNCTION("""COMPUTED_VALUE"""),"SI")</f>
        <v>SI</v>
      </c>
      <c r="X166" t="str">
        <f>IFERROR(__xludf.DUMMYFUNCTION("""COMPUTED_VALUE"""),"Preocupacion por el Orden y la Claridad")</f>
        <v>Preocupacion por el Orden y la Claridad</v>
      </c>
      <c r="AA166" s="38">
        <f>IFERROR(__xludf.DUMMYFUNCTION("""COMPUTED_VALUE"""),43329.0)</f>
        <v>43329</v>
      </c>
      <c r="AB166" s="38">
        <f>IFERROR(__xludf.DUMMYFUNCTION("""COMPUTED_VALUE"""),43336.0)</f>
        <v>43336</v>
      </c>
      <c r="AF166" s="39"/>
      <c r="AG166" s="39"/>
      <c r="AH166" s="34" t="str">
        <f>IFERROR(__xludf.DUMMYFUNCTION("""COMPUTED_VALUE"""),"PROCESO DE SELECCIÓN")</f>
        <v>PROCESO DE SELECCIÓN</v>
      </c>
      <c r="AI166" s="34" t="str">
        <f>IFERROR(__xludf.DUMMYFUNCTION("""COMPUTED_VALUE"""),"ARMIJO CORNEJO MIGUEL")</f>
        <v>ARMIJO CORNEJO MIGUEL</v>
      </c>
      <c r="AJ166" s="34"/>
      <c r="AK166" s="34" t="str">
        <f>IFERROR(__xludf.DUMMYFUNCTION("""COMPUTED_VALUE"""),"P")</f>
        <v>P</v>
      </c>
      <c r="AL166">
        <f>IFERROR(__xludf.DUMMYFUNCTION("""COMPUTED_VALUE"""),29.0)</f>
        <v>29</v>
      </c>
      <c r="AM166">
        <f>IFERROR(__xludf.DUMMYFUNCTION("""COMPUTED_VALUE"""),2018.0)</f>
        <v>2018</v>
      </c>
      <c r="AN166" t="str">
        <f t="shared" si="1"/>
        <v>16562789-K</v>
      </c>
    </row>
    <row r="167">
      <c r="A167" s="33">
        <f>IFERROR(__xludf.DUMMYFUNCTION("""COMPUTED_VALUE"""),2.6033733E7)</f>
        <v>26033733</v>
      </c>
      <c r="B167" s="33">
        <f>IFERROR(__xludf.DUMMYFUNCTION("""COMPUTED_VALUE"""),71.0)</f>
        <v>71</v>
      </c>
      <c r="C167" s="33"/>
      <c r="D167" s="34" t="str">
        <f>IFERROR(__xludf.DUMMYFUNCTION("""COMPUTED_VALUE"""),"INGRESAR CENTRO DE COSTO A LA DERECHA")</f>
        <v>INGRESAR CENTRO DE COSTO A LA DERECHA</v>
      </c>
      <c r="E167" s="34" t="str">
        <f>IFERROR(__xludf.DUMMYFUNCTION("""COMPUTED_VALUE"""),"UNIDAD DE ATENCION DE SALUD")</f>
        <v>UNIDAD DE ATENCION DE SALUD</v>
      </c>
      <c r="F167" s="34" t="str">
        <f>IFERROR(__xludf.DUMMYFUNCTION("""COMPUTED_VALUE"""),"Médicos(as) y Dentistas")</f>
        <v>Médicos(as) y Dentistas</v>
      </c>
      <c r="G167" s="33" t="str">
        <f>IFERROR(__xludf.DUMMYFUNCTION("""COMPUTED_VALUE"""),"MEDICO GINECOLOGO LEY 19664 ")</f>
        <v>MEDICO GINECOLOGO LEY 19664 </v>
      </c>
      <c r="I167" s="34" t="str">
        <f>IFERROR(__xludf.DUMMYFUNCTION("""COMPUTED_VALUE"""),"1/2 Jornada")</f>
        <v>1/2 Jornada</v>
      </c>
      <c r="J167" s="33" t="str">
        <f>IFERROR(__xludf.DUMMYFUNCTION("""COMPUTED_VALUE"""),"A CONTRATA")</f>
        <v>A CONTRATA</v>
      </c>
      <c r="K167" s="33"/>
      <c r="L167" s="34" t="str">
        <f>IFERROR(__xludf.DUMMYFUNCTION("""COMPUTED_VALUE"""),"NO")</f>
        <v>NO</v>
      </c>
      <c r="M167" s="34">
        <f>IFERROR(__xludf.DUMMYFUNCTION("""COMPUTED_VALUE"""),0.0)</f>
        <v>0</v>
      </c>
      <c r="N167" s="34" t="str">
        <f>IFERROR(__xludf.DUMMYFUNCTION("""COMPUTED_VALUE"""),"EXTERNO")</f>
        <v>EXTERNO</v>
      </c>
      <c r="O167">
        <f>IFERROR(__xludf.DUMMYFUNCTION("""COMPUTED_VALUE"""),5.0)</f>
        <v>5</v>
      </c>
      <c r="P167">
        <f>IFERROR(__xludf.DUMMYFUNCTION("""COMPUTED_VALUE"""),3.0)</f>
        <v>3</v>
      </c>
      <c r="Q167" s="35">
        <f>IFERROR(__xludf.DUMMYFUNCTION("""COMPUTED_VALUE"""),5.0)</f>
        <v>5</v>
      </c>
      <c r="R167" s="36" t="str">
        <f>IFERROR(__xludf.DUMMYFUNCTION("""COMPUTED_VALUE"""),"SELECCIONADA")</f>
        <v>SELECCIONADA</v>
      </c>
      <c r="S167" s="37">
        <f>IFERROR(__xludf.DUMMYFUNCTION("""COMPUTED_VALUE"""),43374.0)</f>
        <v>43374</v>
      </c>
      <c r="T167" s="34"/>
      <c r="U167" t="str">
        <f>IFERROR(__xludf.DUMMYFUNCTION("""COMPUTED_VALUE"""),"JESSICA BASTOURI CARRASCO")</f>
        <v>JESSICA BASTOURI CARRASCO</v>
      </c>
      <c r="V167" t="str">
        <f>IFERROR(__xludf.DUMMYFUNCTION("""COMPUTED_VALUE"""),"26033733-5")</f>
        <v>26033733-5</v>
      </c>
      <c r="W167" t="str">
        <f>IFERROR(__xludf.DUMMYFUNCTION("""COMPUTED_VALUE"""),"NO")</f>
        <v>NO</v>
      </c>
      <c r="AA167" s="38">
        <f>IFERROR(__xludf.DUMMYFUNCTION("""COMPUTED_VALUE"""),43301.0)</f>
        <v>43301</v>
      </c>
      <c r="AB167" s="38">
        <f>IFERROR(__xludf.DUMMYFUNCTION("""COMPUTED_VALUE"""),43332.0)</f>
        <v>43332</v>
      </c>
      <c r="AF167" s="39"/>
      <c r="AG167" s="39"/>
      <c r="AH167" s="34" t="str">
        <f>IFERROR(__xludf.DUMMYFUNCTION("""COMPUTED_VALUE"""),"PROCESO DE SELECCIÓN")</f>
        <v>PROCESO DE SELECCIÓN</v>
      </c>
      <c r="AI167" s="34" t="str">
        <f>IFERROR(__xludf.DUMMYFUNCTION("""COMPUTED_VALUE"""),"- ")</f>
        <v>- </v>
      </c>
      <c r="AJ167" s="34"/>
      <c r="AK167" s="34" t="str">
        <f>IFERROR(__xludf.DUMMYFUNCTION("""COMPUTED_VALUE"""),"C")</f>
        <v>C</v>
      </c>
      <c r="AL167">
        <f>IFERROR(__xludf.DUMMYFUNCTION("""COMPUTED_VALUE"""),31.0)</f>
        <v>31</v>
      </c>
      <c r="AM167">
        <f>IFERROR(__xludf.DUMMYFUNCTION("""COMPUTED_VALUE"""),2018.0)</f>
        <v>2018</v>
      </c>
      <c r="AN167" t="str">
        <f t="shared" si="1"/>
        <v>26033733-5</v>
      </c>
    </row>
    <row r="168">
      <c r="A168" s="33">
        <f>IFERROR(__xludf.DUMMYFUNCTION("""COMPUTED_VALUE"""),1.8538269E7)</f>
        <v>18538269</v>
      </c>
      <c r="B168" s="33">
        <f>IFERROR(__xludf.DUMMYFUNCTION("""COMPUTED_VALUE"""),72.0)</f>
        <v>72</v>
      </c>
      <c r="C168" s="33" t="str">
        <f>IFERROR(__xludf.DUMMYFUNCTION("""COMPUTED_VALUE"""),"A241")</f>
        <v>A241</v>
      </c>
      <c r="D168" s="34" t="str">
        <f>IFERROR(__xludf.DUMMYFUNCTION("""COMPUTED_VALUE"""),"INGRESAR CENTRO DE COSTO A LA DERECHA")</f>
        <v>INGRESAR CENTRO DE COSTO A LA DERECHA</v>
      </c>
      <c r="E168" s="34" t="str">
        <f>IFERROR(__xludf.DUMMYFUNCTION("""COMPUTED_VALUE"""),"DPTO. DE INGENIERIA EN MINAS")</f>
        <v>DPTO. DE INGENIERIA EN MINAS</v>
      </c>
      <c r="F168" s="34" t="str">
        <f>IFERROR(__xludf.DUMMYFUNCTION("""COMPUTED_VALUE"""),"Encargado(a) de Laboratorio")</f>
        <v>Encargado(a) de Laboratorio</v>
      </c>
      <c r="G168" s="33" t="str">
        <f>IFERROR(__xludf.DUMMYFUNCTION("""COMPUTED_VALUE"""),"ENCARGADO DE LABORATORIO ( PROCESAMIENTO EN MINERALES)")</f>
        <v>ENCARGADO DE LABORATORIO ( PROCESAMIENTO EN MINERALES)</v>
      </c>
      <c r="H168">
        <f>IFERROR(__xludf.DUMMYFUNCTION("""COMPUTED_VALUE"""),13.0)</f>
        <v>13</v>
      </c>
      <c r="I168" s="34" t="str">
        <f>IFERROR(__xludf.DUMMYFUNCTION("""COMPUTED_VALUE"""),"Jornada Completa")</f>
        <v>Jornada Completa</v>
      </c>
      <c r="J168" s="33" t="str">
        <f>IFERROR(__xludf.DUMMYFUNCTION("""COMPUTED_VALUE"""),"A CONTRATA")</f>
        <v>A CONTRATA</v>
      </c>
      <c r="K168" s="33" t="str">
        <f>IFERROR(__xludf.DUMMYFUNCTION("""COMPUTED_VALUE"""),"PROFESIONAL")</f>
        <v>PROFESIONAL</v>
      </c>
      <c r="L168" s="34" t="str">
        <f>IFERROR(__xludf.DUMMYFUNCTION("""COMPUTED_VALUE"""),"INTERNO")</f>
        <v>INTERNO</v>
      </c>
      <c r="M168" s="34">
        <f>IFERROR(__xludf.DUMMYFUNCTION("""COMPUTED_VALUE"""),0.0)</f>
        <v>0</v>
      </c>
      <c r="N168" s="34" t="str">
        <f>IFERROR(__xludf.DUMMYFUNCTION("""COMPUTED_VALUE"""),"EXTERNO")</f>
        <v>EXTERNO</v>
      </c>
      <c r="O168">
        <f>IFERROR(__xludf.DUMMYFUNCTION("""COMPUTED_VALUE"""),7.0)</f>
        <v>7</v>
      </c>
      <c r="P168">
        <f>IFERROR(__xludf.DUMMYFUNCTION("""COMPUTED_VALUE"""),1.0)</f>
        <v>1</v>
      </c>
      <c r="Q168" s="35">
        <f>IFERROR(__xludf.DUMMYFUNCTION("""COMPUTED_VALUE"""),0.0)</f>
        <v>0</v>
      </c>
      <c r="R168" s="36" t="str">
        <f>IFERROR(__xludf.DUMMYFUNCTION("""COMPUTED_VALUE"""),"SELECCIONADO")</f>
        <v>SELECCIONADO</v>
      </c>
      <c r="S168" s="37">
        <f>IFERROR(__xludf.DUMMYFUNCTION("""COMPUTED_VALUE"""),43381.0)</f>
        <v>43381</v>
      </c>
      <c r="T168" s="34"/>
      <c r="U168" t="str">
        <f>IFERROR(__xludf.DUMMYFUNCTION("""COMPUTED_VALUE"""),"VICTOR VALDES PEREZ")</f>
        <v>VICTOR VALDES PEREZ</v>
      </c>
      <c r="V168" t="str">
        <f>IFERROR(__xludf.DUMMYFUNCTION("""COMPUTED_VALUE"""),"18538269-9")</f>
        <v>18538269-9</v>
      </c>
      <c r="W168" t="str">
        <f>IFERROR(__xludf.DUMMYFUNCTION("""COMPUTED_VALUE"""),"SI")</f>
        <v>SI</v>
      </c>
      <c r="X168" t="str">
        <f>IFERROR(__xludf.DUMMYFUNCTION("""COMPUTED_VALUE"""),"Trabajo en Equipo")</f>
        <v>Trabajo en Equipo</v>
      </c>
      <c r="Y168" t="str">
        <f>IFERROR(__xludf.DUMMYFUNCTION("""COMPUTED_VALUE"""),"Capacidad de Planificacion y Organizacion")</f>
        <v>Capacidad de Planificacion y Organizacion</v>
      </c>
      <c r="AA168" s="38">
        <f>IFERROR(__xludf.DUMMYFUNCTION("""COMPUTED_VALUE"""),43356.0)</f>
        <v>43356</v>
      </c>
      <c r="AB168" s="38">
        <f>IFERROR(__xludf.DUMMYFUNCTION("""COMPUTED_VALUE"""),43364.0)</f>
        <v>43364</v>
      </c>
      <c r="AF168" s="39"/>
      <c r="AG168" s="39"/>
      <c r="AH168" s="34" t="str">
        <f>IFERROR(__xludf.DUMMYFUNCTION("""COMPUTED_VALUE"""),"PROCESO DE SELECCIÓN")</f>
        <v>PROCESO DE SELECCIÓN</v>
      </c>
      <c r="AI168" s="34" t="str">
        <f>IFERROR(__xludf.DUMMYFUNCTION("""COMPUTED_VALUE"""),"LEON FAGNILLI RAMIRO")</f>
        <v>LEON FAGNILLI RAMIRO</v>
      </c>
      <c r="AJ168" s="34"/>
      <c r="AK168" s="34" t="str">
        <f>IFERROR(__xludf.DUMMYFUNCTION("""COMPUTED_VALUE"""),"E")</f>
        <v>E</v>
      </c>
      <c r="AL168">
        <f>IFERROR(__xludf.DUMMYFUNCTION("""COMPUTED_VALUE"""),12.0)</f>
        <v>12</v>
      </c>
      <c r="AM168">
        <f>IFERROR(__xludf.DUMMYFUNCTION("""COMPUTED_VALUE"""),2018.0)</f>
        <v>2018</v>
      </c>
      <c r="AN168" t="str">
        <f t="shared" si="1"/>
        <v>18538269-9</v>
      </c>
    </row>
    <row r="169">
      <c r="A169" s="33">
        <f>IFERROR(__xludf.DUMMYFUNCTION("""COMPUTED_VALUE"""),1.7834829E7)</f>
        <v>17834829</v>
      </c>
      <c r="B169" s="33">
        <f>IFERROR(__xludf.DUMMYFUNCTION("""COMPUTED_VALUE"""),73.0)</f>
        <v>73</v>
      </c>
      <c r="C169" s="33"/>
      <c r="D169" s="34" t="str">
        <f>IFERROR(__xludf.DUMMYFUNCTION("""COMPUTED_VALUE"""),"INGRESAR CENTRO DE COSTO A LA DERECHA")</f>
        <v>INGRESAR CENTRO DE COSTO A LA DERECHA</v>
      </c>
      <c r="E169" s="34" t="str">
        <f>IFERROR(__xludf.DUMMYFUNCTION("""COMPUTED_VALUE"""),"DIR. DE ASISTENCIA JURIDICA")</f>
        <v>DIR. DE ASISTENCIA JURIDICA</v>
      </c>
      <c r="F169" s="34" t="str">
        <f>IFERROR(__xludf.DUMMYFUNCTION("""COMPUTED_VALUE"""),"Abogado(a) Dirección Juridica")</f>
        <v>Abogado(a) Dirección Juridica</v>
      </c>
      <c r="G169" s="33" t="str">
        <f>IFERROR(__xludf.DUMMYFUNCTION("""COMPUTED_VALUE"""),"ABOGADO DIRECCIÓN JURÍDICA")</f>
        <v>ABOGADO DIRECCIÓN JURÍDICA</v>
      </c>
      <c r="H169">
        <f>IFERROR(__xludf.DUMMYFUNCTION("""COMPUTED_VALUE"""),8.0)</f>
        <v>8</v>
      </c>
      <c r="I169" s="34" t="str">
        <f>IFERROR(__xludf.DUMMYFUNCTION("""COMPUTED_VALUE"""),"Jornada Completa")</f>
        <v>Jornada Completa</v>
      </c>
      <c r="J169" s="33" t="str">
        <f>IFERROR(__xludf.DUMMYFUNCTION("""COMPUTED_VALUE"""),"A CONTRATA")</f>
        <v>A CONTRATA</v>
      </c>
      <c r="K169" s="33" t="str">
        <f>IFERROR(__xludf.DUMMYFUNCTION("""COMPUTED_VALUE"""),"PROFESIONAL")</f>
        <v>PROFESIONAL</v>
      </c>
      <c r="L169" s="34" t="str">
        <f>IFERROR(__xludf.DUMMYFUNCTION("""COMPUTED_VALUE"""),"NO")</f>
        <v>NO</v>
      </c>
      <c r="M169" s="34">
        <f>IFERROR(__xludf.DUMMYFUNCTION("""COMPUTED_VALUE"""),0.0)</f>
        <v>0</v>
      </c>
      <c r="N169" s="34" t="str">
        <f>IFERROR(__xludf.DUMMYFUNCTION("""COMPUTED_VALUE"""),"EXTERNO")</f>
        <v>EXTERNO</v>
      </c>
      <c r="O169">
        <f>IFERROR(__xludf.DUMMYFUNCTION("""COMPUTED_VALUE"""),52.0)</f>
        <v>52</v>
      </c>
      <c r="P169">
        <f>IFERROR(__xludf.DUMMYFUNCTION("""COMPUTED_VALUE"""),3.0)</f>
        <v>3</v>
      </c>
      <c r="Q169" s="35">
        <f>IFERROR(__xludf.DUMMYFUNCTION("""COMPUTED_VALUE"""),0.0)</f>
        <v>0</v>
      </c>
      <c r="R169" s="36" t="str">
        <f>IFERROR(__xludf.DUMMYFUNCTION("""COMPUTED_VALUE"""),"SELECCIONADA")</f>
        <v>SELECCIONADA</v>
      </c>
      <c r="S169" s="37">
        <f>IFERROR(__xludf.DUMMYFUNCTION("""COMPUTED_VALUE"""),43339.0)</f>
        <v>43339</v>
      </c>
      <c r="T169" s="34"/>
      <c r="U169" t="str">
        <f>IFERROR(__xludf.DUMMYFUNCTION("""COMPUTED_VALUE"""),"TIHARE DIAZ GONZALEZ")</f>
        <v>TIHARE DIAZ GONZALEZ</v>
      </c>
      <c r="V169" t="str">
        <f>IFERROR(__xludf.DUMMYFUNCTION("""COMPUTED_VALUE"""),"17834829-9")</f>
        <v>17834829-9</v>
      </c>
      <c r="W169" t="str">
        <f>IFERROR(__xludf.DUMMYFUNCTION("""COMPUTED_VALUE"""),"NO")</f>
        <v>NO</v>
      </c>
      <c r="AA169" s="38">
        <f>IFERROR(__xludf.DUMMYFUNCTION("""COMPUTED_VALUE"""),43259.0)</f>
        <v>43259</v>
      </c>
      <c r="AB169" s="38">
        <f>IFERROR(__xludf.DUMMYFUNCTION("""COMPUTED_VALUE"""),43263.0)</f>
        <v>43263</v>
      </c>
      <c r="AF169" s="39"/>
      <c r="AG169" s="39"/>
      <c r="AH169" s="34"/>
      <c r="AI169" s="34"/>
      <c r="AJ169" s="34"/>
      <c r="AK169" s="34" t="str">
        <f>IFERROR(__xludf.DUMMYFUNCTION("""COMPUTED_VALUE"""),"E")</f>
        <v>E</v>
      </c>
      <c r="AL169">
        <f>IFERROR(__xludf.DUMMYFUNCTION("""COMPUTED_VALUE"""),55.0)</f>
        <v>55</v>
      </c>
      <c r="AM169">
        <f>IFERROR(__xludf.DUMMYFUNCTION("""COMPUTED_VALUE"""),2018.0)</f>
        <v>2018</v>
      </c>
      <c r="AN169" t="str">
        <f t="shared" si="1"/>
        <v>17834829-9</v>
      </c>
    </row>
    <row r="170">
      <c r="A170" s="33">
        <f>IFERROR(__xludf.DUMMYFUNCTION("""COMPUTED_VALUE"""),1.8756738E7)</f>
        <v>18756738</v>
      </c>
      <c r="B170" s="33">
        <f>IFERROR(__xludf.DUMMYFUNCTION("""COMPUTED_VALUE"""),74.0)</f>
        <v>74</v>
      </c>
      <c r="C170" s="33" t="str">
        <f>IFERROR(__xludf.DUMMYFUNCTION("""COMPUTED_VALUE"""),"A222")</f>
        <v>A222</v>
      </c>
      <c r="D170" s="34" t="str">
        <f>IFERROR(__xludf.DUMMYFUNCTION("""COMPUTED_VALUE"""),"INGRESAR CENTRO DE COSTO A LA DERECHA")</f>
        <v>INGRESAR CENTRO DE COSTO A LA DERECHA</v>
      </c>
      <c r="E170" s="34" t="str">
        <f>IFERROR(__xludf.DUMMYFUNCTION("""COMPUTED_VALUE"""),"DPTO. DE FINANZAS Y TESORERIA")</f>
        <v>DPTO. DE FINANZAS Y TESORERIA</v>
      </c>
      <c r="F170" s="34" t="str">
        <f>IFERROR(__xludf.DUMMYFUNCTION("""COMPUTED_VALUE"""),"Administrativo(a) Contable")</f>
        <v>Administrativo(a) Contable</v>
      </c>
      <c r="G170" s="33" t="str">
        <f>IFERROR(__xludf.DUMMYFUNCTION("""COMPUTED_VALUE"""),"ADMINISTRATIVO CONTABLE ( OPERACIONES)")</f>
        <v>ADMINISTRATIVO CONTABLE ( OPERACIONES)</v>
      </c>
      <c r="H170">
        <f>IFERROR(__xludf.DUMMYFUNCTION("""COMPUTED_VALUE"""),17.0)</f>
        <v>17</v>
      </c>
      <c r="I170" s="34" t="str">
        <f>IFERROR(__xludf.DUMMYFUNCTION("""COMPUTED_VALUE"""),"Jornada Completa")</f>
        <v>Jornada Completa</v>
      </c>
      <c r="J170" s="33" t="str">
        <f>IFERROR(__xludf.DUMMYFUNCTION("""COMPUTED_VALUE"""),"A CONTRATA")</f>
        <v>A CONTRATA</v>
      </c>
      <c r="K170" s="33" t="str">
        <f>IFERROR(__xludf.DUMMYFUNCTION("""COMPUTED_VALUE"""),"TECNICO")</f>
        <v>TECNICO</v>
      </c>
      <c r="L170" s="34" t="str">
        <f>IFERROR(__xludf.DUMMYFUNCTION("""COMPUTED_VALUE"""),"INTERNO")</f>
        <v>INTERNO</v>
      </c>
      <c r="M170" s="34">
        <f>IFERROR(__xludf.DUMMYFUNCTION("""COMPUTED_VALUE"""),1.0)</f>
        <v>1</v>
      </c>
      <c r="N170" s="34" t="str">
        <f>IFERROR(__xludf.DUMMYFUNCTION("""COMPUTED_VALUE"""),"EXTERNO")</f>
        <v>EXTERNO</v>
      </c>
      <c r="O170">
        <f>IFERROR(__xludf.DUMMYFUNCTION("""COMPUTED_VALUE"""),7.0)</f>
        <v>7</v>
      </c>
      <c r="P170">
        <f>IFERROR(__xludf.DUMMYFUNCTION("""COMPUTED_VALUE"""),1.0)</f>
        <v>1</v>
      </c>
      <c r="Q170" s="35">
        <f>IFERROR(__xludf.DUMMYFUNCTION("""COMPUTED_VALUE"""),0.0)</f>
        <v>0</v>
      </c>
      <c r="R170" s="36" t="str">
        <f>IFERROR(__xludf.DUMMYFUNCTION("""COMPUTED_VALUE"""),"SELECCIONADO")</f>
        <v>SELECCIONADO</v>
      </c>
      <c r="S170" s="37">
        <f>IFERROR(__xludf.DUMMYFUNCTION("""COMPUTED_VALUE"""),43381.0)</f>
        <v>43381</v>
      </c>
      <c r="T170" s="34"/>
      <c r="U170" t="str">
        <f>IFERROR(__xludf.DUMMYFUNCTION("""COMPUTED_VALUE"""),"JORGE MENDEZ LOPEZ")</f>
        <v>JORGE MENDEZ LOPEZ</v>
      </c>
      <c r="V170" t="str">
        <f>IFERROR(__xludf.DUMMYFUNCTION("""COMPUTED_VALUE"""),"18756738-6")</f>
        <v>18756738-6</v>
      </c>
      <c r="W170" t="str">
        <f>IFERROR(__xludf.DUMMYFUNCTION("""COMPUTED_VALUE"""),"SI")</f>
        <v>SI</v>
      </c>
      <c r="X170" t="str">
        <f>IFERROR(__xludf.DUMMYFUNCTION("""COMPUTED_VALUE"""),"Trabajo en Equipo")</f>
        <v>Trabajo en Equipo</v>
      </c>
      <c r="AA170" s="38">
        <f>IFERROR(__xludf.DUMMYFUNCTION("""COMPUTED_VALUE"""),43315.0)</f>
        <v>43315</v>
      </c>
      <c r="AB170" s="38">
        <f>IFERROR(__xludf.DUMMYFUNCTION("""COMPUTED_VALUE"""),43322.0)</f>
        <v>43322</v>
      </c>
      <c r="AF170" s="39"/>
      <c r="AG170" s="39"/>
      <c r="AH170" s="34" t="str">
        <f>IFERROR(__xludf.DUMMYFUNCTION("""COMPUTED_VALUE"""),"PROCESO DE SELECCIÓN")</f>
        <v>PROCESO DE SELECCIÓN</v>
      </c>
      <c r="AI170" s="34" t="str">
        <f>IFERROR(__xludf.DUMMYFUNCTION("""COMPUTED_VALUE"""),"MIRANDA MIRANDA MYRTHA")</f>
        <v>MIRANDA MIRANDA MYRTHA</v>
      </c>
      <c r="AJ170" s="34"/>
      <c r="AK170" s="34" t="str">
        <f>IFERROR(__xludf.DUMMYFUNCTION("""COMPUTED_VALUE"""),"C")</f>
        <v>C</v>
      </c>
      <c r="AL170">
        <f>IFERROR(__xludf.DUMMYFUNCTION("""COMPUTED_VALUE"""),42.0)</f>
        <v>42</v>
      </c>
      <c r="AM170">
        <f>IFERROR(__xludf.DUMMYFUNCTION("""COMPUTED_VALUE"""),2018.0)</f>
        <v>2018</v>
      </c>
      <c r="AN170" t="str">
        <f t="shared" si="1"/>
        <v>18756738-6</v>
      </c>
    </row>
    <row r="171">
      <c r="A171" s="33">
        <f>IFERROR(__xludf.DUMMYFUNCTION("""COMPUTED_VALUE"""),1.8535351E7)</f>
        <v>18535351</v>
      </c>
      <c r="B171" s="33">
        <f>IFERROR(__xludf.DUMMYFUNCTION("""COMPUTED_VALUE"""),75.0)</f>
        <v>75</v>
      </c>
      <c r="C171" s="33" t="str">
        <f>IFERROR(__xludf.DUMMYFUNCTION("""COMPUTED_VALUE"""),"A235")</f>
        <v>A235</v>
      </c>
      <c r="D171" s="34" t="str">
        <f>IFERROR(__xludf.DUMMYFUNCTION("""COMPUTED_VALUE"""),"INGRESAR CENTRO DE COSTO A LA DERECHA")</f>
        <v>INGRESAR CENTRO DE COSTO A LA DERECHA</v>
      </c>
      <c r="E171" s="34" t="str">
        <f>IFERROR(__xludf.DUMMYFUNCTION("""COMPUTED_VALUE"""),"VR. DE VINCULACION CON EL MEDIO")</f>
        <v>VR. DE VINCULACION CON EL MEDIO</v>
      </c>
      <c r="F171" s="34" t="str">
        <f>IFERROR(__xludf.DUMMYFUNCTION("""COMPUTED_VALUE"""),"Psicólogo(a)")</f>
        <v>Psicólogo(a)</v>
      </c>
      <c r="G171" s="33" t="str">
        <f>IFERROR(__xludf.DUMMYFUNCTION("""COMPUTED_VALUE"""),"PSICOLOGO UNIDAD FUNCIONAL DE GENERO , DIVERSIDAD Y EQUIDAD")</f>
        <v>PSICOLOGO UNIDAD FUNCIONAL DE GENERO , DIVERSIDAD Y EQUIDAD</v>
      </c>
      <c r="H171">
        <f>IFERROR(__xludf.DUMMYFUNCTION("""COMPUTED_VALUE"""),13.0)</f>
        <v>13</v>
      </c>
      <c r="I171" s="34" t="str">
        <f>IFERROR(__xludf.DUMMYFUNCTION("""COMPUTED_VALUE"""),"Jornada Completa")</f>
        <v>Jornada Completa</v>
      </c>
      <c r="J171" s="33" t="str">
        <f>IFERROR(__xludf.DUMMYFUNCTION("""COMPUTED_VALUE"""),"A CONTRATA")</f>
        <v>A CONTRATA</v>
      </c>
      <c r="K171" s="33" t="str">
        <f>IFERROR(__xludf.DUMMYFUNCTION("""COMPUTED_VALUE"""),"PROFESIONAL")</f>
        <v>PROFESIONAL</v>
      </c>
      <c r="L171" s="34" t="str">
        <f>IFERROR(__xludf.DUMMYFUNCTION("""COMPUTED_VALUE"""),"INTERNO")</f>
        <v>INTERNO</v>
      </c>
      <c r="M171" s="34">
        <f>IFERROR(__xludf.DUMMYFUNCTION("""COMPUTED_VALUE"""),3.0)</f>
        <v>3</v>
      </c>
      <c r="N171" s="34" t="str">
        <f>IFERROR(__xludf.DUMMYFUNCTION("""COMPUTED_VALUE"""),"EXTERNO")</f>
        <v>EXTERNO</v>
      </c>
      <c r="O171">
        <f>IFERROR(__xludf.DUMMYFUNCTION("""COMPUTED_VALUE"""),28.0)</f>
        <v>28</v>
      </c>
      <c r="P171">
        <f>IFERROR(__xludf.DUMMYFUNCTION("""COMPUTED_VALUE"""),3.0)</f>
        <v>3</v>
      </c>
      <c r="Q171" s="35">
        <f>IFERROR(__xludf.DUMMYFUNCTION("""COMPUTED_VALUE"""),0.0)</f>
        <v>0</v>
      </c>
      <c r="R171" s="36" t="str">
        <f>IFERROR(__xludf.DUMMYFUNCTION("""COMPUTED_VALUE"""),"SELECCIONADA")</f>
        <v>SELECCIONADA</v>
      </c>
      <c r="S171" s="37">
        <f>IFERROR(__xludf.DUMMYFUNCTION("""COMPUTED_VALUE"""),43389.0)</f>
        <v>43389</v>
      </c>
      <c r="T171" s="34"/>
      <c r="U171" t="str">
        <f>IFERROR(__xludf.DUMMYFUNCTION("""COMPUTED_VALUE"""),"PAULA VARGAS REYES")</f>
        <v>PAULA VARGAS REYES</v>
      </c>
      <c r="V171" t="str">
        <f>IFERROR(__xludf.DUMMYFUNCTION("""COMPUTED_VALUE"""),"18535351-6")</f>
        <v>18535351-6</v>
      </c>
      <c r="W171" t="str">
        <f>IFERROR(__xludf.DUMMYFUNCTION("""COMPUTED_VALUE"""),"NO")</f>
        <v>NO</v>
      </c>
      <c r="AA171" s="38">
        <f>IFERROR(__xludf.DUMMYFUNCTION("""COMPUTED_VALUE"""),43347.0)</f>
        <v>43347</v>
      </c>
      <c r="AB171" s="38">
        <f>IFERROR(__xludf.DUMMYFUNCTION("""COMPUTED_VALUE"""),43353.0)</f>
        <v>43353</v>
      </c>
      <c r="AF171" s="39"/>
      <c r="AG171" s="39"/>
      <c r="AH171" s="34" t="str">
        <f>IFERROR(__xludf.DUMMYFUNCTION("""COMPUTED_VALUE"""),"PROCESO DE SELECCIÓN")</f>
        <v>PROCESO DE SELECCIÓN</v>
      </c>
      <c r="AI171" s="34" t="str">
        <f>IFERROR(__xludf.DUMMYFUNCTION("""COMPUTED_VALUE""")," - ")</f>
        <v> - </v>
      </c>
      <c r="AJ171" s="34"/>
      <c r="AK171" s="34" t="str">
        <f>IFERROR(__xludf.DUMMYFUNCTION("""COMPUTED_VALUE"""),"E")</f>
        <v>E</v>
      </c>
      <c r="AL171">
        <f>IFERROR(__xludf.DUMMYFUNCTION("""COMPUTED_VALUE"""),27.0)</f>
        <v>27</v>
      </c>
      <c r="AM171">
        <f>IFERROR(__xludf.DUMMYFUNCTION("""COMPUTED_VALUE"""),2018.0)</f>
        <v>2018</v>
      </c>
      <c r="AN171" t="str">
        <f t="shared" si="1"/>
        <v>18535351-6</v>
      </c>
    </row>
    <row r="172">
      <c r="A172" s="33">
        <f>IFERROR(__xludf.DUMMYFUNCTION("""COMPUTED_VALUE"""),1.2879504E7)</f>
        <v>12879504</v>
      </c>
      <c r="B172" s="33">
        <f>IFERROR(__xludf.DUMMYFUNCTION("""COMPUTED_VALUE"""),76.0)</f>
        <v>76</v>
      </c>
      <c r="C172" s="33" t="str">
        <f>IFERROR(__xludf.DUMMYFUNCTION("""COMPUTED_VALUE"""),"IR2018-13")</f>
        <v>IR2018-13</v>
      </c>
      <c r="D172" s="34" t="str">
        <f>IFERROR(__xludf.DUMMYFUNCTION("""COMPUTED_VALUE"""),"INGRESAR CENTRO DE COSTO A LA DERECHA")</f>
        <v>INGRESAR CENTRO DE COSTO A LA DERECHA</v>
      </c>
      <c r="E172" s="34" t="str">
        <f>IFERROR(__xludf.DUMMYFUNCTION("""COMPUTED_VALUE"""),"DPTO. DE INGENIERIA INFORMATICA")</f>
        <v>DPTO. DE INGENIERIA INFORMATICA</v>
      </c>
      <c r="F172" s="34" t="str">
        <f>IFERROR(__xludf.DUMMYFUNCTION("""COMPUTED_VALUE"""),"Secretario(a) B")</f>
        <v>Secretario(a) B</v>
      </c>
      <c r="G172" s="33" t="str">
        <f>IFERROR(__xludf.DUMMYFUNCTION("""COMPUTED_VALUE"""),"SECRETARIA B ( DEPARTAMENTO)")</f>
        <v>SECRETARIA B ( DEPARTAMENTO)</v>
      </c>
      <c r="H172">
        <f>IFERROR(__xludf.DUMMYFUNCTION("""COMPUTED_VALUE"""),17.0)</f>
        <v>17</v>
      </c>
      <c r="I172" s="34" t="str">
        <f>IFERROR(__xludf.DUMMYFUNCTION("""COMPUTED_VALUE"""),"Jornada Completa")</f>
        <v>Jornada Completa</v>
      </c>
      <c r="J172" s="33" t="str">
        <f>IFERROR(__xludf.DUMMYFUNCTION("""COMPUTED_VALUE"""),"A CONTRATA")</f>
        <v>A CONTRATA</v>
      </c>
      <c r="K172" s="33" t="str">
        <f>IFERROR(__xludf.DUMMYFUNCTION("""COMPUTED_VALUE"""),"ADMINISTRATIVO")</f>
        <v>ADMINISTRATIVO</v>
      </c>
      <c r="L172" s="34" t="str">
        <f>IFERROR(__xludf.DUMMYFUNCTION("""COMPUTED_VALUE"""),"INTERNO")</f>
        <v>INTERNO</v>
      </c>
      <c r="M172" s="34">
        <f>IFERROR(__xludf.DUMMYFUNCTION("""COMPUTED_VALUE"""),2.0)</f>
        <v>2</v>
      </c>
      <c r="N172" s="34" t="str">
        <f>IFERROR(__xludf.DUMMYFUNCTION("""COMPUTED_VALUE"""),"EXTERNO")</f>
        <v>EXTERNO</v>
      </c>
      <c r="O172">
        <f>IFERROR(__xludf.DUMMYFUNCTION("""COMPUTED_VALUE"""),33.0)</f>
        <v>33</v>
      </c>
      <c r="P172">
        <f>IFERROR(__xludf.DUMMYFUNCTION("""COMPUTED_VALUE"""),3.0)</f>
        <v>3</v>
      </c>
      <c r="Q172" s="35">
        <f>IFERROR(__xludf.DUMMYFUNCTION("""COMPUTED_VALUE"""),1.0)</f>
        <v>1</v>
      </c>
      <c r="R172" s="36" t="str">
        <f>IFERROR(__xludf.DUMMYFUNCTION("""COMPUTED_VALUE"""),"SELECCIONADA")</f>
        <v>SELECCIONADA</v>
      </c>
      <c r="S172" s="37">
        <f>IFERROR(__xludf.DUMMYFUNCTION("""COMPUTED_VALUE"""),43389.0)</f>
        <v>43389</v>
      </c>
      <c r="T172" s="34"/>
      <c r="U172" t="str">
        <f>IFERROR(__xludf.DUMMYFUNCTION("""COMPUTED_VALUE"""),"XIMENA SILVA TRAILLANCA")</f>
        <v>XIMENA SILVA TRAILLANCA</v>
      </c>
      <c r="V172" t="str">
        <f>IFERROR(__xludf.DUMMYFUNCTION("""COMPUTED_VALUE"""),"12879504-9")</f>
        <v>12879504-9</v>
      </c>
      <c r="W172" t="str">
        <f>IFERROR(__xludf.DUMMYFUNCTION("""COMPUTED_VALUE"""),"SI")</f>
        <v>SI</v>
      </c>
      <c r="X172" t="str">
        <f>IFERROR(__xludf.DUMMYFUNCTION("""COMPUTED_VALUE"""),"Autocontrol")</f>
        <v>Autocontrol</v>
      </c>
      <c r="AA172" s="38">
        <f>IFERROR(__xludf.DUMMYFUNCTION("""COMPUTED_VALUE"""),43314.0)</f>
        <v>43314</v>
      </c>
      <c r="AB172" s="38">
        <f>IFERROR(__xludf.DUMMYFUNCTION("""COMPUTED_VALUE"""),43323.0)</f>
        <v>43323</v>
      </c>
      <c r="AF172" s="39"/>
      <c r="AG172" s="39"/>
      <c r="AH172" s="34" t="str">
        <f>IFERROR(__xludf.DUMMYFUNCTION("""COMPUTED_VALUE"""),"PROCESO DE SELECCIÓN")</f>
        <v>PROCESO DE SELECCIÓN</v>
      </c>
      <c r="AI172" s="34" t="str">
        <f>IFERROR(__xludf.DUMMYFUNCTION("""COMPUTED_VALUE"""),"MIRANDA GUERRERO SOLEDAD")</f>
        <v>MIRANDA GUERRERO SOLEDAD</v>
      </c>
      <c r="AJ172" s="34"/>
      <c r="AK172" s="34" t="str">
        <f>IFERROR(__xludf.DUMMYFUNCTION("""COMPUTED_VALUE"""),"E")</f>
        <v>E</v>
      </c>
      <c r="AL172">
        <f>IFERROR(__xludf.DUMMYFUNCTION("""COMPUTED_VALUE"""),47.0)</f>
        <v>47</v>
      </c>
      <c r="AM172">
        <f>IFERROR(__xludf.DUMMYFUNCTION("""COMPUTED_VALUE"""),2018.0)</f>
        <v>2018</v>
      </c>
      <c r="AN172" t="str">
        <f t="shared" si="1"/>
        <v>12879504-9</v>
      </c>
    </row>
    <row r="173">
      <c r="A173" s="33">
        <f>IFERROR(__xludf.DUMMYFUNCTION("""COMPUTED_VALUE"""),1.2007137E7)</f>
        <v>12007137</v>
      </c>
      <c r="B173" s="33">
        <f>IFERROR(__xludf.DUMMYFUNCTION("""COMPUTED_VALUE"""),77.0)</f>
        <v>77</v>
      </c>
      <c r="C173" s="33" t="str">
        <f>IFERROR(__xludf.DUMMYFUNCTION("""COMPUTED_VALUE"""),"IR2018-18")</f>
        <v>IR2018-18</v>
      </c>
      <c r="D173" s="34" t="str">
        <f>IFERROR(__xludf.DUMMYFUNCTION("""COMPUTED_VALUE"""),"INGRESAR CENTRO DE COSTO A LA DERECHA")</f>
        <v>INGRESAR CENTRO DE COSTO A LA DERECHA</v>
      </c>
      <c r="E173" s="34" t="str">
        <f>IFERROR(__xludf.DUMMYFUNCTION("""COMPUTED_VALUE"""),"DPTO. DE INGENIERIA ELECTRICA")</f>
        <v>DPTO. DE INGENIERIA ELECTRICA</v>
      </c>
      <c r="F173" s="34" t="str">
        <f>IFERROR(__xludf.DUMMYFUNCTION("""COMPUTED_VALUE"""),"Secretario(a) de Apoyo Docente")</f>
        <v>Secretario(a) de Apoyo Docente</v>
      </c>
      <c r="G173" s="33" t="str">
        <f>IFERROR(__xludf.DUMMYFUNCTION("""COMPUTED_VALUE"""),"SECRETARIA DE APOYO DOCENTE")</f>
        <v>SECRETARIA DE APOYO DOCENTE</v>
      </c>
      <c r="H173">
        <f>IFERROR(__xludf.DUMMYFUNCTION("""COMPUTED_VALUE"""),17.0)</f>
        <v>17</v>
      </c>
      <c r="I173" s="34" t="str">
        <f>IFERROR(__xludf.DUMMYFUNCTION("""COMPUTED_VALUE"""),"Jornada Completa")</f>
        <v>Jornada Completa</v>
      </c>
      <c r="J173" s="33" t="str">
        <f>IFERROR(__xludf.DUMMYFUNCTION("""COMPUTED_VALUE"""),"A CONTRATA")</f>
        <v>A CONTRATA</v>
      </c>
      <c r="K173" s="33" t="str">
        <f>IFERROR(__xludf.DUMMYFUNCTION("""COMPUTED_VALUE"""),"ADMINISTRATIVO")</f>
        <v>ADMINISTRATIVO</v>
      </c>
      <c r="L173" s="34" t="str">
        <f>IFERROR(__xludf.DUMMYFUNCTION("""COMPUTED_VALUE"""),"INTERNO")</f>
        <v>INTERNO</v>
      </c>
      <c r="M173" s="34">
        <f>IFERROR(__xludf.DUMMYFUNCTION("""COMPUTED_VALUE"""),2.0)</f>
        <v>2</v>
      </c>
      <c r="N173" s="34" t="str">
        <f>IFERROR(__xludf.DUMMYFUNCTION("""COMPUTED_VALUE"""),"EXTERNO")</f>
        <v>EXTERNO</v>
      </c>
      <c r="O173">
        <f>IFERROR(__xludf.DUMMYFUNCTION("""COMPUTED_VALUE"""),20.0)</f>
        <v>20</v>
      </c>
      <c r="P173">
        <f>IFERROR(__xludf.DUMMYFUNCTION("""COMPUTED_VALUE"""),1.0)</f>
        <v>1</v>
      </c>
      <c r="Q173" s="35">
        <f>IFERROR(__xludf.DUMMYFUNCTION("""COMPUTED_VALUE"""),0.0)</f>
        <v>0</v>
      </c>
      <c r="R173" s="36" t="str">
        <f>IFERROR(__xludf.DUMMYFUNCTION("""COMPUTED_VALUE"""),"SELECCIONADA")</f>
        <v>SELECCIONADA</v>
      </c>
      <c r="S173" s="37">
        <f>IFERROR(__xludf.DUMMYFUNCTION("""COMPUTED_VALUE"""),43405.0)</f>
        <v>43405</v>
      </c>
      <c r="T173" s="34"/>
      <c r="U173" t="str">
        <f>IFERROR(__xludf.DUMMYFUNCTION("""COMPUTED_VALUE"""),"BARBARA SALAZAR SANTIBAÑEZ")</f>
        <v>BARBARA SALAZAR SANTIBAÑEZ</v>
      </c>
      <c r="V173" t="str">
        <f>IFERROR(__xludf.DUMMYFUNCTION("""COMPUTED_VALUE"""),"12007137-8")</f>
        <v>12007137-8</v>
      </c>
      <c r="W173" t="str">
        <f>IFERROR(__xludf.DUMMYFUNCTION("""COMPUTED_VALUE"""),"NO")</f>
        <v>NO</v>
      </c>
      <c r="AA173" s="38">
        <f>IFERROR(__xludf.DUMMYFUNCTION("""COMPUTED_VALUE"""),43343.0)</f>
        <v>43343</v>
      </c>
      <c r="AB173" s="38">
        <f>IFERROR(__xludf.DUMMYFUNCTION("""COMPUTED_VALUE"""),43350.0)</f>
        <v>43350</v>
      </c>
      <c r="AF173" s="39"/>
      <c r="AG173" s="39"/>
      <c r="AH173" s="34" t="str">
        <f>IFERROR(__xludf.DUMMYFUNCTION("""COMPUTED_VALUE"""),"PROCESO DE SELECCIÓN")</f>
        <v>PROCESO DE SELECCIÓN</v>
      </c>
      <c r="AI173" s="34" t="str">
        <f>IFERROR(__xludf.DUMMYFUNCTION("""COMPUTED_VALUE""")," - ")</f>
        <v> - </v>
      </c>
      <c r="AJ173" s="34"/>
      <c r="AK173" s="34" t="str">
        <f>IFERROR(__xludf.DUMMYFUNCTION("""COMPUTED_VALUE"""),"P")</f>
        <v>P</v>
      </c>
      <c r="AL173">
        <f>IFERROR(__xludf.DUMMYFUNCTION("""COMPUTED_VALUE"""),40.0)</f>
        <v>40</v>
      </c>
      <c r="AM173">
        <f>IFERROR(__xludf.DUMMYFUNCTION("""COMPUTED_VALUE"""),2018.0)</f>
        <v>2018</v>
      </c>
      <c r="AN173" t="str">
        <f t="shared" si="1"/>
        <v>12007137-8</v>
      </c>
    </row>
    <row r="174">
      <c r="A174" s="33">
        <f>IFERROR(__xludf.DUMMYFUNCTION("""COMPUTED_VALUE"""),1.609212E7)</f>
        <v>16092120</v>
      </c>
      <c r="B174" s="33">
        <f>IFERROR(__xludf.DUMMYFUNCTION("""COMPUTED_VALUE"""),78.0)</f>
        <v>78</v>
      </c>
      <c r="C174" s="33"/>
      <c r="D174" s="34" t="str">
        <f>IFERROR(__xludf.DUMMYFUNCTION("""COMPUTED_VALUE"""),"INGRESAR CENTRO DE COSTO A LA DERECHA")</f>
        <v>INGRESAR CENTRO DE COSTO A LA DERECHA</v>
      </c>
      <c r="E174" s="34" t="str">
        <f>IFERROR(__xludf.DUMMYFUNCTION("""COMPUTED_VALUE"""),"DPTO. DE CIENCIA Y TEC.DE LOS ALIM")</f>
        <v>DPTO. DE CIENCIA Y TEC.DE LOS ALIM</v>
      </c>
      <c r="F174" s="34" t="str">
        <f>IFERROR(__xludf.DUMMYFUNCTION("""COMPUTED_VALUE"""),"Secretario(a) de Apoyo Docente")</f>
        <v>Secretario(a) de Apoyo Docente</v>
      </c>
      <c r="G174" s="33" t="str">
        <f>IFERROR(__xludf.DUMMYFUNCTION("""COMPUTED_VALUE"""),"SECRETARIA DE APOYO DOCENTE")</f>
        <v>SECRETARIA DE APOYO DOCENTE</v>
      </c>
      <c r="H174">
        <f>IFERROR(__xludf.DUMMYFUNCTION("""COMPUTED_VALUE"""),17.0)</f>
        <v>17</v>
      </c>
      <c r="I174" s="34" t="str">
        <f>IFERROR(__xludf.DUMMYFUNCTION("""COMPUTED_VALUE"""),"Jornada Completa")</f>
        <v>Jornada Completa</v>
      </c>
      <c r="J174" s="33" t="str">
        <f>IFERROR(__xludf.DUMMYFUNCTION("""COMPUTED_VALUE"""),"A CONTRATA")</f>
        <v>A CONTRATA</v>
      </c>
      <c r="K174" s="33" t="str">
        <f>IFERROR(__xludf.DUMMYFUNCTION("""COMPUTED_VALUE"""),"ADMINISTRATIVO")</f>
        <v>ADMINISTRATIVO</v>
      </c>
      <c r="L174" s="34" t="str">
        <f>IFERROR(__xludf.DUMMYFUNCTION("""COMPUTED_VALUE"""),"INTERNO")</f>
        <v>INTERNO</v>
      </c>
      <c r="M174" s="34">
        <f>IFERROR(__xludf.DUMMYFUNCTION("""COMPUTED_VALUE"""),1.0)</f>
        <v>1</v>
      </c>
      <c r="N174" s="34" t="str">
        <f>IFERROR(__xludf.DUMMYFUNCTION("""COMPUTED_VALUE"""),"EXTERNO")</f>
        <v>EXTERNO</v>
      </c>
      <c r="O174">
        <f>IFERROR(__xludf.DUMMYFUNCTION("""COMPUTED_VALUE"""),13.0)</f>
        <v>13</v>
      </c>
      <c r="P174">
        <f>IFERROR(__xludf.DUMMYFUNCTION("""COMPUTED_VALUE"""),3.0)</f>
        <v>3</v>
      </c>
      <c r="Q174" s="35">
        <f>IFERROR(__xludf.DUMMYFUNCTION("""COMPUTED_VALUE"""),0.0)</f>
        <v>0</v>
      </c>
      <c r="R174" s="36" t="str">
        <f>IFERROR(__xludf.DUMMYFUNCTION("""COMPUTED_VALUE"""),"SELECCIONADA")</f>
        <v>SELECCIONADA</v>
      </c>
      <c r="S174" s="37">
        <f>IFERROR(__xludf.DUMMYFUNCTION("""COMPUTED_VALUE"""),43412.0)</f>
        <v>43412</v>
      </c>
      <c r="T174" s="34"/>
      <c r="U174" t="str">
        <f>IFERROR(__xludf.DUMMYFUNCTION("""COMPUTED_VALUE"""),"CAROLINA ESTAY UBILLA")</f>
        <v>CAROLINA ESTAY UBILLA</v>
      </c>
      <c r="V174" t="str">
        <f>IFERROR(__xludf.DUMMYFUNCTION("""COMPUTED_VALUE"""),"16092120-K")</f>
        <v>16092120-K</v>
      </c>
      <c r="W174" t="str">
        <f>IFERROR(__xludf.DUMMYFUNCTION("""COMPUTED_VALUE"""),"SI")</f>
        <v>SI</v>
      </c>
      <c r="X174" t="str">
        <f>IFERROR(__xludf.DUMMYFUNCTION("""COMPUTED_VALUE"""),"Trabajo en Equipo")</f>
        <v>Trabajo en Equipo</v>
      </c>
      <c r="AA174" s="38">
        <f>IFERROR(__xludf.DUMMYFUNCTION("""COMPUTED_VALUE"""),43369.0)</f>
        <v>43369</v>
      </c>
      <c r="AB174" s="38">
        <f>IFERROR(__xludf.DUMMYFUNCTION("""COMPUTED_VALUE"""),43376.0)</f>
        <v>43376</v>
      </c>
      <c r="AF174" s="39"/>
      <c r="AG174" s="39"/>
      <c r="AH174" s="34" t="str">
        <f>IFERROR(__xludf.DUMMYFUNCTION("""COMPUTED_VALUE"""),"PROCESO DE SELECCIÓN")</f>
        <v>PROCESO DE SELECCIÓN</v>
      </c>
      <c r="AI174" s="34" t="str">
        <f>IFERROR(__xludf.DUMMYFUNCTION("""COMPUTED_VALUE"""),"PEREZ ACUNA PATRICIA ")</f>
        <v>PEREZ ACUNA PATRICIA </v>
      </c>
      <c r="AJ174" s="34"/>
      <c r="AK174" s="34" t="str">
        <f>IFERROR(__xludf.DUMMYFUNCTION("""COMPUTED_VALUE"""),"C")</f>
        <v>C</v>
      </c>
      <c r="AL174">
        <f>IFERROR(__xludf.DUMMYFUNCTION("""COMPUTED_VALUE"""),27.0)</f>
        <v>27</v>
      </c>
      <c r="AM174">
        <f>IFERROR(__xludf.DUMMYFUNCTION("""COMPUTED_VALUE"""),2018.0)</f>
        <v>2018</v>
      </c>
      <c r="AN174" t="str">
        <f t="shared" si="1"/>
        <v>16092120-K</v>
      </c>
    </row>
    <row r="175">
      <c r="A175" s="33">
        <f>IFERROR(__xludf.DUMMYFUNCTION("""COMPUTED_VALUE"""),1.5333652E7)</f>
        <v>15333652</v>
      </c>
      <c r="B175" s="33">
        <f>IFERROR(__xludf.DUMMYFUNCTION("""COMPUTED_VALUE"""),79.0)</f>
        <v>79</v>
      </c>
      <c r="C175" s="33" t="str">
        <f>IFERROR(__xludf.DUMMYFUNCTION("""COMPUTED_VALUE"""),"IR2018-08")</f>
        <v>IR2018-08</v>
      </c>
      <c r="D175" s="34" t="str">
        <f>IFERROR(__xludf.DUMMYFUNCTION("""COMPUTED_VALUE"""),"INGRESAR CENTRO DE COSTO A LA DERECHA")</f>
        <v>INGRESAR CENTRO DE COSTO A LA DERECHA</v>
      </c>
      <c r="E175" s="34" t="str">
        <f>IFERROR(__xludf.DUMMYFUNCTION("""COMPUTED_VALUE"""),"DPTO. DE INGENIERIA ELECTRICA")</f>
        <v>DPTO. DE INGENIERIA ELECTRICA</v>
      </c>
      <c r="F175" s="34" t="str">
        <f>IFERROR(__xludf.DUMMYFUNCTION("""COMPUTED_VALUE"""),"Secretario(a) B")</f>
        <v>Secretario(a) B</v>
      </c>
      <c r="G175" s="33" t="str">
        <f>IFERROR(__xludf.DUMMYFUNCTION("""COMPUTED_VALUE"""),"SECRETARIA B ( DEPARTAMENTO)")</f>
        <v>SECRETARIA B ( DEPARTAMENTO)</v>
      </c>
      <c r="H175">
        <f>IFERROR(__xludf.DUMMYFUNCTION("""COMPUTED_VALUE"""),17.0)</f>
        <v>17</v>
      </c>
      <c r="I175" s="34" t="str">
        <f>IFERROR(__xludf.DUMMYFUNCTION("""COMPUTED_VALUE"""),"Jornada Completa")</f>
        <v>Jornada Completa</v>
      </c>
      <c r="J175" s="33" t="str">
        <f>IFERROR(__xludf.DUMMYFUNCTION("""COMPUTED_VALUE"""),"A CONTRATA")</f>
        <v>A CONTRATA</v>
      </c>
      <c r="K175" s="33" t="str">
        <f>IFERROR(__xludf.DUMMYFUNCTION("""COMPUTED_VALUE"""),"ADMINISTRATIVO")</f>
        <v>ADMINISTRATIVO</v>
      </c>
      <c r="L175" s="34" t="str">
        <f>IFERROR(__xludf.DUMMYFUNCTION("""COMPUTED_VALUE"""),"INTERNO")</f>
        <v>INTERNO</v>
      </c>
      <c r="M175" s="34">
        <f>IFERROR(__xludf.DUMMYFUNCTION("""COMPUTED_VALUE"""),1.0)</f>
        <v>1</v>
      </c>
      <c r="N175" s="34" t="str">
        <f>IFERROR(__xludf.DUMMYFUNCTION("""COMPUTED_VALUE"""),"EXTERNO")</f>
        <v>EXTERNO</v>
      </c>
      <c r="O175">
        <f>IFERROR(__xludf.DUMMYFUNCTION("""COMPUTED_VALUE"""),20.0)</f>
        <v>20</v>
      </c>
      <c r="P175">
        <f>IFERROR(__xludf.DUMMYFUNCTION("""COMPUTED_VALUE"""),1.0)</f>
        <v>1</v>
      </c>
      <c r="Q175" s="35">
        <f>IFERROR(__xludf.DUMMYFUNCTION("""COMPUTED_VALUE"""),0.0)</f>
        <v>0</v>
      </c>
      <c r="R175" s="36" t="str">
        <f>IFERROR(__xludf.DUMMYFUNCTION("""COMPUTED_VALUE"""),"SELECCIONADA")</f>
        <v>SELECCIONADA</v>
      </c>
      <c r="S175" s="37">
        <f>IFERROR(__xludf.DUMMYFUNCTION("""COMPUTED_VALUE"""),43405.0)</f>
        <v>43405</v>
      </c>
      <c r="T175" s="34"/>
      <c r="U175" t="str">
        <f>IFERROR(__xludf.DUMMYFUNCTION("""COMPUTED_VALUE"""),"MARIA VALDES GAMBINO")</f>
        <v>MARIA VALDES GAMBINO</v>
      </c>
      <c r="V175" t="str">
        <f>IFERROR(__xludf.DUMMYFUNCTION("""COMPUTED_VALUE"""),"15333652-0")</f>
        <v>15333652-0</v>
      </c>
      <c r="W175" t="str">
        <f>IFERROR(__xludf.DUMMYFUNCTION("""COMPUTED_VALUE"""),"SI")</f>
        <v>SI</v>
      </c>
      <c r="X175" t="str">
        <f>IFERROR(__xludf.DUMMYFUNCTION("""COMPUTED_VALUE"""),"Iniciativa")</f>
        <v>Iniciativa</v>
      </c>
      <c r="Y175" t="str">
        <f>IFERROR(__xludf.DUMMYFUNCTION("""COMPUTED_VALUE"""),"Franqueza- Confiabilidad- Integridad")</f>
        <v>Franqueza- Confiabilidad- Integridad</v>
      </c>
      <c r="AA175" s="38">
        <f>IFERROR(__xludf.DUMMYFUNCTION("""COMPUTED_VALUE"""),43343.0)</f>
        <v>43343</v>
      </c>
      <c r="AB175" s="38">
        <f>IFERROR(__xludf.DUMMYFUNCTION("""COMPUTED_VALUE"""),43350.0)</f>
        <v>43350</v>
      </c>
      <c r="AF175" s="39"/>
      <c r="AG175" s="39"/>
      <c r="AH175" s="34" t="str">
        <f>IFERROR(__xludf.DUMMYFUNCTION("""COMPUTED_VALUE"""),"PROCESO DE SELECCIÓN")</f>
        <v>PROCESO DE SELECCIÓN</v>
      </c>
      <c r="AI175" s="34" t="str">
        <f>IFERROR(__xludf.DUMMYFUNCTION("""COMPUTED_VALUE"""),"LOYOLA CONTRERAS BENITA")</f>
        <v>LOYOLA CONTRERAS BENITA</v>
      </c>
      <c r="AJ175" s="34"/>
      <c r="AK175" s="34" t="str">
        <f>IFERROR(__xludf.DUMMYFUNCTION("""COMPUTED_VALUE"""),"P")</f>
        <v>P</v>
      </c>
      <c r="AL175">
        <f>IFERROR(__xludf.DUMMYFUNCTION("""COMPUTED_VALUE"""),40.0)</f>
        <v>40</v>
      </c>
      <c r="AM175">
        <f>IFERROR(__xludf.DUMMYFUNCTION("""COMPUTED_VALUE"""),2018.0)</f>
        <v>2018</v>
      </c>
      <c r="AN175" t="str">
        <f t="shared" si="1"/>
        <v>15333652-0</v>
      </c>
    </row>
    <row r="176">
      <c r="A176" s="33">
        <f>IFERROR(__xludf.DUMMYFUNCTION("""COMPUTED_VALUE"""),1.5840498E7)</f>
        <v>15840498</v>
      </c>
      <c r="B176" s="33">
        <f>IFERROR(__xludf.DUMMYFUNCTION("""COMPUTED_VALUE"""),80.0)</f>
        <v>80</v>
      </c>
      <c r="C176" s="33" t="str">
        <f>IFERROR(__xludf.DUMMYFUNCTION("""COMPUTED_VALUE"""),"A230")</f>
        <v>A230</v>
      </c>
      <c r="D176" s="34" t="str">
        <f>IFERROR(__xludf.DUMMYFUNCTION("""COMPUTED_VALUE"""),"INGRESAR CENTRO DE COSTO A LA DERECHA")</f>
        <v>INGRESAR CENTRO DE COSTO A LA DERECHA</v>
      </c>
      <c r="E176" s="34" t="str">
        <f>IFERROR(__xludf.DUMMYFUNCTION("""COMPUTED_VALUE"""),"DPTO. DE CIENCIA Y TEC.DE LOS ALIM")</f>
        <v>DPTO. DE CIENCIA Y TEC.DE LOS ALIM</v>
      </c>
      <c r="F176" s="34" t="str">
        <f>IFERROR(__xludf.DUMMYFUNCTION("""COMPUTED_VALUE"""),"Encargado(a) de Laboratorio")</f>
        <v>Encargado(a) de Laboratorio</v>
      </c>
      <c r="G176" s="33" t="str">
        <f>IFERROR(__xludf.DUMMYFUNCTION("""COMPUTED_VALUE"""),"ENCARGADO DE LABORATORIO ( MICROBIOLOGIA)")</f>
        <v>ENCARGADO DE LABORATORIO ( MICROBIOLOGIA)</v>
      </c>
      <c r="H176">
        <f>IFERROR(__xludf.DUMMYFUNCTION("""COMPUTED_VALUE"""),13.0)</f>
        <v>13</v>
      </c>
      <c r="I176" s="34" t="str">
        <f>IFERROR(__xludf.DUMMYFUNCTION("""COMPUTED_VALUE"""),"Jornada Completa")</f>
        <v>Jornada Completa</v>
      </c>
      <c r="J176" s="33" t="str">
        <f>IFERROR(__xludf.DUMMYFUNCTION("""COMPUTED_VALUE"""),"A CONTRATA")</f>
        <v>A CONTRATA</v>
      </c>
      <c r="K176" s="33" t="str">
        <f>IFERROR(__xludf.DUMMYFUNCTION("""COMPUTED_VALUE"""),"PROFESIONAL")</f>
        <v>PROFESIONAL</v>
      </c>
      <c r="L176" s="34" t="str">
        <f>IFERROR(__xludf.DUMMYFUNCTION("""COMPUTED_VALUE"""),"INTERNO")</f>
        <v>INTERNO</v>
      </c>
      <c r="M176" s="34">
        <f>IFERROR(__xludf.DUMMYFUNCTION("""COMPUTED_VALUE"""),1.0)</f>
        <v>1</v>
      </c>
      <c r="N176" s="34" t="str">
        <f>IFERROR(__xludf.DUMMYFUNCTION("""COMPUTED_VALUE"""),"EXTERNO")</f>
        <v>EXTERNO</v>
      </c>
      <c r="O176">
        <f>IFERROR(__xludf.DUMMYFUNCTION("""COMPUTED_VALUE"""),15.0)</f>
        <v>15</v>
      </c>
      <c r="P176">
        <f>IFERROR(__xludf.DUMMYFUNCTION("""COMPUTED_VALUE"""),3.0)</f>
        <v>3</v>
      </c>
      <c r="Q176" s="35">
        <f>IFERROR(__xludf.DUMMYFUNCTION("""COMPUTED_VALUE"""),0.0)</f>
        <v>0</v>
      </c>
      <c r="R176" s="36" t="str">
        <f>IFERROR(__xludf.DUMMYFUNCTION("""COMPUTED_VALUE"""),"SELECCIONADO")</f>
        <v>SELECCIONADO</v>
      </c>
      <c r="S176" s="37">
        <f>IFERROR(__xludf.DUMMYFUNCTION("""COMPUTED_VALUE"""),43425.0)</f>
        <v>43425</v>
      </c>
      <c r="T176" s="34"/>
      <c r="U176" t="str">
        <f>IFERROR(__xludf.DUMMYFUNCTION("""COMPUTED_VALUE"""),"RUBEN PEÑA BERNALES")</f>
        <v>RUBEN PEÑA BERNALES</v>
      </c>
      <c r="V176" t="str">
        <f>IFERROR(__xludf.DUMMYFUNCTION("""COMPUTED_VALUE"""),"15840498-2")</f>
        <v>15840498-2</v>
      </c>
      <c r="W176" t="str">
        <f>IFERROR(__xludf.DUMMYFUNCTION("""COMPUTED_VALUE"""),"SI")</f>
        <v>SI</v>
      </c>
      <c r="X176" t="str">
        <f>IFERROR(__xludf.DUMMYFUNCTION("""COMPUTED_VALUE"""),"Trabajo en Equipo")</f>
        <v>Trabajo en Equipo</v>
      </c>
      <c r="AA176" s="38">
        <f>IFERROR(__xludf.DUMMYFUNCTION("""COMPUTED_VALUE"""),43375.0)</f>
        <v>43375</v>
      </c>
      <c r="AB176" s="38">
        <f>IFERROR(__xludf.DUMMYFUNCTION("""COMPUTED_VALUE"""),43381.0)</f>
        <v>43381</v>
      </c>
      <c r="AF176" s="39"/>
      <c r="AG176" s="39"/>
      <c r="AH176" s="34" t="str">
        <f>IFERROR(__xludf.DUMMYFUNCTION("""COMPUTED_VALUE"""),"PROCESO DE SELECCIÓN")</f>
        <v>PROCESO DE SELECCIÓN</v>
      </c>
      <c r="AI176" s="34" t="str">
        <f>IFERROR(__xludf.DUMMYFUNCTION("""COMPUTED_VALUE"""),"CASTILLO ACUÑA CARMEN")</f>
        <v>CASTILLO ACUÑA CARMEN</v>
      </c>
      <c r="AJ176" s="34"/>
      <c r="AK176" s="34" t="str">
        <f>IFERROR(__xludf.DUMMYFUNCTION("""COMPUTED_VALUE"""),"E")</f>
        <v>E</v>
      </c>
      <c r="AL176">
        <f>IFERROR(__xludf.DUMMYFUNCTION("""COMPUTED_VALUE"""),33.0)</f>
        <v>33</v>
      </c>
      <c r="AM176">
        <f>IFERROR(__xludf.DUMMYFUNCTION("""COMPUTED_VALUE"""),2018.0)</f>
        <v>2018</v>
      </c>
      <c r="AN176" t="str">
        <f t="shared" si="1"/>
        <v>15840498-2</v>
      </c>
    </row>
    <row r="177">
      <c r="A177" s="33">
        <f>IFERROR(__xludf.DUMMYFUNCTION("""COMPUTED_VALUE"""),1.6941755E7)</f>
        <v>16941755</v>
      </c>
      <c r="B177" s="33">
        <f>IFERROR(__xludf.DUMMYFUNCTION("""COMPUTED_VALUE"""),81.0)</f>
        <v>81</v>
      </c>
      <c r="C177" s="33" t="str">
        <f>IFERROR(__xludf.DUMMYFUNCTION("""COMPUTED_VALUE"""),"A167")</f>
        <v>A167</v>
      </c>
      <c r="D177" s="34" t="str">
        <f>IFERROR(__xludf.DUMMYFUNCTION("""COMPUTED_VALUE"""),"INGRESAR CENTRO DE COSTO A LA DERECHA")</f>
        <v>INGRESAR CENTRO DE COSTO A LA DERECHA</v>
      </c>
      <c r="E177" s="34" t="str">
        <f>IFERROR(__xludf.DUMMYFUNCTION("""COMPUTED_VALUE"""),"DPTO. DE DESARROLLO DE PERSONAS")</f>
        <v>DPTO. DE DESARROLLO DE PERSONAS</v>
      </c>
      <c r="F177" s="34" t="str">
        <f>IFERROR(__xludf.DUMMYFUNCTION("""COMPUTED_VALUE"""),"Analista de Gestión de Personas")</f>
        <v>Analista de Gestión de Personas</v>
      </c>
      <c r="G177" s="33" t="str">
        <f>IFERROR(__xludf.DUMMYFUNCTION("""COMPUTED_VALUE"""),"ANALISTA DE GESTION DE PERSONAS")</f>
        <v>ANALISTA DE GESTION DE PERSONAS</v>
      </c>
      <c r="H177">
        <f>IFERROR(__xludf.DUMMYFUNCTION("""COMPUTED_VALUE"""),10.0)</f>
        <v>10</v>
      </c>
      <c r="I177" s="34" t="str">
        <f>IFERROR(__xludf.DUMMYFUNCTION("""COMPUTED_VALUE"""),"Jornada Completa")</f>
        <v>Jornada Completa</v>
      </c>
      <c r="J177" s="33" t="str">
        <f>IFERROR(__xludf.DUMMYFUNCTION("""COMPUTED_VALUE"""),"A CONTRATA")</f>
        <v>A CONTRATA</v>
      </c>
      <c r="K177" s="33" t="str">
        <f>IFERROR(__xludf.DUMMYFUNCTION("""COMPUTED_VALUE"""),"PROFESIONAL")</f>
        <v>PROFESIONAL</v>
      </c>
      <c r="L177" s="34" t="str">
        <f>IFERROR(__xludf.DUMMYFUNCTION("""COMPUTED_VALUE"""),"INTERNO")</f>
        <v>INTERNO</v>
      </c>
      <c r="M177" s="34">
        <f>IFERROR(__xludf.DUMMYFUNCTION("""COMPUTED_VALUE"""),1.0)</f>
        <v>1</v>
      </c>
      <c r="N177" s="34" t="str">
        <f>IFERROR(__xludf.DUMMYFUNCTION("""COMPUTED_VALUE"""),"EXTERNO")</f>
        <v>EXTERNO</v>
      </c>
      <c r="O177">
        <f>IFERROR(__xludf.DUMMYFUNCTION("""COMPUTED_VALUE"""),6.0)</f>
        <v>6</v>
      </c>
      <c r="P177">
        <f>IFERROR(__xludf.DUMMYFUNCTION("""COMPUTED_VALUE"""),3.0)</f>
        <v>3</v>
      </c>
      <c r="Q177" s="35">
        <f>IFERROR(__xludf.DUMMYFUNCTION("""COMPUTED_VALUE"""),3.0)</f>
        <v>3</v>
      </c>
      <c r="R177" s="36" t="str">
        <f>IFERROR(__xludf.DUMMYFUNCTION("""COMPUTED_VALUE"""),"SELECCIONADA")</f>
        <v>SELECCIONADA</v>
      </c>
      <c r="S177" s="37">
        <f>IFERROR(__xludf.DUMMYFUNCTION("""COMPUTED_VALUE"""),43396.0)</f>
        <v>43396</v>
      </c>
      <c r="T177" s="34"/>
      <c r="U177" t="str">
        <f>IFERROR(__xludf.DUMMYFUNCTION("""COMPUTED_VALUE"""),"TRINIDAD INFANTE PINTO")</f>
        <v>TRINIDAD INFANTE PINTO</v>
      </c>
      <c r="V177" t="str">
        <f>IFERROR(__xludf.DUMMYFUNCTION("""COMPUTED_VALUE"""),"16941755-5")</f>
        <v>16941755-5</v>
      </c>
      <c r="W177" t="str">
        <f>IFERROR(__xludf.DUMMYFUNCTION("""COMPUTED_VALUE"""),"NO")</f>
        <v>NO</v>
      </c>
      <c r="AA177" s="38">
        <f>IFERROR(__xludf.DUMMYFUNCTION("""COMPUTED_VALUE"""),43357.0)</f>
        <v>43357</v>
      </c>
      <c r="AB177" s="38">
        <f>IFERROR(__xludf.DUMMYFUNCTION("""COMPUTED_VALUE"""),43366.0)</f>
        <v>43366</v>
      </c>
      <c r="AF177" s="39"/>
      <c r="AG177" s="39"/>
      <c r="AH177" s="34" t="str">
        <f>IFERROR(__xludf.DUMMYFUNCTION("""COMPUTED_VALUE"""),"PROCESO DE SELECCIÓN")</f>
        <v>PROCESO DE SELECCIÓN</v>
      </c>
      <c r="AI177" s="34" t="str">
        <f>IFERROR(__xludf.DUMMYFUNCTION("""COMPUTED_VALUE"""),"GARRIDO CARRASCO MACARENA")</f>
        <v>GARRIDO CARRASCO MACARENA</v>
      </c>
      <c r="AJ177" s="34"/>
      <c r="AK177" s="34" t="str">
        <f>IFERROR(__xludf.DUMMYFUNCTION("""COMPUTED_VALUE"""),"E")</f>
        <v>E</v>
      </c>
      <c r="AL177">
        <f>IFERROR(__xludf.DUMMYFUNCTION("""COMPUTED_VALUE"""),22.0)</f>
        <v>22</v>
      </c>
      <c r="AM177">
        <f>IFERROR(__xludf.DUMMYFUNCTION("""COMPUTED_VALUE"""),2018.0)</f>
        <v>2018</v>
      </c>
      <c r="AN177" t="str">
        <f t="shared" si="1"/>
        <v>16941755-5</v>
      </c>
    </row>
    <row r="178">
      <c r="A178" s="33">
        <f>IFERROR(__xludf.DUMMYFUNCTION("""COMPUTED_VALUE"""),1.262472E7)</f>
        <v>12624720</v>
      </c>
      <c r="B178" s="33">
        <f>IFERROR(__xludf.DUMMYFUNCTION("""COMPUTED_VALUE"""),82.0)</f>
        <v>82</v>
      </c>
      <c r="C178" s="33" t="str">
        <f>IFERROR(__xludf.DUMMYFUNCTION("""COMPUTED_VALUE"""),"IR2018-23")</f>
        <v>IR2018-23</v>
      </c>
      <c r="D178" s="34" t="str">
        <f>IFERROR(__xludf.DUMMYFUNCTION("""COMPUTED_VALUE"""),"INGRESAR CENTRO DE COSTO A LA DERECHA")</f>
        <v>INGRESAR CENTRO DE COSTO A LA DERECHA</v>
      </c>
      <c r="E178" s="34" t="str">
        <f>IFERROR(__xludf.DUMMYFUNCTION("""COMPUTED_VALUE"""),"UNIDAD DE BIENESTAR DEL PERSONAL")</f>
        <v>UNIDAD DE BIENESTAR DEL PERSONAL</v>
      </c>
      <c r="F178" s="34" t="str">
        <f>IFERROR(__xludf.DUMMYFUNCTION("""COMPUTED_VALUE"""),"Jefe(a) de Sección")</f>
        <v>Jefe(a) de Sección</v>
      </c>
      <c r="G178" s="33" t="str">
        <f>IFERROR(__xludf.DUMMYFUNCTION("""COMPUTED_VALUE"""),"DIRECTORA SALA CUNA Y JARDIN INFANTIL ( JEFE DE SECCION)")</f>
        <v>DIRECTORA SALA CUNA Y JARDIN INFANTIL ( JEFE DE SECCION)</v>
      </c>
      <c r="H178">
        <f>IFERROR(__xludf.DUMMYFUNCTION("""COMPUTED_VALUE"""),10.0)</f>
        <v>10</v>
      </c>
      <c r="I178" s="34" t="str">
        <f>IFERROR(__xludf.DUMMYFUNCTION("""COMPUTED_VALUE"""),"Jornada Completa")</f>
        <v>Jornada Completa</v>
      </c>
      <c r="J178" s="33" t="str">
        <f>IFERROR(__xludf.DUMMYFUNCTION("""COMPUTED_VALUE"""),"A CONTRATA")</f>
        <v>A CONTRATA</v>
      </c>
      <c r="K178" s="33" t="str">
        <f>IFERROR(__xludf.DUMMYFUNCTION("""COMPUTED_VALUE"""),"PROFESIONAL")</f>
        <v>PROFESIONAL</v>
      </c>
      <c r="L178" s="34" t="str">
        <f>IFERROR(__xludf.DUMMYFUNCTION("""COMPUTED_VALUE"""),"INTERNO")</f>
        <v>INTERNO</v>
      </c>
      <c r="M178" s="34">
        <f>IFERROR(__xludf.DUMMYFUNCTION("""COMPUTED_VALUE"""),2.0)</f>
        <v>2</v>
      </c>
      <c r="N178" s="34" t="str">
        <f>IFERROR(__xludf.DUMMYFUNCTION("""COMPUTED_VALUE"""),"EXTERNO")</f>
        <v>EXTERNO</v>
      </c>
      <c r="O178">
        <f>IFERROR(__xludf.DUMMYFUNCTION("""COMPUTED_VALUE"""),20.0)</f>
        <v>20</v>
      </c>
      <c r="P178">
        <f>IFERROR(__xludf.DUMMYFUNCTION("""COMPUTED_VALUE"""),3.0)</f>
        <v>3</v>
      </c>
      <c r="Q178" s="35">
        <f>IFERROR(__xludf.DUMMYFUNCTION("""COMPUTED_VALUE"""),0.0)</f>
        <v>0</v>
      </c>
      <c r="R178" s="36" t="str">
        <f>IFERROR(__xludf.DUMMYFUNCTION("""COMPUTED_VALUE"""),"SELECCIONADA")</f>
        <v>SELECCIONADA</v>
      </c>
      <c r="S178" s="37">
        <f>IFERROR(__xludf.DUMMYFUNCTION("""COMPUTED_VALUE"""),43433.0)</f>
        <v>43433</v>
      </c>
      <c r="T178" s="34"/>
      <c r="U178" t="str">
        <f>IFERROR(__xludf.DUMMYFUNCTION("""COMPUTED_VALUE"""),"EVA PERALES SKARPA")</f>
        <v>EVA PERALES SKARPA</v>
      </c>
      <c r="V178" t="str">
        <f>IFERROR(__xludf.DUMMYFUNCTION("""COMPUTED_VALUE"""),"12624720-6")</f>
        <v>12624720-6</v>
      </c>
      <c r="W178" t="str">
        <f>IFERROR(__xludf.DUMMYFUNCTION("""COMPUTED_VALUE"""),"SI")</f>
        <v>SI</v>
      </c>
      <c r="X178" t="str">
        <f>IFERROR(__xludf.DUMMYFUNCTION("""COMPUTED_VALUE"""),"Iniciativa")</f>
        <v>Iniciativa</v>
      </c>
      <c r="AA178" s="38">
        <f>IFERROR(__xludf.DUMMYFUNCTION("""COMPUTED_VALUE"""),43390.0)</f>
        <v>43390</v>
      </c>
      <c r="AB178" s="38">
        <f>IFERROR(__xludf.DUMMYFUNCTION("""COMPUTED_VALUE"""),43397.0)</f>
        <v>43397</v>
      </c>
      <c r="AF178" s="39"/>
      <c r="AG178" s="39"/>
      <c r="AH178" s="34" t="str">
        <f>IFERROR(__xludf.DUMMYFUNCTION("""COMPUTED_VALUE"""),"PROCESO DE SELECCIÓN")</f>
        <v>PROCESO DE SELECCIÓN</v>
      </c>
      <c r="AI178" s="34" t="str">
        <f>IFERROR(__xludf.DUMMYFUNCTION("""COMPUTED_VALUE"""),"VERGARA OSORIO PILAR")</f>
        <v>VERGARA OSORIO PILAR</v>
      </c>
      <c r="AJ178" s="34"/>
      <c r="AK178" s="34" t="str">
        <f>IFERROR(__xludf.DUMMYFUNCTION("""COMPUTED_VALUE"""),"E")</f>
        <v>E</v>
      </c>
      <c r="AL178">
        <f>IFERROR(__xludf.DUMMYFUNCTION("""COMPUTED_VALUE"""),27.0)</f>
        <v>27</v>
      </c>
      <c r="AM178">
        <f>IFERROR(__xludf.DUMMYFUNCTION("""COMPUTED_VALUE"""),2018.0)</f>
        <v>2018</v>
      </c>
      <c r="AN178" t="str">
        <f t="shared" si="1"/>
        <v>12624720-6</v>
      </c>
    </row>
    <row r="179">
      <c r="A179" s="33">
        <f>IFERROR(__xludf.DUMMYFUNCTION("""COMPUTED_VALUE"""),7687205.0)</f>
        <v>7687205</v>
      </c>
      <c r="B179" s="33">
        <f>IFERROR(__xludf.DUMMYFUNCTION("""COMPUTED_VALUE"""),83.0)</f>
        <v>83</v>
      </c>
      <c r="C179" s="33" t="str">
        <f>IFERROR(__xludf.DUMMYFUNCTION("""COMPUTED_VALUE"""),"A229")</f>
        <v>A229</v>
      </c>
      <c r="D179" s="34" t="str">
        <f>IFERROR(__xludf.DUMMYFUNCTION("""COMPUTED_VALUE"""),"INGRESAR CENTRO DE COSTO A LA DERECHA")</f>
        <v>INGRESAR CENTRO DE COSTO A LA DERECHA</v>
      </c>
      <c r="E179" s="34" t="str">
        <f>IFERROR(__xludf.DUMMYFUNCTION("""COMPUTED_VALUE"""),"ESCUELA DE PERIODISMO")</f>
        <v>ESCUELA DE PERIODISMO</v>
      </c>
      <c r="F179" s="34" t="str">
        <f>IFERROR(__xludf.DUMMYFUNCTION("""COMPUTED_VALUE"""),"Mayordomo(a)")</f>
        <v>Mayordomo(a)</v>
      </c>
      <c r="G179" s="33" t="str">
        <f>IFERROR(__xludf.DUMMYFUNCTION("""COMPUTED_VALUE"""),"MAYORDOMO")</f>
        <v>MAYORDOMO</v>
      </c>
      <c r="H179">
        <f>IFERROR(__xludf.DUMMYFUNCTION("""COMPUTED_VALUE"""),21.0)</f>
        <v>21</v>
      </c>
      <c r="I179" s="34" t="str">
        <f>IFERROR(__xludf.DUMMYFUNCTION("""COMPUTED_VALUE"""),"Jornada Completa")</f>
        <v>Jornada Completa</v>
      </c>
      <c r="J179" s="33" t="str">
        <f>IFERROR(__xludf.DUMMYFUNCTION("""COMPUTED_VALUE"""),"A CONTRATA")</f>
        <v>A CONTRATA</v>
      </c>
      <c r="K179" s="33" t="str">
        <f>IFERROR(__xludf.DUMMYFUNCTION("""COMPUTED_VALUE"""),"AUXILIAR")</f>
        <v>AUXILIAR</v>
      </c>
      <c r="L179" s="34" t="str">
        <f>IFERROR(__xludf.DUMMYFUNCTION("""COMPUTED_VALUE"""),"INTERNO")</f>
        <v>INTERNO</v>
      </c>
      <c r="M179" s="34">
        <f>IFERROR(__xludf.DUMMYFUNCTION("""COMPUTED_VALUE"""),2.0)</f>
        <v>2</v>
      </c>
      <c r="N179" s="34" t="str">
        <f>IFERROR(__xludf.DUMMYFUNCTION("""COMPUTED_VALUE"""),"NO")</f>
        <v>NO</v>
      </c>
      <c r="O179">
        <f>IFERROR(__xludf.DUMMYFUNCTION("""COMPUTED_VALUE"""),0.0)</f>
        <v>0</v>
      </c>
      <c r="P179">
        <f>IFERROR(__xludf.DUMMYFUNCTION("""COMPUTED_VALUE"""),1.0)</f>
        <v>1</v>
      </c>
      <c r="Q179" s="35">
        <f>IFERROR(__xludf.DUMMYFUNCTION("""COMPUTED_VALUE"""),0.0)</f>
        <v>0</v>
      </c>
      <c r="R179" s="36" t="str">
        <f>IFERROR(__xludf.DUMMYFUNCTION("""COMPUTED_VALUE"""),"SELECCIONADO")</f>
        <v>SELECCIONADO</v>
      </c>
      <c r="S179" s="37">
        <f>IFERROR(__xludf.DUMMYFUNCTION("""COMPUTED_VALUE"""),43423.0)</f>
        <v>43423</v>
      </c>
      <c r="T179" s="34" t="str">
        <f>IFERROR(__xludf.DUMMYFUNCTION("""COMPUTED_VALUE"""),"CASTRO AGUSTO PEDRO ALFREDO")</f>
        <v>CASTRO AGUSTO PEDRO ALFREDO</v>
      </c>
      <c r="V179" t="str">
        <f>IFERROR(__xludf.DUMMYFUNCTION("""COMPUTED_VALUE"""),"7687205-8")</f>
        <v>7687205-8</v>
      </c>
      <c r="W179" t="str">
        <f>IFERROR(__xludf.DUMMYFUNCTION("""COMPUTED_VALUE"""),"NO")</f>
        <v>NO</v>
      </c>
      <c r="AA179" s="38">
        <f>IFERROR(__xludf.DUMMYFUNCTION("""COMPUTED_VALUE"""),43341.0)</f>
        <v>43341</v>
      </c>
      <c r="AB179" s="38">
        <f>IFERROR(__xludf.DUMMYFUNCTION("""COMPUTED_VALUE"""),43348.0)</f>
        <v>43348</v>
      </c>
      <c r="AF179" s="39"/>
      <c r="AG179" s="39"/>
      <c r="AH179" s="34" t="str">
        <f>IFERROR(__xludf.DUMMYFUNCTION("""COMPUTED_VALUE"""),"PROCESO DE SELECCIÓN")</f>
        <v>PROCESO DE SELECCIÓN</v>
      </c>
      <c r="AI179" s="34" t="str">
        <f>IFERROR(__xludf.DUMMYFUNCTION("""COMPUTED_VALUE"""),"HUENUQUEO FERRADA JOSE ")</f>
        <v>HUENUQUEO FERRADA JOSE </v>
      </c>
      <c r="AJ179" s="34"/>
      <c r="AK179" s="34" t="str">
        <f>IFERROR(__xludf.DUMMYFUNCTION("""COMPUTED_VALUE"""),"C")</f>
        <v>C</v>
      </c>
      <c r="AL179">
        <f>IFERROR(__xludf.DUMMYFUNCTION("""COMPUTED_VALUE"""),54.0)</f>
        <v>54</v>
      </c>
      <c r="AM179">
        <f>IFERROR(__xludf.DUMMYFUNCTION("""COMPUTED_VALUE"""),2018.0)</f>
        <v>2018</v>
      </c>
      <c r="AN179" t="str">
        <f t="shared" si="1"/>
        <v>07687205-8</v>
      </c>
    </row>
    <row r="180">
      <c r="A180" s="33">
        <f>IFERROR(__xludf.DUMMYFUNCTION("""COMPUTED_VALUE"""),2.5913272E7)</f>
        <v>25913272</v>
      </c>
      <c r="B180" s="33">
        <f>IFERROR(__xludf.DUMMYFUNCTION("""COMPUTED_VALUE"""),84.0)</f>
        <v>84</v>
      </c>
      <c r="C180" s="33"/>
      <c r="D180" s="34" t="str">
        <f>IFERROR(__xludf.DUMMYFUNCTION("""COMPUTED_VALUE"""),"INGRESAR CENTRO DE COSTO A LA DERECHA")</f>
        <v>INGRESAR CENTRO DE COSTO A LA DERECHA</v>
      </c>
      <c r="E180" s="34" t="str">
        <f>IFERROR(__xludf.DUMMYFUNCTION("""COMPUTED_VALUE"""),"DPTO. DE RELAC. INTERUNIV E INTERN")</f>
        <v>DPTO. DE RELAC. INTERUNIV E INTERN</v>
      </c>
      <c r="F180" s="34" t="str">
        <f>IFERROR(__xludf.DUMMYFUNCTION("""COMPUTED_VALUE"""),"Analista de Relaciones Internacionales e Interuniversitarias")</f>
        <v>Analista de Relaciones Internacionales e Interuniversitarias</v>
      </c>
      <c r="G180" s="33" t="str">
        <f>IFERROR(__xludf.DUMMYFUNCTION("""COMPUTED_VALUE"""),"ANALISTA DE RELACIONES INTERNACIONALES E INTERUNIVERSITARIAS")</f>
        <v>ANALISTA DE RELACIONES INTERNACIONALES E INTERUNIVERSITARIAS</v>
      </c>
      <c r="H180">
        <f>IFERROR(__xludf.DUMMYFUNCTION("""COMPUTED_VALUE"""),9.0)</f>
        <v>9</v>
      </c>
      <c r="I180" s="34" t="str">
        <f>IFERROR(__xludf.DUMMYFUNCTION("""COMPUTED_VALUE"""),"Jornada Completa")</f>
        <v>Jornada Completa</v>
      </c>
      <c r="J180" s="33" t="str">
        <f>IFERROR(__xludf.DUMMYFUNCTION("""COMPUTED_VALUE"""),"A CONTRATA")</f>
        <v>A CONTRATA</v>
      </c>
      <c r="K180" s="33" t="str">
        <f>IFERROR(__xludf.DUMMYFUNCTION("""COMPUTED_VALUE"""),"PROFESIONAL")</f>
        <v>PROFESIONAL</v>
      </c>
      <c r="L180" s="34" t="str">
        <f>IFERROR(__xludf.DUMMYFUNCTION("""COMPUTED_VALUE"""),"INTERNO")</f>
        <v>INTERNO</v>
      </c>
      <c r="M180" s="34">
        <f>IFERROR(__xludf.DUMMYFUNCTION("""COMPUTED_VALUE"""),4.0)</f>
        <v>4</v>
      </c>
      <c r="N180" s="34" t="str">
        <f>IFERROR(__xludf.DUMMYFUNCTION("""COMPUTED_VALUE"""),"EXTERNO")</f>
        <v>EXTERNO</v>
      </c>
      <c r="O180">
        <f>IFERROR(__xludf.DUMMYFUNCTION("""COMPUTED_VALUE"""),49.0)</f>
        <v>49</v>
      </c>
      <c r="P180">
        <f>IFERROR(__xludf.DUMMYFUNCTION("""COMPUTED_VALUE"""),2.0)</f>
        <v>2</v>
      </c>
      <c r="Q180" s="35">
        <f>IFERROR(__xludf.DUMMYFUNCTION("""COMPUTED_VALUE"""),0.0)</f>
        <v>0</v>
      </c>
      <c r="R180" s="36" t="str">
        <f>IFERROR(__xludf.DUMMYFUNCTION("""COMPUTED_VALUE"""),"SELECCIONADA")</f>
        <v>SELECCIONADA</v>
      </c>
      <c r="S180" s="37">
        <f>IFERROR(__xludf.DUMMYFUNCTION("""COMPUTED_VALUE"""),43350.0)</f>
        <v>43350</v>
      </c>
      <c r="T180" s="34"/>
      <c r="U180" t="str">
        <f>IFERROR(__xludf.DUMMYFUNCTION("""COMPUTED_VALUE"""),"MAYERLEY PACHECO PIÑANGO")</f>
        <v>MAYERLEY PACHECO PIÑANGO</v>
      </c>
      <c r="V180" t="str">
        <f>IFERROR(__xludf.DUMMYFUNCTION("""COMPUTED_VALUE"""),"25913272-K")</f>
        <v>25913272-K</v>
      </c>
      <c r="W180" t="str">
        <f>IFERROR(__xludf.DUMMYFUNCTION("""COMPUTED_VALUE"""),"NO")</f>
        <v>NO</v>
      </c>
      <c r="AA180" s="38">
        <f>IFERROR(__xludf.DUMMYFUNCTION("""COMPUTED_VALUE"""),43257.0)</f>
        <v>43257</v>
      </c>
      <c r="AB180" s="38">
        <f>IFERROR(__xludf.DUMMYFUNCTION("""COMPUTED_VALUE"""),43264.0)</f>
        <v>43264</v>
      </c>
      <c r="AF180" s="39"/>
      <c r="AG180" s="39"/>
      <c r="AH180" s="34" t="str">
        <f>IFERROR(__xludf.DUMMYFUNCTION("""COMPUTED_VALUE"""),"PROCESO DE SELECCIÓN")</f>
        <v>PROCESO DE SELECCIÓN</v>
      </c>
      <c r="AI180" s="34" t="str">
        <f>IFERROR(__xludf.DUMMYFUNCTION("""COMPUTED_VALUE""")," - ")</f>
        <v> - </v>
      </c>
      <c r="AJ180" s="34"/>
      <c r="AK180" s="34" t="str">
        <f>IFERROR(__xludf.DUMMYFUNCTION("""COMPUTED_VALUE"""),"E")</f>
        <v>E</v>
      </c>
      <c r="AL180">
        <f>IFERROR(__xludf.DUMMYFUNCTION("""COMPUTED_VALUE"""),63.0)</f>
        <v>63</v>
      </c>
      <c r="AM180">
        <f>IFERROR(__xludf.DUMMYFUNCTION("""COMPUTED_VALUE"""),2018.0)</f>
        <v>2018</v>
      </c>
      <c r="AN180" t="str">
        <f t="shared" si="1"/>
        <v>25913272-K</v>
      </c>
    </row>
    <row r="181">
      <c r="A181" s="33">
        <f>IFERROR(__xludf.DUMMYFUNCTION("""COMPUTED_VALUE"""),1.3922416E7)</f>
        <v>13922416</v>
      </c>
      <c r="B181" s="33">
        <f>IFERROR(__xludf.DUMMYFUNCTION("""COMPUTED_VALUE"""),85.0)</f>
        <v>85</v>
      </c>
      <c r="C181" s="33"/>
      <c r="D181" s="34" t="str">
        <f>IFERROR(__xludf.DUMMYFUNCTION("""COMPUTED_VALUE"""),"INGRESAR CENTRO DE COSTO A LA DERECHA")</f>
        <v>INGRESAR CENTRO DE COSTO A LA DERECHA</v>
      </c>
      <c r="E181" s="34" t="str">
        <f>IFERROR(__xludf.DUMMYFUNCTION("""COMPUTED_VALUE"""),"DPTO. DE RELAC. INTERUNIV E INTERN")</f>
        <v>DPTO. DE RELAC. INTERUNIV E INTERN</v>
      </c>
      <c r="F181" s="34" t="str">
        <f>IFERROR(__xludf.DUMMYFUNCTION("""COMPUTED_VALUE"""),"Analista de Relaciones Internacionales e Interuniversitarias")</f>
        <v>Analista de Relaciones Internacionales e Interuniversitarias</v>
      </c>
      <c r="G181" s="33" t="str">
        <f>IFERROR(__xludf.DUMMYFUNCTION("""COMPUTED_VALUE"""),"ANALISTA DE RELACIONES INTERNACIONALES E INTERUNIVERSITARIAS")</f>
        <v>ANALISTA DE RELACIONES INTERNACIONALES E INTERUNIVERSITARIAS</v>
      </c>
      <c r="H181">
        <f>IFERROR(__xludf.DUMMYFUNCTION("""COMPUTED_VALUE"""),9.0)</f>
        <v>9</v>
      </c>
      <c r="I181" s="34" t="str">
        <f>IFERROR(__xludf.DUMMYFUNCTION("""COMPUTED_VALUE"""),"Jornada Completa")</f>
        <v>Jornada Completa</v>
      </c>
      <c r="J181" s="33" t="str">
        <f>IFERROR(__xludf.DUMMYFUNCTION("""COMPUTED_VALUE"""),"A CONTRATA")</f>
        <v>A CONTRATA</v>
      </c>
      <c r="K181" s="33" t="str">
        <f>IFERROR(__xludf.DUMMYFUNCTION("""COMPUTED_VALUE"""),"PROFESIONAL")</f>
        <v>PROFESIONAL</v>
      </c>
      <c r="L181" s="34" t="str">
        <f>IFERROR(__xludf.DUMMYFUNCTION("""COMPUTED_VALUE"""),"INTERNO")</f>
        <v>INTERNO</v>
      </c>
      <c r="M181" s="34">
        <f>IFERROR(__xludf.DUMMYFUNCTION("""COMPUTED_VALUE"""),4.0)</f>
        <v>4</v>
      </c>
      <c r="N181" s="34" t="str">
        <f>IFERROR(__xludf.DUMMYFUNCTION("""COMPUTED_VALUE"""),"EXTERNO")</f>
        <v>EXTERNO</v>
      </c>
      <c r="O181">
        <f>IFERROR(__xludf.DUMMYFUNCTION("""COMPUTED_VALUE"""),49.0)</f>
        <v>49</v>
      </c>
      <c r="P181">
        <f>IFERROR(__xludf.DUMMYFUNCTION("""COMPUTED_VALUE"""),2.0)</f>
        <v>2</v>
      </c>
      <c r="Q181" s="35">
        <f>IFERROR(__xludf.DUMMYFUNCTION("""COMPUTED_VALUE"""),0.0)</f>
        <v>0</v>
      </c>
      <c r="R181" s="36" t="str">
        <f>IFERROR(__xludf.DUMMYFUNCTION("""COMPUTED_VALUE"""),"SELECCIONADA")</f>
        <v>SELECCIONADA</v>
      </c>
      <c r="S181" s="37">
        <f>IFERROR(__xludf.DUMMYFUNCTION("""COMPUTED_VALUE"""),43350.0)</f>
        <v>43350</v>
      </c>
      <c r="T181" s="34"/>
      <c r="U181" t="str">
        <f>IFERROR(__xludf.DUMMYFUNCTION("""COMPUTED_VALUE"""),"MACARENA PEREZ OVALLE")</f>
        <v>MACARENA PEREZ OVALLE</v>
      </c>
      <c r="V181" t="str">
        <f>IFERROR(__xludf.DUMMYFUNCTION("""COMPUTED_VALUE"""),"13922416-7")</f>
        <v>13922416-7</v>
      </c>
      <c r="W181" t="str">
        <f>IFERROR(__xludf.DUMMYFUNCTION("""COMPUTED_VALUE"""),"NO")</f>
        <v>NO</v>
      </c>
      <c r="AA181" s="38">
        <f>IFERROR(__xludf.DUMMYFUNCTION("""COMPUTED_VALUE"""),43257.0)</f>
        <v>43257</v>
      </c>
      <c r="AB181" s="38">
        <f>IFERROR(__xludf.DUMMYFUNCTION("""COMPUTED_VALUE"""),43264.0)</f>
        <v>43264</v>
      </c>
      <c r="AF181" s="39"/>
      <c r="AG181" s="39"/>
      <c r="AH181" s="34" t="str">
        <f>IFERROR(__xludf.DUMMYFUNCTION("""COMPUTED_VALUE"""),"PROCESO DE SELECCIÓN")</f>
        <v>PROCESO DE SELECCIÓN</v>
      </c>
      <c r="AI181" s="34" t="str">
        <f>IFERROR(__xludf.DUMMYFUNCTION("""COMPUTED_VALUE""")," - ")</f>
        <v> - </v>
      </c>
      <c r="AJ181" s="34"/>
      <c r="AK181" s="34" t="str">
        <f>IFERROR(__xludf.DUMMYFUNCTION("""COMPUTED_VALUE"""),"E")</f>
        <v>E</v>
      </c>
      <c r="AL181">
        <f>IFERROR(__xludf.DUMMYFUNCTION("""COMPUTED_VALUE"""),63.0)</f>
        <v>63</v>
      </c>
      <c r="AM181">
        <f>IFERROR(__xludf.DUMMYFUNCTION("""COMPUTED_VALUE"""),2018.0)</f>
        <v>2018</v>
      </c>
      <c r="AN181" t="str">
        <f t="shared" si="1"/>
        <v>13922416-7</v>
      </c>
    </row>
    <row r="182">
      <c r="A182" s="33">
        <f>IFERROR(__xludf.DUMMYFUNCTION("""COMPUTED_VALUE"""),1.7697368E7)</f>
        <v>17697368</v>
      </c>
      <c r="B182" s="33">
        <f>IFERROR(__xludf.DUMMYFUNCTION("""COMPUTED_VALUE"""),86.0)</f>
        <v>86</v>
      </c>
      <c r="C182" s="33" t="str">
        <f>IFERROR(__xludf.DUMMYFUNCTION("""COMPUTED_VALUE"""),"A234")</f>
        <v>A234</v>
      </c>
      <c r="D182" s="34" t="str">
        <f>IFERROR(__xludf.DUMMYFUNCTION("""COMPUTED_VALUE"""),"INGRESAR CENTRO DE COSTO A LA DERECHA")</f>
        <v>INGRESAR CENTRO DE COSTO A LA DERECHA</v>
      </c>
      <c r="E182" s="34" t="str">
        <f>IFERROR(__xludf.DUMMYFUNCTION("""COMPUTED_VALUE"""),"DIR. DE ASISTENCIA JURIDICA")</f>
        <v>DIR. DE ASISTENCIA JURIDICA</v>
      </c>
      <c r="F182" s="34" t="str">
        <f>IFERROR(__xludf.DUMMYFUNCTION("""COMPUTED_VALUE"""),"Abogado(a) Dirección Juridica")</f>
        <v>Abogado(a) Dirección Juridica</v>
      </c>
      <c r="G182" s="33" t="str">
        <f>IFERROR(__xludf.DUMMYFUNCTION("""COMPUTED_VALUE"""),"ABOGADO ")</f>
        <v>ABOGADO </v>
      </c>
      <c r="H182">
        <f>IFERROR(__xludf.DUMMYFUNCTION("""COMPUTED_VALUE"""),8.0)</f>
        <v>8</v>
      </c>
      <c r="I182" s="34" t="str">
        <f>IFERROR(__xludf.DUMMYFUNCTION("""COMPUTED_VALUE"""),"Jornada Completa")</f>
        <v>Jornada Completa</v>
      </c>
      <c r="J182" s="33" t="str">
        <f>IFERROR(__xludf.DUMMYFUNCTION("""COMPUTED_VALUE"""),"A CONTRATA")</f>
        <v>A CONTRATA</v>
      </c>
      <c r="K182" s="33" t="str">
        <f>IFERROR(__xludf.DUMMYFUNCTION("""COMPUTED_VALUE"""),"PROFESIONAL")</f>
        <v>PROFESIONAL</v>
      </c>
      <c r="L182" s="34" t="str">
        <f>IFERROR(__xludf.DUMMYFUNCTION("""COMPUTED_VALUE"""),"NO")</f>
        <v>NO</v>
      </c>
      <c r="M182" s="34">
        <f>IFERROR(__xludf.DUMMYFUNCTION("""COMPUTED_VALUE"""),0.0)</f>
        <v>0</v>
      </c>
      <c r="N182" s="34" t="str">
        <f>IFERROR(__xludf.DUMMYFUNCTION("""COMPUTED_VALUE"""),"EXTERNO")</f>
        <v>EXTERNO</v>
      </c>
      <c r="O182">
        <f>IFERROR(__xludf.DUMMYFUNCTION("""COMPUTED_VALUE"""),58.0)</f>
        <v>58</v>
      </c>
      <c r="P182">
        <f>IFERROR(__xludf.DUMMYFUNCTION("""COMPUTED_VALUE"""),8.0)</f>
        <v>8</v>
      </c>
      <c r="Q182" s="35">
        <f>IFERROR(__xludf.DUMMYFUNCTION("""COMPUTED_VALUE"""),0.0)</f>
        <v>0</v>
      </c>
      <c r="R182" s="36" t="str">
        <f>IFERROR(__xludf.DUMMYFUNCTION("""COMPUTED_VALUE"""),"SELECCIONADA")</f>
        <v>SELECCIONADA</v>
      </c>
      <c r="S182" s="37">
        <f>IFERROR(__xludf.DUMMYFUNCTION("""COMPUTED_VALUE"""),43437.0)</f>
        <v>43437</v>
      </c>
      <c r="T182" s="34"/>
      <c r="U182" t="str">
        <f>IFERROR(__xludf.DUMMYFUNCTION("""COMPUTED_VALUE"""),"CONSTANZA REYES TOLEDO")</f>
        <v>CONSTANZA REYES TOLEDO</v>
      </c>
      <c r="V182" t="str">
        <f>IFERROR(__xludf.DUMMYFUNCTION("""COMPUTED_VALUE"""),"17697368-4")</f>
        <v>17697368-4</v>
      </c>
      <c r="W182" t="str">
        <f>IFERROR(__xludf.DUMMYFUNCTION("""COMPUTED_VALUE"""),"SI")</f>
        <v>SI</v>
      </c>
      <c r="X182" t="str">
        <f>IFERROR(__xludf.DUMMYFUNCTION("""COMPUTED_VALUE"""),"Pensamiento Analitico")</f>
        <v>Pensamiento Analitico</v>
      </c>
      <c r="Y182" t="str">
        <f>IFERROR(__xludf.DUMMYFUNCTION("""COMPUTED_VALUE"""),"Iniciativa")</f>
        <v>Iniciativa</v>
      </c>
      <c r="AA182" s="38">
        <f>IFERROR(__xludf.DUMMYFUNCTION("""COMPUTED_VALUE"""),43332.0)</f>
        <v>43332</v>
      </c>
      <c r="AB182" s="38">
        <f>IFERROR(__xludf.DUMMYFUNCTION("""COMPUTED_VALUE"""),43339.0)</f>
        <v>43339</v>
      </c>
      <c r="AF182" s="39"/>
      <c r="AG182" s="39"/>
      <c r="AH182" s="34" t="str">
        <f>IFERROR(__xludf.DUMMYFUNCTION("""COMPUTED_VALUE"""),"PROCESO DE SELECCIÓN")</f>
        <v>PROCESO DE SELECCIÓN</v>
      </c>
      <c r="AI182" s="34" t="str">
        <f>IFERROR(__xludf.DUMMYFUNCTION("""COMPUTED_VALUE""")," - ")</f>
        <v> - </v>
      </c>
      <c r="AJ182" s="34"/>
      <c r="AK182" s="34" t="str">
        <f>IFERROR(__xludf.DUMMYFUNCTION("""COMPUTED_VALUE"""),"E")</f>
        <v>E</v>
      </c>
      <c r="AL182">
        <f>IFERROR(__xludf.DUMMYFUNCTION("""COMPUTED_VALUE"""),71.0)</f>
        <v>71</v>
      </c>
      <c r="AM182">
        <f>IFERROR(__xludf.DUMMYFUNCTION("""COMPUTED_VALUE"""),2018.0)</f>
        <v>2018</v>
      </c>
      <c r="AN182" t="str">
        <f t="shared" si="1"/>
        <v>17697368-4</v>
      </c>
    </row>
    <row r="183">
      <c r="A183" s="33">
        <f>IFERROR(__xludf.DUMMYFUNCTION("""COMPUTED_VALUE"""),1.6209975E7)</f>
        <v>16209975</v>
      </c>
      <c r="B183" s="33">
        <f>IFERROR(__xludf.DUMMYFUNCTION("""COMPUTED_VALUE"""),87.0)</f>
        <v>87</v>
      </c>
      <c r="C183" s="33" t="str">
        <f>IFERROR(__xludf.DUMMYFUNCTION("""COMPUTED_VALUE"""),"A234")</f>
        <v>A234</v>
      </c>
      <c r="D183" s="34" t="str">
        <f>IFERROR(__xludf.DUMMYFUNCTION("""COMPUTED_VALUE"""),"INGRESAR CENTRO DE COSTO A LA DERECHA")</f>
        <v>INGRESAR CENTRO DE COSTO A LA DERECHA</v>
      </c>
      <c r="E183" s="34" t="str">
        <f>IFERROR(__xludf.DUMMYFUNCTION("""COMPUTED_VALUE"""),"DIR. DE ASISTENCIA JURIDICA")</f>
        <v>DIR. DE ASISTENCIA JURIDICA</v>
      </c>
      <c r="F183" s="34" t="str">
        <f>IFERROR(__xludf.DUMMYFUNCTION("""COMPUTED_VALUE"""),"Abogado(a) Dirección Juridica")</f>
        <v>Abogado(a) Dirección Juridica</v>
      </c>
      <c r="G183" s="33" t="str">
        <f>IFERROR(__xludf.DUMMYFUNCTION("""COMPUTED_VALUE"""),"ABOGADO ")</f>
        <v>ABOGADO </v>
      </c>
      <c r="H183">
        <f>IFERROR(__xludf.DUMMYFUNCTION("""COMPUTED_VALUE"""),8.0)</f>
        <v>8</v>
      </c>
      <c r="I183" s="34" t="str">
        <f>IFERROR(__xludf.DUMMYFUNCTION("""COMPUTED_VALUE"""),"Jornada Completa")</f>
        <v>Jornada Completa</v>
      </c>
      <c r="J183" s="33" t="str">
        <f>IFERROR(__xludf.DUMMYFUNCTION("""COMPUTED_VALUE"""),"A CONTRATA")</f>
        <v>A CONTRATA</v>
      </c>
      <c r="K183" s="33" t="str">
        <f>IFERROR(__xludf.DUMMYFUNCTION("""COMPUTED_VALUE"""),"PROFESIONAL")</f>
        <v>PROFESIONAL</v>
      </c>
      <c r="L183" s="34" t="str">
        <f>IFERROR(__xludf.DUMMYFUNCTION("""COMPUTED_VALUE"""),"NO")</f>
        <v>NO</v>
      </c>
      <c r="M183" s="34">
        <f>IFERROR(__xludf.DUMMYFUNCTION("""COMPUTED_VALUE"""),0.0)</f>
        <v>0</v>
      </c>
      <c r="N183" s="34" t="str">
        <f>IFERROR(__xludf.DUMMYFUNCTION("""COMPUTED_VALUE"""),"EXTERNO")</f>
        <v>EXTERNO</v>
      </c>
      <c r="O183">
        <f>IFERROR(__xludf.DUMMYFUNCTION("""COMPUTED_VALUE"""),58.0)</f>
        <v>58</v>
      </c>
      <c r="P183">
        <f>IFERROR(__xludf.DUMMYFUNCTION("""COMPUTED_VALUE"""),8.0)</f>
        <v>8</v>
      </c>
      <c r="Q183" s="35">
        <f>IFERROR(__xludf.DUMMYFUNCTION("""COMPUTED_VALUE"""),0.0)</f>
        <v>0</v>
      </c>
      <c r="R183" s="36" t="str">
        <f>IFERROR(__xludf.DUMMYFUNCTION("""COMPUTED_VALUE"""),"SELECCIONADO")</f>
        <v>SELECCIONADO</v>
      </c>
      <c r="S183" s="37">
        <f>IFERROR(__xludf.DUMMYFUNCTION("""COMPUTED_VALUE"""),43437.0)</f>
        <v>43437</v>
      </c>
      <c r="T183" s="34"/>
      <c r="U183" t="str">
        <f>IFERROR(__xludf.DUMMYFUNCTION("""COMPUTED_VALUE"""),"DAVID PAVEZ GUERRERO")</f>
        <v>DAVID PAVEZ GUERRERO</v>
      </c>
      <c r="V183" t="str">
        <f>IFERROR(__xludf.DUMMYFUNCTION("""COMPUTED_VALUE"""),"16209975-2")</f>
        <v>16209975-2</v>
      </c>
      <c r="W183" t="str">
        <f>IFERROR(__xludf.DUMMYFUNCTION("""COMPUTED_VALUE"""),"SI")</f>
        <v>SI</v>
      </c>
      <c r="X183" t="str">
        <f>IFERROR(__xludf.DUMMYFUNCTION("""COMPUTED_VALUE"""),"Iniciativa")</f>
        <v>Iniciativa</v>
      </c>
      <c r="AA183" s="38">
        <f>IFERROR(__xludf.DUMMYFUNCTION("""COMPUTED_VALUE"""),43332.0)</f>
        <v>43332</v>
      </c>
      <c r="AB183" s="38">
        <f>IFERROR(__xludf.DUMMYFUNCTION("""COMPUTED_VALUE"""),43339.0)</f>
        <v>43339</v>
      </c>
      <c r="AF183" s="39"/>
      <c r="AG183" s="39"/>
      <c r="AH183" s="34" t="str">
        <f>IFERROR(__xludf.DUMMYFUNCTION("""COMPUTED_VALUE"""),"PROCESO DE SELECCIÓN")</f>
        <v>PROCESO DE SELECCIÓN</v>
      </c>
      <c r="AI183" s="34" t="str">
        <f>IFERROR(__xludf.DUMMYFUNCTION("""COMPUTED_VALUE""")," - ")</f>
        <v> - </v>
      </c>
      <c r="AJ183" s="34"/>
      <c r="AK183" s="34" t="str">
        <f>IFERROR(__xludf.DUMMYFUNCTION("""COMPUTED_VALUE"""),"E")</f>
        <v>E</v>
      </c>
      <c r="AL183">
        <f>IFERROR(__xludf.DUMMYFUNCTION("""COMPUTED_VALUE"""),71.0)</f>
        <v>71</v>
      </c>
      <c r="AM183">
        <f>IFERROR(__xludf.DUMMYFUNCTION("""COMPUTED_VALUE"""),2018.0)</f>
        <v>2018</v>
      </c>
      <c r="AN183" t="str">
        <f t="shared" si="1"/>
        <v>16209975-2</v>
      </c>
    </row>
    <row r="184">
      <c r="A184" s="33">
        <f>IFERROR(__xludf.DUMMYFUNCTION("""COMPUTED_VALUE"""),1.7673495E7)</f>
        <v>17673495</v>
      </c>
      <c r="B184" s="33">
        <f>IFERROR(__xludf.DUMMYFUNCTION("""COMPUTED_VALUE"""),88.0)</f>
        <v>88</v>
      </c>
      <c r="C184" s="33" t="str">
        <f>IFERROR(__xludf.DUMMYFUNCTION("""COMPUTED_VALUE"""),"A234")</f>
        <v>A234</v>
      </c>
      <c r="D184" s="34" t="str">
        <f>IFERROR(__xludf.DUMMYFUNCTION("""COMPUTED_VALUE"""),"INGRESAR CENTRO DE COSTO A LA DERECHA")</f>
        <v>INGRESAR CENTRO DE COSTO A LA DERECHA</v>
      </c>
      <c r="E184" s="34" t="str">
        <f>IFERROR(__xludf.DUMMYFUNCTION("""COMPUTED_VALUE"""),"DIR. DE ASISTENCIA JURIDICA")</f>
        <v>DIR. DE ASISTENCIA JURIDICA</v>
      </c>
      <c r="F184" s="34" t="str">
        <f>IFERROR(__xludf.DUMMYFUNCTION("""COMPUTED_VALUE"""),"Abogado(a) Dirección Juridica")</f>
        <v>Abogado(a) Dirección Juridica</v>
      </c>
      <c r="G184" s="33" t="str">
        <f>IFERROR(__xludf.DUMMYFUNCTION("""COMPUTED_VALUE"""),"ABOGADO ")</f>
        <v>ABOGADO </v>
      </c>
      <c r="H184">
        <f>IFERROR(__xludf.DUMMYFUNCTION("""COMPUTED_VALUE"""),8.0)</f>
        <v>8</v>
      </c>
      <c r="I184" s="34" t="str">
        <f>IFERROR(__xludf.DUMMYFUNCTION("""COMPUTED_VALUE"""),"Jornada Completa")</f>
        <v>Jornada Completa</v>
      </c>
      <c r="J184" s="33" t="str">
        <f>IFERROR(__xludf.DUMMYFUNCTION("""COMPUTED_VALUE"""),"A CONTRATA")</f>
        <v>A CONTRATA</v>
      </c>
      <c r="K184" s="33" t="str">
        <f>IFERROR(__xludf.DUMMYFUNCTION("""COMPUTED_VALUE"""),"PROFESIONAL")</f>
        <v>PROFESIONAL</v>
      </c>
      <c r="L184" s="34" t="str">
        <f>IFERROR(__xludf.DUMMYFUNCTION("""COMPUTED_VALUE"""),"NO")</f>
        <v>NO</v>
      </c>
      <c r="M184" s="34">
        <f>IFERROR(__xludf.DUMMYFUNCTION("""COMPUTED_VALUE"""),0.0)</f>
        <v>0</v>
      </c>
      <c r="N184" s="34" t="str">
        <f>IFERROR(__xludf.DUMMYFUNCTION("""COMPUTED_VALUE"""),"EXTERNO")</f>
        <v>EXTERNO</v>
      </c>
      <c r="O184">
        <f>IFERROR(__xludf.DUMMYFUNCTION("""COMPUTED_VALUE"""),58.0)</f>
        <v>58</v>
      </c>
      <c r="P184">
        <f>IFERROR(__xludf.DUMMYFUNCTION("""COMPUTED_VALUE"""),8.0)</f>
        <v>8</v>
      </c>
      <c r="Q184" s="35">
        <f>IFERROR(__xludf.DUMMYFUNCTION("""COMPUTED_VALUE"""),0.0)</f>
        <v>0</v>
      </c>
      <c r="R184" s="36" t="str">
        <f>IFERROR(__xludf.DUMMYFUNCTION("""COMPUTED_VALUE"""),"SELECCIONADO")</f>
        <v>SELECCIONADO</v>
      </c>
      <c r="S184" s="37">
        <f>IFERROR(__xludf.DUMMYFUNCTION("""COMPUTED_VALUE"""),43437.0)</f>
        <v>43437</v>
      </c>
      <c r="T184" s="34"/>
      <c r="U184" t="str">
        <f>IFERROR(__xludf.DUMMYFUNCTION("""COMPUTED_VALUE"""),"FRANCISCO VILLANUEVA GUAJARDO")</f>
        <v>FRANCISCO VILLANUEVA GUAJARDO</v>
      </c>
      <c r="V184" t="str">
        <f>IFERROR(__xludf.DUMMYFUNCTION("""COMPUTED_VALUE"""),"17673495-7")</f>
        <v>17673495-7</v>
      </c>
      <c r="W184" t="str">
        <f>IFERROR(__xludf.DUMMYFUNCTION("""COMPUTED_VALUE"""),"NO")</f>
        <v>NO</v>
      </c>
      <c r="AA184" s="38">
        <f>IFERROR(__xludf.DUMMYFUNCTION("""COMPUTED_VALUE"""),43332.0)</f>
        <v>43332</v>
      </c>
      <c r="AB184" s="38">
        <f>IFERROR(__xludf.DUMMYFUNCTION("""COMPUTED_VALUE"""),43339.0)</f>
        <v>43339</v>
      </c>
      <c r="AF184" s="39"/>
      <c r="AG184" s="39"/>
      <c r="AH184" s="34" t="str">
        <f>IFERROR(__xludf.DUMMYFUNCTION("""COMPUTED_VALUE"""),"PROCESO DE SELECCIÓN")</f>
        <v>PROCESO DE SELECCIÓN</v>
      </c>
      <c r="AI184" s="34" t="str">
        <f>IFERROR(__xludf.DUMMYFUNCTION("""COMPUTED_VALUE""")," - ")</f>
        <v> - </v>
      </c>
      <c r="AJ184" s="34"/>
      <c r="AK184" s="34" t="str">
        <f>IFERROR(__xludf.DUMMYFUNCTION("""COMPUTED_VALUE"""),"E")</f>
        <v>E</v>
      </c>
      <c r="AL184">
        <f>IFERROR(__xludf.DUMMYFUNCTION("""COMPUTED_VALUE"""),71.0)</f>
        <v>71</v>
      </c>
      <c r="AM184">
        <f>IFERROR(__xludf.DUMMYFUNCTION("""COMPUTED_VALUE"""),2018.0)</f>
        <v>2018</v>
      </c>
      <c r="AN184" t="str">
        <f t="shared" si="1"/>
        <v>17673495-7</v>
      </c>
    </row>
    <row r="185">
      <c r="A185" s="33">
        <f>IFERROR(__xludf.DUMMYFUNCTION("""COMPUTED_VALUE"""),1.2988103E7)</f>
        <v>12988103</v>
      </c>
      <c r="B185" s="33">
        <f>IFERROR(__xludf.DUMMYFUNCTION("""COMPUTED_VALUE"""),89.0)</f>
        <v>89</v>
      </c>
      <c r="C185" s="33" t="str">
        <f>IFERROR(__xludf.DUMMYFUNCTION("""COMPUTED_VALUE"""),"A234")</f>
        <v>A234</v>
      </c>
      <c r="D185" s="34" t="str">
        <f>IFERROR(__xludf.DUMMYFUNCTION("""COMPUTED_VALUE"""),"INGRESAR CENTRO DE COSTO A LA DERECHA")</f>
        <v>INGRESAR CENTRO DE COSTO A LA DERECHA</v>
      </c>
      <c r="E185" s="34" t="str">
        <f>IFERROR(__xludf.DUMMYFUNCTION("""COMPUTED_VALUE"""),"DIR. DE ASISTENCIA JURIDICA")</f>
        <v>DIR. DE ASISTENCIA JURIDICA</v>
      </c>
      <c r="F185" s="34" t="str">
        <f>IFERROR(__xludf.DUMMYFUNCTION("""COMPUTED_VALUE"""),"Abogado(a) Dirección Juridica")</f>
        <v>Abogado(a) Dirección Juridica</v>
      </c>
      <c r="G185" s="33" t="str">
        <f>IFERROR(__xludf.DUMMYFUNCTION("""COMPUTED_VALUE"""),"ABOGADO ")</f>
        <v>ABOGADO </v>
      </c>
      <c r="H185">
        <f>IFERROR(__xludf.DUMMYFUNCTION("""COMPUTED_VALUE"""),8.0)</f>
        <v>8</v>
      </c>
      <c r="I185" s="34" t="str">
        <f>IFERROR(__xludf.DUMMYFUNCTION("""COMPUTED_VALUE"""),"Jornada Completa")</f>
        <v>Jornada Completa</v>
      </c>
      <c r="J185" s="33" t="str">
        <f>IFERROR(__xludf.DUMMYFUNCTION("""COMPUTED_VALUE"""),"A CONTRATA")</f>
        <v>A CONTRATA</v>
      </c>
      <c r="K185" s="33" t="str">
        <f>IFERROR(__xludf.DUMMYFUNCTION("""COMPUTED_VALUE"""),"PROFESIONAL")</f>
        <v>PROFESIONAL</v>
      </c>
      <c r="L185" s="34" t="str">
        <f>IFERROR(__xludf.DUMMYFUNCTION("""COMPUTED_VALUE"""),"NO")</f>
        <v>NO</v>
      </c>
      <c r="M185" s="34">
        <f>IFERROR(__xludf.DUMMYFUNCTION("""COMPUTED_VALUE"""),0.0)</f>
        <v>0</v>
      </c>
      <c r="N185" s="34" t="str">
        <f>IFERROR(__xludf.DUMMYFUNCTION("""COMPUTED_VALUE"""),"EXTERNO")</f>
        <v>EXTERNO</v>
      </c>
      <c r="O185">
        <f>IFERROR(__xludf.DUMMYFUNCTION("""COMPUTED_VALUE"""),58.0)</f>
        <v>58</v>
      </c>
      <c r="P185">
        <f>IFERROR(__xludf.DUMMYFUNCTION("""COMPUTED_VALUE"""),8.0)</f>
        <v>8</v>
      </c>
      <c r="Q185" s="35">
        <f>IFERROR(__xludf.DUMMYFUNCTION("""COMPUTED_VALUE"""),0.0)</f>
        <v>0</v>
      </c>
      <c r="R185" s="36" t="str">
        <f>IFERROR(__xludf.DUMMYFUNCTION("""COMPUTED_VALUE"""),"SELECCIONADO")</f>
        <v>SELECCIONADO</v>
      </c>
      <c r="S185" s="37">
        <f>IFERROR(__xludf.DUMMYFUNCTION("""COMPUTED_VALUE"""),43437.0)</f>
        <v>43437</v>
      </c>
      <c r="T185" s="34"/>
      <c r="U185" t="str">
        <f>IFERROR(__xludf.DUMMYFUNCTION("""COMPUTED_VALUE"""),"LEONARDO MERINO MANRIQUEZ")</f>
        <v>LEONARDO MERINO MANRIQUEZ</v>
      </c>
      <c r="V185" t="str">
        <f>IFERROR(__xludf.DUMMYFUNCTION("""COMPUTED_VALUE"""),"12988103-8")</f>
        <v>12988103-8</v>
      </c>
      <c r="W185" t="str">
        <f>IFERROR(__xludf.DUMMYFUNCTION("""COMPUTED_VALUE"""),"NO")</f>
        <v>NO</v>
      </c>
      <c r="AA185" s="38">
        <f>IFERROR(__xludf.DUMMYFUNCTION("""COMPUTED_VALUE"""),43339.0)</f>
        <v>43339</v>
      </c>
      <c r="AB185" s="38">
        <f>IFERROR(__xludf.DUMMYFUNCTION("""COMPUTED_VALUE"""),43339.0)</f>
        <v>43339</v>
      </c>
      <c r="AF185" s="39"/>
      <c r="AG185" s="39"/>
      <c r="AH185" s="34" t="str">
        <f>IFERROR(__xludf.DUMMYFUNCTION("""COMPUTED_VALUE"""),"PROCESO DE SELECCIÓN")</f>
        <v>PROCESO DE SELECCIÓN</v>
      </c>
      <c r="AI185" s="34" t="str">
        <f>IFERROR(__xludf.DUMMYFUNCTION("""COMPUTED_VALUE""")," - ")</f>
        <v> - </v>
      </c>
      <c r="AJ185" s="34"/>
      <c r="AK185" s="34" t="str">
        <f>IFERROR(__xludf.DUMMYFUNCTION("""COMPUTED_VALUE"""),"E")</f>
        <v>E</v>
      </c>
      <c r="AL185">
        <f>IFERROR(__xludf.DUMMYFUNCTION("""COMPUTED_VALUE"""),71.0)</f>
        <v>71</v>
      </c>
      <c r="AM185">
        <f>IFERROR(__xludf.DUMMYFUNCTION("""COMPUTED_VALUE"""),2018.0)</f>
        <v>2018</v>
      </c>
      <c r="AN185" t="str">
        <f t="shared" si="1"/>
        <v>12988103-8</v>
      </c>
    </row>
    <row r="186">
      <c r="A186" s="33">
        <f>IFERROR(__xludf.DUMMYFUNCTION("""COMPUTED_VALUE"""),1.6962501E7)</f>
        <v>16962501</v>
      </c>
      <c r="B186" s="33">
        <f>IFERROR(__xludf.DUMMYFUNCTION("""COMPUTED_VALUE"""),90.0)</f>
        <v>90</v>
      </c>
      <c r="C186" s="33" t="str">
        <f>IFERROR(__xludf.DUMMYFUNCTION("""COMPUTED_VALUE"""),"A231")</f>
        <v>A231</v>
      </c>
      <c r="D186" s="34" t="str">
        <f>IFERROR(__xludf.DUMMYFUNCTION("""COMPUTED_VALUE"""),"INGRESAR CENTRO DE COSTO A LA DERECHA")</f>
        <v>INGRESAR CENTRO DE COSTO A LA DERECHA</v>
      </c>
      <c r="E186" s="34" t="str">
        <f>IFERROR(__xludf.DUMMYFUNCTION("""COMPUTED_VALUE"""),"DPTO. DE RECURSOS HUMANOS")</f>
        <v>DPTO. DE RECURSOS HUMANOS</v>
      </c>
      <c r="F186" s="34" t="str">
        <f>IFERROR(__xludf.DUMMYFUNCTION("""COMPUTED_VALUE"""),"Administrativo(a) de Recursos Humanos")</f>
        <v>Administrativo(a) de Recursos Humanos</v>
      </c>
      <c r="G186" s="33" t="str">
        <f>IFERROR(__xludf.DUMMYFUNCTION("""COMPUTED_VALUE"""),"ADMINISTRATIVO DE RECURSOS HUMANOS")</f>
        <v>ADMINISTRATIVO DE RECURSOS HUMANOS</v>
      </c>
      <c r="H186">
        <f>IFERROR(__xludf.DUMMYFUNCTION("""COMPUTED_VALUE"""),17.0)</f>
        <v>17</v>
      </c>
      <c r="I186" s="34" t="str">
        <f>IFERROR(__xludf.DUMMYFUNCTION("""COMPUTED_VALUE"""),"Jornada Completa")</f>
        <v>Jornada Completa</v>
      </c>
      <c r="J186" s="33" t="str">
        <f>IFERROR(__xludf.DUMMYFUNCTION("""COMPUTED_VALUE"""),"A CONTRATA")</f>
        <v>A CONTRATA</v>
      </c>
      <c r="K186" s="33" t="str">
        <f>IFERROR(__xludf.DUMMYFUNCTION("""COMPUTED_VALUE"""),"ADMINISTRATIVO")</f>
        <v>ADMINISTRATIVO</v>
      </c>
      <c r="L186" s="34" t="str">
        <f>IFERROR(__xludf.DUMMYFUNCTION("""COMPUTED_VALUE"""),"INTERNO")</f>
        <v>INTERNO</v>
      </c>
      <c r="M186" s="34">
        <f>IFERROR(__xludf.DUMMYFUNCTION("""COMPUTED_VALUE"""),5.0)</f>
        <v>5</v>
      </c>
      <c r="N186" s="34" t="str">
        <f>IFERROR(__xludf.DUMMYFUNCTION("""COMPUTED_VALUE"""),"EXTERNO")</f>
        <v>EXTERNO</v>
      </c>
      <c r="O186">
        <f>IFERROR(__xludf.DUMMYFUNCTION("""COMPUTED_VALUE"""),20.0)</f>
        <v>20</v>
      </c>
      <c r="P186">
        <f>IFERROR(__xludf.DUMMYFUNCTION("""COMPUTED_VALUE"""),4.0)</f>
        <v>4</v>
      </c>
      <c r="Q186" s="35">
        <f>IFERROR(__xludf.DUMMYFUNCTION("""COMPUTED_VALUE"""),0.0)</f>
        <v>0</v>
      </c>
      <c r="R186" s="36" t="str">
        <f>IFERROR(__xludf.DUMMYFUNCTION("""COMPUTED_VALUE"""),"SELECCIONADA")</f>
        <v>SELECCIONADA</v>
      </c>
      <c r="S186" s="37">
        <f>IFERROR(__xludf.DUMMYFUNCTION("""COMPUTED_VALUE"""),43423.0)</f>
        <v>43423</v>
      </c>
      <c r="T186" s="34"/>
      <c r="U186" t="str">
        <f>IFERROR(__xludf.DUMMYFUNCTION("""COMPUTED_VALUE"""),"PAOLA VALDIVIA JARA")</f>
        <v>PAOLA VALDIVIA JARA</v>
      </c>
      <c r="V186" t="str">
        <f>IFERROR(__xludf.DUMMYFUNCTION("""COMPUTED_VALUE"""),"16962501-8")</f>
        <v>16962501-8</v>
      </c>
      <c r="W186" t="str">
        <f>IFERROR(__xludf.DUMMYFUNCTION("""COMPUTED_VALUE"""),"SI")</f>
        <v>SI</v>
      </c>
      <c r="X186" t="str">
        <f>IFERROR(__xludf.DUMMYFUNCTION("""COMPUTED_VALUE"""),"Orientacion a los Resultados")</f>
        <v>Orientacion a los Resultados</v>
      </c>
      <c r="AA186" s="38">
        <f>IFERROR(__xludf.DUMMYFUNCTION("""COMPUTED_VALUE"""),43375.0)</f>
        <v>43375</v>
      </c>
      <c r="AB186" s="38">
        <f>IFERROR(__xludf.DUMMYFUNCTION("""COMPUTED_VALUE"""),43381.0)</f>
        <v>43381</v>
      </c>
      <c r="AF186" s="39"/>
      <c r="AG186" s="39"/>
      <c r="AH186" s="34" t="str">
        <f>IFERROR(__xludf.DUMMYFUNCTION("""COMPUTED_VALUE"""),"PROCESO DE SELECCIÓN")</f>
        <v>PROCESO DE SELECCIÓN</v>
      </c>
      <c r="AI186" s="34" t="str">
        <f>IFERROR(__xludf.DUMMYFUNCTION("""COMPUTED_VALUE"""),"AMACHE MENA YANELA")</f>
        <v>AMACHE MENA YANELA</v>
      </c>
      <c r="AJ186" s="34"/>
      <c r="AK186" s="34" t="str">
        <f>IFERROR(__xludf.DUMMYFUNCTION("""COMPUTED_VALUE"""),"E")</f>
        <v>E</v>
      </c>
      <c r="AL186">
        <f>IFERROR(__xludf.DUMMYFUNCTION("""COMPUTED_VALUE"""),31.0)</f>
        <v>31</v>
      </c>
      <c r="AM186">
        <f>IFERROR(__xludf.DUMMYFUNCTION("""COMPUTED_VALUE"""),2018.0)</f>
        <v>2018</v>
      </c>
      <c r="AN186" t="str">
        <f t="shared" si="1"/>
        <v>16962501-8</v>
      </c>
    </row>
    <row r="187">
      <c r="A187" s="33">
        <f>IFERROR(__xludf.DUMMYFUNCTION("""COMPUTED_VALUE"""),1.1975431E7)</f>
        <v>11975431</v>
      </c>
      <c r="B187" s="33">
        <f>IFERROR(__xludf.DUMMYFUNCTION("""COMPUTED_VALUE"""),91.0)</f>
        <v>91</v>
      </c>
      <c r="C187" s="33" t="str">
        <f>IFERROR(__xludf.DUMMYFUNCTION("""COMPUTED_VALUE"""),"A231 (A188)")</f>
        <v>A231 (A188)</v>
      </c>
      <c r="D187" s="34" t="str">
        <f>IFERROR(__xludf.DUMMYFUNCTION("""COMPUTED_VALUE"""),"INGRESAR CENTRO DE COSTO A LA DERECHA")</f>
        <v>INGRESAR CENTRO DE COSTO A LA DERECHA</v>
      </c>
      <c r="E187" s="34" t="str">
        <f>IFERROR(__xludf.DUMMYFUNCTION("""COMPUTED_VALUE"""),"DPTO. DE RECURSOS HUMANOS")</f>
        <v>DPTO. DE RECURSOS HUMANOS</v>
      </c>
      <c r="F187" s="34" t="str">
        <f>IFERROR(__xludf.DUMMYFUNCTION("""COMPUTED_VALUE"""),"Administrativo(a) de Recursos Humanos")</f>
        <v>Administrativo(a) de Recursos Humanos</v>
      </c>
      <c r="G187" s="33" t="str">
        <f>IFERROR(__xludf.DUMMYFUNCTION("""COMPUTED_VALUE"""),"ADMINISTRATIVO DE RECURSOS HUMANOS")</f>
        <v>ADMINISTRATIVO DE RECURSOS HUMANOS</v>
      </c>
      <c r="H187">
        <f>IFERROR(__xludf.DUMMYFUNCTION("""COMPUTED_VALUE"""),17.0)</f>
        <v>17</v>
      </c>
      <c r="I187" s="34" t="str">
        <f>IFERROR(__xludf.DUMMYFUNCTION("""COMPUTED_VALUE"""),"Jornada Completa")</f>
        <v>Jornada Completa</v>
      </c>
      <c r="J187" s="33" t="str">
        <f>IFERROR(__xludf.DUMMYFUNCTION("""COMPUTED_VALUE"""),"A CONTRATA")</f>
        <v>A CONTRATA</v>
      </c>
      <c r="K187" s="33" t="str">
        <f>IFERROR(__xludf.DUMMYFUNCTION("""COMPUTED_VALUE"""),"ADMINISTRATIVO")</f>
        <v>ADMINISTRATIVO</v>
      </c>
      <c r="L187" s="34" t="str">
        <f>IFERROR(__xludf.DUMMYFUNCTION("""COMPUTED_VALUE"""),"INTERNO")</f>
        <v>INTERNO</v>
      </c>
      <c r="M187" s="34">
        <f>IFERROR(__xludf.DUMMYFUNCTION("""COMPUTED_VALUE"""),5.0)</f>
        <v>5</v>
      </c>
      <c r="N187" s="34" t="str">
        <f>IFERROR(__xludf.DUMMYFUNCTION("""COMPUTED_VALUE"""),"EXTERNO")</f>
        <v>EXTERNO</v>
      </c>
      <c r="O187">
        <f>IFERROR(__xludf.DUMMYFUNCTION("""COMPUTED_VALUE"""),20.0)</f>
        <v>20</v>
      </c>
      <c r="P187">
        <f>IFERROR(__xludf.DUMMYFUNCTION("""COMPUTED_VALUE"""),4.0)</f>
        <v>4</v>
      </c>
      <c r="Q187" s="35">
        <f>IFERROR(__xludf.DUMMYFUNCTION("""COMPUTED_VALUE"""),0.0)</f>
        <v>0</v>
      </c>
      <c r="R187" s="36" t="str">
        <f>IFERROR(__xludf.DUMMYFUNCTION("""COMPUTED_VALUE"""),"SELECCIONADA")</f>
        <v>SELECCIONADA</v>
      </c>
      <c r="S187" s="37">
        <f>IFERROR(__xludf.DUMMYFUNCTION("""COMPUTED_VALUE"""),43423.0)</f>
        <v>43423</v>
      </c>
      <c r="T187" s="34"/>
      <c r="U187" t="str">
        <f>IFERROR(__xludf.DUMMYFUNCTION("""COMPUTED_VALUE"""),"GLADYS RAMOS VERA")</f>
        <v>GLADYS RAMOS VERA</v>
      </c>
      <c r="V187" t="str">
        <f>IFERROR(__xludf.DUMMYFUNCTION("""COMPUTED_VALUE"""),"11975431-3")</f>
        <v>11975431-3</v>
      </c>
      <c r="W187" t="str">
        <f>IFERROR(__xludf.DUMMYFUNCTION("""COMPUTED_VALUE"""),"SI")</f>
        <v>SI</v>
      </c>
      <c r="X187" t="str">
        <f>IFERROR(__xludf.DUMMYFUNCTION("""COMPUTED_VALUE"""),"Trabajo en Equipo")</f>
        <v>Trabajo en Equipo</v>
      </c>
      <c r="AA187" s="38">
        <f>IFERROR(__xludf.DUMMYFUNCTION("""COMPUTED_VALUE"""),43375.0)</f>
        <v>43375</v>
      </c>
      <c r="AB187" s="38">
        <f>IFERROR(__xludf.DUMMYFUNCTION("""COMPUTED_VALUE"""),43381.0)</f>
        <v>43381</v>
      </c>
      <c r="AF187" s="39"/>
      <c r="AG187" s="39"/>
      <c r="AH187" s="34" t="str">
        <f>IFERROR(__xludf.DUMMYFUNCTION("""COMPUTED_VALUE"""),"PROCESO DE SELECCIÓN")</f>
        <v>PROCESO DE SELECCIÓN</v>
      </c>
      <c r="AI187" s="34" t="str">
        <f>IFERROR(__xludf.DUMMYFUNCTION("""COMPUTED_VALUE"""),"ARAYA VERGARA FERNANDA")</f>
        <v>ARAYA VERGARA FERNANDA</v>
      </c>
      <c r="AJ187" s="34"/>
      <c r="AK187" s="34" t="str">
        <f>IFERROR(__xludf.DUMMYFUNCTION("""COMPUTED_VALUE"""),"E")</f>
        <v>E</v>
      </c>
      <c r="AL187">
        <f>IFERROR(__xludf.DUMMYFUNCTION("""COMPUTED_VALUE"""),31.0)</f>
        <v>31</v>
      </c>
      <c r="AM187">
        <f>IFERROR(__xludf.DUMMYFUNCTION("""COMPUTED_VALUE"""),2018.0)</f>
        <v>2018</v>
      </c>
      <c r="AN187" t="str">
        <f t="shared" si="1"/>
        <v>11975431-3</v>
      </c>
    </row>
    <row r="188">
      <c r="A188" s="33">
        <f>IFERROR(__xludf.DUMMYFUNCTION("""COMPUTED_VALUE"""),1.171523E7)</f>
        <v>11715230</v>
      </c>
      <c r="B188" s="33">
        <f>IFERROR(__xludf.DUMMYFUNCTION("""COMPUTED_VALUE"""),92.0)</f>
        <v>92</v>
      </c>
      <c r="C188" s="33" t="str">
        <f>IFERROR(__xludf.DUMMYFUNCTION("""COMPUTED_VALUE"""),"IR2018-27")</f>
        <v>IR2018-27</v>
      </c>
      <c r="D188" s="34" t="str">
        <f>IFERROR(__xludf.DUMMYFUNCTION("""COMPUTED_VALUE"""),"INGRESAR CENTRO DE COSTO A LA DERECHA")</f>
        <v>INGRESAR CENTRO DE COSTO A LA DERECHA</v>
      </c>
      <c r="E188" s="34" t="str">
        <f>IFERROR(__xludf.DUMMYFUNCTION("""COMPUTED_VALUE"""),"INSTITUTO DE ESTUDIOS AVANZADO")</f>
        <v>INSTITUTO DE ESTUDIOS AVANZADO</v>
      </c>
      <c r="F188" s="34" t="str">
        <f>IFERROR(__xludf.DUMMYFUNCTION("""COMPUTED_VALUE"""),"Analista de Proyectos I")</f>
        <v>Analista de Proyectos I</v>
      </c>
      <c r="G188" s="33" t="str">
        <f>IFERROR(__xludf.DUMMYFUNCTION("""COMPUTED_VALUE"""),"ANALISTA DE PROYECTOS I")</f>
        <v>ANALISTA DE PROYECTOS I</v>
      </c>
      <c r="H188">
        <f>IFERROR(__xludf.DUMMYFUNCTION("""COMPUTED_VALUE"""),10.0)</f>
        <v>10</v>
      </c>
      <c r="I188" s="34" t="str">
        <f>IFERROR(__xludf.DUMMYFUNCTION("""COMPUTED_VALUE"""),"Jornada Completa")</f>
        <v>Jornada Completa</v>
      </c>
      <c r="J188" s="33" t="str">
        <f>IFERROR(__xludf.DUMMYFUNCTION("""COMPUTED_VALUE"""),"A CONTRATA")</f>
        <v>A CONTRATA</v>
      </c>
      <c r="K188" s="33" t="str">
        <f>IFERROR(__xludf.DUMMYFUNCTION("""COMPUTED_VALUE"""),"PROFESIONAL")</f>
        <v>PROFESIONAL</v>
      </c>
      <c r="L188" s="34" t="str">
        <f>IFERROR(__xludf.DUMMYFUNCTION("""COMPUTED_VALUE"""),"INTERNO")</f>
        <v>INTERNO</v>
      </c>
      <c r="M188" s="34">
        <f>IFERROR(__xludf.DUMMYFUNCTION("""COMPUTED_VALUE"""),4.0)</f>
        <v>4</v>
      </c>
      <c r="N188" s="34" t="str">
        <f>IFERROR(__xludf.DUMMYFUNCTION("""COMPUTED_VALUE"""),"EXTERNO")</f>
        <v>EXTERNO</v>
      </c>
      <c r="O188">
        <f>IFERROR(__xludf.DUMMYFUNCTION("""COMPUTED_VALUE"""),19.0)</f>
        <v>19</v>
      </c>
      <c r="P188">
        <f>IFERROR(__xludf.DUMMYFUNCTION("""COMPUTED_VALUE"""),1.0)</f>
        <v>1</v>
      </c>
      <c r="Q188" s="35">
        <f>IFERROR(__xludf.DUMMYFUNCTION("""COMPUTED_VALUE"""),0.0)</f>
        <v>0</v>
      </c>
      <c r="R188" s="36" t="str">
        <f>IFERROR(__xludf.DUMMYFUNCTION("""COMPUTED_VALUE"""),"SELECCIONADA")</f>
        <v>SELECCIONADA</v>
      </c>
      <c r="S188" s="37">
        <f>IFERROR(__xludf.DUMMYFUNCTION("""COMPUTED_VALUE"""),43435.0)</f>
        <v>43435</v>
      </c>
      <c r="T188" s="34"/>
      <c r="U188" t="str">
        <f>IFERROR(__xludf.DUMMYFUNCTION("""COMPUTED_VALUE"""),"MARIA ORTEGA AYANCAN")</f>
        <v>MARIA ORTEGA AYANCAN</v>
      </c>
      <c r="V188" t="str">
        <f>IFERROR(__xludf.DUMMYFUNCTION("""COMPUTED_VALUE"""),"11715230-8")</f>
        <v>11715230-8</v>
      </c>
      <c r="W188" t="str">
        <f>IFERROR(__xludf.DUMMYFUNCTION("""COMPUTED_VALUE"""),"SI")</f>
        <v>SI</v>
      </c>
      <c r="X188" t="str">
        <f>IFERROR(__xludf.DUMMYFUNCTION("""COMPUTED_VALUE"""),"Orientacion a los Resultados")</f>
        <v>Orientacion a los Resultados</v>
      </c>
      <c r="AA188" s="38">
        <f>IFERROR(__xludf.DUMMYFUNCTION("""COMPUTED_VALUE"""),43397.0)</f>
        <v>43397</v>
      </c>
      <c r="AB188" s="38">
        <f>IFERROR(__xludf.DUMMYFUNCTION("""COMPUTED_VALUE"""),43403.0)</f>
        <v>43403</v>
      </c>
      <c r="AF188" s="39"/>
      <c r="AG188" s="39"/>
      <c r="AH188" s="34" t="str">
        <f>IFERROR(__xludf.DUMMYFUNCTION("""COMPUTED_VALUE"""),"PROCESO DE SELECCIÓN")</f>
        <v>PROCESO DE SELECCIÓN</v>
      </c>
      <c r="AI188" s="34" t="str">
        <f>IFERROR(__xludf.DUMMYFUNCTION("""COMPUTED_VALUE"""),"WARTEMBERG ORELLANA MARIA VERONICA")</f>
        <v>WARTEMBERG ORELLANA MARIA VERONICA</v>
      </c>
      <c r="AJ188" s="34"/>
      <c r="AK188" s="34" t="str">
        <f>IFERROR(__xludf.DUMMYFUNCTION("""COMPUTED_VALUE"""),"E")</f>
        <v>E</v>
      </c>
      <c r="AL188">
        <f>IFERROR(__xludf.DUMMYFUNCTION("""COMPUTED_VALUE"""),24.0)</f>
        <v>24</v>
      </c>
      <c r="AM188">
        <f>IFERROR(__xludf.DUMMYFUNCTION("""COMPUTED_VALUE"""),2018.0)</f>
        <v>2018</v>
      </c>
      <c r="AN188" t="str">
        <f t="shared" si="1"/>
        <v>11715230-8</v>
      </c>
    </row>
    <row r="189">
      <c r="A189" s="33">
        <f>IFERROR(__xludf.DUMMYFUNCTION("""COMPUTED_VALUE"""),1.1684269E7)</f>
        <v>11684269</v>
      </c>
      <c r="B189" s="33">
        <f>IFERROR(__xludf.DUMMYFUNCTION("""COMPUTED_VALUE"""),93.0)</f>
        <v>93</v>
      </c>
      <c r="C189" s="33" t="str">
        <f>IFERROR(__xludf.DUMMYFUNCTION("""COMPUTED_VALUE"""),"IR2018-22")</f>
        <v>IR2018-22</v>
      </c>
      <c r="D189" s="34" t="str">
        <f>IFERROR(__xludf.DUMMYFUNCTION("""COMPUTED_VALUE"""),"INGRESAR CENTRO DE COSTO A LA DERECHA")</f>
        <v>INGRESAR CENTRO DE COSTO A LA DERECHA</v>
      </c>
      <c r="E189" s="34" t="str">
        <f>IFERROR(__xludf.DUMMYFUNCTION("""COMPUTED_VALUE"""),"ADM.GRAL. FONDO SOLIDARIO CRED")</f>
        <v>ADM.GRAL. FONDO SOLIDARIO CRED</v>
      </c>
      <c r="F189" s="34" t="str">
        <f>IFERROR(__xludf.DUMMYFUNCTION("""COMPUTED_VALUE"""),"Jefe(a) de Sección")</f>
        <v>Jefe(a) de Sección</v>
      </c>
      <c r="G189" s="33" t="str">
        <f>IFERROR(__xludf.DUMMYFUNCTION("""COMPUTED_VALUE"""),"JEFA DE SECCION ADMINISTRACIÓN INTERNA Y PAGARES")</f>
        <v>JEFA DE SECCION ADMINISTRACIÓN INTERNA Y PAGARES</v>
      </c>
      <c r="H189">
        <f>IFERROR(__xludf.DUMMYFUNCTION("""COMPUTED_VALUE"""),10.0)</f>
        <v>10</v>
      </c>
      <c r="I189" s="34" t="str">
        <f>IFERROR(__xludf.DUMMYFUNCTION("""COMPUTED_VALUE"""),"Jornada Completa")</f>
        <v>Jornada Completa</v>
      </c>
      <c r="J189" s="33" t="str">
        <f>IFERROR(__xludf.DUMMYFUNCTION("""COMPUTED_VALUE"""),"A CONTRATA")</f>
        <v>A CONTRATA</v>
      </c>
      <c r="K189" s="33" t="str">
        <f>IFERROR(__xludf.DUMMYFUNCTION("""COMPUTED_VALUE"""),"PROFESIONAL")</f>
        <v>PROFESIONAL</v>
      </c>
      <c r="L189" s="34" t="str">
        <f>IFERROR(__xludf.DUMMYFUNCTION("""COMPUTED_VALUE"""),"INTERNO")</f>
        <v>INTERNO</v>
      </c>
      <c r="M189" s="34">
        <f>IFERROR(__xludf.DUMMYFUNCTION("""COMPUTED_VALUE"""),3.0)</f>
        <v>3</v>
      </c>
      <c r="N189" s="34" t="str">
        <f>IFERROR(__xludf.DUMMYFUNCTION("""COMPUTED_VALUE"""),"NO")</f>
        <v>NO</v>
      </c>
      <c r="O189">
        <f>IFERROR(__xludf.DUMMYFUNCTION("""COMPUTED_VALUE"""),0.0)</f>
        <v>0</v>
      </c>
      <c r="P189">
        <f>IFERROR(__xludf.DUMMYFUNCTION("""COMPUTED_VALUE"""),1.0)</f>
        <v>1</v>
      </c>
      <c r="Q189" s="35">
        <f>IFERROR(__xludf.DUMMYFUNCTION("""COMPUTED_VALUE"""),0.0)</f>
        <v>0</v>
      </c>
      <c r="R189" s="36" t="str">
        <f>IFERROR(__xludf.DUMMYFUNCTION("""COMPUTED_VALUE"""),"SELECCIONADA")</f>
        <v>SELECCIONADA</v>
      </c>
      <c r="S189" s="37">
        <f>IFERROR(__xludf.DUMMYFUNCTION("""COMPUTED_VALUE"""),43434.0)</f>
        <v>43434</v>
      </c>
      <c r="T189" s="34" t="str">
        <f>IFERROR(__xludf.DUMMYFUNCTION("""COMPUTED_VALUE"""),"ZENTENO VILLAGRAN MARCIA DEL PILAR")</f>
        <v>ZENTENO VILLAGRAN MARCIA DEL PILAR</v>
      </c>
      <c r="V189" t="str">
        <f>IFERROR(__xludf.DUMMYFUNCTION("""COMPUTED_VALUE"""),"11684269-6")</f>
        <v>11684269-6</v>
      </c>
      <c r="W189" t="str">
        <f>IFERROR(__xludf.DUMMYFUNCTION("""COMPUTED_VALUE"""),"SI")</f>
        <v>SI</v>
      </c>
      <c r="X189" t="str">
        <f>IFERROR(__xludf.DUMMYFUNCTION("""COMPUTED_VALUE"""),"Trabajo en Equipo")</f>
        <v>Trabajo en Equipo</v>
      </c>
      <c r="AA189" s="38">
        <f>IFERROR(__xludf.DUMMYFUNCTION("""COMPUTED_VALUE"""),43377.0)</f>
        <v>43377</v>
      </c>
      <c r="AB189" s="38">
        <f>IFERROR(__xludf.DUMMYFUNCTION("""COMPUTED_VALUE"""),43384.0)</f>
        <v>43384</v>
      </c>
      <c r="AF189" s="39"/>
      <c r="AG189" s="39"/>
      <c r="AH189" s="34" t="str">
        <f>IFERROR(__xludf.DUMMYFUNCTION("""COMPUTED_VALUE"""),"PROCESO DE SELECCIÓN")</f>
        <v>PROCESO DE SELECCIÓN</v>
      </c>
      <c r="AI189" s="34" t="str">
        <f>IFERROR(__xludf.DUMMYFUNCTION("""COMPUTED_VALUE"""),"RIQUELME LOPEZ ROBERTO")</f>
        <v>RIQUELME LOPEZ ROBERTO</v>
      </c>
      <c r="AJ189" s="34"/>
      <c r="AK189" s="34" t="str">
        <f>IFERROR(__xludf.DUMMYFUNCTION("""COMPUTED_VALUE"""),"C")</f>
        <v>C</v>
      </c>
      <c r="AL189">
        <f>IFERROR(__xludf.DUMMYFUNCTION("""COMPUTED_VALUE"""),37.0)</f>
        <v>37</v>
      </c>
      <c r="AM189">
        <f>IFERROR(__xludf.DUMMYFUNCTION("""COMPUTED_VALUE"""),2018.0)</f>
        <v>2018</v>
      </c>
      <c r="AN189" t="str">
        <f t="shared" si="1"/>
        <v>11684269-6</v>
      </c>
    </row>
    <row r="190">
      <c r="A190" s="33">
        <f>IFERROR(__xludf.DUMMYFUNCTION("""COMPUTED_VALUE"""),1.703166E7)</f>
        <v>17031660</v>
      </c>
      <c r="B190" s="33">
        <f>IFERROR(__xludf.DUMMYFUNCTION("""COMPUTED_VALUE"""),94.0)</f>
        <v>94</v>
      </c>
      <c r="C190" s="33" t="str">
        <f>IFERROR(__xludf.DUMMYFUNCTION("""COMPUTED_VALUE"""),"A260")</f>
        <v>A260</v>
      </c>
      <c r="D190" s="34" t="str">
        <f>IFERROR(__xludf.DUMMYFUNCTION("""COMPUTED_VALUE"""),"INGRESAR CENTRO DE COSTO A LA DERECHA")</f>
        <v>INGRESAR CENTRO DE COSTO A LA DERECHA</v>
      </c>
      <c r="E190" s="34" t="str">
        <f>IFERROR(__xludf.DUMMYFUNCTION("""COMPUTED_VALUE"""),"DPTO. DE BIOLOGIA")</f>
        <v>DPTO. DE BIOLOGIA</v>
      </c>
      <c r="F190" s="34" t="str">
        <f>IFERROR(__xludf.DUMMYFUNCTION("""COMPUTED_VALUE"""),"Técnico(a) de Laboratorio")</f>
        <v>Técnico(a) de Laboratorio</v>
      </c>
      <c r="G190" s="33" t="str">
        <f>IFERROR(__xludf.DUMMYFUNCTION("""COMPUTED_VALUE"""),"TECNICO DE LABORATORIO")</f>
        <v>TECNICO DE LABORATORIO</v>
      </c>
      <c r="H190">
        <f>IFERROR(__xludf.DUMMYFUNCTION("""COMPUTED_VALUE"""),17.0)</f>
        <v>17</v>
      </c>
      <c r="I190" s="34" t="str">
        <f>IFERROR(__xludf.DUMMYFUNCTION("""COMPUTED_VALUE"""),"Jornada Completa")</f>
        <v>Jornada Completa</v>
      </c>
      <c r="J190" s="33" t="str">
        <f>IFERROR(__xludf.DUMMYFUNCTION("""COMPUTED_VALUE"""),"A CONTRATA")</f>
        <v>A CONTRATA</v>
      </c>
      <c r="K190" s="33" t="str">
        <f>IFERROR(__xludf.DUMMYFUNCTION("""COMPUTED_VALUE"""),"TECNICO")</f>
        <v>TECNICO</v>
      </c>
      <c r="L190" s="34" t="str">
        <f>IFERROR(__xludf.DUMMYFUNCTION("""COMPUTED_VALUE"""),"INTERNO")</f>
        <v>INTERNO</v>
      </c>
      <c r="M190" s="34">
        <f>IFERROR(__xludf.DUMMYFUNCTION("""COMPUTED_VALUE"""),2.0)</f>
        <v>2</v>
      </c>
      <c r="N190" s="34" t="str">
        <f>IFERROR(__xludf.DUMMYFUNCTION("""COMPUTED_VALUE"""),"NO")</f>
        <v>NO</v>
      </c>
      <c r="O190">
        <f>IFERROR(__xludf.DUMMYFUNCTION("""COMPUTED_VALUE"""),0.0)</f>
        <v>0</v>
      </c>
      <c r="P190">
        <f>IFERROR(__xludf.DUMMYFUNCTION("""COMPUTED_VALUE"""),1.0)</f>
        <v>1</v>
      </c>
      <c r="Q190" s="35">
        <f>IFERROR(__xludf.DUMMYFUNCTION("""COMPUTED_VALUE"""),0.0)</f>
        <v>0</v>
      </c>
      <c r="R190" s="36" t="str">
        <f>IFERROR(__xludf.DUMMYFUNCTION("""COMPUTED_VALUE"""),"SELECCIONADO")</f>
        <v>SELECCIONADO</v>
      </c>
      <c r="S190" s="37">
        <f>IFERROR(__xludf.DUMMYFUNCTION("""COMPUTED_VALUE"""),43435.0)</f>
        <v>43435</v>
      </c>
      <c r="T190" s="34" t="str">
        <f>IFERROR(__xludf.DUMMYFUNCTION("""COMPUTED_VALUE"""),"DEL CANTO ORTEGA SEBASTIAN FELIPE")</f>
        <v>DEL CANTO ORTEGA SEBASTIAN FELIPE</v>
      </c>
      <c r="V190" t="str">
        <f>IFERROR(__xludf.DUMMYFUNCTION("""COMPUTED_VALUE"""),"17031660-6")</f>
        <v>17031660-6</v>
      </c>
      <c r="W190" t="str">
        <f>IFERROR(__xludf.DUMMYFUNCTION("""COMPUTED_VALUE"""),"SI")</f>
        <v>SI</v>
      </c>
      <c r="X190" t="str">
        <f>IFERROR(__xludf.DUMMYFUNCTION("""COMPUTED_VALUE"""),"Iniciativa")</f>
        <v>Iniciativa</v>
      </c>
      <c r="AA190" s="38">
        <f>IFERROR(__xludf.DUMMYFUNCTION("""COMPUTED_VALUE"""),43404.0)</f>
        <v>43404</v>
      </c>
      <c r="AB190" s="38">
        <f>IFERROR(__xludf.DUMMYFUNCTION("""COMPUTED_VALUE"""),43413.0)</f>
        <v>43413</v>
      </c>
      <c r="AF190" s="39"/>
      <c r="AG190" s="39"/>
      <c r="AH190" s="34" t="str">
        <f>IFERROR(__xludf.DUMMYFUNCTION("""COMPUTED_VALUE"""),"PROCESO DE SELECCIÓN")</f>
        <v>PROCESO DE SELECCIÓN</v>
      </c>
      <c r="AI190" s="34" t="str">
        <f>IFERROR(__xludf.DUMMYFUNCTION("""COMPUTED_VALUE"""),"MEZA VALDERRAMA CAROL")</f>
        <v>MEZA VALDERRAMA CAROL</v>
      </c>
      <c r="AJ190" s="34"/>
      <c r="AK190" s="34" t="str">
        <f>IFERROR(__xludf.DUMMYFUNCTION("""COMPUTED_VALUE"""),"C")</f>
        <v>C</v>
      </c>
      <c r="AL190">
        <f>IFERROR(__xludf.DUMMYFUNCTION("""COMPUTED_VALUE"""),16.0)</f>
        <v>16</v>
      </c>
      <c r="AM190">
        <f>IFERROR(__xludf.DUMMYFUNCTION("""COMPUTED_VALUE"""),2018.0)</f>
        <v>2018</v>
      </c>
      <c r="AN190" t="str">
        <f t="shared" si="1"/>
        <v>17031660-6</v>
      </c>
    </row>
    <row r="191">
      <c r="A191" s="33">
        <f>IFERROR(__xludf.DUMMYFUNCTION("""COMPUTED_VALUE"""),1.5342346E7)</f>
        <v>15342346</v>
      </c>
      <c r="B191" s="33">
        <f>IFERROR(__xludf.DUMMYFUNCTION("""COMPUTED_VALUE"""),95.0)</f>
        <v>95</v>
      </c>
      <c r="C191" s="33" t="str">
        <f>IFERROR(__xludf.DUMMYFUNCTION("""COMPUTED_VALUE"""),"A237")</f>
        <v>A237</v>
      </c>
      <c r="D191" s="34" t="str">
        <f>IFERROR(__xludf.DUMMYFUNCTION("""COMPUTED_VALUE"""),"INGRESAR CENTRO DE COSTO A LA DERECHA")</f>
        <v>INGRESAR CENTRO DE COSTO A LA DERECHA</v>
      </c>
      <c r="E191" s="34" t="str">
        <f>IFERROR(__xludf.DUMMYFUNCTION("""COMPUTED_VALUE"""),"UNIDAD DE PROMOCION DE LA SALUD")</f>
        <v>UNIDAD DE PROMOCION DE LA SALUD</v>
      </c>
      <c r="F191" s="34" t="str">
        <f>IFERROR(__xludf.DUMMYFUNCTION("""COMPUTED_VALUE"""),"Psicólogo(a)")</f>
        <v>Psicólogo(a)</v>
      </c>
      <c r="G191" s="33" t="str">
        <f>IFERROR(__xludf.DUMMYFUNCTION("""COMPUTED_VALUE"""),"PSICOLOGA")</f>
        <v>PSICOLOGA</v>
      </c>
      <c r="H191">
        <f>IFERROR(__xludf.DUMMYFUNCTION("""COMPUTED_VALUE"""),13.0)</f>
        <v>13</v>
      </c>
      <c r="I191" s="34" t="str">
        <f>IFERROR(__xludf.DUMMYFUNCTION("""COMPUTED_VALUE"""),"Jornada Completa")</f>
        <v>Jornada Completa</v>
      </c>
      <c r="J191" s="33" t="str">
        <f>IFERROR(__xludf.DUMMYFUNCTION("""COMPUTED_VALUE"""),"A CONTRATA")</f>
        <v>A CONTRATA</v>
      </c>
      <c r="K191" s="33" t="str">
        <f>IFERROR(__xludf.DUMMYFUNCTION("""COMPUTED_VALUE"""),"PROFESIONAL")</f>
        <v>PROFESIONAL</v>
      </c>
      <c r="L191" s="34" t="str">
        <f>IFERROR(__xludf.DUMMYFUNCTION("""COMPUTED_VALUE"""),"NO")</f>
        <v>NO</v>
      </c>
      <c r="M191" s="34">
        <f>IFERROR(__xludf.DUMMYFUNCTION("""COMPUTED_VALUE"""),0.0)</f>
        <v>0</v>
      </c>
      <c r="N191" s="34" t="str">
        <f>IFERROR(__xludf.DUMMYFUNCTION("""COMPUTED_VALUE"""),"EXTERNO")</f>
        <v>EXTERNO</v>
      </c>
      <c r="O191">
        <f>IFERROR(__xludf.DUMMYFUNCTION("""COMPUTED_VALUE"""),30.0)</f>
        <v>30</v>
      </c>
      <c r="P191">
        <f>IFERROR(__xludf.DUMMYFUNCTION("""COMPUTED_VALUE"""),1.0)</f>
        <v>1</v>
      </c>
      <c r="Q191" s="35">
        <f>IFERROR(__xludf.DUMMYFUNCTION("""COMPUTED_VALUE"""),0.0)</f>
        <v>0</v>
      </c>
      <c r="R191" s="36" t="str">
        <f>IFERROR(__xludf.DUMMYFUNCTION("""COMPUTED_VALUE"""),"SELECCIONADA")</f>
        <v>SELECCIONADA</v>
      </c>
      <c r="S191" s="37">
        <f>IFERROR(__xludf.DUMMYFUNCTION("""COMPUTED_VALUE"""),43440.0)</f>
        <v>43440</v>
      </c>
      <c r="T191" s="34"/>
      <c r="U191" t="str">
        <f>IFERROR(__xludf.DUMMYFUNCTION("""COMPUTED_VALUE"""),"MARIA VEAS GUERRERO")</f>
        <v>MARIA VEAS GUERRERO</v>
      </c>
      <c r="V191" t="str">
        <f>IFERROR(__xludf.DUMMYFUNCTION("""COMPUTED_VALUE"""),"15342346-6")</f>
        <v>15342346-6</v>
      </c>
      <c r="W191" t="str">
        <f>IFERROR(__xludf.DUMMYFUNCTION("""COMPUTED_VALUE"""),"SI")</f>
        <v>SI</v>
      </c>
      <c r="X191" t="str">
        <f>IFERROR(__xludf.DUMMYFUNCTION("""COMPUTED_VALUE"""),"Capacidad de Planificacion y Organizacion")</f>
        <v>Capacidad de Planificacion y Organizacion</v>
      </c>
      <c r="AA191" s="38">
        <f>IFERROR(__xludf.DUMMYFUNCTION("""COMPUTED_VALUE"""),43378.0)</f>
        <v>43378</v>
      </c>
      <c r="AB191" s="38">
        <f>IFERROR(__xludf.DUMMYFUNCTION("""COMPUTED_VALUE"""),43385.0)</f>
        <v>43385</v>
      </c>
      <c r="AF191" s="39"/>
      <c r="AG191" s="39"/>
      <c r="AH191" s="34" t="str">
        <f>IFERROR(__xludf.DUMMYFUNCTION("""COMPUTED_VALUE"""),"PROCESO DE SELECCIÓN")</f>
        <v>PROCESO DE SELECCIÓN</v>
      </c>
      <c r="AI191" s="34" t="str">
        <f>IFERROR(__xludf.DUMMYFUNCTION("""COMPUTED_VALUE""")," - ")</f>
        <v> - </v>
      </c>
      <c r="AJ191" s="34"/>
      <c r="AK191" s="34" t="str">
        <f>IFERROR(__xludf.DUMMYFUNCTION("""COMPUTED_VALUE"""),"E")</f>
        <v>E</v>
      </c>
      <c r="AL191">
        <f>IFERROR(__xludf.DUMMYFUNCTION("""COMPUTED_VALUE"""),40.0)</f>
        <v>40</v>
      </c>
      <c r="AM191">
        <f>IFERROR(__xludf.DUMMYFUNCTION("""COMPUTED_VALUE"""),2018.0)</f>
        <v>2018</v>
      </c>
      <c r="AN191" t="str">
        <f t="shared" si="1"/>
        <v>15342346-6</v>
      </c>
    </row>
    <row r="192">
      <c r="A192" s="33">
        <f>IFERROR(__xludf.DUMMYFUNCTION("""COMPUTED_VALUE"""),1.5970818E7)</f>
        <v>15970818</v>
      </c>
      <c r="B192" s="33">
        <f>IFERROR(__xludf.DUMMYFUNCTION("""COMPUTED_VALUE"""),96.0)</f>
        <v>96</v>
      </c>
      <c r="C192" s="33" t="str">
        <f>IFERROR(__xludf.DUMMYFUNCTION("""COMPUTED_VALUE"""),"A228")</f>
        <v>A228</v>
      </c>
      <c r="D192" s="34" t="str">
        <f>IFERROR(__xludf.DUMMYFUNCTION("""COMPUTED_VALUE"""),"INGRESAR CENTRO DE COSTO A LA DERECHA")</f>
        <v>INGRESAR CENTRO DE COSTO A LA DERECHA</v>
      </c>
      <c r="E192" s="34" t="str">
        <f>IFERROR(__xludf.DUMMYFUNCTION("""COMPUTED_VALUE"""),"DPTO. DE INGENIERIA EN MINAS")</f>
        <v>DPTO. DE INGENIERIA EN MINAS</v>
      </c>
      <c r="F192" s="34" t="str">
        <f>IFERROR(__xludf.DUMMYFUNCTION("""COMPUTED_VALUE"""),"Secretario(a) de Apoyo Docente")</f>
        <v>Secretario(a) de Apoyo Docente</v>
      </c>
      <c r="G192" s="33" t="str">
        <f>IFERROR(__xludf.DUMMYFUNCTION("""COMPUTED_VALUE"""),"SECRETARIA DE APOYO DOCENTE")</f>
        <v>SECRETARIA DE APOYO DOCENTE</v>
      </c>
      <c r="H192">
        <f>IFERROR(__xludf.DUMMYFUNCTION("""COMPUTED_VALUE"""),17.0)</f>
        <v>17</v>
      </c>
      <c r="I192" s="34" t="str">
        <f>IFERROR(__xludf.DUMMYFUNCTION("""COMPUTED_VALUE"""),"Jornada Completa")</f>
        <v>Jornada Completa</v>
      </c>
      <c r="J192" s="33" t="str">
        <f>IFERROR(__xludf.DUMMYFUNCTION("""COMPUTED_VALUE"""),"A CONTRATA")</f>
        <v>A CONTRATA</v>
      </c>
      <c r="K192" s="33" t="str">
        <f>IFERROR(__xludf.DUMMYFUNCTION("""COMPUTED_VALUE"""),"ADMINISTRATIVO")</f>
        <v>ADMINISTRATIVO</v>
      </c>
      <c r="L192" s="34" t="str">
        <f>IFERROR(__xludf.DUMMYFUNCTION("""COMPUTED_VALUE"""),"INTERNO")</f>
        <v>INTERNO</v>
      </c>
      <c r="M192" s="34">
        <f>IFERROR(__xludf.DUMMYFUNCTION("""COMPUTED_VALUE"""),1.0)</f>
        <v>1</v>
      </c>
      <c r="N192" s="34" t="str">
        <f>IFERROR(__xludf.DUMMYFUNCTION("""COMPUTED_VALUE"""),"EXTERNO")</f>
        <v>EXTERNO</v>
      </c>
      <c r="O192">
        <f>IFERROR(__xludf.DUMMYFUNCTION("""COMPUTED_VALUE"""),25.0)</f>
        <v>25</v>
      </c>
      <c r="P192">
        <f>IFERROR(__xludf.DUMMYFUNCTION("""COMPUTED_VALUE"""),3.0)</f>
        <v>3</v>
      </c>
      <c r="Q192" s="35">
        <f>IFERROR(__xludf.DUMMYFUNCTION("""COMPUTED_VALUE"""),1.0)</f>
        <v>1</v>
      </c>
      <c r="R192" s="36" t="str">
        <f>IFERROR(__xludf.DUMMYFUNCTION("""COMPUTED_VALUE"""),"SELECCIONADA")</f>
        <v>SELECCIONADA</v>
      </c>
      <c r="S192" s="37">
        <f>IFERROR(__xludf.DUMMYFUNCTION("""COMPUTED_VALUE"""),43451.0)</f>
        <v>43451</v>
      </c>
      <c r="T192" s="34"/>
      <c r="U192" t="str">
        <f>IFERROR(__xludf.DUMMYFUNCTION("""COMPUTED_VALUE"""),"NATALIA ROJO MORALES")</f>
        <v>NATALIA ROJO MORALES</v>
      </c>
      <c r="V192" t="str">
        <f>IFERROR(__xludf.DUMMYFUNCTION("""COMPUTED_VALUE"""),"15970818-7")</f>
        <v>15970818-7</v>
      </c>
      <c r="W192" t="str">
        <f>IFERROR(__xludf.DUMMYFUNCTION("""COMPUTED_VALUE"""),"SI")</f>
        <v>SI</v>
      </c>
      <c r="X192" t="str">
        <f>IFERROR(__xludf.DUMMYFUNCTION("""COMPUTED_VALUE"""),"Franqueza- Confiabilidad- Integridad")</f>
        <v>Franqueza- Confiabilidad- Integridad</v>
      </c>
      <c r="AA192" s="38">
        <f>IFERROR(__xludf.DUMMYFUNCTION("""COMPUTED_VALUE"""),43383.0)</f>
        <v>43383</v>
      </c>
      <c r="AB192" s="38">
        <f>IFERROR(__xludf.DUMMYFUNCTION("""COMPUTED_VALUE"""),43390.0)</f>
        <v>43390</v>
      </c>
      <c r="AF192" s="39"/>
      <c r="AG192" s="39"/>
      <c r="AH192" s="34" t="str">
        <f>IFERROR(__xludf.DUMMYFUNCTION("""COMPUTED_VALUE"""),"PROCESO DE SELECCIÓN")</f>
        <v>PROCESO DE SELECCIÓN</v>
      </c>
      <c r="AI192" s="34" t="str">
        <f>IFERROR(__xludf.DUMMYFUNCTION("""COMPUTED_VALUE"""),"AGUILAR MELLA GLADYS")</f>
        <v>AGUILAR MELLA GLADYS</v>
      </c>
      <c r="AJ192" s="34"/>
      <c r="AK192" s="34" t="str">
        <f>IFERROR(__xludf.DUMMYFUNCTION("""COMPUTED_VALUE"""),"C")</f>
        <v>C</v>
      </c>
      <c r="AL192">
        <f>IFERROR(__xludf.DUMMYFUNCTION("""COMPUTED_VALUE"""),44.0)</f>
        <v>44</v>
      </c>
      <c r="AM192">
        <f>IFERROR(__xludf.DUMMYFUNCTION("""COMPUTED_VALUE"""),2018.0)</f>
        <v>2018</v>
      </c>
      <c r="AN192" t="str">
        <f t="shared" si="1"/>
        <v>15970818-7</v>
      </c>
    </row>
    <row r="193">
      <c r="A193" s="33">
        <f>IFERROR(__xludf.DUMMYFUNCTION("""COMPUTED_VALUE"""),1.7576116E7)</f>
        <v>17576116</v>
      </c>
      <c r="B193" s="33">
        <f>IFERROR(__xludf.DUMMYFUNCTION("""COMPUTED_VALUE"""),97.0)</f>
        <v>97</v>
      </c>
      <c r="C193" s="33" t="str">
        <f>IFERROR(__xludf.DUMMYFUNCTION("""COMPUTED_VALUE"""),"A262")</f>
        <v>A262</v>
      </c>
      <c r="D193" s="34" t="str">
        <f>IFERROR(__xludf.DUMMYFUNCTION("""COMPUTED_VALUE"""),"INGRESAR CENTRO DE COSTO A LA DERECHA")</f>
        <v>INGRESAR CENTRO DE COSTO A LA DERECHA</v>
      </c>
      <c r="E193" s="34" t="str">
        <f>IFERROR(__xludf.DUMMYFUNCTION("""COMPUTED_VALUE"""),"UNIDAD DE ADM. SERV. ALIMENTARIOS")</f>
        <v>UNIDAD DE ADM. SERV. ALIMENTARIOS</v>
      </c>
      <c r="F193" s="34" t="str">
        <f>IFERROR(__xludf.DUMMYFUNCTION("""COMPUTED_VALUE"""),"Maestro(a) de Cocina")</f>
        <v>Maestro(a) de Cocina</v>
      </c>
      <c r="G193" s="33" t="str">
        <f>IFERROR(__xludf.DUMMYFUNCTION("""COMPUTED_VALUE"""),"MAESTRO DE COCINA")</f>
        <v>MAESTRO DE COCINA</v>
      </c>
      <c r="H193">
        <f>IFERROR(__xludf.DUMMYFUNCTION("""COMPUTED_VALUE"""),17.0)</f>
        <v>17</v>
      </c>
      <c r="I193" s="34" t="str">
        <f>IFERROR(__xludf.DUMMYFUNCTION("""COMPUTED_VALUE"""),"Jornada Completa")</f>
        <v>Jornada Completa</v>
      </c>
      <c r="J193" s="33" t="str">
        <f>IFERROR(__xludf.DUMMYFUNCTION("""COMPUTED_VALUE"""),"A CONTRATA")</f>
        <v>A CONTRATA</v>
      </c>
      <c r="K193" s="33" t="str">
        <f>IFERROR(__xludf.DUMMYFUNCTION("""COMPUTED_VALUE"""),"TECNICO")</f>
        <v>TECNICO</v>
      </c>
      <c r="L193" s="34" t="str">
        <f>IFERROR(__xludf.DUMMYFUNCTION("""COMPUTED_VALUE"""),"INTERNO")</f>
        <v>INTERNO</v>
      </c>
      <c r="M193" s="34">
        <f>IFERROR(__xludf.DUMMYFUNCTION("""COMPUTED_VALUE"""),0.0)</f>
        <v>0</v>
      </c>
      <c r="N193" s="34" t="str">
        <f>IFERROR(__xludf.DUMMYFUNCTION("""COMPUTED_VALUE"""),"EXTERNO")</f>
        <v>EXTERNO</v>
      </c>
      <c r="O193">
        <f>IFERROR(__xludf.DUMMYFUNCTION("""COMPUTED_VALUE"""),4.0)</f>
        <v>4</v>
      </c>
      <c r="P193">
        <f>IFERROR(__xludf.DUMMYFUNCTION("""COMPUTED_VALUE"""),1.0)</f>
        <v>1</v>
      </c>
      <c r="Q193" s="35">
        <f>IFERROR(__xludf.DUMMYFUNCTION("""COMPUTED_VALUE"""),0.0)</f>
        <v>0</v>
      </c>
      <c r="R193" s="36" t="str">
        <f>IFERROR(__xludf.DUMMYFUNCTION("""COMPUTED_VALUE"""),"SELECCIONADO")</f>
        <v>SELECCIONADO</v>
      </c>
      <c r="S193" s="37">
        <f>IFERROR(__xludf.DUMMYFUNCTION("""COMPUTED_VALUE"""),43472.0)</f>
        <v>43472</v>
      </c>
      <c r="T193" s="34"/>
      <c r="U193" t="str">
        <f>IFERROR(__xludf.DUMMYFUNCTION("""COMPUTED_VALUE"""),"JAIME GOMEZ CATALAN")</f>
        <v>JAIME GOMEZ CATALAN</v>
      </c>
      <c r="V193" t="str">
        <f>IFERROR(__xludf.DUMMYFUNCTION("""COMPUTED_VALUE"""),"17576116-0")</f>
        <v>17576116-0</v>
      </c>
      <c r="W193" t="str">
        <f>IFERROR(__xludf.DUMMYFUNCTION("""COMPUTED_VALUE"""),"NO")</f>
        <v>NO</v>
      </c>
      <c r="AA193" s="38">
        <f>IFERROR(__xludf.DUMMYFUNCTION("""COMPUTED_VALUE"""),43448.0)</f>
        <v>43448</v>
      </c>
      <c r="AB193" s="38">
        <f>IFERROR(__xludf.DUMMYFUNCTION("""COMPUTED_VALUE"""),43452.0)</f>
        <v>43452</v>
      </c>
      <c r="AF193" s="39"/>
      <c r="AG193" s="39"/>
      <c r="AH193" s="34" t="str">
        <f>IFERROR(__xludf.DUMMYFUNCTION("""COMPUTED_VALUE"""),"PROCESO DE SELECCIÓN")</f>
        <v>PROCESO DE SELECCIÓN</v>
      </c>
      <c r="AI193" s="34" t="str">
        <f>IFERROR(__xludf.DUMMYFUNCTION("""COMPUTED_VALUE"""),"ROJAS SOTO FERNANDO")</f>
        <v>ROJAS SOTO FERNANDO</v>
      </c>
      <c r="AJ193" s="34"/>
      <c r="AK193" s="34" t="str">
        <f>IFERROR(__xludf.DUMMYFUNCTION("""COMPUTED_VALUE"""),"E")</f>
        <v>E</v>
      </c>
      <c r="AL193">
        <f>IFERROR(__xludf.DUMMYFUNCTION("""COMPUTED_VALUE"""),15.0)</f>
        <v>15</v>
      </c>
      <c r="AM193">
        <f>IFERROR(__xludf.DUMMYFUNCTION("""COMPUTED_VALUE"""),2018.0)</f>
        <v>2018</v>
      </c>
      <c r="AN193" t="str">
        <f t="shared" si="1"/>
        <v>17576116-0</v>
      </c>
    </row>
    <row r="194">
      <c r="A194" s="33">
        <f>IFERROR(__xludf.DUMMYFUNCTION("""COMPUTED_VALUE"""),1.4447359E7)</f>
        <v>14447359</v>
      </c>
      <c r="B194" s="33">
        <f>IFERROR(__xludf.DUMMYFUNCTION("""COMPUTED_VALUE"""),98.0)</f>
        <v>98</v>
      </c>
      <c r="C194" s="33" t="str">
        <f>IFERROR(__xludf.DUMMYFUNCTION("""COMPUTED_VALUE"""),"A248")</f>
        <v>A248</v>
      </c>
      <c r="D194" s="34" t="str">
        <f>IFERROR(__xludf.DUMMYFUNCTION("""COMPUTED_VALUE"""),"INGRESAR CENTRO DE COSTO A LA DERECHA")</f>
        <v>INGRESAR CENTRO DE COSTO A LA DERECHA</v>
      </c>
      <c r="E194" s="34" t="str">
        <f>IFERROR(__xludf.DUMMYFUNCTION("""COMPUTED_VALUE"""),"DPTO. DE BENEFICIOS ESTUDIANTILE")</f>
        <v>DPTO. DE BENEFICIOS ESTUDIANTILE</v>
      </c>
      <c r="F194" s="34" t="str">
        <f>IFERROR(__xludf.DUMMYFUNCTION("""COMPUTED_VALUE"""),"Asistente Social Estudiantil")</f>
        <v>Asistente Social Estudiantil</v>
      </c>
      <c r="G194" s="33" t="str">
        <f>IFERROR(__xludf.DUMMYFUNCTION("""COMPUTED_VALUE"""),"ASISTENTE SOCIAL ESTUDIANTIL")</f>
        <v>ASISTENTE SOCIAL ESTUDIANTIL</v>
      </c>
      <c r="H194">
        <f>IFERROR(__xludf.DUMMYFUNCTION("""COMPUTED_VALUE"""),13.0)</f>
        <v>13</v>
      </c>
      <c r="I194" s="34" t="str">
        <f>IFERROR(__xludf.DUMMYFUNCTION("""COMPUTED_VALUE"""),"Jornada Completa")</f>
        <v>Jornada Completa</v>
      </c>
      <c r="J194" s="33" t="str">
        <f>IFERROR(__xludf.DUMMYFUNCTION("""COMPUTED_VALUE"""),"A CONTRATA")</f>
        <v>A CONTRATA</v>
      </c>
      <c r="K194" s="33" t="str">
        <f>IFERROR(__xludf.DUMMYFUNCTION("""COMPUTED_VALUE"""),"PROFESIONAL")</f>
        <v>PROFESIONAL</v>
      </c>
      <c r="L194" s="34" t="str">
        <f>IFERROR(__xludf.DUMMYFUNCTION("""COMPUTED_VALUE"""),"INTERNO")</f>
        <v>INTERNO</v>
      </c>
      <c r="M194" s="34">
        <f>IFERROR(__xludf.DUMMYFUNCTION("""COMPUTED_VALUE"""),4.0)</f>
        <v>4</v>
      </c>
      <c r="N194" s="34" t="str">
        <f>IFERROR(__xludf.DUMMYFUNCTION("""COMPUTED_VALUE"""),"NO")</f>
        <v>NO</v>
      </c>
      <c r="O194">
        <f>IFERROR(__xludf.DUMMYFUNCTION("""COMPUTED_VALUE"""),0.0)</f>
        <v>0</v>
      </c>
      <c r="P194">
        <f>IFERROR(__xludf.DUMMYFUNCTION("""COMPUTED_VALUE"""),2.0)</f>
        <v>2</v>
      </c>
      <c r="Q194" s="35">
        <f>IFERROR(__xludf.DUMMYFUNCTION("""COMPUTED_VALUE"""),0.0)</f>
        <v>0</v>
      </c>
      <c r="R194" s="36" t="str">
        <f>IFERROR(__xludf.DUMMYFUNCTION("""COMPUTED_VALUE"""),"SELECCIONADA")</f>
        <v>SELECCIONADA</v>
      </c>
      <c r="S194" s="37">
        <f>IFERROR(__xludf.DUMMYFUNCTION("""COMPUTED_VALUE"""),43467.0)</f>
        <v>43467</v>
      </c>
      <c r="T194" s="34" t="str">
        <f>IFERROR(__xludf.DUMMYFUNCTION("""COMPUTED_VALUE"""),"TORO NUNEZ MAGDALENA DE LOURDES")</f>
        <v>TORO NUNEZ MAGDALENA DE LOURDES</v>
      </c>
      <c r="V194" t="str">
        <f>IFERROR(__xludf.DUMMYFUNCTION("""COMPUTED_VALUE"""),"14447359-0")</f>
        <v>14447359-0</v>
      </c>
      <c r="W194" t="str">
        <f>IFERROR(__xludf.DUMMYFUNCTION("""COMPUTED_VALUE"""),"NO")</f>
        <v>NO</v>
      </c>
      <c r="AA194" s="38">
        <f>IFERROR(__xludf.DUMMYFUNCTION("""COMPUTED_VALUE"""),43383.0)</f>
        <v>43383</v>
      </c>
      <c r="AB194" s="38">
        <f>IFERROR(__xludf.DUMMYFUNCTION("""COMPUTED_VALUE"""),43390.0)</f>
        <v>43390</v>
      </c>
      <c r="AF194" s="39"/>
      <c r="AG194" s="39"/>
      <c r="AH194" s="34" t="str">
        <f>IFERROR(__xludf.DUMMYFUNCTION("""COMPUTED_VALUE"""),"PROCESO DE SELECCIÓN")</f>
        <v>PROCESO DE SELECCIÓN</v>
      </c>
      <c r="AI194" s="34" t="str">
        <f>IFERROR(__xludf.DUMMYFUNCTION("""COMPUTED_VALUE"""),"HERNANDEZ BANNOUT PAULA")</f>
        <v>HERNANDEZ BANNOUT PAULA</v>
      </c>
      <c r="AJ194" s="34"/>
      <c r="AK194" s="34" t="str">
        <f>IFERROR(__xludf.DUMMYFUNCTION("""COMPUTED_VALUE"""),"C")</f>
        <v>C</v>
      </c>
      <c r="AL194">
        <f>IFERROR(__xludf.DUMMYFUNCTION("""COMPUTED_VALUE"""),56.0)</f>
        <v>56</v>
      </c>
      <c r="AM194">
        <f>IFERROR(__xludf.DUMMYFUNCTION("""COMPUTED_VALUE"""),2018.0)</f>
        <v>2018</v>
      </c>
      <c r="AN194" t="str">
        <f t="shared" si="1"/>
        <v>14447359-0</v>
      </c>
    </row>
    <row r="195">
      <c r="A195" s="33">
        <f>IFERROR(__xludf.DUMMYFUNCTION("""COMPUTED_VALUE"""),8404597.0)</f>
        <v>8404597</v>
      </c>
      <c r="B195" s="33">
        <f>IFERROR(__xludf.DUMMYFUNCTION("""COMPUTED_VALUE"""),99.0)</f>
        <v>99</v>
      </c>
      <c r="C195" s="33" t="str">
        <f>IFERROR(__xludf.DUMMYFUNCTION("""COMPUTED_VALUE"""),"A238")</f>
        <v>A238</v>
      </c>
      <c r="D195" s="34" t="str">
        <f>IFERROR(__xludf.DUMMYFUNCTION("""COMPUTED_VALUE"""),"INGRESAR CENTRO DE COSTO A LA DERECHA")</f>
        <v>INGRESAR CENTRO DE COSTO A LA DERECHA</v>
      </c>
      <c r="E195" s="34" t="str">
        <f>IFERROR(__xludf.DUMMYFUNCTION("""COMPUTED_VALUE"""),"UNIDAD DE PROMOCION DE LA SALUD")</f>
        <v>UNIDAD DE PROMOCION DE LA SALUD</v>
      </c>
      <c r="F195" s="34" t="str">
        <f>IFERROR(__xludf.DUMMYFUNCTION("""COMPUTED_VALUE"""),"Psicólogo(a)")</f>
        <v>Psicólogo(a)</v>
      </c>
      <c r="G195" s="33" t="str">
        <f>IFERROR(__xludf.DUMMYFUNCTION("""COMPUTED_VALUE"""),"PSICOLOGA")</f>
        <v>PSICOLOGA</v>
      </c>
      <c r="H195">
        <f>IFERROR(__xludf.DUMMYFUNCTION("""COMPUTED_VALUE"""),13.0)</f>
        <v>13</v>
      </c>
      <c r="I195" s="34" t="str">
        <f>IFERROR(__xludf.DUMMYFUNCTION("""COMPUTED_VALUE"""),"Jornada Completa")</f>
        <v>Jornada Completa</v>
      </c>
      <c r="J195" s="33" t="str">
        <f>IFERROR(__xludf.DUMMYFUNCTION("""COMPUTED_VALUE"""),"A CONTRATA")</f>
        <v>A CONTRATA</v>
      </c>
      <c r="K195" s="33" t="str">
        <f>IFERROR(__xludf.DUMMYFUNCTION("""COMPUTED_VALUE"""),"PROFESIONAL")</f>
        <v>PROFESIONAL</v>
      </c>
      <c r="L195" s="34" t="str">
        <f>IFERROR(__xludf.DUMMYFUNCTION("""COMPUTED_VALUE"""),"INTERNO")</f>
        <v>INTERNO</v>
      </c>
      <c r="M195" s="34">
        <f>IFERROR(__xludf.DUMMYFUNCTION("""COMPUTED_VALUE"""),1.0)</f>
        <v>1</v>
      </c>
      <c r="N195" s="34" t="str">
        <f>IFERROR(__xludf.DUMMYFUNCTION("""COMPUTED_VALUE"""),"NO")</f>
        <v>NO</v>
      </c>
      <c r="O195">
        <f>IFERROR(__xludf.DUMMYFUNCTION("""COMPUTED_VALUE"""),0.0)</f>
        <v>0</v>
      </c>
      <c r="P195">
        <f>IFERROR(__xludf.DUMMYFUNCTION("""COMPUTED_VALUE"""),1.0)</f>
        <v>1</v>
      </c>
      <c r="Q195" s="35">
        <f>IFERROR(__xludf.DUMMYFUNCTION("""COMPUTED_VALUE"""),0.0)</f>
        <v>0</v>
      </c>
      <c r="R195" s="36" t="str">
        <f>IFERROR(__xludf.DUMMYFUNCTION("""COMPUTED_VALUE"""),"SELECCIONADA")</f>
        <v>SELECCIONADA</v>
      </c>
      <c r="S195" s="37">
        <f>IFERROR(__xludf.DUMMYFUNCTION("""COMPUTED_VALUE"""),43475.0)</f>
        <v>43475</v>
      </c>
      <c r="T195" s="34" t="str">
        <f>IFERROR(__xludf.DUMMYFUNCTION("""COMPUTED_VALUE"""),"GALLERO PARDO PATRICIA REGINA")</f>
        <v>GALLERO PARDO PATRICIA REGINA</v>
      </c>
      <c r="V195" t="str">
        <f>IFERROR(__xludf.DUMMYFUNCTION("""COMPUTED_VALUE"""),"8404597-7")</f>
        <v>8404597-7</v>
      </c>
      <c r="W195" t="str">
        <f>IFERROR(__xludf.DUMMYFUNCTION("""COMPUTED_VALUE"""),"NO")</f>
        <v>NO</v>
      </c>
      <c r="AA195" s="38">
        <f>IFERROR(__xludf.DUMMYFUNCTION("""COMPUTED_VALUE"""),43430.0)</f>
        <v>43430</v>
      </c>
      <c r="AB195" s="38">
        <f>IFERROR(__xludf.DUMMYFUNCTION("""COMPUTED_VALUE"""),43437.0)</f>
        <v>43437</v>
      </c>
      <c r="AF195" s="39"/>
      <c r="AG195" s="39"/>
      <c r="AH195" s="34" t="str">
        <f>IFERROR(__xludf.DUMMYFUNCTION("""COMPUTED_VALUE"""),"PROCESO DE SELECCIÓN")</f>
        <v>PROCESO DE SELECCIÓN</v>
      </c>
      <c r="AI195" s="34" t="str">
        <f>IFERROR(__xludf.DUMMYFUNCTION("""COMPUTED_VALUE""")," COVARRUBIAS KUHNE WALTER")</f>
        <v> COVARRUBIAS KUHNE WALTER</v>
      </c>
      <c r="AJ195" s="34"/>
      <c r="AK195" s="34" t="str">
        <f>IFERROR(__xludf.DUMMYFUNCTION("""COMPUTED_VALUE"""),"C")</f>
        <v>C</v>
      </c>
      <c r="AL195">
        <f>IFERROR(__xludf.DUMMYFUNCTION("""COMPUTED_VALUE"""),29.0)</f>
        <v>29</v>
      </c>
      <c r="AM195">
        <f>IFERROR(__xludf.DUMMYFUNCTION("""COMPUTED_VALUE"""),2018.0)</f>
        <v>2018</v>
      </c>
      <c r="AN195" t="str">
        <f t="shared" si="1"/>
        <v>08404597-7</v>
      </c>
    </row>
    <row r="196">
      <c r="A196" s="33">
        <f>IFERROR(__xludf.DUMMYFUNCTION("""COMPUTED_VALUE"""),9829292.0)</f>
        <v>9829292</v>
      </c>
      <c r="B196" s="33">
        <f>IFERROR(__xludf.DUMMYFUNCTION("""COMPUTED_VALUE"""),100.0)</f>
        <v>100</v>
      </c>
      <c r="C196" s="33"/>
      <c r="D196" s="34" t="str">
        <f>IFERROR(__xludf.DUMMYFUNCTION("""COMPUTED_VALUE"""),"INGRESAR CENTRO DE COSTO A LA DERECHA")</f>
        <v>INGRESAR CENTRO DE COSTO A LA DERECHA</v>
      </c>
      <c r="E196" s="34" t="str">
        <f>IFERROR(__xludf.DUMMYFUNCTION("""COMPUTED_VALUE"""),"FACULTAD TECNOLOGICA")</f>
        <v>FACULTAD TECNOLOGICA</v>
      </c>
      <c r="F196" s="34" t="str">
        <f>IFERROR(__xludf.DUMMYFUNCTION("""COMPUTED_VALUE"""),"Jefe(a) de Finanzas")</f>
        <v>Jefe(a) de Finanzas</v>
      </c>
      <c r="G196" s="33" t="str">
        <f>IFERROR(__xludf.DUMMYFUNCTION("""COMPUTED_VALUE"""),"JEFE DE FINANZAS")</f>
        <v>JEFE DE FINANZAS</v>
      </c>
      <c r="H196">
        <f>IFERROR(__xludf.DUMMYFUNCTION("""COMPUTED_VALUE"""),10.0)</f>
        <v>10</v>
      </c>
      <c r="I196" s="34" t="str">
        <f>IFERROR(__xludf.DUMMYFUNCTION("""COMPUTED_VALUE"""),"Jornada Completa")</f>
        <v>Jornada Completa</v>
      </c>
      <c r="J196" s="33" t="str">
        <f>IFERROR(__xludf.DUMMYFUNCTION("""COMPUTED_VALUE"""),"A CONTRATA")</f>
        <v>A CONTRATA</v>
      </c>
      <c r="K196" s="33" t="str">
        <f>IFERROR(__xludf.DUMMYFUNCTION("""COMPUTED_VALUE"""),"PROFESIONAL")</f>
        <v>PROFESIONAL</v>
      </c>
      <c r="L196" s="34" t="str">
        <f>IFERROR(__xludf.DUMMYFUNCTION("""COMPUTED_VALUE"""),"INTERNO")</f>
        <v>INTERNO</v>
      </c>
      <c r="M196" s="34">
        <f>IFERROR(__xludf.DUMMYFUNCTION("""COMPUTED_VALUE"""),5.0)</f>
        <v>5</v>
      </c>
      <c r="N196" s="34" t="str">
        <f>IFERROR(__xludf.DUMMYFUNCTION("""COMPUTED_VALUE"""),"NO")</f>
        <v>NO</v>
      </c>
      <c r="O196">
        <f>IFERROR(__xludf.DUMMYFUNCTION("""COMPUTED_VALUE"""),0.0)</f>
        <v>0</v>
      </c>
      <c r="P196">
        <f>IFERROR(__xludf.DUMMYFUNCTION("""COMPUTED_VALUE"""),3.0)</f>
        <v>3</v>
      </c>
      <c r="Q196" s="35">
        <f>IFERROR(__xludf.DUMMYFUNCTION("""COMPUTED_VALUE"""),0.0)</f>
        <v>0</v>
      </c>
      <c r="R196" s="36" t="str">
        <f>IFERROR(__xludf.DUMMYFUNCTION("""COMPUTED_VALUE"""),"SELECCIONADO")</f>
        <v>SELECCIONADO</v>
      </c>
      <c r="S196" s="37">
        <f>IFERROR(__xludf.DUMMYFUNCTION("""COMPUTED_VALUE"""),43481.0)</f>
        <v>43481</v>
      </c>
      <c r="T196" s="34" t="str">
        <f>IFERROR(__xludf.DUMMYFUNCTION("""COMPUTED_VALUE"""),"CONCHA SILVA MARAT EDUARDO")</f>
        <v>CONCHA SILVA MARAT EDUARDO</v>
      </c>
      <c r="V196" t="str">
        <f>IFERROR(__xludf.DUMMYFUNCTION("""COMPUTED_VALUE"""),"9829292-6")</f>
        <v>9829292-6</v>
      </c>
      <c r="W196" t="str">
        <f>IFERROR(__xludf.DUMMYFUNCTION("""COMPUTED_VALUE"""),"SI")</f>
        <v>SI</v>
      </c>
      <c r="X196" t="str">
        <f>IFERROR(__xludf.DUMMYFUNCTION("""COMPUTED_VALUE"""),"Iniciativa")</f>
        <v>Iniciativa</v>
      </c>
      <c r="AA196" s="38">
        <f>IFERROR(__xludf.DUMMYFUNCTION("""COMPUTED_VALUE"""),43430.0)</f>
        <v>43430</v>
      </c>
      <c r="AB196" s="38">
        <f>IFERROR(__xludf.DUMMYFUNCTION("""COMPUTED_VALUE"""),43437.0)</f>
        <v>43437</v>
      </c>
      <c r="AF196" s="39"/>
      <c r="AG196" s="39"/>
      <c r="AH196" s="34" t="str">
        <f>IFERROR(__xludf.DUMMYFUNCTION("""COMPUTED_VALUE"""),"PROCESO DE SELECCIÓN")</f>
        <v>PROCESO DE SELECCIÓN</v>
      </c>
      <c r="AI196" s="34" t="str">
        <f>IFERROR(__xludf.DUMMYFUNCTION("""COMPUTED_VALUE"""),"KONG LAO DOMINGO")</f>
        <v>KONG LAO DOMINGO</v>
      </c>
      <c r="AJ196" s="34"/>
      <c r="AK196" s="34" t="str">
        <f>IFERROR(__xludf.DUMMYFUNCTION("""COMPUTED_VALUE"""),"C")</f>
        <v>C</v>
      </c>
      <c r="AL196">
        <f>IFERROR(__xludf.DUMMYFUNCTION("""COMPUTED_VALUE"""),33.0)</f>
        <v>33</v>
      </c>
      <c r="AM196">
        <f>IFERROR(__xludf.DUMMYFUNCTION("""COMPUTED_VALUE"""),2018.0)</f>
        <v>2018</v>
      </c>
      <c r="AN196" t="str">
        <f t="shared" si="1"/>
        <v>09829292-6</v>
      </c>
    </row>
    <row r="197">
      <c r="A197" s="33">
        <f>IFERROR(__xludf.DUMMYFUNCTION("""COMPUTED_VALUE"""),1.5079671E7)</f>
        <v>15079671</v>
      </c>
      <c r="B197" s="33">
        <f>IFERROR(__xludf.DUMMYFUNCTION("""COMPUTED_VALUE"""),101.0)</f>
        <v>101</v>
      </c>
      <c r="C197" s="33" t="str">
        <f>IFERROR(__xludf.DUMMYFUNCTION("""COMPUTED_VALUE"""),"A242")</f>
        <v>A242</v>
      </c>
      <c r="D197" s="34" t="str">
        <f>IFERROR(__xludf.DUMMYFUNCTION("""COMPUTED_VALUE"""),"INGRESAR CENTRO DE COSTO A LA DERECHA")</f>
        <v>INGRESAR CENTRO DE COSTO A LA DERECHA</v>
      </c>
      <c r="E197" s="34" t="str">
        <f>IFERROR(__xludf.DUMMYFUNCTION("""COMPUTED_VALUE"""),"FACULTAD DE ADMINIST Y ECONOMI")</f>
        <v>FACULTAD DE ADMINIST Y ECONOMI</v>
      </c>
      <c r="F197" s="34" t="str">
        <f>IFERROR(__xludf.DUMMYFUNCTION("""COMPUTED_VALUE"""),"Bibliotecario(a)")</f>
        <v>Bibliotecario(a)</v>
      </c>
      <c r="G197" s="33" t="str">
        <f>IFERROR(__xludf.DUMMYFUNCTION("""COMPUTED_VALUE"""),"BIBLIOTECARIO")</f>
        <v>BIBLIOTECARIO</v>
      </c>
      <c r="H197">
        <f>IFERROR(__xludf.DUMMYFUNCTION("""COMPUTED_VALUE"""),14.0)</f>
        <v>14</v>
      </c>
      <c r="I197" s="34" t="str">
        <f>IFERROR(__xludf.DUMMYFUNCTION("""COMPUTED_VALUE"""),"Jornada Completa")</f>
        <v>Jornada Completa</v>
      </c>
      <c r="J197" s="33" t="str">
        <f>IFERROR(__xludf.DUMMYFUNCTION("""COMPUTED_VALUE"""),"A CONTRATA")</f>
        <v>A CONTRATA</v>
      </c>
      <c r="K197" s="33" t="str">
        <f>IFERROR(__xludf.DUMMYFUNCTION("""COMPUTED_VALUE"""),"PROFESIONAL")</f>
        <v>PROFESIONAL</v>
      </c>
      <c r="L197" s="34" t="str">
        <f>IFERROR(__xludf.DUMMYFUNCTION("""COMPUTED_VALUE"""),"INTERNO")</f>
        <v>INTERNO</v>
      </c>
      <c r="M197" s="34">
        <f>IFERROR(__xludf.DUMMYFUNCTION("""COMPUTED_VALUE"""),1.0)</f>
        <v>1</v>
      </c>
      <c r="N197" s="34" t="str">
        <f>IFERROR(__xludf.DUMMYFUNCTION("""COMPUTED_VALUE"""),"EXTERNO")</f>
        <v>EXTERNO</v>
      </c>
      <c r="O197">
        <f>IFERROR(__xludf.DUMMYFUNCTION("""COMPUTED_VALUE"""),20.0)</f>
        <v>20</v>
      </c>
      <c r="P197">
        <f>IFERROR(__xludf.DUMMYFUNCTION("""COMPUTED_VALUE"""),2.0)</f>
        <v>2</v>
      </c>
      <c r="Q197" s="35">
        <f>IFERROR(__xludf.DUMMYFUNCTION("""COMPUTED_VALUE"""),0.0)</f>
        <v>0</v>
      </c>
      <c r="R197" s="36" t="str">
        <f>IFERROR(__xludf.DUMMYFUNCTION("""COMPUTED_VALUE"""),"SELECCIONADA")</f>
        <v>SELECCIONADA</v>
      </c>
      <c r="S197" s="37">
        <f>IFERROR(__xludf.DUMMYFUNCTION("""COMPUTED_VALUE"""),43467.0)</f>
        <v>43467</v>
      </c>
      <c r="T197" s="34"/>
      <c r="U197" t="str">
        <f>IFERROR(__xludf.DUMMYFUNCTION("""COMPUTED_VALUE"""),"MONICA GUERRA NAVARRO")</f>
        <v>MONICA GUERRA NAVARRO</v>
      </c>
      <c r="V197" t="str">
        <f>IFERROR(__xludf.DUMMYFUNCTION("""COMPUTED_VALUE"""),"15079671-7")</f>
        <v>15079671-7</v>
      </c>
      <c r="W197" t="str">
        <f>IFERROR(__xludf.DUMMYFUNCTION("""COMPUTED_VALUE"""),"SI")</f>
        <v>SI</v>
      </c>
      <c r="X197" t="str">
        <f>IFERROR(__xludf.DUMMYFUNCTION("""COMPUTED_VALUE"""),"Trabajo en Equipo")</f>
        <v>Trabajo en Equipo</v>
      </c>
      <c r="Y197" t="str">
        <f>IFERROR(__xludf.DUMMYFUNCTION("""COMPUTED_VALUE"""),"Comunicacion")</f>
        <v>Comunicacion</v>
      </c>
      <c r="AA197" s="38">
        <f>IFERROR(__xludf.DUMMYFUNCTION("""COMPUTED_VALUE"""),43390.0)</f>
        <v>43390</v>
      </c>
      <c r="AB197" s="38">
        <f>IFERROR(__xludf.DUMMYFUNCTION("""COMPUTED_VALUE"""),43397.0)</f>
        <v>43397</v>
      </c>
      <c r="AF197" s="39"/>
      <c r="AG197" s="39"/>
      <c r="AH197" s="34" t="str">
        <f>IFERROR(__xludf.DUMMYFUNCTION("""COMPUTED_VALUE"""),"PROCESO DE SELECCIÓN")</f>
        <v>PROCESO DE SELECCIÓN</v>
      </c>
      <c r="AI197" s="34" t="str">
        <f>IFERROR(__xludf.DUMMYFUNCTION("""COMPUTED_VALUE"""),"FLORES FERNANDEZ CHERIE")</f>
        <v>FLORES FERNANDEZ CHERIE</v>
      </c>
      <c r="AJ197" s="34"/>
      <c r="AK197" s="34" t="str">
        <f>IFERROR(__xludf.DUMMYFUNCTION("""COMPUTED_VALUE"""),"E")</f>
        <v>E</v>
      </c>
      <c r="AL197">
        <f>IFERROR(__xludf.DUMMYFUNCTION("""COMPUTED_VALUE"""),51.0)</f>
        <v>51</v>
      </c>
      <c r="AM197">
        <f>IFERROR(__xludf.DUMMYFUNCTION("""COMPUTED_VALUE"""),2018.0)</f>
        <v>2018</v>
      </c>
      <c r="AN197" t="str">
        <f t="shared" si="1"/>
        <v>15079671-7</v>
      </c>
    </row>
    <row r="198">
      <c r="A198" s="33">
        <f>IFERROR(__xludf.DUMMYFUNCTION("""COMPUTED_VALUE"""),1.666616E7)</f>
        <v>16666160</v>
      </c>
      <c r="B198" s="33">
        <f>IFERROR(__xludf.DUMMYFUNCTION("""COMPUTED_VALUE"""),102.0)</f>
        <v>102</v>
      </c>
      <c r="C198" s="33" t="str">
        <f>IFERROR(__xludf.DUMMYFUNCTION("""COMPUTED_VALUE"""),"A252")</f>
        <v>A252</v>
      </c>
      <c r="D198" s="34" t="str">
        <f>IFERROR(__xludf.DUMMYFUNCTION("""COMPUTED_VALUE"""),"INGRESAR CENTRO DE COSTO A LA DERECHA")</f>
        <v>INGRESAR CENTRO DE COSTO A LA DERECHA</v>
      </c>
      <c r="E198" s="34" t="str">
        <f>IFERROR(__xludf.DUMMYFUNCTION("""COMPUTED_VALUE"""),"PROGRAMA BACHILLERATO")</f>
        <v>PROGRAMA BACHILLERATO</v>
      </c>
      <c r="F198" s="34" t="str">
        <f>IFERROR(__xludf.DUMMYFUNCTION("""COMPUTED_VALUE"""),"Administrativo(a) de Registro Curricular")</f>
        <v>Administrativo(a) de Registro Curricular</v>
      </c>
      <c r="G198" s="33" t="str">
        <f>IFERROR(__xludf.DUMMYFUNCTION("""COMPUTED_VALUE"""),"ADMINISTRATIVA DE REGISTRO CURRICULAR")</f>
        <v>ADMINISTRATIVA DE REGISTRO CURRICULAR</v>
      </c>
      <c r="H198">
        <f>IFERROR(__xludf.DUMMYFUNCTION("""COMPUTED_VALUE"""),17.0)</f>
        <v>17</v>
      </c>
      <c r="I198" s="34" t="str">
        <f>IFERROR(__xludf.DUMMYFUNCTION("""COMPUTED_VALUE"""),"Jornada Completa")</f>
        <v>Jornada Completa</v>
      </c>
      <c r="J198" s="33" t="str">
        <f>IFERROR(__xludf.DUMMYFUNCTION("""COMPUTED_VALUE"""),"A CONTRATA")</f>
        <v>A CONTRATA</v>
      </c>
      <c r="K198" s="33" t="str">
        <f>IFERROR(__xludf.DUMMYFUNCTION("""COMPUTED_VALUE"""),"ADMINISTRATIVO")</f>
        <v>ADMINISTRATIVO</v>
      </c>
      <c r="L198" s="34" t="str">
        <f>IFERROR(__xludf.DUMMYFUNCTION("""COMPUTED_VALUE"""),"INTERNO")</f>
        <v>INTERNO</v>
      </c>
      <c r="M198" s="34">
        <f>IFERROR(__xludf.DUMMYFUNCTION("""COMPUTED_VALUE"""),4.0)</f>
        <v>4</v>
      </c>
      <c r="N198" s="34" t="str">
        <f>IFERROR(__xludf.DUMMYFUNCTION("""COMPUTED_VALUE"""),"NO")</f>
        <v>NO</v>
      </c>
      <c r="O198">
        <f>IFERROR(__xludf.DUMMYFUNCTION("""COMPUTED_VALUE"""),0.0)</f>
        <v>0</v>
      </c>
      <c r="P198">
        <f>IFERROR(__xludf.DUMMYFUNCTION("""COMPUTED_VALUE"""),1.0)</f>
        <v>1</v>
      </c>
      <c r="Q198" s="35">
        <f>IFERROR(__xludf.DUMMYFUNCTION("""COMPUTED_VALUE"""),0.0)</f>
        <v>0</v>
      </c>
      <c r="R198" s="36" t="str">
        <f>IFERROR(__xludf.DUMMYFUNCTION("""COMPUTED_VALUE"""),"SELECCIONADA")</f>
        <v>SELECCIONADA</v>
      </c>
      <c r="S198" s="37">
        <f>IFERROR(__xludf.DUMMYFUNCTION("""COMPUTED_VALUE"""),43528.0)</f>
        <v>43528</v>
      </c>
      <c r="T198" s="34" t="str">
        <f>IFERROR(__xludf.DUMMYFUNCTION("""COMPUTED_VALUE"""),"MAULEN MANRIQUEZ JOSELYN ANDREA")</f>
        <v>MAULEN MANRIQUEZ JOSELYN ANDREA</v>
      </c>
      <c r="V198" t="str">
        <f>IFERROR(__xludf.DUMMYFUNCTION("""COMPUTED_VALUE"""),"16666160-9")</f>
        <v>16666160-9</v>
      </c>
      <c r="W198" t="str">
        <f>IFERROR(__xludf.DUMMYFUNCTION("""COMPUTED_VALUE"""),"NO")</f>
        <v>NO</v>
      </c>
      <c r="AA198" s="38">
        <f>IFERROR(__xludf.DUMMYFUNCTION("""COMPUTED_VALUE"""),43425.0)</f>
        <v>43425</v>
      </c>
      <c r="AB198" s="38">
        <f>IFERROR(__xludf.DUMMYFUNCTION("""COMPUTED_VALUE"""),43432.0)</f>
        <v>43432</v>
      </c>
      <c r="AF198" s="39"/>
      <c r="AG198" s="39"/>
      <c r="AH198" s="34" t="str">
        <f>IFERROR(__xludf.DUMMYFUNCTION("""COMPUTED_VALUE"""),"PROCESO DE SELECCIÓN")</f>
        <v>PROCESO DE SELECCIÓN</v>
      </c>
      <c r="AI198" s="34" t="str">
        <f>IFERROR(__xludf.DUMMYFUNCTION("""COMPUTED_VALUE"""),"SIRANDONI POLITIS PAOLA")</f>
        <v>SIRANDONI POLITIS PAOLA</v>
      </c>
      <c r="AJ198" s="34"/>
      <c r="AK198" s="34" t="str">
        <f>IFERROR(__xludf.DUMMYFUNCTION("""COMPUTED_VALUE"""),"C")</f>
        <v>C</v>
      </c>
      <c r="AL198">
        <f>IFERROR(__xludf.DUMMYFUNCTION("""COMPUTED_VALUE"""),69.0)</f>
        <v>69</v>
      </c>
      <c r="AM198">
        <f>IFERROR(__xludf.DUMMYFUNCTION("""COMPUTED_VALUE"""),2018.0)</f>
        <v>2018</v>
      </c>
      <c r="AN198" t="str">
        <f t="shared" si="1"/>
        <v>16666160-9</v>
      </c>
    </row>
    <row r="199">
      <c r="A199" s="33">
        <f>IFERROR(__xludf.DUMMYFUNCTION("""COMPUTED_VALUE"""),8815409.0)</f>
        <v>8815409</v>
      </c>
      <c r="B199" s="33">
        <f>IFERROR(__xludf.DUMMYFUNCTION("""COMPUTED_VALUE"""),103.0)</f>
        <v>103</v>
      </c>
      <c r="C199" s="33" t="str">
        <f>IFERROR(__xludf.DUMMYFUNCTION("""COMPUTED_VALUE"""),"A269")</f>
        <v>A269</v>
      </c>
      <c r="D199" s="34" t="str">
        <f>IFERROR(__xludf.DUMMYFUNCTION("""COMPUTED_VALUE"""),"INGRESAR CENTRO DE COSTO A LA DERECHA")</f>
        <v>INGRESAR CENTRO DE COSTO A LA DERECHA</v>
      </c>
      <c r="E199" s="34" t="str">
        <f>IFERROR(__xludf.DUMMYFUNCTION("""COMPUTED_VALUE"""),"VR. DE POSTGRADO")</f>
        <v>VR. DE POSTGRADO</v>
      </c>
      <c r="F199" s="34" t="str">
        <f>IFERROR(__xludf.DUMMYFUNCTION("""COMPUTED_VALUE"""),"Jefe(a) de Área")</f>
        <v>Jefe(a) de Área</v>
      </c>
      <c r="G199" s="33" t="str">
        <f>IFERROR(__xludf.DUMMYFUNCTION("""COMPUTED_VALUE"""),"JEFE DE AREA APOYO AL ESTUDIANTE")</f>
        <v>JEFE DE AREA APOYO AL ESTUDIANTE</v>
      </c>
      <c r="H199">
        <f>IFERROR(__xludf.DUMMYFUNCTION("""COMPUTED_VALUE"""),8.0)</f>
        <v>8</v>
      </c>
      <c r="I199" s="34" t="str">
        <f>IFERROR(__xludf.DUMMYFUNCTION("""COMPUTED_VALUE"""),"Jornada Completa")</f>
        <v>Jornada Completa</v>
      </c>
      <c r="J199" s="33" t="str">
        <f>IFERROR(__xludf.DUMMYFUNCTION("""COMPUTED_VALUE"""),"A CONTRATA")</f>
        <v>A CONTRATA</v>
      </c>
      <c r="K199" s="33" t="str">
        <f>IFERROR(__xludf.DUMMYFUNCTION("""COMPUTED_VALUE"""),"PROFESIONAL")</f>
        <v>PROFESIONAL</v>
      </c>
      <c r="L199" s="34" t="str">
        <f>IFERROR(__xludf.DUMMYFUNCTION("""COMPUTED_VALUE"""),"INTERNO")</f>
        <v>INTERNO</v>
      </c>
      <c r="M199" s="34">
        <f>IFERROR(__xludf.DUMMYFUNCTION("""COMPUTED_VALUE"""),10.0)</f>
        <v>10</v>
      </c>
      <c r="N199" s="34" t="str">
        <f>IFERROR(__xludf.DUMMYFUNCTION("""COMPUTED_VALUE"""),"NO")</f>
        <v>NO</v>
      </c>
      <c r="O199">
        <f>IFERROR(__xludf.DUMMYFUNCTION("""COMPUTED_VALUE"""),0.0)</f>
        <v>0</v>
      </c>
      <c r="P199">
        <f>IFERROR(__xludf.DUMMYFUNCTION("""COMPUTED_VALUE"""),3.0)</f>
        <v>3</v>
      </c>
      <c r="Q199" s="35">
        <f>IFERROR(__xludf.DUMMYFUNCTION("""COMPUTED_VALUE"""),0.0)</f>
        <v>0</v>
      </c>
      <c r="R199" s="36" t="str">
        <f>IFERROR(__xludf.DUMMYFUNCTION("""COMPUTED_VALUE"""),"SELECCIONADO")</f>
        <v>SELECCIONADO</v>
      </c>
      <c r="S199" s="37">
        <f>IFERROR(__xludf.DUMMYFUNCTION("""COMPUTED_VALUE"""),43528.0)</f>
        <v>43528</v>
      </c>
      <c r="T199" s="34" t="str">
        <f>IFERROR(__xludf.DUMMYFUNCTION("""COMPUTED_VALUE"""),"OSSIO PINO CARLOS PATRICIO")</f>
        <v>OSSIO PINO CARLOS PATRICIO</v>
      </c>
      <c r="V199" t="str">
        <f>IFERROR(__xludf.DUMMYFUNCTION("""COMPUTED_VALUE"""),"8815409-6")</f>
        <v>8815409-6</v>
      </c>
      <c r="W199" t="str">
        <f>IFERROR(__xludf.DUMMYFUNCTION("""COMPUTED_VALUE"""),"SI")</f>
        <v>SI</v>
      </c>
      <c r="X199" t="str">
        <f>IFERROR(__xludf.DUMMYFUNCTION("""COMPUTED_VALUE"""),"Liderazgo")</f>
        <v>Liderazgo</v>
      </c>
      <c r="AA199" s="38">
        <f>IFERROR(__xludf.DUMMYFUNCTION("""COMPUTED_VALUE"""),43437.0)</f>
        <v>43437</v>
      </c>
      <c r="AB199" s="38">
        <f>IFERROR(__xludf.DUMMYFUNCTION("""COMPUTED_VALUE"""),43444.0)</f>
        <v>43444</v>
      </c>
      <c r="AF199" s="39"/>
      <c r="AG199" s="39"/>
      <c r="AH199" s="34" t="str">
        <f>IFERROR(__xludf.DUMMYFUNCTION("""COMPUTED_VALUE"""),"PROCESO DE SELECCIÓN")</f>
        <v>PROCESO DE SELECCIÓN</v>
      </c>
      <c r="AI199" s="34" t="str">
        <f>IFERROR(__xludf.DUMMYFUNCTION("""COMPUTED_VALUE""")," - ")</f>
        <v> - </v>
      </c>
      <c r="AJ199" s="34"/>
      <c r="AK199" s="34" t="str">
        <f>IFERROR(__xludf.DUMMYFUNCTION("""COMPUTED_VALUE"""),"C")</f>
        <v>C</v>
      </c>
      <c r="AL199">
        <f>IFERROR(__xludf.DUMMYFUNCTION("""COMPUTED_VALUE"""),61.0)</f>
        <v>61</v>
      </c>
      <c r="AM199">
        <f>IFERROR(__xludf.DUMMYFUNCTION("""COMPUTED_VALUE"""),2018.0)</f>
        <v>2018</v>
      </c>
      <c r="AN199" t="str">
        <f t="shared" si="1"/>
        <v>08815409-6</v>
      </c>
    </row>
    <row r="200">
      <c r="A200" s="33">
        <f>IFERROR(__xludf.DUMMYFUNCTION("""COMPUTED_VALUE"""),1.004533E7)</f>
        <v>10045330</v>
      </c>
      <c r="B200" s="33">
        <f>IFERROR(__xludf.DUMMYFUNCTION("""COMPUTED_VALUE"""),104.0)</f>
        <v>104</v>
      </c>
      <c r="C200" s="33" t="str">
        <f>IFERROR(__xludf.DUMMYFUNCTION("""COMPUTED_VALUE"""),"IR2018-39")</f>
        <v>IR2018-39</v>
      </c>
      <c r="D200" s="34" t="str">
        <f>IFERROR(__xludf.DUMMYFUNCTION("""COMPUTED_VALUE"""),"INGRESAR CENTRO DE COSTO A LA DERECHA")</f>
        <v>INGRESAR CENTRO DE COSTO A LA DERECHA</v>
      </c>
      <c r="E200" s="34" t="str">
        <f>IFERROR(__xludf.DUMMYFUNCTION("""COMPUTED_VALUE"""),"DPTO. DE BENEFICIOS ESTUDIANTILE")</f>
        <v>DPTO. DE BENEFICIOS ESTUDIANTILE</v>
      </c>
      <c r="F200" s="34" t="str">
        <f>IFERROR(__xludf.DUMMYFUNCTION("""COMPUTED_VALUE"""),"Asistente Social Estudiantil")</f>
        <v>Asistente Social Estudiantil</v>
      </c>
      <c r="G200" s="33" t="str">
        <f>IFERROR(__xludf.DUMMYFUNCTION("""COMPUTED_VALUE"""),"ASISTENTE SOCIAL ESTUDIANTIL")</f>
        <v>ASISTENTE SOCIAL ESTUDIANTIL</v>
      </c>
      <c r="H200">
        <f>IFERROR(__xludf.DUMMYFUNCTION("""COMPUTED_VALUE"""),13.0)</f>
        <v>13</v>
      </c>
      <c r="I200" s="34" t="str">
        <f>IFERROR(__xludf.DUMMYFUNCTION("""COMPUTED_VALUE"""),"Jornada Completa")</f>
        <v>Jornada Completa</v>
      </c>
      <c r="J200" s="33" t="str">
        <f>IFERROR(__xludf.DUMMYFUNCTION("""COMPUTED_VALUE"""),"A CONTRATA")</f>
        <v>A CONTRATA</v>
      </c>
      <c r="K200" s="33" t="str">
        <f>IFERROR(__xludf.DUMMYFUNCTION("""COMPUTED_VALUE"""),"PROFESIONAL")</f>
        <v>PROFESIONAL</v>
      </c>
      <c r="L200" s="34" t="str">
        <f>IFERROR(__xludf.DUMMYFUNCTION("""COMPUTED_VALUE"""),"INTERNO")</f>
        <v>INTERNO</v>
      </c>
      <c r="M200" s="34">
        <f>IFERROR(__xludf.DUMMYFUNCTION("""COMPUTED_VALUE"""),4.0)</f>
        <v>4</v>
      </c>
      <c r="N200" s="34" t="str">
        <f>IFERROR(__xludf.DUMMYFUNCTION("""COMPUTED_VALUE"""),"NO")</f>
        <v>NO</v>
      </c>
      <c r="O200">
        <f>IFERROR(__xludf.DUMMYFUNCTION("""COMPUTED_VALUE"""),0.0)</f>
        <v>0</v>
      </c>
      <c r="P200">
        <f>IFERROR(__xludf.DUMMYFUNCTION("""COMPUTED_VALUE"""),2.0)</f>
        <v>2</v>
      </c>
      <c r="Q200" s="35">
        <f>IFERROR(__xludf.DUMMYFUNCTION("""COMPUTED_VALUE"""),0.0)</f>
        <v>0</v>
      </c>
      <c r="R200" s="36" t="str">
        <f>IFERROR(__xludf.DUMMYFUNCTION("""COMPUTED_VALUE"""),"SELECCIONADA")</f>
        <v>SELECCIONADA</v>
      </c>
      <c r="S200" s="37">
        <f>IFERROR(__xludf.DUMMYFUNCTION("""COMPUTED_VALUE"""),43488.0)</f>
        <v>43488</v>
      </c>
      <c r="T200" s="34" t="str">
        <f>IFERROR(__xludf.DUMMYFUNCTION("""COMPUTED_VALUE"""),"RODRIGUEZ ARELLANO SOLANGE CAROLINA")</f>
        <v>RODRIGUEZ ARELLANO SOLANGE CAROLINA</v>
      </c>
      <c r="V200" t="str">
        <f>IFERROR(__xludf.DUMMYFUNCTION("""COMPUTED_VALUE"""),"10045330-4")</f>
        <v>10045330-4</v>
      </c>
      <c r="W200" t="str">
        <f>IFERROR(__xludf.DUMMYFUNCTION("""COMPUTED_VALUE"""),"SI")</f>
        <v>SI</v>
      </c>
      <c r="X200" t="str">
        <f>IFERROR(__xludf.DUMMYFUNCTION("""COMPUTED_VALUE"""),"Escucha Activa")</f>
        <v>Escucha Activa</v>
      </c>
      <c r="AA200" s="38">
        <f>IFERROR(__xludf.DUMMYFUNCTION("""COMPUTED_VALUE"""),43383.0)</f>
        <v>43383</v>
      </c>
      <c r="AB200" s="38">
        <f>IFERROR(__xludf.DUMMYFUNCTION("""COMPUTED_VALUE"""),43390.0)</f>
        <v>43390</v>
      </c>
      <c r="AF200" s="39"/>
      <c r="AG200" s="39"/>
      <c r="AH200" s="34" t="str">
        <f>IFERROR(__xludf.DUMMYFUNCTION("""COMPUTED_VALUE"""),"PROCESO DE SELECCIÓN")</f>
        <v>PROCESO DE SELECCIÓN</v>
      </c>
      <c r="AI200" s="34" t="str">
        <f>IFERROR(__xludf.DUMMYFUNCTION("""COMPUTED_VALUE"""),"VELIZ FILIPP ELIZABETH")</f>
        <v>VELIZ FILIPP ELIZABETH</v>
      </c>
      <c r="AJ200" s="34"/>
      <c r="AK200" s="34" t="str">
        <f>IFERROR(__xludf.DUMMYFUNCTION("""COMPUTED_VALUE"""),"C")</f>
        <v>C</v>
      </c>
      <c r="AL200">
        <f>IFERROR(__xludf.DUMMYFUNCTION("""COMPUTED_VALUE"""),71.0)</f>
        <v>71</v>
      </c>
      <c r="AM200">
        <f>IFERROR(__xludf.DUMMYFUNCTION("""COMPUTED_VALUE"""),2018.0)</f>
        <v>2018</v>
      </c>
      <c r="AN200" t="str">
        <f t="shared" si="1"/>
        <v>10045330-4</v>
      </c>
    </row>
    <row r="201">
      <c r="A201" s="33">
        <f>IFERROR(__xludf.DUMMYFUNCTION("""COMPUTED_VALUE"""),8013027.0)</f>
        <v>8013027</v>
      </c>
      <c r="B201" s="33">
        <f>IFERROR(__xludf.DUMMYFUNCTION("""COMPUTED_VALUE"""),105.0)</f>
        <v>105</v>
      </c>
      <c r="C201" s="33" t="str">
        <f>IFERROR(__xludf.DUMMYFUNCTION("""COMPUTED_VALUE"""),"A270-B")</f>
        <v>A270-B</v>
      </c>
      <c r="D201" s="34" t="str">
        <f>IFERROR(__xludf.DUMMYFUNCTION("""COMPUTED_VALUE"""),"INGRESAR CENTRO DE COSTO A LA DERECHA")</f>
        <v>INGRESAR CENTRO DE COSTO A LA DERECHA</v>
      </c>
      <c r="E201" s="34" t="str">
        <f>IFERROR(__xludf.DUMMYFUNCTION("""COMPUTED_VALUE"""),"UNIDAD DE VOCACION ARTISTICA")</f>
        <v>UNIDAD DE VOCACION ARTISTICA</v>
      </c>
      <c r="F201" s="34" t="str">
        <f>IFERROR(__xludf.DUMMYFUNCTION("""COMPUTED_VALUE"""),"Profesional de Extensión")</f>
        <v>Profesional de Extensión</v>
      </c>
      <c r="G201" s="33" t="str">
        <f>IFERROR(__xludf.DUMMYFUNCTION("""COMPUTED_VALUE"""),"PROFESIONAL DE EXTENSIÓN ( DIRECTOR COREOGRAFICO BALLET FOLCLORICO)")</f>
        <v>PROFESIONAL DE EXTENSIÓN ( DIRECTOR COREOGRAFICO BALLET FOLCLORICO)</v>
      </c>
      <c r="H201">
        <f>IFERROR(__xludf.DUMMYFUNCTION("""COMPUTED_VALUE"""),13.0)</f>
        <v>13</v>
      </c>
      <c r="I201" s="34" t="str">
        <f>IFERROR(__xludf.DUMMYFUNCTION("""COMPUTED_VALUE"""),"1/2 Jornada")</f>
        <v>1/2 Jornada</v>
      </c>
      <c r="J201" s="33" t="str">
        <f>IFERROR(__xludf.DUMMYFUNCTION("""COMPUTED_VALUE"""),"A CONTRATA")</f>
        <v>A CONTRATA</v>
      </c>
      <c r="K201" s="33" t="str">
        <f>IFERROR(__xludf.DUMMYFUNCTION("""COMPUTED_VALUE"""),"PROFESIONAL")</f>
        <v>PROFESIONAL</v>
      </c>
      <c r="L201" s="34" t="str">
        <f>IFERROR(__xludf.DUMMYFUNCTION("""COMPUTED_VALUE"""),"INTERNO")</f>
        <v>INTERNO</v>
      </c>
      <c r="M201" s="34">
        <f>IFERROR(__xludf.DUMMYFUNCTION("""COMPUTED_VALUE"""),1.0)</f>
        <v>1</v>
      </c>
      <c r="N201" s="34" t="str">
        <f>IFERROR(__xludf.DUMMYFUNCTION("""COMPUTED_VALUE"""),"NO")</f>
        <v>NO</v>
      </c>
      <c r="O201">
        <f>IFERROR(__xludf.DUMMYFUNCTION("""COMPUTED_VALUE"""),0.0)</f>
        <v>0</v>
      </c>
      <c r="P201">
        <f>IFERROR(__xludf.DUMMYFUNCTION("""COMPUTED_VALUE"""),1.0)</f>
        <v>1</v>
      </c>
      <c r="Q201" s="35">
        <f>IFERROR(__xludf.DUMMYFUNCTION("""COMPUTED_VALUE"""),0.0)</f>
        <v>0</v>
      </c>
      <c r="R201" s="36" t="str">
        <f>IFERROR(__xludf.DUMMYFUNCTION("""COMPUTED_VALUE"""),"SELECCIONADO")</f>
        <v>SELECCIONADO</v>
      </c>
      <c r="S201" s="37">
        <f>IFERROR(__xludf.DUMMYFUNCTION("""COMPUTED_VALUE"""),43528.0)</f>
        <v>43528</v>
      </c>
      <c r="T201" s="34" t="str">
        <f>IFERROR(__xludf.DUMMYFUNCTION("""COMPUTED_VALUE"""),"MALDONADO VARGAS LUIS")</f>
        <v>MALDONADO VARGAS LUIS</v>
      </c>
      <c r="V201" t="str">
        <f>IFERROR(__xludf.DUMMYFUNCTION("""COMPUTED_VALUE"""),"8013027-9")</f>
        <v>8013027-9</v>
      </c>
      <c r="W201" t="str">
        <f>IFERROR(__xludf.DUMMYFUNCTION("""COMPUTED_VALUE"""),"SI")</f>
        <v>SI</v>
      </c>
      <c r="X201" t="str">
        <f>IFERROR(__xludf.DUMMYFUNCTION("""COMPUTED_VALUE"""),"Capacidad de Planificacion y Organizacion")</f>
        <v>Capacidad de Planificacion y Organizacion</v>
      </c>
      <c r="Y201" t="str">
        <f>IFERROR(__xludf.DUMMYFUNCTION("""COMPUTED_VALUE"""),"Impacto e Influencia")</f>
        <v>Impacto e Influencia</v>
      </c>
      <c r="AA201" s="38">
        <f>IFERROR(__xludf.DUMMYFUNCTION("""COMPUTED_VALUE"""),43444.0)</f>
        <v>43444</v>
      </c>
      <c r="AB201" s="38">
        <f>IFERROR(__xludf.DUMMYFUNCTION("""COMPUTED_VALUE"""),43451.0)</f>
        <v>43451</v>
      </c>
      <c r="AF201" s="39"/>
      <c r="AG201" s="39"/>
      <c r="AH201" s="34" t="str">
        <f>IFERROR(__xludf.DUMMYFUNCTION("""COMPUTED_VALUE"""),"PROCESO DE SELECCIÓN")</f>
        <v>PROCESO DE SELECCIÓN</v>
      </c>
      <c r="AI201" s="34" t="str">
        <f>IFERROR(__xludf.DUMMYFUNCTION("""COMPUTED_VALUE"""),"ALBORNOZ ARIAS JOSE")</f>
        <v>ALBORNOZ ARIAS JOSE</v>
      </c>
      <c r="AJ201" s="34"/>
      <c r="AK201" s="34" t="str">
        <f>IFERROR(__xludf.DUMMYFUNCTION("""COMPUTED_VALUE"""),"C")</f>
        <v>C</v>
      </c>
      <c r="AL201">
        <f>IFERROR(__xludf.DUMMYFUNCTION("""COMPUTED_VALUE"""),56.0)</f>
        <v>56</v>
      </c>
      <c r="AM201">
        <f>IFERROR(__xludf.DUMMYFUNCTION("""COMPUTED_VALUE"""),2018.0)</f>
        <v>2018</v>
      </c>
      <c r="AN201" t="str">
        <f t="shared" si="1"/>
        <v>08013027-9</v>
      </c>
    </row>
    <row r="202">
      <c r="A202" s="33">
        <f>IFERROR(__xludf.DUMMYFUNCTION("""COMPUTED_VALUE"""),1.112315E7)</f>
        <v>11123150</v>
      </c>
      <c r="B202" s="33">
        <f>IFERROR(__xludf.DUMMYFUNCTION("""COMPUTED_VALUE"""),106.0)</f>
        <v>106</v>
      </c>
      <c r="C202" s="33" t="str">
        <f>IFERROR(__xludf.DUMMYFUNCTION("""COMPUTED_VALUE"""),"A254")</f>
        <v>A254</v>
      </c>
      <c r="D202" s="34" t="str">
        <f>IFERROR(__xludf.DUMMYFUNCTION("""COMPUTED_VALUE"""),"INGRESAR CENTRO DE COSTO A LA DERECHA")</f>
        <v>INGRESAR CENTRO DE COSTO A LA DERECHA</v>
      </c>
      <c r="E202" s="34" t="str">
        <f>IFERROR(__xludf.DUMMYFUNCTION("""COMPUTED_VALUE"""),"DPTO. DE TECNOLOGÍAS DE GESTIÓN")</f>
        <v>DPTO. DE TECNOLOGÍAS DE GESTIÓN</v>
      </c>
      <c r="F202" s="34" t="str">
        <f>IFERROR(__xludf.DUMMYFUNCTION("""COMPUTED_VALUE"""),"Analista de Gestión Administrativa")</f>
        <v>Analista de Gestión Administrativa</v>
      </c>
      <c r="G202" s="33" t="str">
        <f>IFERROR(__xludf.DUMMYFUNCTION("""COMPUTED_VALUE"""),"ANALISTA DE GESTION ADMINISTRATIVA")</f>
        <v>ANALISTA DE GESTION ADMINISTRATIVA</v>
      </c>
      <c r="H202">
        <f>IFERROR(__xludf.DUMMYFUNCTION("""COMPUTED_VALUE"""),14.0)</f>
        <v>14</v>
      </c>
      <c r="I202" s="34" t="str">
        <f>IFERROR(__xludf.DUMMYFUNCTION("""COMPUTED_VALUE"""),"Jornada Completa")</f>
        <v>Jornada Completa</v>
      </c>
      <c r="J202" s="33" t="str">
        <f>IFERROR(__xludf.DUMMYFUNCTION("""COMPUTED_VALUE"""),"A CONTRATA")</f>
        <v>A CONTRATA</v>
      </c>
      <c r="K202" s="33" t="str">
        <f>IFERROR(__xludf.DUMMYFUNCTION("""COMPUTED_VALUE"""),"PROFESIONAL")</f>
        <v>PROFESIONAL</v>
      </c>
      <c r="L202" s="34" t="str">
        <f>IFERROR(__xludf.DUMMYFUNCTION("""COMPUTED_VALUE"""),"INTERNO")</f>
        <v>INTERNO</v>
      </c>
      <c r="M202" s="34">
        <f>IFERROR(__xludf.DUMMYFUNCTION("""COMPUTED_VALUE"""),9.0)</f>
        <v>9</v>
      </c>
      <c r="N202" s="34" t="str">
        <f>IFERROR(__xludf.DUMMYFUNCTION("""COMPUTED_VALUE"""),"NO")</f>
        <v>NO</v>
      </c>
      <c r="O202">
        <f>IFERROR(__xludf.DUMMYFUNCTION("""COMPUTED_VALUE"""),0.0)</f>
        <v>0</v>
      </c>
      <c r="P202">
        <f>IFERROR(__xludf.DUMMYFUNCTION("""COMPUTED_VALUE"""),3.0)</f>
        <v>3</v>
      </c>
      <c r="Q202" s="35">
        <f>IFERROR(__xludf.DUMMYFUNCTION("""COMPUTED_VALUE"""),0.0)</f>
        <v>0</v>
      </c>
      <c r="R202" s="36" t="str">
        <f>IFERROR(__xludf.DUMMYFUNCTION("""COMPUTED_VALUE"""),"SELECCIONADA")</f>
        <v>SELECCIONADA</v>
      </c>
      <c r="S202" s="37">
        <f>IFERROR(__xludf.DUMMYFUNCTION("""COMPUTED_VALUE"""),43529.0)</f>
        <v>43529</v>
      </c>
      <c r="T202" s="34" t="str">
        <f>IFERROR(__xludf.DUMMYFUNCTION("""COMPUTED_VALUE"""),"GUTIERREZ TOLOZA FRANCIA JACQUELINE")</f>
        <v>GUTIERREZ TOLOZA FRANCIA JACQUELINE</v>
      </c>
      <c r="V202" t="str">
        <f>IFERROR(__xludf.DUMMYFUNCTION("""COMPUTED_VALUE"""),"11123150-8")</f>
        <v>11123150-8</v>
      </c>
      <c r="W202" t="str">
        <f>IFERROR(__xludf.DUMMYFUNCTION("""COMPUTED_VALUE"""),"SI")</f>
        <v>SI</v>
      </c>
      <c r="X202" t="str">
        <f>IFERROR(__xludf.DUMMYFUNCTION("""COMPUTED_VALUE"""),"Capacidad de Planificacion y Organizacion")</f>
        <v>Capacidad de Planificacion y Organizacion</v>
      </c>
      <c r="Y202" t="str">
        <f>IFERROR(__xludf.DUMMYFUNCTION("""COMPUTED_VALUE"""),"Orientacion a los Resultados")</f>
        <v>Orientacion a los Resultados</v>
      </c>
      <c r="AA202" s="38">
        <f>IFERROR(__xludf.DUMMYFUNCTION("""COMPUTED_VALUE"""),43420.0)</f>
        <v>43420</v>
      </c>
      <c r="AB202" s="38">
        <f>IFERROR(__xludf.DUMMYFUNCTION("""COMPUTED_VALUE"""),43427.0)</f>
        <v>43427</v>
      </c>
      <c r="AF202" s="39"/>
      <c r="AG202" s="39"/>
      <c r="AH202" s="34" t="str">
        <f>IFERROR(__xludf.DUMMYFUNCTION("""COMPUTED_VALUE"""),"PROCESO DE SELECCIÓN")</f>
        <v>PROCESO DE SELECCIÓN</v>
      </c>
      <c r="AI202" s="34" t="str">
        <f>IFERROR(__xludf.DUMMYFUNCTION("""COMPUTED_VALUE"""),"SOTO VALDES PATRICIO")</f>
        <v>SOTO VALDES PATRICIO</v>
      </c>
      <c r="AJ202" s="34"/>
      <c r="AK202" s="34" t="str">
        <f>IFERROR(__xludf.DUMMYFUNCTION("""COMPUTED_VALUE"""),"C")</f>
        <v>C</v>
      </c>
      <c r="AL202">
        <f>IFERROR(__xludf.DUMMYFUNCTION("""COMPUTED_VALUE"""),73.0)</f>
        <v>73</v>
      </c>
      <c r="AM202">
        <f>IFERROR(__xludf.DUMMYFUNCTION("""COMPUTED_VALUE"""),2018.0)</f>
        <v>2018</v>
      </c>
      <c r="AN202" t="str">
        <f t="shared" si="1"/>
        <v>11123150-8</v>
      </c>
    </row>
    <row r="203">
      <c r="A203" s="33">
        <f>IFERROR(__xludf.DUMMYFUNCTION("""COMPUTED_VALUE"""),1.3663549E7)</f>
        <v>13663549</v>
      </c>
      <c r="B203" s="33">
        <f>IFERROR(__xludf.DUMMYFUNCTION("""COMPUTED_VALUE"""),107.0)</f>
        <v>107</v>
      </c>
      <c r="C203" s="33" t="str">
        <f>IFERROR(__xludf.DUMMYFUNCTION("""COMPUTED_VALUE"""),"IR2018-31")</f>
        <v>IR2018-31</v>
      </c>
      <c r="D203" s="34" t="str">
        <f>IFERROR(__xludf.DUMMYFUNCTION("""COMPUTED_VALUE"""),"INGRESAR CENTRO DE COSTO A LA DERECHA")</f>
        <v>INGRESAR CENTRO DE COSTO A LA DERECHA</v>
      </c>
      <c r="E203" s="34" t="str">
        <f>IFERROR(__xludf.DUMMYFUNCTION("""COMPUTED_VALUE"""),"UNIDAD DE ATENCION DE SALUD")</f>
        <v>UNIDAD DE ATENCION DE SALUD</v>
      </c>
      <c r="F203" s="34" t="str">
        <f>IFERROR(__xludf.DUMMYFUNCTION("""COMPUTED_VALUE"""),"Enfermero(a)")</f>
        <v>Enfermero(a)</v>
      </c>
      <c r="G203" s="33" t="str">
        <f>IFERROR(__xludf.DUMMYFUNCTION("""COMPUTED_VALUE"""),"ENFERMERA")</f>
        <v>ENFERMERA</v>
      </c>
      <c r="H203">
        <f>IFERROR(__xludf.DUMMYFUNCTION("""COMPUTED_VALUE"""),13.0)</f>
        <v>13</v>
      </c>
      <c r="I203" s="34" t="str">
        <f>IFERROR(__xludf.DUMMYFUNCTION("""COMPUTED_VALUE"""),"Jornada Completa")</f>
        <v>Jornada Completa</v>
      </c>
      <c r="J203" s="33" t="str">
        <f>IFERROR(__xludf.DUMMYFUNCTION("""COMPUTED_VALUE"""),"A CONTRATA")</f>
        <v>A CONTRATA</v>
      </c>
      <c r="K203" s="33" t="str">
        <f>IFERROR(__xludf.DUMMYFUNCTION("""COMPUTED_VALUE"""),"PROFESIONAL")</f>
        <v>PROFESIONAL</v>
      </c>
      <c r="L203" s="34" t="str">
        <f>IFERROR(__xludf.DUMMYFUNCTION("""COMPUTED_VALUE"""),"INTERNO")</f>
        <v>INTERNO</v>
      </c>
      <c r="M203" s="34">
        <f>IFERROR(__xludf.DUMMYFUNCTION("""COMPUTED_VALUE"""),0.0)</f>
        <v>0</v>
      </c>
      <c r="N203" s="34" t="str">
        <f>IFERROR(__xludf.DUMMYFUNCTION("""COMPUTED_VALUE"""),"EXTERNO")</f>
        <v>EXTERNO</v>
      </c>
      <c r="O203">
        <f>IFERROR(__xludf.DUMMYFUNCTION("""COMPUTED_VALUE"""),62.0)</f>
        <v>62</v>
      </c>
      <c r="P203">
        <f>IFERROR(__xludf.DUMMYFUNCTION("""COMPUTED_VALUE"""),3.0)</f>
        <v>3</v>
      </c>
      <c r="Q203" s="35">
        <f>IFERROR(__xludf.DUMMYFUNCTION("""COMPUTED_VALUE"""),0.0)</f>
        <v>0</v>
      </c>
      <c r="R203" s="36" t="str">
        <f>IFERROR(__xludf.DUMMYFUNCTION("""COMPUTED_VALUE"""),"SELECCIONADA")</f>
        <v>SELECCIONADA</v>
      </c>
      <c r="S203" s="37">
        <f>IFERROR(__xludf.DUMMYFUNCTION("""COMPUTED_VALUE"""),43528.0)</f>
        <v>43528</v>
      </c>
      <c r="T203" s="34"/>
      <c r="U203" t="str">
        <f>IFERROR(__xludf.DUMMYFUNCTION("""COMPUTED_VALUE"""),"MARIA SALINAS TEJEDA")</f>
        <v>MARIA SALINAS TEJEDA</v>
      </c>
      <c r="V203" t="str">
        <f>IFERROR(__xludf.DUMMYFUNCTION("""COMPUTED_VALUE"""),"13663549-2")</f>
        <v>13663549-2</v>
      </c>
      <c r="W203" t="str">
        <f>IFERROR(__xludf.DUMMYFUNCTION("""COMPUTED_VALUE"""),"NO")</f>
        <v>NO</v>
      </c>
      <c r="AA203" s="38">
        <f>IFERROR(__xludf.DUMMYFUNCTION("""COMPUTED_VALUE"""),43390.0)</f>
        <v>43390</v>
      </c>
      <c r="AB203" s="38">
        <f>IFERROR(__xludf.DUMMYFUNCTION("""COMPUTED_VALUE"""),43397.0)</f>
        <v>43397</v>
      </c>
      <c r="AF203" s="39"/>
      <c r="AG203" s="39"/>
      <c r="AH203" s="34" t="str">
        <f>IFERROR(__xludf.DUMMYFUNCTION("""COMPUTED_VALUE"""),"PROCESO DE SELECCIÓN")</f>
        <v>PROCESO DE SELECCIÓN</v>
      </c>
      <c r="AI203" s="34" t="str">
        <f>IFERROR(__xludf.DUMMYFUNCTION("""COMPUTED_VALUE"""),"CEBALLOS TRABUCCO MARIA")</f>
        <v>CEBALLOS TRABUCCO MARIA</v>
      </c>
      <c r="AJ203" s="34"/>
      <c r="AK203" s="34" t="str">
        <f>IFERROR(__xludf.DUMMYFUNCTION("""COMPUTED_VALUE"""),"E")</f>
        <v>E</v>
      </c>
      <c r="AL203">
        <f>IFERROR(__xludf.DUMMYFUNCTION("""COMPUTED_VALUE"""),94.0)</f>
        <v>94</v>
      </c>
      <c r="AM203">
        <f>IFERROR(__xludf.DUMMYFUNCTION("""COMPUTED_VALUE"""),2018.0)</f>
        <v>2018</v>
      </c>
      <c r="AN203" t="str">
        <f t="shared" si="1"/>
        <v>13663549-2</v>
      </c>
    </row>
    <row r="204">
      <c r="A204" s="33">
        <f>IFERROR(__xludf.DUMMYFUNCTION("""COMPUTED_VALUE"""),1.5929844E7)</f>
        <v>15929844</v>
      </c>
      <c r="B204" s="33">
        <f>IFERROR(__xludf.DUMMYFUNCTION("""COMPUTED_VALUE"""),108.0)</f>
        <v>108</v>
      </c>
      <c r="C204" s="33" t="str">
        <f>IFERROR(__xludf.DUMMYFUNCTION("""COMPUTED_VALUE"""),"A160")</f>
        <v>A160</v>
      </c>
      <c r="D204" s="34" t="str">
        <f>IFERROR(__xludf.DUMMYFUNCTION("""COMPUTED_VALUE"""),"INGRESAR CENTRO DE COSTO A LA DERECHA")</f>
        <v>INGRESAR CENTRO DE COSTO A LA DERECHA</v>
      </c>
      <c r="E204" s="34" t="str">
        <f>IFERROR(__xludf.DUMMYFUNCTION("""COMPUTED_VALUE"""),"DPTO. DE FISICA")</f>
        <v>DPTO. DE FISICA</v>
      </c>
      <c r="F204" s="34" t="str">
        <f>IFERROR(__xludf.DUMMYFUNCTION("""COMPUTED_VALUE"""),"Analista de Gestión I")</f>
        <v>Analista de Gestión I</v>
      </c>
      <c r="G204" s="33" t="str">
        <f>IFERROR(__xludf.DUMMYFUNCTION("""COMPUTED_VALUE"""),"ANALISTA DE GESTION I")</f>
        <v>ANALISTA DE GESTION I</v>
      </c>
      <c r="H204">
        <f>IFERROR(__xludf.DUMMYFUNCTION("""COMPUTED_VALUE"""),10.0)</f>
        <v>10</v>
      </c>
      <c r="I204" s="34" t="str">
        <f>IFERROR(__xludf.DUMMYFUNCTION("""COMPUTED_VALUE"""),"Jornada Completa")</f>
        <v>Jornada Completa</v>
      </c>
      <c r="J204" s="33" t="str">
        <f>IFERROR(__xludf.DUMMYFUNCTION("""COMPUTED_VALUE"""),"A CONTRATA")</f>
        <v>A CONTRATA</v>
      </c>
      <c r="K204" s="33" t="str">
        <f>IFERROR(__xludf.DUMMYFUNCTION("""COMPUTED_VALUE"""),"PROFESIONAL")</f>
        <v>PROFESIONAL</v>
      </c>
      <c r="L204" s="34" t="str">
        <f>IFERROR(__xludf.DUMMYFUNCTION("""COMPUTED_VALUE"""),"INTERNO")</f>
        <v>INTERNO</v>
      </c>
      <c r="M204" s="34">
        <f>IFERROR(__xludf.DUMMYFUNCTION("""COMPUTED_VALUE"""),0.0)</f>
        <v>0</v>
      </c>
      <c r="N204" s="34" t="str">
        <f>IFERROR(__xludf.DUMMYFUNCTION("""COMPUTED_VALUE"""),"EXTERNO")</f>
        <v>EXTERNO</v>
      </c>
      <c r="O204">
        <f>IFERROR(__xludf.DUMMYFUNCTION("""COMPUTED_VALUE"""),3.0)</f>
        <v>3</v>
      </c>
      <c r="P204">
        <f>IFERROR(__xludf.DUMMYFUNCTION("""COMPUTED_VALUE"""),2.0)</f>
        <v>2</v>
      </c>
      <c r="Q204" s="35">
        <f>IFERROR(__xludf.DUMMYFUNCTION("""COMPUTED_VALUE"""),0.0)</f>
        <v>0</v>
      </c>
      <c r="R204" s="36" t="str">
        <f>IFERROR(__xludf.DUMMYFUNCTION("""COMPUTED_VALUE"""),"SELECCIONADA")</f>
        <v>SELECCIONADA</v>
      </c>
      <c r="S204" s="37">
        <f>IFERROR(__xludf.DUMMYFUNCTION("""COMPUTED_VALUE"""),43528.0)</f>
        <v>43528</v>
      </c>
      <c r="T204" s="34"/>
      <c r="U204" t="str">
        <f>IFERROR(__xludf.DUMMYFUNCTION("""COMPUTED_VALUE"""),"PASCAL TORO LAGOS")</f>
        <v>PASCAL TORO LAGOS</v>
      </c>
      <c r="V204" t="str">
        <f>IFERROR(__xludf.DUMMYFUNCTION("""COMPUTED_VALUE"""),"15929844-1")</f>
        <v>15929844-1</v>
      </c>
      <c r="W204" t="str">
        <f>IFERROR(__xludf.DUMMYFUNCTION("""COMPUTED_VALUE"""),"NO")</f>
        <v>NO</v>
      </c>
      <c r="AA204" s="38">
        <f>IFERROR(__xludf.DUMMYFUNCTION("""COMPUTED_VALUE"""),43451.0)</f>
        <v>43451</v>
      </c>
      <c r="AB204" s="38">
        <f>IFERROR(__xludf.DUMMYFUNCTION("""COMPUTED_VALUE"""),43458.0)</f>
        <v>43458</v>
      </c>
      <c r="AF204" s="39"/>
      <c r="AG204" s="39"/>
      <c r="AH204" s="34" t="str">
        <f>IFERROR(__xludf.DUMMYFUNCTION("""COMPUTED_VALUE"""),"PROCESO DE SELECCIÓN")</f>
        <v>PROCESO DE SELECCIÓN</v>
      </c>
      <c r="AI204" s="34" t="str">
        <f>IFERROR(__xludf.DUMMYFUNCTION("""COMPUTED_VALUE""")," - ")</f>
        <v> - </v>
      </c>
      <c r="AJ204" s="34"/>
      <c r="AK204" s="34" t="str">
        <f>IFERROR(__xludf.DUMMYFUNCTION("""COMPUTED_VALUE"""),"E")</f>
        <v>E</v>
      </c>
      <c r="AL204">
        <f>IFERROR(__xludf.DUMMYFUNCTION("""COMPUTED_VALUE"""),51.0)</f>
        <v>51</v>
      </c>
      <c r="AM204">
        <f>IFERROR(__xludf.DUMMYFUNCTION("""COMPUTED_VALUE"""),2018.0)</f>
        <v>2018</v>
      </c>
      <c r="AN204" t="str">
        <f t="shared" si="1"/>
        <v>15929844-1</v>
      </c>
    </row>
    <row r="205">
      <c r="A205" s="33">
        <f>IFERROR(__xludf.DUMMYFUNCTION("""COMPUTED_VALUE"""),1.5415292E7)</f>
        <v>15415292</v>
      </c>
      <c r="B205" s="33">
        <f>IFERROR(__xludf.DUMMYFUNCTION("""COMPUTED_VALUE"""),109.0)</f>
        <v>109</v>
      </c>
      <c r="C205" s="33" t="str">
        <f>IFERROR(__xludf.DUMMYFUNCTION("""COMPUTED_VALUE"""),"IR2018-37")</f>
        <v>IR2018-37</v>
      </c>
      <c r="D205" s="34" t="str">
        <f>IFERROR(__xludf.DUMMYFUNCTION("""COMPUTED_VALUE"""),"INGRESAR CENTRO DE COSTO A LA DERECHA")</f>
        <v>INGRESAR CENTRO DE COSTO A LA DERECHA</v>
      </c>
      <c r="E205" s="34" t="str">
        <f>IFERROR(__xludf.DUMMYFUNCTION("""COMPUTED_VALUE"""),"FACULTAD DE INGENIERIA")</f>
        <v>FACULTAD DE INGENIERIA</v>
      </c>
      <c r="F205" s="34" t="str">
        <f>IFERROR(__xludf.DUMMYFUNCTION("""COMPUTED_VALUE"""),"Jefe(a) de Finanzas")</f>
        <v>Jefe(a) de Finanzas</v>
      </c>
      <c r="G205" s="33" t="str">
        <f>IFERROR(__xludf.DUMMYFUNCTION("""COMPUTED_VALUE"""),"JEFA DE FINANZAS")</f>
        <v>JEFA DE FINANZAS</v>
      </c>
      <c r="H205">
        <f>IFERROR(__xludf.DUMMYFUNCTION("""COMPUTED_VALUE"""),10.0)</f>
        <v>10</v>
      </c>
      <c r="I205" s="34" t="str">
        <f>IFERROR(__xludf.DUMMYFUNCTION("""COMPUTED_VALUE"""),"Jornada Completa")</f>
        <v>Jornada Completa</v>
      </c>
      <c r="J205" s="33" t="str">
        <f>IFERROR(__xludf.DUMMYFUNCTION("""COMPUTED_VALUE"""),"A CONTRATA")</f>
        <v>A CONTRATA</v>
      </c>
      <c r="K205" s="33" t="str">
        <f>IFERROR(__xludf.DUMMYFUNCTION("""COMPUTED_VALUE"""),"PROFESIONAL")</f>
        <v>PROFESIONAL</v>
      </c>
      <c r="L205" s="34" t="str">
        <f>IFERROR(__xludf.DUMMYFUNCTION("""COMPUTED_VALUE"""),"INTERNO")</f>
        <v>INTERNO</v>
      </c>
      <c r="M205" s="34">
        <f>IFERROR(__xludf.DUMMYFUNCTION("""COMPUTED_VALUE"""),2.0)</f>
        <v>2</v>
      </c>
      <c r="N205" s="34" t="str">
        <f>IFERROR(__xludf.DUMMYFUNCTION("""COMPUTED_VALUE"""),"NO")</f>
        <v>NO</v>
      </c>
      <c r="O205">
        <f>IFERROR(__xludf.DUMMYFUNCTION("""COMPUTED_VALUE"""),0.0)</f>
        <v>0</v>
      </c>
      <c r="P205">
        <f>IFERROR(__xludf.DUMMYFUNCTION("""COMPUTED_VALUE"""),1.0)</f>
        <v>1</v>
      </c>
      <c r="Q205" s="35">
        <f>IFERROR(__xludf.DUMMYFUNCTION("""COMPUTED_VALUE"""),0.0)</f>
        <v>0</v>
      </c>
      <c r="R205" s="36" t="str">
        <f>IFERROR(__xludf.DUMMYFUNCTION("""COMPUTED_VALUE"""),"SELECCIONADA")</f>
        <v>SELECCIONADA</v>
      </c>
      <c r="S205" s="37">
        <f>IFERROR(__xludf.DUMMYFUNCTION("""COMPUTED_VALUE"""),43528.0)</f>
        <v>43528</v>
      </c>
      <c r="T205" s="34" t="str">
        <f>IFERROR(__xludf.DUMMYFUNCTION("""COMPUTED_VALUE"""),"DIAZ DIAZ BERNARDA DEL CARMEN")</f>
        <v>DIAZ DIAZ BERNARDA DEL CARMEN</v>
      </c>
      <c r="V205" t="str">
        <f>IFERROR(__xludf.DUMMYFUNCTION("""COMPUTED_VALUE"""),"15415292-K")</f>
        <v>15415292-K</v>
      </c>
      <c r="W205" t="str">
        <f>IFERROR(__xludf.DUMMYFUNCTION("""COMPUTED_VALUE"""),"SI")</f>
        <v>SI</v>
      </c>
      <c r="X205" t="str">
        <f>IFERROR(__xludf.DUMMYFUNCTION("""COMPUTED_VALUE"""),"Capacidad de Planificacion y Organizacion")</f>
        <v>Capacidad de Planificacion y Organizacion</v>
      </c>
      <c r="Y205" t="str">
        <f>IFERROR(__xludf.DUMMYFUNCTION("""COMPUTED_VALUE"""),"Trabajo en Equipo")</f>
        <v>Trabajo en Equipo</v>
      </c>
      <c r="AA205" s="38">
        <f>IFERROR(__xludf.DUMMYFUNCTION("""COMPUTED_VALUE"""),43409.0)</f>
        <v>43409</v>
      </c>
      <c r="AB205" s="38">
        <f>IFERROR(__xludf.DUMMYFUNCTION("""COMPUTED_VALUE"""),43416.0)</f>
        <v>43416</v>
      </c>
      <c r="AF205" s="39"/>
      <c r="AG205" s="39"/>
      <c r="AH205" s="34" t="str">
        <f>IFERROR(__xludf.DUMMYFUNCTION("""COMPUTED_VALUE"""),"PROCESO DE SELECCIÓN")</f>
        <v>PROCESO DE SELECCIÓN</v>
      </c>
      <c r="AI205" s="34" t="str">
        <f>IFERROR(__xludf.DUMMYFUNCTION("""COMPUTED_VALUE"""),"SUAZO COZ MARIA")</f>
        <v>SUAZO COZ MARIA</v>
      </c>
      <c r="AJ205" s="34"/>
      <c r="AK205" s="34" t="str">
        <f>IFERROR(__xludf.DUMMYFUNCTION("""COMPUTED_VALUE"""),"C")</f>
        <v>C</v>
      </c>
      <c r="AL205">
        <f>IFERROR(__xludf.DUMMYFUNCTION("""COMPUTED_VALUE"""),81.0)</f>
        <v>81</v>
      </c>
      <c r="AM205">
        <f>IFERROR(__xludf.DUMMYFUNCTION("""COMPUTED_VALUE"""),2018.0)</f>
        <v>2018</v>
      </c>
      <c r="AN205" t="str">
        <f t="shared" si="1"/>
        <v>15415292-K</v>
      </c>
    </row>
    <row r="206">
      <c r="A206" s="33">
        <f>IFERROR(__xludf.DUMMYFUNCTION("""COMPUTED_VALUE"""),1.0655081E7)</f>
        <v>10655081</v>
      </c>
      <c r="B206" s="33">
        <f>IFERROR(__xludf.DUMMYFUNCTION("""COMPUTED_VALUE"""),110.0)</f>
        <v>110</v>
      </c>
      <c r="C206" s="33" t="str">
        <f>IFERROR(__xludf.DUMMYFUNCTION("""COMPUTED_VALUE"""),"A245")</f>
        <v>A245</v>
      </c>
      <c r="D206" s="34" t="str">
        <f>IFERROR(__xludf.DUMMYFUNCTION("""COMPUTED_VALUE"""),"INGRESAR CENTRO DE COSTO A LA DERECHA")</f>
        <v>INGRESAR CENTRO DE COSTO A LA DERECHA</v>
      </c>
      <c r="E206" s="34" t="str">
        <f>IFERROR(__xludf.DUMMYFUNCTION("""COMPUTED_VALUE"""),"UNIDAD DE GESTION DEL CAMPUS")</f>
        <v>UNIDAD DE GESTION DEL CAMPUS</v>
      </c>
      <c r="F206" s="34" t="str">
        <f>IFERROR(__xludf.DUMMYFUNCTION("""COMPUTED_VALUE"""),"Jefe(a) de Sección")</f>
        <v>Jefe(a) de Sección</v>
      </c>
      <c r="G206" s="33" t="str">
        <f>IFERROR(__xludf.DUMMYFUNCTION("""COMPUTED_VALUE"""),"JEFE DE SECCION VIGILANCIA Y SEGURIDAD")</f>
        <v>JEFE DE SECCION VIGILANCIA Y SEGURIDAD</v>
      </c>
      <c r="H206">
        <f>IFERROR(__xludf.DUMMYFUNCTION("""COMPUTED_VALUE"""),10.0)</f>
        <v>10</v>
      </c>
      <c r="I206" s="34" t="str">
        <f>IFERROR(__xludf.DUMMYFUNCTION("""COMPUTED_VALUE"""),"Jornada Completa")</f>
        <v>Jornada Completa</v>
      </c>
      <c r="J206" s="33" t="str">
        <f>IFERROR(__xludf.DUMMYFUNCTION("""COMPUTED_VALUE"""),"A CONTRATA")</f>
        <v>A CONTRATA</v>
      </c>
      <c r="K206" s="33" t="str">
        <f>IFERROR(__xludf.DUMMYFUNCTION("""COMPUTED_VALUE"""),"PROFESIONAL")</f>
        <v>PROFESIONAL</v>
      </c>
      <c r="L206" s="34" t="str">
        <f>IFERROR(__xludf.DUMMYFUNCTION("""COMPUTED_VALUE"""),"INTERNO")</f>
        <v>INTERNO</v>
      </c>
      <c r="M206" s="34">
        <f>IFERROR(__xludf.DUMMYFUNCTION("""COMPUTED_VALUE"""),2.0)</f>
        <v>2</v>
      </c>
      <c r="N206" s="34" t="str">
        <f>IFERROR(__xludf.DUMMYFUNCTION("""COMPUTED_VALUE"""),"NO")</f>
        <v>NO</v>
      </c>
      <c r="O206">
        <f>IFERROR(__xludf.DUMMYFUNCTION("""COMPUTED_VALUE"""),8.0)</f>
        <v>8</v>
      </c>
      <c r="P206">
        <f>IFERROR(__xludf.DUMMYFUNCTION("""COMPUTED_VALUE"""),3.0)</f>
        <v>3</v>
      </c>
      <c r="Q206" s="35">
        <f>IFERROR(__xludf.DUMMYFUNCTION("""COMPUTED_VALUE"""),0.0)</f>
        <v>0</v>
      </c>
      <c r="R206" s="36" t="str">
        <f>IFERROR(__xludf.DUMMYFUNCTION("""COMPUTED_VALUE"""),"SELECCIONADO")</f>
        <v>SELECCIONADO</v>
      </c>
      <c r="S206" s="37">
        <f>IFERROR(__xludf.DUMMYFUNCTION("""COMPUTED_VALUE"""),43536.0)</f>
        <v>43536</v>
      </c>
      <c r="T206" s="34" t="str">
        <f>IFERROR(__xludf.DUMMYFUNCTION("""COMPUTED_VALUE"""),"DURAN MOYA RENATO")</f>
        <v>DURAN MOYA RENATO</v>
      </c>
      <c r="V206" t="str">
        <f>IFERROR(__xludf.DUMMYFUNCTION("""COMPUTED_VALUE"""),"10655081-6")</f>
        <v>10655081-6</v>
      </c>
      <c r="W206" t="str">
        <f>IFERROR(__xludf.DUMMYFUNCTION("""COMPUTED_VALUE"""),"NO")</f>
        <v>NO</v>
      </c>
      <c r="AA206" s="38">
        <f>IFERROR(__xludf.DUMMYFUNCTION("""COMPUTED_VALUE"""),43444.0)</f>
        <v>43444</v>
      </c>
      <c r="AB206" s="38">
        <f>IFERROR(__xludf.DUMMYFUNCTION("""COMPUTED_VALUE"""),43451.0)</f>
        <v>43451</v>
      </c>
      <c r="AF206" s="39"/>
      <c r="AG206" s="39"/>
      <c r="AH206" s="34" t="str">
        <f>IFERROR(__xludf.DUMMYFUNCTION("""COMPUTED_VALUE"""),"PROCESO DE SELECCIÓN")</f>
        <v>PROCESO DE SELECCIÓN</v>
      </c>
      <c r="AI206" s="34" t="str">
        <f>IFERROR(__xludf.DUMMYFUNCTION("""COMPUTED_VALUE"""),"VALENZUELA LORCA MANUEL")</f>
        <v>VALENZUELA LORCA MANUEL</v>
      </c>
      <c r="AJ206" s="34"/>
      <c r="AK206" s="34" t="str">
        <f>IFERROR(__xludf.DUMMYFUNCTION("""COMPUTED_VALUE"""),"C")</f>
        <v>C</v>
      </c>
      <c r="AL206">
        <f>IFERROR(__xludf.DUMMYFUNCTION("""COMPUTED_VALUE"""),62.0)</f>
        <v>62</v>
      </c>
      <c r="AM206">
        <f>IFERROR(__xludf.DUMMYFUNCTION("""COMPUTED_VALUE"""),2018.0)</f>
        <v>2018</v>
      </c>
      <c r="AN206" t="str">
        <f t="shared" si="1"/>
        <v>10655081-6</v>
      </c>
    </row>
    <row r="207">
      <c r="A207" s="33">
        <f>IFERROR(__xludf.DUMMYFUNCTION("""COMPUTED_VALUE"""),1.2578312E7)</f>
        <v>12578312</v>
      </c>
      <c r="B207" s="33">
        <f>IFERROR(__xludf.DUMMYFUNCTION("""COMPUTED_VALUE"""),111.0)</f>
        <v>111</v>
      </c>
      <c r="C207" s="33" t="str">
        <f>IFERROR(__xludf.DUMMYFUNCTION("""COMPUTED_VALUE"""),"ACTA019-06")</f>
        <v>ACTA019-06</v>
      </c>
      <c r="D207" s="34" t="str">
        <f>IFERROR(__xludf.DUMMYFUNCTION("""COMPUTED_VALUE"""),"INGRESAR CENTRO DE COSTO A LA DERECHA")</f>
        <v>INGRESAR CENTRO DE COSTO A LA DERECHA</v>
      </c>
      <c r="E207" s="34" t="str">
        <f>IFERROR(__xludf.DUMMYFUNCTION("""COMPUTED_VALUE"""),"DPTO. DE FINANZAS Y TESORERIA")</f>
        <v>DPTO. DE FINANZAS Y TESORERIA</v>
      </c>
      <c r="F207" s="34" t="str">
        <f>IFERROR(__xludf.DUMMYFUNCTION("""COMPUTED_VALUE"""),"Jefe(a) de Área")</f>
        <v>Jefe(a) de Área</v>
      </c>
      <c r="G207" s="33" t="str">
        <f>IFERROR(__xludf.DUMMYFUNCTION("""COMPUTED_VALUE"""),"JEFE DE AREA CONTABILIDAD")</f>
        <v>JEFE DE AREA CONTABILIDAD</v>
      </c>
      <c r="H207">
        <f>IFERROR(__xludf.DUMMYFUNCTION("""COMPUTED_VALUE"""),8.0)</f>
        <v>8</v>
      </c>
      <c r="I207" s="34" t="str">
        <f>IFERROR(__xludf.DUMMYFUNCTION("""COMPUTED_VALUE"""),"Jornada Completa")</f>
        <v>Jornada Completa</v>
      </c>
      <c r="J207" s="33" t="str">
        <f>IFERROR(__xludf.DUMMYFUNCTION("""COMPUTED_VALUE"""),"A CONTRATA")</f>
        <v>A CONTRATA</v>
      </c>
      <c r="K207" s="33" t="str">
        <f>IFERROR(__xludf.DUMMYFUNCTION("""COMPUTED_VALUE"""),"PROFESIONAL")</f>
        <v>PROFESIONAL</v>
      </c>
      <c r="L207" s="34" t="str">
        <f>IFERROR(__xludf.DUMMYFUNCTION("""COMPUTED_VALUE"""),"INTERNO")</f>
        <v>INTERNO</v>
      </c>
      <c r="M207" s="34">
        <f>IFERROR(__xludf.DUMMYFUNCTION("""COMPUTED_VALUE"""),2.0)</f>
        <v>2</v>
      </c>
      <c r="N207" s="34" t="str">
        <f>IFERROR(__xludf.DUMMYFUNCTION("""COMPUTED_VALUE"""),"NO")</f>
        <v>NO</v>
      </c>
      <c r="O207">
        <f>IFERROR(__xludf.DUMMYFUNCTION("""COMPUTED_VALUE"""),0.0)</f>
        <v>0</v>
      </c>
      <c r="P207">
        <f>IFERROR(__xludf.DUMMYFUNCTION("""COMPUTED_VALUE"""),2.0)</f>
        <v>2</v>
      </c>
      <c r="Q207" s="35">
        <f>IFERROR(__xludf.DUMMYFUNCTION("""COMPUTED_VALUE"""),0.0)</f>
        <v>0</v>
      </c>
      <c r="R207" s="36" t="str">
        <f>IFERROR(__xludf.DUMMYFUNCTION("""COMPUTED_VALUE"""),"SELECCIONADO")</f>
        <v>SELECCIONADO</v>
      </c>
      <c r="S207" s="37">
        <f>IFERROR(__xludf.DUMMYFUNCTION("""COMPUTED_VALUE"""),43543.0)</f>
        <v>43543</v>
      </c>
      <c r="T207" s="34" t="str">
        <f>IFERROR(__xludf.DUMMYFUNCTION("""COMPUTED_VALUE"""),"SAAVEDRA DONOSO CRISTIAN EDUARDO")</f>
        <v>SAAVEDRA DONOSO CRISTIAN EDUARDO</v>
      </c>
      <c r="V207" t="str">
        <f>IFERROR(__xludf.DUMMYFUNCTION("""COMPUTED_VALUE"""),"12578312-0")</f>
        <v>12578312-0</v>
      </c>
      <c r="AA207" s="38">
        <f>IFERROR(__xludf.DUMMYFUNCTION("""COMPUTED_VALUE"""),43483.0)</f>
        <v>43483</v>
      </c>
      <c r="AB207" s="38">
        <f>IFERROR(__xludf.DUMMYFUNCTION("""COMPUTED_VALUE"""),43489.0)</f>
        <v>43489</v>
      </c>
      <c r="AF207" s="39"/>
      <c r="AG207" s="39"/>
      <c r="AH207" s="34" t="str">
        <f>IFERROR(__xludf.DUMMYFUNCTION("""COMPUTED_VALUE"""),"PROCESO DE SELECCIÓN")</f>
        <v>PROCESO DE SELECCIÓN</v>
      </c>
      <c r="AI207" s="34"/>
      <c r="AJ207" s="34"/>
      <c r="AK207" s="34" t="str">
        <f>IFERROR(__xludf.DUMMYFUNCTION("""COMPUTED_VALUE"""),"P")</f>
        <v>P</v>
      </c>
      <c r="AL207">
        <f>IFERROR(__xludf.DUMMYFUNCTION("""COMPUTED_VALUE"""),39.0)</f>
        <v>39</v>
      </c>
      <c r="AM207">
        <f>IFERROR(__xludf.DUMMYFUNCTION("""COMPUTED_VALUE"""),2018.0)</f>
        <v>2018</v>
      </c>
      <c r="AN207" t="str">
        <f t="shared" si="1"/>
        <v>12578312-0</v>
      </c>
    </row>
    <row r="208">
      <c r="A208" s="33">
        <f>IFERROR(__xludf.DUMMYFUNCTION("""COMPUTED_VALUE"""),9063120.0)</f>
        <v>9063120</v>
      </c>
      <c r="B208" s="33">
        <f>IFERROR(__xludf.DUMMYFUNCTION("""COMPUTED_VALUE"""),112.0)</f>
        <v>112</v>
      </c>
      <c r="C208" s="33" t="str">
        <f>IFERROR(__xludf.DUMMYFUNCTION("""COMPUTED_VALUE"""),"ACTA2019-17")</f>
        <v>ACTA2019-17</v>
      </c>
      <c r="D208" s="34" t="str">
        <f>IFERROR(__xludf.DUMMYFUNCTION("""COMPUTED_VALUE"""),"INGRESAR CENTRO DE COSTO A LA DERECHA")</f>
        <v>INGRESAR CENTRO DE COSTO A LA DERECHA</v>
      </c>
      <c r="E208" s="34" t="str">
        <f>IFERROR(__xludf.DUMMYFUNCTION("""COMPUTED_VALUE"""),"FACULTAD DE ADMINIST Y ECONOMI")</f>
        <v>FACULTAD DE ADMINIST Y ECONOMI</v>
      </c>
      <c r="F208" s="34" t="str">
        <f>IFERROR(__xludf.DUMMYFUNCTION("""COMPUTED_VALUE"""),"Encargado(a) de Vinculación con el Medio")</f>
        <v>Encargado(a) de Vinculación con el Medio</v>
      </c>
      <c r="G208" s="33" t="str">
        <f>IFERROR(__xludf.DUMMYFUNCTION("""COMPUTED_VALUE"""),"ENCARGADA DE VINCULACION CON EL MEDIO")</f>
        <v>ENCARGADA DE VINCULACION CON EL MEDIO</v>
      </c>
      <c r="H208">
        <f>IFERROR(__xludf.DUMMYFUNCTION("""COMPUTED_VALUE"""),13.0)</f>
        <v>13</v>
      </c>
      <c r="I208" s="34" t="str">
        <f>IFERROR(__xludf.DUMMYFUNCTION("""COMPUTED_VALUE"""),"Jornada Completa")</f>
        <v>Jornada Completa</v>
      </c>
      <c r="J208" s="33" t="str">
        <f>IFERROR(__xludf.DUMMYFUNCTION("""COMPUTED_VALUE"""),"A CONTRATA")</f>
        <v>A CONTRATA</v>
      </c>
      <c r="K208" s="33" t="str">
        <f>IFERROR(__xludf.DUMMYFUNCTION("""COMPUTED_VALUE"""),"PROFESIONAL")</f>
        <v>PROFESIONAL</v>
      </c>
      <c r="L208" s="34" t="str">
        <f>IFERROR(__xludf.DUMMYFUNCTION("""COMPUTED_VALUE"""),"INTERNO")</f>
        <v>INTERNO</v>
      </c>
      <c r="M208" s="34">
        <f>IFERROR(__xludf.DUMMYFUNCTION("""COMPUTED_VALUE"""),1.0)</f>
        <v>1</v>
      </c>
      <c r="N208" s="34" t="str">
        <f>IFERROR(__xludf.DUMMYFUNCTION("""COMPUTED_VALUE"""),"NO")</f>
        <v>NO</v>
      </c>
      <c r="O208">
        <f>IFERROR(__xludf.DUMMYFUNCTION("""COMPUTED_VALUE"""),0.0)</f>
        <v>0</v>
      </c>
      <c r="P208">
        <f>IFERROR(__xludf.DUMMYFUNCTION("""COMPUTED_VALUE"""),1.0)</f>
        <v>1</v>
      </c>
      <c r="Q208" s="35">
        <f>IFERROR(__xludf.DUMMYFUNCTION("""COMPUTED_VALUE"""),0.0)</f>
        <v>0</v>
      </c>
      <c r="R208" s="36" t="str">
        <f>IFERROR(__xludf.DUMMYFUNCTION("""COMPUTED_VALUE"""),"SELECCIONADA")</f>
        <v>SELECCIONADA</v>
      </c>
      <c r="S208" s="37">
        <f>IFERROR(__xludf.DUMMYFUNCTION("""COMPUTED_VALUE"""),43551.0)</f>
        <v>43551</v>
      </c>
      <c r="T208" s="34" t="str">
        <f>IFERROR(__xludf.DUMMYFUNCTION("""COMPUTED_VALUE"""),"DEL CAMPO ESCARATE MARIA VALENTINA")</f>
        <v>DEL CAMPO ESCARATE MARIA VALENTINA</v>
      </c>
      <c r="V208" t="str">
        <f>IFERROR(__xludf.DUMMYFUNCTION("""COMPUTED_VALUE"""),"9063120-9")</f>
        <v>9063120-9</v>
      </c>
      <c r="W208" t="str">
        <f>IFERROR(__xludf.DUMMYFUNCTION("""COMPUTED_VALUE"""),"NO")</f>
        <v>NO</v>
      </c>
      <c r="AA208" s="38">
        <f>IFERROR(__xludf.DUMMYFUNCTION("""COMPUTED_VALUE"""),43474.0)</f>
        <v>43474</v>
      </c>
      <c r="AB208" s="38">
        <f>IFERROR(__xludf.DUMMYFUNCTION("""COMPUTED_VALUE"""),43481.0)</f>
        <v>43481</v>
      </c>
      <c r="AF208" s="39"/>
      <c r="AG208" s="39"/>
      <c r="AH208" s="34" t="str">
        <f>IFERROR(__xludf.DUMMYFUNCTION("""COMPUTED_VALUE"""),"PROCESO DE SELECCIÓN")</f>
        <v>PROCESO DE SELECCIÓN</v>
      </c>
      <c r="AI208" s="34" t="str">
        <f>IFERROR(__xludf.DUMMYFUNCTION("""COMPUTED_VALUE"""),"CORONADO JARA JOSE")</f>
        <v>CORONADO JARA JOSE</v>
      </c>
      <c r="AJ208" s="34"/>
      <c r="AK208" s="34" t="str">
        <f>IFERROR(__xludf.DUMMYFUNCTION("""COMPUTED_VALUE"""),"P")</f>
        <v>P</v>
      </c>
      <c r="AL208">
        <f>IFERROR(__xludf.DUMMYFUNCTION("""COMPUTED_VALUE"""),51.0)</f>
        <v>51</v>
      </c>
      <c r="AM208">
        <f>IFERROR(__xludf.DUMMYFUNCTION("""COMPUTED_VALUE"""),2018.0)</f>
        <v>2018</v>
      </c>
      <c r="AN208" t="str">
        <f t="shared" si="1"/>
        <v>09063120-9</v>
      </c>
    </row>
    <row r="209">
      <c r="A209" s="33">
        <f>IFERROR(__xludf.DUMMYFUNCTION("""COMPUTED_VALUE"""),8056884.0)</f>
        <v>8056884</v>
      </c>
      <c r="B209" s="33">
        <f>IFERROR(__xludf.DUMMYFUNCTION("""COMPUTED_VALUE"""),113.0)</f>
        <v>113</v>
      </c>
      <c r="C209" s="33" t="str">
        <f>IFERROR(__xludf.DUMMYFUNCTION("""COMPUTED_VALUE"""),"ACTA2019-18")</f>
        <v>ACTA2019-18</v>
      </c>
      <c r="D209" s="34" t="str">
        <f>IFERROR(__xludf.DUMMYFUNCTION("""COMPUTED_VALUE"""),"INGRESAR CENTRO DE COSTO A LA DERECHA")</f>
        <v>INGRESAR CENTRO DE COSTO A LA DERECHA</v>
      </c>
      <c r="E209" s="34" t="str">
        <f>IFERROR(__xludf.DUMMYFUNCTION("""COMPUTED_VALUE"""),"FACULTAD DE ADMINIST Y ECONOMI")</f>
        <v>FACULTAD DE ADMINIST Y ECONOMI</v>
      </c>
      <c r="F209" s="34" t="str">
        <f>IFERROR(__xludf.DUMMYFUNCTION("""COMPUTED_VALUE"""),"Analista de Gestión II")</f>
        <v>Analista de Gestión II</v>
      </c>
      <c r="G209" s="33" t="str">
        <f>IFERROR(__xludf.DUMMYFUNCTION("""COMPUTED_VALUE"""),"ANALISTA DE GESTION II")</f>
        <v>ANALISTA DE GESTION II</v>
      </c>
      <c r="H209">
        <f>IFERROR(__xludf.DUMMYFUNCTION("""COMPUTED_VALUE"""),13.0)</f>
        <v>13</v>
      </c>
      <c r="I209" s="34" t="str">
        <f>IFERROR(__xludf.DUMMYFUNCTION("""COMPUTED_VALUE"""),"Jornada Completa")</f>
        <v>Jornada Completa</v>
      </c>
      <c r="J209" s="33" t="str">
        <f>IFERROR(__xludf.DUMMYFUNCTION("""COMPUTED_VALUE"""),"A CONTRATA")</f>
        <v>A CONTRATA</v>
      </c>
      <c r="K209" s="33" t="str">
        <f>IFERROR(__xludf.DUMMYFUNCTION("""COMPUTED_VALUE"""),"PROFESIONAL")</f>
        <v>PROFESIONAL</v>
      </c>
      <c r="L209" s="34" t="str">
        <f>IFERROR(__xludf.DUMMYFUNCTION("""COMPUTED_VALUE"""),"INTERNO")</f>
        <v>INTERNO</v>
      </c>
      <c r="M209" s="34">
        <f>IFERROR(__xludf.DUMMYFUNCTION("""COMPUTED_VALUE"""),7.0)</f>
        <v>7</v>
      </c>
      <c r="N209" s="34" t="str">
        <f>IFERROR(__xludf.DUMMYFUNCTION("""COMPUTED_VALUE"""),"NO")</f>
        <v>NO</v>
      </c>
      <c r="O209">
        <f>IFERROR(__xludf.DUMMYFUNCTION("""COMPUTED_VALUE"""),0.0)</f>
        <v>0</v>
      </c>
      <c r="P209">
        <f>IFERROR(__xludf.DUMMYFUNCTION("""COMPUTED_VALUE"""),1.0)</f>
        <v>1</v>
      </c>
      <c r="Q209" s="35">
        <f>IFERROR(__xludf.DUMMYFUNCTION("""COMPUTED_VALUE"""),0.0)</f>
        <v>0</v>
      </c>
      <c r="R209" s="36" t="str">
        <f>IFERROR(__xludf.DUMMYFUNCTION("""COMPUTED_VALUE"""),"SELECCIONADA")</f>
        <v>SELECCIONADA</v>
      </c>
      <c r="S209" s="37">
        <f>IFERROR(__xludf.DUMMYFUNCTION("""COMPUTED_VALUE"""),43551.0)</f>
        <v>43551</v>
      </c>
      <c r="T209" s="34" t="str">
        <f>IFERROR(__xludf.DUMMYFUNCTION("""COMPUTED_VALUE"""),"ORTUZAR JIMENEZ JULIA")</f>
        <v>ORTUZAR JIMENEZ JULIA</v>
      </c>
      <c r="V209" t="str">
        <f>IFERROR(__xludf.DUMMYFUNCTION("""COMPUTED_VALUE"""),"8056884-3")</f>
        <v>8056884-3</v>
      </c>
      <c r="W209" t="str">
        <f>IFERROR(__xludf.DUMMYFUNCTION("""COMPUTED_VALUE"""),"SI")</f>
        <v>SI</v>
      </c>
      <c r="X209" t="str">
        <f>IFERROR(__xludf.DUMMYFUNCTION("""COMPUTED_VALUE"""),"Capacidad de Planificacion y Organizacion")</f>
        <v>Capacidad de Planificacion y Organizacion</v>
      </c>
      <c r="AA209" s="38">
        <f>IFERROR(__xludf.DUMMYFUNCTION("""COMPUTED_VALUE"""),43474.0)</f>
        <v>43474</v>
      </c>
      <c r="AB209" s="38">
        <f>IFERROR(__xludf.DUMMYFUNCTION("""COMPUTED_VALUE"""),43481.0)</f>
        <v>43481</v>
      </c>
      <c r="AF209" s="39"/>
      <c r="AG209" s="39"/>
      <c r="AH209" s="34" t="str">
        <f>IFERROR(__xludf.DUMMYFUNCTION("""COMPUTED_VALUE"""),"PROCESO DE SELECCIÓN")</f>
        <v>PROCESO DE SELECCIÓN</v>
      </c>
      <c r="AI209" s="34" t="str">
        <f>IFERROR(__xludf.DUMMYFUNCTION("""COMPUTED_VALUE"""),"WELTE KERN ERIKA")</f>
        <v>WELTE KERN ERIKA</v>
      </c>
      <c r="AJ209" s="34"/>
      <c r="AK209" s="34" t="str">
        <f>IFERROR(__xludf.DUMMYFUNCTION("""COMPUTED_VALUE"""),"P")</f>
        <v>P</v>
      </c>
      <c r="AL209">
        <f>IFERROR(__xludf.DUMMYFUNCTION("""COMPUTED_VALUE"""),51.0)</f>
        <v>51</v>
      </c>
      <c r="AM209">
        <f>IFERROR(__xludf.DUMMYFUNCTION("""COMPUTED_VALUE"""),2018.0)</f>
        <v>2018</v>
      </c>
      <c r="AN209" t="str">
        <f t="shared" si="1"/>
        <v>08056884-3</v>
      </c>
    </row>
    <row r="210">
      <c r="A210" s="33">
        <f>IFERROR(__xludf.DUMMYFUNCTION("""COMPUTED_VALUE"""),1.8085414E7)</f>
        <v>18085414</v>
      </c>
      <c r="B210" s="33">
        <f>IFERROR(__xludf.DUMMYFUNCTION("""COMPUTED_VALUE"""),114.0)</f>
        <v>114</v>
      </c>
      <c r="C210" s="33" t="str">
        <f>IFERROR(__xludf.DUMMYFUNCTION("""COMPUTED_VALUE"""),"ACTA2019-19")</f>
        <v>ACTA2019-19</v>
      </c>
      <c r="D210" s="34" t="str">
        <f>IFERROR(__xludf.DUMMYFUNCTION("""COMPUTED_VALUE"""),"INGRESAR CENTRO DE COSTO A LA DERECHA")</f>
        <v>INGRESAR CENTRO DE COSTO A LA DERECHA</v>
      </c>
      <c r="E210" s="34" t="str">
        <f>IFERROR(__xludf.DUMMYFUNCTION("""COMPUTED_VALUE"""),"FACULTAD DE ADMINIST Y ECONOMI")</f>
        <v>FACULTAD DE ADMINIST Y ECONOMI</v>
      </c>
      <c r="F210" s="34" t="str">
        <f>IFERROR(__xludf.DUMMYFUNCTION("""COMPUTED_VALUE"""),"Analista de Gestión Administrativa")</f>
        <v>Analista de Gestión Administrativa</v>
      </c>
      <c r="G210" s="33" t="str">
        <f>IFERROR(__xludf.DUMMYFUNCTION("""COMPUTED_VALUE"""),"ANALISTA DE GESTION ADMINISTRATIVA")</f>
        <v>ANALISTA DE GESTION ADMINISTRATIVA</v>
      </c>
      <c r="H210">
        <f>IFERROR(__xludf.DUMMYFUNCTION("""COMPUTED_VALUE"""),14.0)</f>
        <v>14</v>
      </c>
      <c r="I210" s="34" t="str">
        <f>IFERROR(__xludf.DUMMYFUNCTION("""COMPUTED_VALUE"""),"Jornada Completa")</f>
        <v>Jornada Completa</v>
      </c>
      <c r="J210" s="33" t="str">
        <f>IFERROR(__xludf.DUMMYFUNCTION("""COMPUTED_VALUE"""),"A CONTRATA")</f>
        <v>A CONTRATA</v>
      </c>
      <c r="K210" s="33" t="str">
        <f>IFERROR(__xludf.DUMMYFUNCTION("""COMPUTED_VALUE"""),"PROFESIONAL")</f>
        <v>PROFESIONAL</v>
      </c>
      <c r="L210" s="34" t="str">
        <f>IFERROR(__xludf.DUMMYFUNCTION("""COMPUTED_VALUE"""),"INTERNO")</f>
        <v>INTERNO</v>
      </c>
      <c r="M210" s="34">
        <f>IFERROR(__xludf.DUMMYFUNCTION("""COMPUTED_VALUE"""),8.0)</f>
        <v>8</v>
      </c>
      <c r="N210" s="34" t="str">
        <f>IFERROR(__xludf.DUMMYFUNCTION("""COMPUTED_VALUE"""),"NO")</f>
        <v>NO</v>
      </c>
      <c r="O210">
        <f>IFERROR(__xludf.DUMMYFUNCTION("""COMPUTED_VALUE"""),0.0)</f>
        <v>0</v>
      </c>
      <c r="P210">
        <f>IFERROR(__xludf.DUMMYFUNCTION("""COMPUTED_VALUE"""),1.0)</f>
        <v>1</v>
      </c>
      <c r="Q210" s="35">
        <f>IFERROR(__xludf.DUMMYFUNCTION("""COMPUTED_VALUE"""),0.0)</f>
        <v>0</v>
      </c>
      <c r="R210" s="36" t="str">
        <f>IFERROR(__xludf.DUMMYFUNCTION("""COMPUTED_VALUE"""),"SELECCIONADA")</f>
        <v>SELECCIONADA</v>
      </c>
      <c r="S210" s="37">
        <f>IFERROR(__xludf.DUMMYFUNCTION("""COMPUTED_VALUE"""),43551.0)</f>
        <v>43551</v>
      </c>
      <c r="T210" s="34" t="str">
        <f>IFERROR(__xludf.DUMMYFUNCTION("""COMPUTED_VALUE"""),"MERINO MERINO LESLIE GIANINNA")</f>
        <v>MERINO MERINO LESLIE GIANINNA</v>
      </c>
      <c r="V210" t="str">
        <f>IFERROR(__xludf.DUMMYFUNCTION("""COMPUTED_VALUE"""),"18085414-6")</f>
        <v>18085414-6</v>
      </c>
      <c r="W210" t="str">
        <f>IFERROR(__xludf.DUMMYFUNCTION("""COMPUTED_VALUE"""),"SI")</f>
        <v>SI</v>
      </c>
      <c r="X210" t="str">
        <f>IFERROR(__xludf.DUMMYFUNCTION("""COMPUTED_VALUE"""),"Capacidad de Planificacion y Organizacion")</f>
        <v>Capacidad de Planificacion y Organizacion</v>
      </c>
      <c r="Y210" t="str">
        <f>IFERROR(__xludf.DUMMYFUNCTION("""COMPUTED_VALUE"""),"Iniciativa")</f>
        <v>Iniciativa</v>
      </c>
      <c r="AA210" s="38">
        <f>IFERROR(__xludf.DUMMYFUNCTION("""COMPUTED_VALUE"""),43474.0)</f>
        <v>43474</v>
      </c>
      <c r="AB210" s="38">
        <f>IFERROR(__xludf.DUMMYFUNCTION("""COMPUTED_VALUE"""),43481.0)</f>
        <v>43481</v>
      </c>
      <c r="AF210" s="39"/>
      <c r="AG210" s="39"/>
      <c r="AH210" s="34" t="str">
        <f>IFERROR(__xludf.DUMMYFUNCTION("""COMPUTED_VALUE"""),"PROCESO DE SELECCIÓN")</f>
        <v>PROCESO DE SELECCIÓN</v>
      </c>
      <c r="AI210" s="34" t="str">
        <f>IFERROR(__xludf.DUMMYFUNCTION("""COMPUTED_VALUE"""),"CANALES MUÑOZ CLAUDIA Y SILVA DELGADO SONIA")</f>
        <v>CANALES MUÑOZ CLAUDIA Y SILVA DELGADO SONIA</v>
      </c>
      <c r="AJ210" s="34"/>
      <c r="AK210" s="34" t="str">
        <f>IFERROR(__xludf.DUMMYFUNCTION("""COMPUTED_VALUE"""),"P")</f>
        <v>P</v>
      </c>
      <c r="AL210">
        <f>IFERROR(__xludf.DUMMYFUNCTION("""COMPUTED_VALUE"""),51.0)</f>
        <v>51</v>
      </c>
      <c r="AM210">
        <f>IFERROR(__xludf.DUMMYFUNCTION("""COMPUTED_VALUE"""),2018.0)</f>
        <v>2018</v>
      </c>
      <c r="AN210" t="str">
        <f t="shared" si="1"/>
        <v>18085414-6</v>
      </c>
    </row>
    <row r="211">
      <c r="A211" s="33">
        <f>IFERROR(__xludf.DUMMYFUNCTION("""COMPUTED_VALUE"""),8860929.0)</f>
        <v>8860929</v>
      </c>
      <c r="B211" s="33">
        <f>IFERROR(__xludf.DUMMYFUNCTION("""COMPUTED_VALUE"""),115.0)</f>
        <v>115</v>
      </c>
      <c r="C211" s="33" t="str">
        <f>IFERROR(__xludf.DUMMYFUNCTION("""COMPUTED_VALUE"""),"ACTA2019-25")</f>
        <v>ACTA2019-25</v>
      </c>
      <c r="D211" s="34" t="str">
        <f>IFERROR(__xludf.DUMMYFUNCTION("""COMPUTED_VALUE"""),"INGRESAR CENTRO DE COSTO A LA DERECHA")</f>
        <v>INGRESAR CENTRO DE COSTO A LA DERECHA</v>
      </c>
      <c r="E211" s="34" t="str">
        <f>IFERROR(__xludf.DUMMYFUNCTION("""COMPUTED_VALUE"""),"VR. DE VINCULACION CON EL MEDIO")</f>
        <v>VR. DE VINCULACION CON EL MEDIO</v>
      </c>
      <c r="F211" s="34" t="str">
        <f>IFERROR(__xludf.DUMMYFUNCTION("""COMPUTED_VALUE"""),"Asistente de Mantención")</f>
        <v>Asistente de Mantención</v>
      </c>
      <c r="G211" s="33" t="str">
        <f>IFERROR(__xludf.DUMMYFUNCTION("""COMPUTED_VALUE"""),"ASISTENTE DE MANTENCION")</f>
        <v>ASISTENTE DE MANTENCION</v>
      </c>
      <c r="H211">
        <f>IFERROR(__xludf.DUMMYFUNCTION("""COMPUTED_VALUE"""),20.0)</f>
        <v>20</v>
      </c>
      <c r="I211" s="34" t="str">
        <f>IFERROR(__xludf.DUMMYFUNCTION("""COMPUTED_VALUE"""),"Jornada Completa")</f>
        <v>Jornada Completa</v>
      </c>
      <c r="J211" s="33" t="str">
        <f>IFERROR(__xludf.DUMMYFUNCTION("""COMPUTED_VALUE"""),"A CONTRATA")</f>
        <v>A CONTRATA</v>
      </c>
      <c r="K211" s="33" t="str">
        <f>IFERROR(__xludf.DUMMYFUNCTION("""COMPUTED_VALUE"""),"TECNICO")</f>
        <v>TECNICO</v>
      </c>
      <c r="L211" s="34" t="str">
        <f>IFERROR(__xludf.DUMMYFUNCTION("""COMPUTED_VALUE"""),"INTERNO")</f>
        <v>INTERNO</v>
      </c>
      <c r="M211" s="34">
        <f>IFERROR(__xludf.DUMMYFUNCTION("""COMPUTED_VALUE"""),1.0)</f>
        <v>1</v>
      </c>
      <c r="N211" s="34" t="str">
        <f>IFERROR(__xludf.DUMMYFUNCTION("""COMPUTED_VALUE"""),"NO")</f>
        <v>NO</v>
      </c>
      <c r="O211">
        <f>IFERROR(__xludf.DUMMYFUNCTION("""COMPUTED_VALUE"""),0.0)</f>
        <v>0</v>
      </c>
      <c r="P211">
        <f>IFERROR(__xludf.DUMMYFUNCTION("""COMPUTED_VALUE"""),1.0)</f>
        <v>1</v>
      </c>
      <c r="Q211" s="35">
        <f>IFERROR(__xludf.DUMMYFUNCTION("""COMPUTED_VALUE"""),0.0)</f>
        <v>0</v>
      </c>
      <c r="R211" s="36" t="str">
        <f>IFERROR(__xludf.DUMMYFUNCTION("""COMPUTED_VALUE"""),"SELECCIONADO")</f>
        <v>SELECCIONADO</v>
      </c>
      <c r="S211" s="37">
        <f>IFERROR(__xludf.DUMMYFUNCTION("""COMPUTED_VALUE"""),43564.0)</f>
        <v>43564</v>
      </c>
      <c r="T211" s="34" t="str">
        <f>IFERROR(__xludf.DUMMYFUNCTION("""COMPUTED_VALUE"""),"DONAS OPAZO EDUARDO MARIO")</f>
        <v>DONAS OPAZO EDUARDO MARIO</v>
      </c>
      <c r="V211" t="str">
        <f>IFERROR(__xludf.DUMMYFUNCTION("""COMPUTED_VALUE"""),"08860929-8")</f>
        <v>08860929-8</v>
      </c>
      <c r="W211" t="str">
        <f>IFERROR(__xludf.DUMMYFUNCTION("""COMPUTED_VALUE"""),"SI")</f>
        <v>SI</v>
      </c>
      <c r="X211" t="str">
        <f>IFERROR(__xludf.DUMMYFUNCTION("""COMPUTED_VALUE"""),"Trabajo en Equipo")</f>
        <v>Trabajo en Equipo</v>
      </c>
      <c r="AA211" s="38">
        <f>IFERROR(__xludf.DUMMYFUNCTION("""COMPUTED_VALUE"""),43475.0)</f>
        <v>43475</v>
      </c>
      <c r="AB211" s="38">
        <f>IFERROR(__xludf.DUMMYFUNCTION("""COMPUTED_VALUE"""),43482.0)</f>
        <v>43482</v>
      </c>
      <c r="AF211" s="39"/>
      <c r="AG211" s="39"/>
      <c r="AH211" s="34" t="str">
        <f>IFERROR(__xludf.DUMMYFUNCTION("""COMPUTED_VALUE"""),"PROCESO DE SELECCIÓN")</f>
        <v>PROCESO DE SELECCIÓN</v>
      </c>
      <c r="AI211" s="34" t="str">
        <f>IFERROR(__xludf.DUMMYFUNCTION("""COMPUTED_VALUE""")," - ")</f>
        <v> - </v>
      </c>
      <c r="AJ211" s="34"/>
      <c r="AK211" s="34" t="str">
        <f>IFERROR(__xludf.DUMMYFUNCTION("""COMPUTED_VALUE"""),"C")</f>
        <v>C</v>
      </c>
      <c r="AL211">
        <f>IFERROR(__xludf.DUMMYFUNCTION("""COMPUTED_VALUE"""),59.0)</f>
        <v>59</v>
      </c>
      <c r="AM211">
        <f>IFERROR(__xludf.DUMMYFUNCTION("""COMPUTED_VALUE"""),2018.0)</f>
        <v>2018</v>
      </c>
      <c r="AN211" t="str">
        <f t="shared" si="1"/>
        <v>08860929-8</v>
      </c>
    </row>
    <row r="212">
      <c r="A212" s="33">
        <f>IFERROR(__xludf.DUMMYFUNCTION("""COMPUTED_VALUE"""),1.4197589E7)</f>
        <v>14197589</v>
      </c>
      <c r="B212" s="33">
        <f>IFERROR(__xludf.DUMMYFUNCTION("""COMPUTED_VALUE"""),116.0)</f>
        <v>116</v>
      </c>
      <c r="C212" s="33" t="str">
        <f>IFERROR(__xludf.DUMMYFUNCTION("""COMPUTED_VALUE"""),"ACTA2019-03")</f>
        <v>ACTA2019-03</v>
      </c>
      <c r="D212" s="34" t="str">
        <f>IFERROR(__xludf.DUMMYFUNCTION("""COMPUTED_VALUE"""),"INGRESAR CENTRO DE COSTO A LA DERECHA")</f>
        <v>INGRESAR CENTRO DE COSTO A LA DERECHA</v>
      </c>
      <c r="E212" s="34" t="str">
        <f>IFERROR(__xludf.DUMMYFUNCTION("""COMPUTED_VALUE"""),"FACULTAD DE QUIMICA Y BIOLOGIA")</f>
        <v>FACULTAD DE QUIMICA Y BIOLOGIA</v>
      </c>
      <c r="F212" s="34" t="str">
        <f>IFERROR(__xludf.DUMMYFUNCTION("""COMPUTED_VALUE"""),"Técnico(a) de Laboratorio")</f>
        <v>Técnico(a) de Laboratorio</v>
      </c>
      <c r="G212" s="33" t="str">
        <f>IFERROR(__xludf.DUMMYFUNCTION("""COMPUTED_VALUE"""),"TECNICO DE LABORATORIO   ")</f>
        <v>TECNICO DE LABORATORIO   </v>
      </c>
      <c r="H212">
        <f>IFERROR(__xludf.DUMMYFUNCTION("""COMPUTED_VALUE"""),17.0)</f>
        <v>17</v>
      </c>
      <c r="I212" s="34" t="str">
        <f>IFERROR(__xludf.DUMMYFUNCTION("""COMPUTED_VALUE"""),"Jornada Completa")</f>
        <v>Jornada Completa</v>
      </c>
      <c r="J212" s="33" t="str">
        <f>IFERROR(__xludf.DUMMYFUNCTION("""COMPUTED_VALUE"""),"A CONTRATA")</f>
        <v>A CONTRATA</v>
      </c>
      <c r="K212" s="33" t="str">
        <f>IFERROR(__xludf.DUMMYFUNCTION("""COMPUTED_VALUE"""),"TECNICO")</f>
        <v>TECNICO</v>
      </c>
      <c r="L212" s="34" t="str">
        <f>IFERROR(__xludf.DUMMYFUNCTION("""COMPUTED_VALUE"""),"INTERNO")</f>
        <v>INTERNO</v>
      </c>
      <c r="M212" s="34">
        <f>IFERROR(__xludf.DUMMYFUNCTION("""COMPUTED_VALUE"""),1.0)</f>
        <v>1</v>
      </c>
      <c r="N212" s="34" t="str">
        <f>IFERROR(__xludf.DUMMYFUNCTION("""COMPUTED_VALUE"""),"NO")</f>
        <v>NO</v>
      </c>
      <c r="O212">
        <f>IFERROR(__xludf.DUMMYFUNCTION("""COMPUTED_VALUE"""),0.0)</f>
        <v>0</v>
      </c>
      <c r="P212">
        <f>IFERROR(__xludf.DUMMYFUNCTION("""COMPUTED_VALUE"""),1.0)</f>
        <v>1</v>
      </c>
      <c r="Q212" s="35">
        <f>IFERROR(__xludf.DUMMYFUNCTION("""COMPUTED_VALUE"""),0.0)</f>
        <v>0</v>
      </c>
      <c r="R212" s="36" t="str">
        <f>IFERROR(__xludf.DUMMYFUNCTION("""COMPUTED_VALUE"""),"SELECCIONADA")</f>
        <v>SELECCIONADA</v>
      </c>
      <c r="S212" s="37">
        <f>IFERROR(__xludf.DUMMYFUNCTION("""COMPUTED_VALUE"""),43560.0)</f>
        <v>43560</v>
      </c>
      <c r="T212" s="34" t="str">
        <f>IFERROR(__xludf.DUMMYFUNCTION("""COMPUTED_VALUE"""),"GONZALEZ SANTANDER NATALIA INES")</f>
        <v>GONZALEZ SANTANDER NATALIA INES</v>
      </c>
      <c r="V212" t="str">
        <f>IFERROR(__xludf.DUMMYFUNCTION("""COMPUTED_VALUE"""),"14197589-7")</f>
        <v>14197589-7</v>
      </c>
      <c r="W212" t="str">
        <f>IFERROR(__xludf.DUMMYFUNCTION("""COMPUTED_VALUE"""),"SI")</f>
        <v>SI</v>
      </c>
      <c r="X212" t="str">
        <f>IFERROR(__xludf.DUMMYFUNCTION("""COMPUTED_VALUE"""),"Capacidad de Planificacion y Organizacion")</f>
        <v>Capacidad de Planificacion y Organizacion</v>
      </c>
      <c r="Y212" t="str">
        <f>IFERROR(__xludf.DUMMYFUNCTION("""COMPUTED_VALUE"""),"Iniciativa")</f>
        <v>Iniciativa</v>
      </c>
      <c r="AA212" s="38">
        <f>IFERROR(__xludf.DUMMYFUNCTION("""COMPUTED_VALUE"""),43482.0)</f>
        <v>43482</v>
      </c>
      <c r="AB212" s="38">
        <f>IFERROR(__xludf.DUMMYFUNCTION("""COMPUTED_VALUE"""),43489.0)</f>
        <v>43489</v>
      </c>
      <c r="AF212" s="39"/>
      <c r="AG212" s="39"/>
      <c r="AH212" s="34" t="str">
        <f>IFERROR(__xludf.DUMMYFUNCTION("""COMPUTED_VALUE"""),"PROCESO DE SELECCIÓN")</f>
        <v>PROCESO DE SELECCIÓN</v>
      </c>
      <c r="AI212" s="34" t="str">
        <f>IFERROR(__xludf.DUMMYFUNCTION("""COMPUTED_VALUE""")," - ")</f>
        <v> - </v>
      </c>
      <c r="AJ212" s="34"/>
      <c r="AK212" s="34" t="str">
        <f>IFERROR(__xludf.DUMMYFUNCTION("""COMPUTED_VALUE"""),"C")</f>
        <v>C</v>
      </c>
      <c r="AL212">
        <f>IFERROR(__xludf.DUMMYFUNCTION("""COMPUTED_VALUE"""),52.0)</f>
        <v>52</v>
      </c>
      <c r="AM212">
        <f>IFERROR(__xludf.DUMMYFUNCTION("""COMPUTED_VALUE"""),2018.0)</f>
        <v>2018</v>
      </c>
      <c r="AN212" t="str">
        <f t="shared" si="1"/>
        <v>14197589-7</v>
      </c>
    </row>
    <row r="213">
      <c r="A213" s="33">
        <f>IFERROR(__xludf.DUMMYFUNCTION("""COMPUTED_VALUE"""),1.2260688E7)</f>
        <v>12260688</v>
      </c>
      <c r="B213" s="33">
        <f>IFERROR(__xludf.DUMMYFUNCTION("""COMPUTED_VALUE"""),117.0)</f>
        <v>117</v>
      </c>
      <c r="C213" s="33" t="str">
        <f>IFERROR(__xludf.DUMMYFUNCTION("""COMPUTED_VALUE"""),"ACTA2019-02")</f>
        <v>ACTA2019-02</v>
      </c>
      <c r="D213" s="34" t="str">
        <f>IFERROR(__xludf.DUMMYFUNCTION("""COMPUTED_VALUE"""),"INGRESAR CENTRO DE COSTO A LA DERECHA")</f>
        <v>INGRESAR CENTRO DE COSTO A LA DERECHA</v>
      </c>
      <c r="E213" s="34" t="str">
        <f>IFERROR(__xludf.DUMMYFUNCTION("""COMPUTED_VALUE"""),"FACULTAD DE QUIMICA Y BIOLOGIA")</f>
        <v>FACULTAD DE QUIMICA Y BIOLOGIA</v>
      </c>
      <c r="F213" s="34" t="str">
        <f>IFERROR(__xludf.DUMMYFUNCTION("""COMPUTED_VALUE"""),"Secretario(a) de Apoyo Docente")</f>
        <v>Secretario(a) de Apoyo Docente</v>
      </c>
      <c r="G213" s="33" t="str">
        <f>IFERROR(__xludf.DUMMYFUNCTION("""COMPUTED_VALUE"""),"SECRETARIA DE APOYO DOCENTE")</f>
        <v>SECRETARIA DE APOYO DOCENTE</v>
      </c>
      <c r="H213">
        <f>IFERROR(__xludf.DUMMYFUNCTION("""COMPUTED_VALUE"""),17.0)</f>
        <v>17</v>
      </c>
      <c r="I213" s="34" t="str">
        <f>IFERROR(__xludf.DUMMYFUNCTION("""COMPUTED_VALUE"""),"Jornada Completa")</f>
        <v>Jornada Completa</v>
      </c>
      <c r="J213" s="33" t="str">
        <f>IFERROR(__xludf.DUMMYFUNCTION("""COMPUTED_VALUE"""),"A CONTRATA")</f>
        <v>A CONTRATA</v>
      </c>
      <c r="K213" s="33" t="str">
        <f>IFERROR(__xludf.DUMMYFUNCTION("""COMPUTED_VALUE"""),"ADMINISTRATIVO")</f>
        <v>ADMINISTRATIVO</v>
      </c>
      <c r="L213" s="34" t="str">
        <f>IFERROR(__xludf.DUMMYFUNCTION("""COMPUTED_VALUE"""),"INTERNO")</f>
        <v>INTERNO</v>
      </c>
      <c r="M213" s="34">
        <f>IFERROR(__xludf.DUMMYFUNCTION("""COMPUTED_VALUE"""),1.0)</f>
        <v>1</v>
      </c>
      <c r="N213" s="34" t="str">
        <f>IFERROR(__xludf.DUMMYFUNCTION("""COMPUTED_VALUE"""),"NO")</f>
        <v>NO</v>
      </c>
      <c r="O213">
        <f>IFERROR(__xludf.DUMMYFUNCTION("""COMPUTED_VALUE"""),0.0)</f>
        <v>0</v>
      </c>
      <c r="P213">
        <f>IFERROR(__xludf.DUMMYFUNCTION("""COMPUTED_VALUE"""),1.0)</f>
        <v>1</v>
      </c>
      <c r="Q213" s="35">
        <f>IFERROR(__xludf.DUMMYFUNCTION("""COMPUTED_VALUE"""),0.0)</f>
        <v>0</v>
      </c>
      <c r="R213" s="36" t="str">
        <f>IFERROR(__xludf.DUMMYFUNCTION("""COMPUTED_VALUE"""),"SELECCIONADA")</f>
        <v>SELECCIONADA</v>
      </c>
      <c r="S213" s="37">
        <f>IFERROR(__xludf.DUMMYFUNCTION("""COMPUTED_VALUE"""),43556.0)</f>
        <v>43556</v>
      </c>
      <c r="T213" s="34" t="str">
        <f>IFERROR(__xludf.DUMMYFUNCTION("""COMPUTED_VALUE"""),"ADRIAZOLA MORENO MARTA CATALINA")</f>
        <v>ADRIAZOLA MORENO MARTA CATALINA</v>
      </c>
      <c r="V213" t="str">
        <f>IFERROR(__xludf.DUMMYFUNCTION("""COMPUTED_VALUE"""),"12260688-0")</f>
        <v>12260688-0</v>
      </c>
      <c r="W213" t="str">
        <f>IFERROR(__xludf.DUMMYFUNCTION("""COMPUTED_VALUE"""),"SI")</f>
        <v>SI</v>
      </c>
      <c r="X213" t="str">
        <f>IFERROR(__xludf.DUMMYFUNCTION("""COMPUTED_VALUE"""),"Franqueza- Confiabilidad- Integridad")</f>
        <v>Franqueza- Confiabilidad- Integridad</v>
      </c>
      <c r="AA213" s="38">
        <f>IFERROR(__xludf.DUMMYFUNCTION("""COMPUTED_VALUE"""),43479.0)</f>
        <v>43479</v>
      </c>
      <c r="AB213" s="38">
        <f>IFERROR(__xludf.DUMMYFUNCTION("""COMPUTED_VALUE"""),43483.0)</f>
        <v>43483</v>
      </c>
      <c r="AF213" s="39"/>
      <c r="AG213" s="39"/>
      <c r="AH213" s="34" t="str">
        <f>IFERROR(__xludf.DUMMYFUNCTION("""COMPUTED_VALUE"""),"PROCESO DE SELECCIÓN")</f>
        <v>PROCESO DE SELECCIÓN</v>
      </c>
      <c r="AI213" s="34" t="str">
        <f>IFERROR(__xludf.DUMMYFUNCTION("""COMPUTED_VALUE""")," - ")</f>
        <v> - </v>
      </c>
      <c r="AJ213" s="34"/>
      <c r="AK213" s="34" t="str">
        <f>IFERROR(__xludf.DUMMYFUNCTION("""COMPUTED_VALUE"""),"C")</f>
        <v>C</v>
      </c>
      <c r="AL213">
        <f>IFERROR(__xludf.DUMMYFUNCTION("""COMPUTED_VALUE"""),52.0)</f>
        <v>52</v>
      </c>
      <c r="AM213">
        <f>IFERROR(__xludf.DUMMYFUNCTION("""COMPUTED_VALUE"""),2018.0)</f>
        <v>2018</v>
      </c>
      <c r="AN213" t="str">
        <f t="shared" si="1"/>
        <v>12260688-0</v>
      </c>
    </row>
    <row r="214">
      <c r="A214" s="33">
        <f>IFERROR(__xludf.DUMMYFUNCTION("""COMPUTED_VALUE"""),1.0268835E7)</f>
        <v>10268835</v>
      </c>
      <c r="B214" s="33">
        <f>IFERROR(__xludf.DUMMYFUNCTION("""COMPUTED_VALUE"""),118.0)</f>
        <v>118</v>
      </c>
      <c r="C214" s="33" t="str">
        <f>IFERROR(__xludf.DUMMYFUNCTION("""COMPUTED_VALUE"""),"A272")</f>
        <v>A272</v>
      </c>
      <c r="D214" s="34" t="str">
        <f>IFERROR(__xludf.DUMMYFUNCTION("""COMPUTED_VALUE"""),"INGRESAR CENTRO DE COSTO A LA DERECHA")</f>
        <v>INGRESAR CENTRO DE COSTO A LA DERECHA</v>
      </c>
      <c r="E214" s="34" t="str">
        <f>IFERROR(__xludf.DUMMYFUNCTION("""COMPUTED_VALUE"""),"DPTO. DE FILOSOFIA")</f>
        <v>DPTO. DE FILOSOFIA</v>
      </c>
      <c r="F214" s="34" t="str">
        <f>IFERROR(__xludf.DUMMYFUNCTION("""COMPUTED_VALUE"""),"Secretario(a) de Apoyo Docente")</f>
        <v>Secretario(a) de Apoyo Docente</v>
      </c>
      <c r="G214" s="33" t="str">
        <f>IFERROR(__xludf.DUMMYFUNCTION("""COMPUTED_VALUE"""),"SECRETARIA DE APOYO DOCENTE")</f>
        <v>SECRETARIA DE APOYO DOCENTE</v>
      </c>
      <c r="H214">
        <f>IFERROR(__xludf.DUMMYFUNCTION("""COMPUTED_VALUE"""),17.0)</f>
        <v>17</v>
      </c>
      <c r="I214" s="34" t="str">
        <f>IFERROR(__xludf.DUMMYFUNCTION("""COMPUTED_VALUE"""),"Jornada Completa")</f>
        <v>Jornada Completa</v>
      </c>
      <c r="J214" s="33" t="str">
        <f>IFERROR(__xludf.DUMMYFUNCTION("""COMPUTED_VALUE"""),"A CONTRATA")</f>
        <v>A CONTRATA</v>
      </c>
      <c r="K214" s="33" t="str">
        <f>IFERROR(__xludf.DUMMYFUNCTION("""COMPUTED_VALUE"""),"ADMINISTRATIVO")</f>
        <v>ADMINISTRATIVO</v>
      </c>
      <c r="L214" s="34" t="str">
        <f>IFERROR(__xludf.DUMMYFUNCTION("""COMPUTED_VALUE"""),"INTERNO")</f>
        <v>INTERNO</v>
      </c>
      <c r="M214" s="34">
        <f>IFERROR(__xludf.DUMMYFUNCTION("""COMPUTED_VALUE"""),2.0)</f>
        <v>2</v>
      </c>
      <c r="N214" s="34" t="str">
        <f>IFERROR(__xludf.DUMMYFUNCTION("""COMPUTED_VALUE"""),"NO")</f>
        <v>NO</v>
      </c>
      <c r="O214">
        <f>IFERROR(__xludf.DUMMYFUNCTION("""COMPUTED_VALUE"""),0.0)</f>
        <v>0</v>
      </c>
      <c r="P214">
        <f>IFERROR(__xludf.DUMMYFUNCTION("""COMPUTED_VALUE"""),1.0)</f>
        <v>1</v>
      </c>
      <c r="Q214" s="35">
        <f>IFERROR(__xludf.DUMMYFUNCTION("""COMPUTED_VALUE"""),0.0)</f>
        <v>0</v>
      </c>
      <c r="R214" s="36" t="str">
        <f>IFERROR(__xludf.DUMMYFUNCTION("""COMPUTED_VALUE"""),"SELECCIONADA")</f>
        <v>SELECCIONADA</v>
      </c>
      <c r="S214" s="37">
        <f>IFERROR(__xludf.DUMMYFUNCTION("""COMPUTED_VALUE"""),43559.0)</f>
        <v>43559</v>
      </c>
      <c r="T214" s="34" t="str">
        <f>IFERROR(__xludf.DUMMYFUNCTION("""COMPUTED_VALUE"""),"BOIN MARABOLI MARIA SUSANA")</f>
        <v>BOIN MARABOLI MARIA SUSANA</v>
      </c>
      <c r="V214" t="str">
        <f>IFERROR(__xludf.DUMMYFUNCTION("""COMPUTED_VALUE"""),"10268835-K")</f>
        <v>10268835-K</v>
      </c>
      <c r="W214" t="str">
        <f>IFERROR(__xludf.DUMMYFUNCTION("""COMPUTED_VALUE"""),"SI")</f>
        <v>SI</v>
      </c>
      <c r="X214" t="str">
        <f>IFERROR(__xludf.DUMMYFUNCTION("""COMPUTED_VALUE"""),"Iniciativa")</f>
        <v>Iniciativa</v>
      </c>
      <c r="Y214" t="str">
        <f>IFERROR(__xludf.DUMMYFUNCTION("""COMPUTED_VALUE"""),"Franqueza- Confiabilidad- Integridad")</f>
        <v>Franqueza- Confiabilidad- Integridad</v>
      </c>
      <c r="AA214" s="38">
        <f>IFERROR(__xludf.DUMMYFUNCTION("""COMPUTED_VALUE"""),43475.0)</f>
        <v>43475</v>
      </c>
      <c r="AB214" s="38">
        <f>IFERROR(__xludf.DUMMYFUNCTION("""COMPUTED_VALUE"""),43482.0)</f>
        <v>43482</v>
      </c>
      <c r="AF214" s="39"/>
      <c r="AG214" s="39"/>
      <c r="AH214" s="34" t="str">
        <f>IFERROR(__xludf.DUMMYFUNCTION("""COMPUTED_VALUE"""),"PROCESO DE SELECCIÓN")</f>
        <v>PROCESO DE SELECCIÓN</v>
      </c>
      <c r="AI214" s="34" t="str">
        <f>IFERROR(__xludf.DUMMYFUNCTION("""COMPUTED_VALUE"""),"TORO NUÑEZ MAGDALENA")</f>
        <v>TORO NUÑEZ MAGDALENA</v>
      </c>
      <c r="AJ214" s="34"/>
      <c r="AK214" s="34" t="str">
        <f>IFERROR(__xludf.DUMMYFUNCTION("""COMPUTED_VALUE"""),"C")</f>
        <v>C</v>
      </c>
      <c r="AL214">
        <f>IFERROR(__xludf.DUMMYFUNCTION("""COMPUTED_VALUE"""),56.0)</f>
        <v>56</v>
      </c>
      <c r="AM214">
        <f>IFERROR(__xludf.DUMMYFUNCTION("""COMPUTED_VALUE"""),2018.0)</f>
        <v>2018</v>
      </c>
      <c r="AN214" t="str">
        <f t="shared" si="1"/>
        <v>10268835-K</v>
      </c>
    </row>
    <row r="215">
      <c r="A215" s="33">
        <f>IFERROR(__xludf.DUMMYFUNCTION("""COMPUTED_VALUE"""),1.8392973E7)</f>
        <v>18392973</v>
      </c>
      <c r="B215" s="33">
        <f>IFERROR(__xludf.DUMMYFUNCTION("""COMPUTED_VALUE"""),119.0)</f>
        <v>119</v>
      </c>
      <c r="C215" s="33" t="str">
        <f>IFERROR(__xludf.DUMMYFUNCTION("""COMPUTED_VALUE"""),"A276")</f>
        <v>A276</v>
      </c>
      <c r="D215" s="34" t="str">
        <f>IFERROR(__xludf.DUMMYFUNCTION("""COMPUTED_VALUE"""),"INGRESAR CENTRO DE COSTO A LA DERECHA")</f>
        <v>INGRESAR CENTRO DE COSTO A LA DERECHA</v>
      </c>
      <c r="E215" s="34" t="str">
        <f>IFERROR(__xludf.DUMMYFUNCTION("""COMPUTED_VALUE"""),"UNIDAD DE ATENCION DE SALUD")</f>
        <v>UNIDAD DE ATENCION DE SALUD</v>
      </c>
      <c r="F215" s="34" t="str">
        <f>IFERROR(__xludf.DUMMYFUNCTION("""COMPUTED_VALUE"""),"Médicos(as) y Dentistas")</f>
        <v>Médicos(as) y Dentistas</v>
      </c>
      <c r="G215" s="33" t="str">
        <f>IFERROR(__xludf.DUMMYFUNCTION("""COMPUTED_VALUE"""),"MEDICO CIRUJANO")</f>
        <v>MEDICO CIRUJANO</v>
      </c>
      <c r="I215" s="34" t="str">
        <f>IFERROR(__xludf.DUMMYFUNCTION("""COMPUTED_VALUE"""),"1/2 Jornada")</f>
        <v>1/2 Jornada</v>
      </c>
      <c r="J215" s="33" t="str">
        <f>IFERROR(__xludf.DUMMYFUNCTION("""COMPUTED_VALUE"""),"por 22 hrs, ley 19.664")</f>
        <v>por 22 hrs, ley 19.664</v>
      </c>
      <c r="K215" s="33" t="str">
        <f>IFERROR(__xludf.DUMMYFUNCTION("""COMPUTED_VALUE"""),"PROFESIONAL")</f>
        <v>PROFESIONAL</v>
      </c>
      <c r="L215" s="34" t="str">
        <f>IFERROR(__xludf.DUMMYFUNCTION("""COMPUTED_VALUE"""),"NO")</f>
        <v>NO</v>
      </c>
      <c r="M215" s="34">
        <f>IFERROR(__xludf.DUMMYFUNCTION("""COMPUTED_VALUE"""),0.0)</f>
        <v>0</v>
      </c>
      <c r="N215" s="34" t="str">
        <f>IFERROR(__xludf.DUMMYFUNCTION("""COMPUTED_VALUE"""),"EXTERNO")</f>
        <v>EXTERNO</v>
      </c>
      <c r="O215">
        <f>IFERROR(__xludf.DUMMYFUNCTION("""COMPUTED_VALUE"""),26.0)</f>
        <v>26</v>
      </c>
      <c r="P215">
        <f>IFERROR(__xludf.DUMMYFUNCTION("""COMPUTED_VALUE"""),2.0)</f>
        <v>2</v>
      </c>
      <c r="Q215" s="35">
        <f>IFERROR(__xludf.DUMMYFUNCTION("""COMPUTED_VALUE"""),0.0)</f>
        <v>0</v>
      </c>
      <c r="R215" s="36" t="str">
        <f>IFERROR(__xludf.DUMMYFUNCTION("""COMPUTED_VALUE"""),"SELECCIONADA")</f>
        <v>SELECCIONADA</v>
      </c>
      <c r="S215" s="37">
        <f>IFERROR(__xludf.DUMMYFUNCTION("""COMPUTED_VALUE"""),43556.0)</f>
        <v>43556</v>
      </c>
      <c r="T215" s="34"/>
      <c r="U215" t="str">
        <f>IFERROR(__xludf.DUMMYFUNCTION("""COMPUTED_VALUE"""),"ANTONIA OLEA MUÑOZ")</f>
        <v>ANTONIA OLEA MUÑOZ</v>
      </c>
      <c r="V215" t="str">
        <f>IFERROR(__xludf.DUMMYFUNCTION("""COMPUTED_VALUE"""),"18392973-9")</f>
        <v>18392973-9</v>
      </c>
      <c r="W215" t="str">
        <f>IFERROR(__xludf.DUMMYFUNCTION("""COMPUTED_VALUE"""),"SI")</f>
        <v>SI</v>
      </c>
      <c r="X215" t="str">
        <f>IFERROR(__xludf.DUMMYFUNCTION("""COMPUTED_VALUE"""),"Capacidad de Planificacion y Organizacion")</f>
        <v>Capacidad de Planificacion y Organizacion</v>
      </c>
      <c r="AA215" s="38">
        <f>IFERROR(__xludf.DUMMYFUNCTION("""COMPUTED_VALUE"""),43486.0)</f>
        <v>43486</v>
      </c>
      <c r="AB215" s="38">
        <f>IFERROR(__xludf.DUMMYFUNCTION("""COMPUTED_VALUE"""),43529.0)</f>
        <v>43529</v>
      </c>
      <c r="AF215" s="39"/>
      <c r="AG215" s="39"/>
      <c r="AH215" s="34" t="str">
        <f>IFERROR(__xludf.DUMMYFUNCTION("""COMPUTED_VALUE"""),"PROCESO DE SELECCIÓN")</f>
        <v>PROCESO DE SELECCIÓN</v>
      </c>
      <c r="AI215" s="34" t="str">
        <f>IFERROR(__xludf.DUMMYFUNCTION("""COMPUTED_VALUE"""),"BANDA LISBOA CECILIA")</f>
        <v>BANDA LISBOA CECILIA</v>
      </c>
      <c r="AJ215" s="34"/>
      <c r="AK215" s="34" t="str">
        <f>IFERROR(__xludf.DUMMYFUNCTION("""COMPUTED_VALUE"""),"E")</f>
        <v>E</v>
      </c>
      <c r="AL215">
        <f>IFERROR(__xludf.DUMMYFUNCTION("""COMPUTED_VALUE"""),20.0)</f>
        <v>20</v>
      </c>
      <c r="AM215">
        <f>IFERROR(__xludf.DUMMYFUNCTION("""COMPUTED_VALUE"""),2018.0)</f>
        <v>2018</v>
      </c>
      <c r="AN215" t="str">
        <f t="shared" si="1"/>
        <v>18392973-9</v>
      </c>
    </row>
    <row r="216">
      <c r="A216" s="33">
        <f>IFERROR(__xludf.DUMMYFUNCTION("""COMPUTED_VALUE"""),1.5370916E7)</f>
        <v>15370916</v>
      </c>
      <c r="B216" s="33">
        <f>IFERROR(__xludf.DUMMYFUNCTION("""COMPUTED_VALUE"""),120.0)</f>
        <v>120</v>
      </c>
      <c r="C216" s="33" t="str">
        <f>IFERROR(__xludf.DUMMYFUNCTION("""COMPUTED_VALUE"""),"ACTA2019-08")</f>
        <v>ACTA2019-08</v>
      </c>
      <c r="D216" s="34" t="str">
        <f>IFERROR(__xludf.DUMMYFUNCTION("""COMPUTED_VALUE"""),"INGRESAR CENTRO DE COSTO A LA DERECHA")</f>
        <v>INGRESAR CENTRO DE COSTO A LA DERECHA</v>
      </c>
      <c r="E216" s="34" t="str">
        <f>IFERROR(__xludf.DUMMYFUNCTION("""COMPUTED_VALUE"""),"UNIDAD DE ADQUISICIONES")</f>
        <v>UNIDAD DE ADQUISICIONES</v>
      </c>
      <c r="F216" s="34" t="str">
        <f>IFERROR(__xludf.DUMMYFUNCTION("""COMPUTED_VALUE"""),"Secretario(a) B")</f>
        <v>Secretario(a) B</v>
      </c>
      <c r="G216" s="33" t="str">
        <f>IFERROR(__xludf.DUMMYFUNCTION("""COMPUTED_VALUE"""),"SECRETARIO B")</f>
        <v>SECRETARIO B</v>
      </c>
      <c r="H216">
        <f>IFERROR(__xludf.DUMMYFUNCTION("""COMPUTED_VALUE"""),17.0)</f>
        <v>17</v>
      </c>
      <c r="I216" s="34" t="str">
        <f>IFERROR(__xludf.DUMMYFUNCTION("""COMPUTED_VALUE"""),"Jornada Completa")</f>
        <v>Jornada Completa</v>
      </c>
      <c r="J216" s="33" t="str">
        <f>IFERROR(__xludf.DUMMYFUNCTION("""COMPUTED_VALUE"""),"A CONTRATA")</f>
        <v>A CONTRATA</v>
      </c>
      <c r="K216" s="33" t="str">
        <f>IFERROR(__xludf.DUMMYFUNCTION("""COMPUTED_VALUE"""),"ADMINISTRATIVO")</f>
        <v>ADMINISTRATIVO</v>
      </c>
      <c r="L216" s="34" t="str">
        <f>IFERROR(__xludf.DUMMYFUNCTION("""COMPUTED_VALUE"""),"INTERNO")</f>
        <v>INTERNO</v>
      </c>
      <c r="M216" s="34">
        <f>IFERROR(__xludf.DUMMYFUNCTION("""COMPUTED_VALUE"""),3.0)</f>
        <v>3</v>
      </c>
      <c r="N216" s="34" t="str">
        <f>IFERROR(__xludf.DUMMYFUNCTION("""COMPUTED_VALUE"""),"NO")</f>
        <v>NO</v>
      </c>
      <c r="O216">
        <f>IFERROR(__xludf.DUMMYFUNCTION("""COMPUTED_VALUE"""),0.0)</f>
        <v>0</v>
      </c>
      <c r="P216">
        <f>IFERROR(__xludf.DUMMYFUNCTION("""COMPUTED_VALUE"""),2.0)</f>
        <v>2</v>
      </c>
      <c r="Q216" s="35">
        <f>IFERROR(__xludf.DUMMYFUNCTION("""COMPUTED_VALUE"""),0.0)</f>
        <v>0</v>
      </c>
      <c r="R216" s="36" t="str">
        <f>IFERROR(__xludf.DUMMYFUNCTION("""COMPUTED_VALUE"""),"SELECCIONADA")</f>
        <v>SELECCIONADA</v>
      </c>
      <c r="S216" s="37">
        <f>IFERROR(__xludf.DUMMYFUNCTION("""COMPUTED_VALUE"""),43566.0)</f>
        <v>43566</v>
      </c>
      <c r="T216" s="34" t="str">
        <f>IFERROR(__xludf.DUMMYFUNCTION("""COMPUTED_VALUE"""),"OLMEDO QUEVEDO ELIZABETH MARGARITA")</f>
        <v>OLMEDO QUEVEDO ELIZABETH MARGARITA</v>
      </c>
      <c r="V216" t="str">
        <f>IFERROR(__xludf.DUMMYFUNCTION("""COMPUTED_VALUE"""),"15370916-5")</f>
        <v>15370916-5</v>
      </c>
      <c r="W216" t="str">
        <f>IFERROR(__xludf.DUMMYFUNCTION("""COMPUTED_VALUE"""),"SI")</f>
        <v>SI</v>
      </c>
      <c r="X216" t="str">
        <f>IFERROR(__xludf.DUMMYFUNCTION("""COMPUTED_VALUE"""),"Trabajo en Equipo")</f>
        <v>Trabajo en Equipo</v>
      </c>
      <c r="Y216" t="str">
        <f>IFERROR(__xludf.DUMMYFUNCTION("""COMPUTED_VALUE"""),"Franqueza- Confiabilidad- Integridad")</f>
        <v>Franqueza- Confiabilidad- Integridad</v>
      </c>
      <c r="AA216" s="38">
        <f>IFERROR(__xludf.DUMMYFUNCTION("""COMPUTED_VALUE"""),43487.0)</f>
        <v>43487</v>
      </c>
      <c r="AB216" s="38">
        <f>IFERROR(__xludf.DUMMYFUNCTION("""COMPUTED_VALUE"""),43490.0)</f>
        <v>43490</v>
      </c>
      <c r="AF216" s="39"/>
      <c r="AG216" s="39"/>
      <c r="AH216" s="34" t="str">
        <f>IFERROR(__xludf.DUMMYFUNCTION("""COMPUTED_VALUE"""),"PROCESO DE SELECCIÓN")</f>
        <v>PROCESO DE SELECCIÓN</v>
      </c>
      <c r="AI216" s="34" t="str">
        <f>IFERROR(__xludf.DUMMYFUNCTION("""COMPUTED_VALUE""")," - ")</f>
        <v> - </v>
      </c>
      <c r="AJ216" s="34"/>
      <c r="AK216" s="34" t="str">
        <f>IFERROR(__xludf.DUMMYFUNCTION("""COMPUTED_VALUE"""),"C")</f>
        <v>C</v>
      </c>
      <c r="AL216">
        <f>IFERROR(__xludf.DUMMYFUNCTION("""COMPUTED_VALUE"""),55.0)</f>
        <v>55</v>
      </c>
      <c r="AM216">
        <f>IFERROR(__xludf.DUMMYFUNCTION("""COMPUTED_VALUE"""),2018.0)</f>
        <v>2018</v>
      </c>
      <c r="AN216" t="str">
        <f t="shared" si="1"/>
        <v>15370916-5</v>
      </c>
    </row>
    <row r="217">
      <c r="A217" s="33">
        <f>IFERROR(__xludf.DUMMYFUNCTION("""COMPUTED_VALUE"""),1.2306152E7)</f>
        <v>12306152</v>
      </c>
      <c r="B217" s="33">
        <f>IFERROR(__xludf.DUMMYFUNCTION("""COMPUTED_VALUE"""),121.0)</f>
        <v>121</v>
      </c>
      <c r="C217" s="33" t="str">
        <f>IFERROR(__xludf.DUMMYFUNCTION("""COMPUTED_VALUE"""),"IR2018-34")</f>
        <v>IR2018-34</v>
      </c>
      <c r="D217" s="34" t="str">
        <f>IFERROR(__xludf.DUMMYFUNCTION("""COMPUTED_VALUE"""),"INGRESAR CENTRO DE COSTO A LA DERECHA")</f>
        <v>INGRESAR CENTRO DE COSTO A LA DERECHA</v>
      </c>
      <c r="E217" s="34" t="str">
        <f>IFERROR(__xludf.DUMMYFUNCTION("""COMPUTED_VALUE"""),"DPTO. DE RECURSOS HUMANOS")</f>
        <v>DPTO. DE RECURSOS HUMANOS</v>
      </c>
      <c r="F217" s="34" t="str">
        <f>IFERROR(__xludf.DUMMYFUNCTION("""COMPUTED_VALUE"""),"Analista de Gestión II")</f>
        <v>Analista de Gestión II</v>
      </c>
      <c r="G217" s="33" t="str">
        <f>IFERROR(__xludf.DUMMYFUNCTION("""COMPUTED_VALUE"""),"ANALISTA DE GESTION II ( ENCARGADO DE OFICINA DE RETIRO)")</f>
        <v>ANALISTA DE GESTION II ( ENCARGADO DE OFICINA DE RETIRO)</v>
      </c>
      <c r="H217">
        <f>IFERROR(__xludf.DUMMYFUNCTION("""COMPUTED_VALUE"""),13.0)</f>
        <v>13</v>
      </c>
      <c r="I217" s="34" t="str">
        <f>IFERROR(__xludf.DUMMYFUNCTION("""COMPUTED_VALUE"""),"Jornada Completa")</f>
        <v>Jornada Completa</v>
      </c>
      <c r="J217" s="33" t="str">
        <f>IFERROR(__xludf.DUMMYFUNCTION("""COMPUTED_VALUE"""),"A CONTRATA")</f>
        <v>A CONTRATA</v>
      </c>
      <c r="K217" s="33" t="str">
        <f>IFERROR(__xludf.DUMMYFUNCTION("""COMPUTED_VALUE"""),"PROFESIONAL")</f>
        <v>PROFESIONAL</v>
      </c>
      <c r="L217" s="34" t="str">
        <f>IFERROR(__xludf.DUMMYFUNCTION("""COMPUTED_VALUE"""),"INTERNO")</f>
        <v>INTERNO</v>
      </c>
      <c r="M217" s="34">
        <f>IFERROR(__xludf.DUMMYFUNCTION("""COMPUTED_VALUE"""),0.0)</f>
        <v>0</v>
      </c>
      <c r="N217" s="34" t="str">
        <f>IFERROR(__xludf.DUMMYFUNCTION("""COMPUTED_VALUE"""),"EXTERNO")</f>
        <v>EXTERNO</v>
      </c>
      <c r="O217">
        <f>IFERROR(__xludf.DUMMYFUNCTION("""COMPUTED_VALUE"""),21.0)</f>
        <v>21</v>
      </c>
      <c r="P217">
        <f>IFERROR(__xludf.DUMMYFUNCTION("""COMPUTED_VALUE"""),2.0)</f>
        <v>2</v>
      </c>
      <c r="Q217" s="35">
        <f>IFERROR(__xludf.DUMMYFUNCTION("""COMPUTED_VALUE"""),0.0)</f>
        <v>0</v>
      </c>
      <c r="R217" s="36" t="str">
        <f>IFERROR(__xludf.DUMMYFUNCTION("""COMPUTED_VALUE"""),"SELECCIONADA")</f>
        <v>SELECCIONADA</v>
      </c>
      <c r="S217" s="37">
        <f>IFERROR(__xludf.DUMMYFUNCTION("""COMPUTED_VALUE"""),43564.0)</f>
        <v>43564</v>
      </c>
      <c r="T217" s="34"/>
      <c r="U217" t="str">
        <f>IFERROR(__xludf.DUMMYFUNCTION("""COMPUTED_VALUE"""),"CLAUDIA LARA GALAZ")</f>
        <v>CLAUDIA LARA GALAZ</v>
      </c>
      <c r="V217" t="str">
        <f>IFERROR(__xludf.DUMMYFUNCTION("""COMPUTED_VALUE"""),"12306152-7")</f>
        <v>12306152-7</v>
      </c>
      <c r="W217" t="str">
        <f>IFERROR(__xludf.DUMMYFUNCTION("""COMPUTED_VALUE"""),"SI")</f>
        <v>SI</v>
      </c>
      <c r="X217" t="str">
        <f>IFERROR(__xludf.DUMMYFUNCTION("""COMPUTED_VALUE"""),"Orientacion a los Resultados")</f>
        <v>Orientacion a los Resultados</v>
      </c>
      <c r="AA217" s="38">
        <f>IFERROR(__xludf.DUMMYFUNCTION("""COMPUTED_VALUE"""),43392.0)</f>
        <v>43392</v>
      </c>
      <c r="AB217" s="38">
        <f>IFERROR(__xludf.DUMMYFUNCTION("""COMPUTED_VALUE"""),43399.0)</f>
        <v>43399</v>
      </c>
      <c r="AF217" s="39"/>
      <c r="AG217" s="39"/>
      <c r="AH217" s="34" t="str">
        <f>IFERROR(__xludf.DUMMYFUNCTION("""COMPUTED_VALUE"""),"PROCESO DE SELECCIÓN")</f>
        <v>PROCESO DE SELECCIÓN</v>
      </c>
      <c r="AI217" s="34" t="str">
        <f>IFERROR(__xludf.DUMMYFUNCTION("""COMPUTED_VALUE"""),"CORTES CARVAJAL RAFAEL")</f>
        <v>CORTES CARVAJAL RAFAEL</v>
      </c>
      <c r="AJ217" s="34"/>
      <c r="AK217" s="34" t="str">
        <f>IFERROR(__xludf.DUMMYFUNCTION("""COMPUTED_VALUE"""),"C")</f>
        <v>C</v>
      </c>
      <c r="AL217">
        <f>IFERROR(__xludf.DUMMYFUNCTION("""COMPUTED_VALUE"""),118.0)</f>
        <v>118</v>
      </c>
      <c r="AM217">
        <f>IFERROR(__xludf.DUMMYFUNCTION("""COMPUTED_VALUE"""),2018.0)</f>
        <v>2018</v>
      </c>
      <c r="AN217" t="str">
        <f t="shared" si="1"/>
        <v>12306152-7</v>
      </c>
    </row>
    <row r="218">
      <c r="A218" s="33">
        <f>IFERROR(__xludf.DUMMYFUNCTION("""COMPUTED_VALUE"""),1.6826269E7)</f>
        <v>16826269</v>
      </c>
      <c r="B218" s="33">
        <f>IFERROR(__xludf.DUMMYFUNCTION("""COMPUTED_VALUE"""),122.0)</f>
        <v>122</v>
      </c>
      <c r="C218" s="33" t="str">
        <f>IFERROR(__xludf.DUMMYFUNCTION("""COMPUTED_VALUE"""),"A227")</f>
        <v>A227</v>
      </c>
      <c r="D218" s="34" t="str">
        <f>IFERROR(__xludf.DUMMYFUNCTION("""COMPUTED_VALUE"""),"INGRESAR CENTRO DE COSTO A LA DERECHA")</f>
        <v>INGRESAR CENTRO DE COSTO A LA DERECHA</v>
      </c>
      <c r="E218" s="34" t="str">
        <f>IFERROR(__xludf.DUMMYFUNCTION("""COMPUTED_VALUE"""),"CITECAMP")</f>
        <v>CITECAMP</v>
      </c>
      <c r="F218" s="34" t="str">
        <f>IFERROR(__xludf.DUMMYFUNCTION("""COMPUTED_VALUE"""),"Mayordomo(a)")</f>
        <v>Mayordomo(a)</v>
      </c>
      <c r="G218" s="33" t="str">
        <f>IFERROR(__xludf.DUMMYFUNCTION("""COMPUTED_VALUE"""),"MAYORDOMO")</f>
        <v>MAYORDOMO</v>
      </c>
      <c r="H218">
        <f>IFERROR(__xludf.DUMMYFUNCTION("""COMPUTED_VALUE"""),21.0)</f>
        <v>21</v>
      </c>
      <c r="I218" s="34" t="str">
        <f>IFERROR(__xludf.DUMMYFUNCTION("""COMPUTED_VALUE"""),"Jornada Completa")</f>
        <v>Jornada Completa</v>
      </c>
      <c r="J218" s="33" t="str">
        <f>IFERROR(__xludf.DUMMYFUNCTION("""COMPUTED_VALUE"""),"A CONTRATA")</f>
        <v>A CONTRATA</v>
      </c>
      <c r="K218" s="33" t="str">
        <f>IFERROR(__xludf.DUMMYFUNCTION("""COMPUTED_VALUE"""),"AUXILIAR")</f>
        <v>AUXILIAR</v>
      </c>
      <c r="L218" s="34" t="str">
        <f>IFERROR(__xludf.DUMMYFUNCTION("""COMPUTED_VALUE"""),"INTERNO")</f>
        <v>INTERNO</v>
      </c>
      <c r="M218" s="34">
        <f>IFERROR(__xludf.DUMMYFUNCTION("""COMPUTED_VALUE"""),0.0)</f>
        <v>0</v>
      </c>
      <c r="N218" s="34" t="str">
        <f>IFERROR(__xludf.DUMMYFUNCTION("""COMPUTED_VALUE"""),"EXTERNO")</f>
        <v>EXTERNO</v>
      </c>
      <c r="O218">
        <f>IFERROR(__xludf.DUMMYFUNCTION("""COMPUTED_VALUE"""),11.0)</f>
        <v>11</v>
      </c>
      <c r="P218">
        <f>IFERROR(__xludf.DUMMYFUNCTION("""COMPUTED_VALUE"""),2.0)</f>
        <v>2</v>
      </c>
      <c r="Q218" s="35">
        <f>IFERROR(__xludf.DUMMYFUNCTION("""COMPUTED_VALUE"""),0.0)</f>
        <v>0</v>
      </c>
      <c r="R218" s="36" t="str">
        <f>IFERROR(__xludf.DUMMYFUNCTION("""COMPUTED_VALUE"""),"SELECCIONADO")</f>
        <v>SELECCIONADO</v>
      </c>
      <c r="S218" s="37">
        <f>IFERROR(__xludf.DUMMYFUNCTION("""COMPUTED_VALUE"""),43367.0)</f>
        <v>43367</v>
      </c>
      <c r="T218" s="34"/>
      <c r="U218" t="str">
        <f>IFERROR(__xludf.DUMMYFUNCTION("""COMPUTED_VALUE"""),"SEBASTIAN CALDERON LIZAMA")</f>
        <v>SEBASTIAN CALDERON LIZAMA</v>
      </c>
      <c r="V218" t="str">
        <f>IFERROR(__xludf.DUMMYFUNCTION("""COMPUTED_VALUE"""),"16826269-8")</f>
        <v>16826269-8</v>
      </c>
      <c r="W218" t="str">
        <f>IFERROR(__xludf.DUMMYFUNCTION("""COMPUTED_VALUE"""),"SI")</f>
        <v>SI</v>
      </c>
      <c r="X218" t="str">
        <f>IFERROR(__xludf.DUMMYFUNCTION("""COMPUTED_VALUE"""),"Trabajo en Equipo")</f>
        <v>Trabajo en Equipo</v>
      </c>
      <c r="AA218" s="38">
        <f>IFERROR(__xludf.DUMMYFUNCTION("""COMPUTED_VALUE"""),43326.0)</f>
        <v>43326</v>
      </c>
      <c r="AB218" s="38">
        <f>IFERROR(__xludf.DUMMYFUNCTION("""COMPUTED_VALUE"""),43332.0)</f>
        <v>43332</v>
      </c>
      <c r="AF218" s="39"/>
      <c r="AG218" s="39"/>
      <c r="AH218" s="34" t="str">
        <f>IFERROR(__xludf.DUMMYFUNCTION("""COMPUTED_VALUE"""),"PROCESO DE SELECCIÓN")</f>
        <v>PROCESO DE SELECCIÓN</v>
      </c>
      <c r="AI218" s="34" t="str">
        <f>IFERROR(__xludf.DUMMYFUNCTION("""COMPUTED_VALUE"""),"BUSTOS SAEZ HUGO")</f>
        <v>BUSTOS SAEZ HUGO</v>
      </c>
      <c r="AJ218" s="34"/>
      <c r="AK218" s="34" t="str">
        <f>IFERROR(__xludf.DUMMYFUNCTION("""COMPUTED_VALUE"""),"C")</f>
        <v>C</v>
      </c>
      <c r="AL218">
        <f>IFERROR(__xludf.DUMMYFUNCTION("""COMPUTED_VALUE"""),26.0)</f>
        <v>26</v>
      </c>
      <c r="AM218">
        <f>IFERROR(__xludf.DUMMYFUNCTION("""COMPUTED_VALUE"""),2018.0)</f>
        <v>2018</v>
      </c>
      <c r="AN218" t="str">
        <f t="shared" si="1"/>
        <v>16826269-8</v>
      </c>
    </row>
    <row r="219">
      <c r="A219" s="33">
        <f>IFERROR(__xludf.DUMMYFUNCTION("""COMPUTED_VALUE"""),9036567.0)</f>
        <v>9036567</v>
      </c>
      <c r="B219" s="33">
        <f>IFERROR(__xludf.DUMMYFUNCTION("""COMPUTED_VALUE"""),123.0)</f>
        <v>123</v>
      </c>
      <c r="C219" s="33" t="str">
        <f>IFERROR(__xludf.DUMMYFUNCTION("""COMPUTED_VALUE"""),"a224")</f>
        <v>a224</v>
      </c>
      <c r="D219" s="34" t="str">
        <f>IFERROR(__xludf.DUMMYFUNCTION("""COMPUTED_VALUE"""),"INGRESAR CENTRO DE COSTO A LA DERECHA")</f>
        <v>INGRESAR CENTRO DE COSTO A LA DERECHA</v>
      </c>
      <c r="E219" s="34" t="str">
        <f>IFERROR(__xludf.DUMMYFUNCTION("""COMPUTED_VALUE"""),"ESCUELA DE PSICOLOGIA")</f>
        <v>ESCUELA DE PSICOLOGIA</v>
      </c>
      <c r="F219" s="34" t="str">
        <f>IFERROR(__xludf.DUMMYFUNCTION("""COMPUTED_VALUE"""),"Jefe(a) de Sección")</f>
        <v>Jefe(a) de Sección</v>
      </c>
      <c r="G219" s="33" t="str">
        <f>IFERROR(__xludf.DUMMYFUNCTION("""COMPUTED_VALUE"""),"JEFA DE SECCION, DIRECTORA CAP")</f>
        <v>JEFA DE SECCION, DIRECTORA CAP</v>
      </c>
      <c r="H219">
        <f>IFERROR(__xludf.DUMMYFUNCTION("""COMPUTED_VALUE"""),10.0)</f>
        <v>10</v>
      </c>
      <c r="I219" s="34" t="str">
        <f>IFERROR(__xludf.DUMMYFUNCTION("""COMPUTED_VALUE"""),"Jornada Completa")</f>
        <v>Jornada Completa</v>
      </c>
      <c r="J219" s="33" t="str">
        <f>IFERROR(__xludf.DUMMYFUNCTION("""COMPUTED_VALUE"""),"A CONTRATA")</f>
        <v>A CONTRATA</v>
      </c>
      <c r="K219" s="33" t="str">
        <f>IFERROR(__xludf.DUMMYFUNCTION("""COMPUTED_VALUE"""),"PROFESIONAL")</f>
        <v>PROFESIONAL</v>
      </c>
      <c r="L219" s="34" t="str">
        <f>IFERROR(__xludf.DUMMYFUNCTION("""COMPUTED_VALUE"""),"INTERNO")</f>
        <v>INTERNO</v>
      </c>
      <c r="M219" s="34">
        <f>IFERROR(__xludf.DUMMYFUNCTION("""COMPUTED_VALUE"""),2.0)</f>
        <v>2</v>
      </c>
      <c r="N219" s="34" t="str">
        <f>IFERROR(__xludf.DUMMYFUNCTION("""COMPUTED_VALUE"""),"EXTERNO")</f>
        <v>EXTERNO</v>
      </c>
      <c r="O219">
        <f>IFERROR(__xludf.DUMMYFUNCTION("""COMPUTED_VALUE"""),23.0)</f>
        <v>23</v>
      </c>
      <c r="P219">
        <f>IFERROR(__xludf.DUMMYFUNCTION("""COMPUTED_VALUE"""),2.0)</f>
        <v>2</v>
      </c>
      <c r="Q219" s="35">
        <f>IFERROR(__xludf.DUMMYFUNCTION("""COMPUTED_VALUE"""),0.0)</f>
        <v>0</v>
      </c>
      <c r="R219" s="36" t="str">
        <f>IFERROR(__xludf.DUMMYFUNCTION("""COMPUTED_VALUE"""),"SELECCIONADA")</f>
        <v>SELECCIONADA</v>
      </c>
      <c r="S219" s="37">
        <f>IFERROR(__xludf.DUMMYFUNCTION("""COMPUTED_VALUE"""),43528.0)</f>
        <v>43528</v>
      </c>
      <c r="T219" s="34"/>
      <c r="U219" t="str">
        <f>IFERROR(__xludf.DUMMYFUNCTION("""COMPUTED_VALUE"""),"URSULA PESSE HERMOSILLA")</f>
        <v>URSULA PESSE HERMOSILLA</v>
      </c>
      <c r="V219" t="str">
        <f>IFERROR(__xludf.DUMMYFUNCTION("""COMPUTED_VALUE"""),"09036567-3")</f>
        <v>09036567-3</v>
      </c>
      <c r="W219" t="str">
        <f>IFERROR(__xludf.DUMMYFUNCTION("""COMPUTED_VALUE"""),"NO")</f>
        <v>NO</v>
      </c>
      <c r="AA219" s="38">
        <f>IFERROR(__xludf.DUMMYFUNCTION("""COMPUTED_VALUE"""),43418.0)</f>
        <v>43418</v>
      </c>
      <c r="AB219" s="38">
        <f>IFERROR(__xludf.DUMMYFUNCTION("""COMPUTED_VALUE"""),43430.0)</f>
        <v>43430</v>
      </c>
      <c r="AF219" s="39"/>
      <c r="AG219" s="39"/>
      <c r="AH219" s="34" t="str">
        <f>IFERROR(__xludf.DUMMYFUNCTION("""COMPUTED_VALUE"""),"PROCESO DE SELECCIÓN")</f>
        <v>PROCESO DE SELECCIÓN</v>
      </c>
      <c r="AI219" s="34" t="str">
        <f>IFERROR(__xludf.DUMMYFUNCTION("""COMPUTED_VALUE"""),"ORTIZ BARRERA JADE")</f>
        <v>ORTIZ BARRERA JADE</v>
      </c>
      <c r="AJ219" s="34"/>
      <c r="AK219" s="34" t="str">
        <f>IFERROR(__xludf.DUMMYFUNCTION("""COMPUTED_VALUE"""),"E")</f>
        <v>E</v>
      </c>
      <c r="AL219">
        <f>IFERROR(__xludf.DUMMYFUNCTION("""COMPUTED_VALUE"""),71.0)</f>
        <v>71</v>
      </c>
      <c r="AM219">
        <f>IFERROR(__xludf.DUMMYFUNCTION("""COMPUTED_VALUE"""),2018.0)</f>
        <v>2018</v>
      </c>
      <c r="AN219" t="str">
        <f t="shared" si="1"/>
        <v>09036567-3</v>
      </c>
    </row>
    <row r="220">
      <c r="A220" s="33">
        <f>IFERROR(__xludf.DUMMYFUNCTION("""COMPUTED_VALUE"""),1.2479336E7)</f>
        <v>12479336</v>
      </c>
      <c r="B220" s="33">
        <f>IFERROR(__xludf.DUMMYFUNCTION("""COMPUTED_VALUE"""),124.0)</f>
        <v>124</v>
      </c>
      <c r="C220" s="33" t="str">
        <f>IFERROR(__xludf.DUMMYFUNCTION("""COMPUTED_VALUE"""),"A225")</f>
        <v>A225</v>
      </c>
      <c r="D220" s="34" t="str">
        <f>IFERROR(__xludf.DUMMYFUNCTION("""COMPUTED_VALUE"""),"INGRESAR CENTRO DE COSTO A LA DERECHA")</f>
        <v>INGRESAR CENTRO DE COSTO A LA DERECHA</v>
      </c>
      <c r="E220" s="34" t="str">
        <f>IFERROR(__xludf.DUMMYFUNCTION("""COMPUTED_VALUE"""),"DPTO. DE PLANFIC PRESUPUESTARIA")</f>
        <v>DPTO. DE PLANFIC PRESUPUESTARIA</v>
      </c>
      <c r="F220" s="34" t="str">
        <f>IFERROR(__xludf.DUMMYFUNCTION("""COMPUTED_VALUE"""),"Analista Presupuestario")</f>
        <v>Analista Presupuestario</v>
      </c>
      <c r="G220" s="33" t="str">
        <f>IFERROR(__xludf.DUMMYFUNCTION("""COMPUTED_VALUE"""),"ANALISTA PRESUPUESTARIO")</f>
        <v>ANALISTA PRESUPUESTARIO</v>
      </c>
      <c r="H220">
        <f>IFERROR(__xludf.DUMMYFUNCTION("""COMPUTED_VALUE"""),10.0)</f>
        <v>10</v>
      </c>
      <c r="I220" s="34" t="str">
        <f>IFERROR(__xludf.DUMMYFUNCTION("""COMPUTED_VALUE"""),"Jornada Completa")</f>
        <v>Jornada Completa</v>
      </c>
      <c r="J220" s="33" t="str">
        <f>IFERROR(__xludf.DUMMYFUNCTION("""COMPUTED_VALUE"""),"A CONTRATA")</f>
        <v>A CONTRATA</v>
      </c>
      <c r="K220" s="33" t="str">
        <f>IFERROR(__xludf.DUMMYFUNCTION("""COMPUTED_VALUE"""),"PROFESIONAL")</f>
        <v>PROFESIONAL</v>
      </c>
      <c r="L220" s="34" t="str">
        <f>IFERROR(__xludf.DUMMYFUNCTION("""COMPUTED_VALUE"""),"INTERNO")</f>
        <v>INTERNO</v>
      </c>
      <c r="M220" s="34">
        <f>IFERROR(__xludf.DUMMYFUNCTION("""COMPUTED_VALUE"""),5.0)</f>
        <v>5</v>
      </c>
      <c r="N220" s="34" t="str">
        <f>IFERROR(__xludf.DUMMYFUNCTION("""COMPUTED_VALUE"""),"NO")</f>
        <v>NO</v>
      </c>
      <c r="O220">
        <f>IFERROR(__xludf.DUMMYFUNCTION("""COMPUTED_VALUE"""),0.0)</f>
        <v>0</v>
      </c>
      <c r="P220">
        <f>IFERROR(__xludf.DUMMYFUNCTION("""COMPUTED_VALUE"""),2.0)</f>
        <v>2</v>
      </c>
      <c r="Q220" s="35">
        <f>IFERROR(__xludf.DUMMYFUNCTION("""COMPUTED_VALUE"""),1.0)</f>
        <v>1</v>
      </c>
      <c r="R220" s="36" t="str">
        <f>IFERROR(__xludf.DUMMYFUNCTION("""COMPUTED_VALUE"""),"SELECCIONADA")</f>
        <v>SELECCIONADA</v>
      </c>
      <c r="S220" s="37">
        <f>IFERROR(__xludf.DUMMYFUNCTION("""COMPUTED_VALUE"""),43580.0)</f>
        <v>43580</v>
      </c>
      <c r="T220" s="34" t="str">
        <f>IFERROR(__xludf.DUMMYFUNCTION("""COMPUTED_VALUE"""),"CUBILLOS MONTECINO SOLEDAD MARGARITA")</f>
        <v>CUBILLOS MONTECINO SOLEDAD MARGARITA</v>
      </c>
      <c r="V220" t="str">
        <f>IFERROR(__xludf.DUMMYFUNCTION("""COMPUTED_VALUE"""),"12479336-K")</f>
        <v>12479336-K</v>
      </c>
      <c r="W220" t="str">
        <f>IFERROR(__xludf.DUMMYFUNCTION("""COMPUTED_VALUE"""),"SI")</f>
        <v>SI</v>
      </c>
      <c r="X220" t="str">
        <f>IFERROR(__xludf.DUMMYFUNCTION("""COMPUTED_VALUE"""),"Pensamiento Analitico")</f>
        <v>Pensamiento Analitico</v>
      </c>
      <c r="AA220" s="38">
        <f>IFERROR(__xludf.DUMMYFUNCTION("""COMPUTED_VALUE"""),43482.0)</f>
        <v>43482</v>
      </c>
      <c r="AB220" s="38">
        <f>IFERROR(__xludf.DUMMYFUNCTION("""COMPUTED_VALUE"""),43489.0)</f>
        <v>43489</v>
      </c>
      <c r="AF220" s="39"/>
      <c r="AG220" s="39"/>
      <c r="AH220" s="34" t="str">
        <f>IFERROR(__xludf.DUMMYFUNCTION("""COMPUTED_VALUE"""),"PROCESO DE SELECCIÓN")</f>
        <v>PROCESO DE SELECCIÓN</v>
      </c>
      <c r="AI220" s="34" t="str">
        <f>IFERROR(__xludf.DUMMYFUNCTION("""COMPUTED_VALUE"""),"CARRASCO PALMA MARTA")</f>
        <v>CARRASCO PALMA MARTA</v>
      </c>
      <c r="AJ220" s="34"/>
      <c r="AK220" s="34" t="str">
        <f>IFERROR(__xludf.DUMMYFUNCTION("""COMPUTED_VALUE"""),"C")</f>
        <v>C</v>
      </c>
      <c r="AL220">
        <f>IFERROR(__xludf.DUMMYFUNCTION("""COMPUTED_VALUE"""),66.0)</f>
        <v>66</v>
      </c>
      <c r="AM220">
        <f>IFERROR(__xludf.DUMMYFUNCTION("""COMPUTED_VALUE"""),2018.0)</f>
        <v>2018</v>
      </c>
      <c r="AN220" t="str">
        <f t="shared" si="1"/>
        <v>12479336-K</v>
      </c>
    </row>
    <row r="221">
      <c r="A221" s="33">
        <f>IFERROR(__xludf.DUMMYFUNCTION("""COMPUTED_VALUE"""),1.5401585E7)</f>
        <v>15401585</v>
      </c>
      <c r="B221" s="33">
        <f>IFERROR(__xludf.DUMMYFUNCTION("""COMPUTED_VALUE"""),125.0)</f>
        <v>125</v>
      </c>
      <c r="C221" s="33" t="str">
        <f>IFERROR(__xludf.DUMMYFUNCTION("""COMPUTED_VALUE"""),"acta2019-07")</f>
        <v>acta2019-07</v>
      </c>
      <c r="D221" s="34" t="str">
        <f>IFERROR(__xludf.DUMMYFUNCTION("""COMPUTED_VALUE"""),"INGRESAR CENTRO DE COSTO A LA DERECHA")</f>
        <v>INGRESAR CENTRO DE COSTO A LA DERECHA</v>
      </c>
      <c r="E221" s="34" t="str">
        <f>IFERROR(__xludf.DUMMYFUNCTION("""COMPUTED_VALUE"""),"UNIDAD DE ADQUISICIONES")</f>
        <v>UNIDAD DE ADQUISICIONES</v>
      </c>
      <c r="F221" s="34" t="str">
        <f>IFERROR(__xludf.DUMMYFUNCTION("""COMPUTED_VALUE"""),"Administrativo(a) de Apoyo")</f>
        <v>Administrativo(a) de Apoyo</v>
      </c>
      <c r="G221" s="33" t="str">
        <f>IFERROR(__xludf.DUMMYFUNCTION("""COMPUTED_VALUE"""),"ADMINISTRATIVO DE APOYO")</f>
        <v>ADMINISTRATIVO DE APOYO</v>
      </c>
      <c r="H221">
        <f>IFERROR(__xludf.DUMMYFUNCTION("""COMPUTED_VALUE"""),20.0)</f>
        <v>20</v>
      </c>
      <c r="I221" s="34" t="str">
        <f>IFERROR(__xludf.DUMMYFUNCTION("""COMPUTED_VALUE"""),"Jornada Completa")</f>
        <v>Jornada Completa</v>
      </c>
      <c r="J221" s="33" t="str">
        <f>IFERROR(__xludf.DUMMYFUNCTION("""COMPUTED_VALUE"""),"A CONTRATA")</f>
        <v>A CONTRATA</v>
      </c>
      <c r="K221" s="33" t="str">
        <f>IFERROR(__xludf.DUMMYFUNCTION("""COMPUTED_VALUE"""),"ADMINISTRATIVO")</f>
        <v>ADMINISTRATIVO</v>
      </c>
      <c r="L221" s="34" t="str">
        <f>IFERROR(__xludf.DUMMYFUNCTION("""COMPUTED_VALUE"""),"INTERNO")</f>
        <v>INTERNO</v>
      </c>
      <c r="M221" s="34">
        <f>IFERROR(__xludf.DUMMYFUNCTION("""COMPUTED_VALUE"""),3.0)</f>
        <v>3</v>
      </c>
      <c r="N221" s="34" t="str">
        <f>IFERROR(__xludf.DUMMYFUNCTION("""COMPUTED_VALUE"""),"NO")</f>
        <v>NO</v>
      </c>
      <c r="O221">
        <f>IFERROR(__xludf.DUMMYFUNCTION("""COMPUTED_VALUE"""),0.0)</f>
        <v>0</v>
      </c>
      <c r="P221">
        <f>IFERROR(__xludf.DUMMYFUNCTION("""COMPUTED_VALUE"""),1.0)</f>
        <v>1</v>
      </c>
      <c r="Q221" s="35">
        <f>IFERROR(__xludf.DUMMYFUNCTION("""COMPUTED_VALUE"""),0.0)</f>
        <v>0</v>
      </c>
      <c r="R221" s="36" t="str">
        <f>IFERROR(__xludf.DUMMYFUNCTION("""COMPUTED_VALUE"""),"SELECCIONADO")</f>
        <v>SELECCIONADO</v>
      </c>
      <c r="S221" s="37">
        <f>IFERROR(__xludf.DUMMYFUNCTION("""COMPUTED_VALUE"""),43594.0)</f>
        <v>43594</v>
      </c>
      <c r="T221" s="34" t="str">
        <f>IFERROR(__xludf.DUMMYFUNCTION("""COMPUTED_VALUE"""),"ROJAS ARANEDA DANIEL ESTEBAN")</f>
        <v>ROJAS ARANEDA DANIEL ESTEBAN</v>
      </c>
      <c r="V221" t="str">
        <f>IFERROR(__xludf.DUMMYFUNCTION("""COMPUTED_VALUE"""),"15401585-K")</f>
        <v>15401585-K</v>
      </c>
      <c r="W221" t="str">
        <f>IFERROR(__xludf.DUMMYFUNCTION("""COMPUTED_VALUE"""),"SI")</f>
        <v>SI</v>
      </c>
      <c r="X221" t="str">
        <f>IFERROR(__xludf.DUMMYFUNCTION("""COMPUTED_VALUE"""),"Trabajo en Equipo")</f>
        <v>Trabajo en Equipo</v>
      </c>
      <c r="AA221" s="38">
        <f>IFERROR(__xludf.DUMMYFUNCTION("""COMPUTED_VALUE"""),43481.0)</f>
        <v>43481</v>
      </c>
      <c r="AB221" s="38">
        <f>IFERROR(__xludf.DUMMYFUNCTION("""COMPUTED_VALUE"""),43488.0)</f>
        <v>43488</v>
      </c>
      <c r="AF221" s="39"/>
      <c r="AG221" s="39"/>
      <c r="AH221" s="34" t="str">
        <f>IFERROR(__xludf.DUMMYFUNCTION("""COMPUTED_VALUE"""),"PROCESO DE SELECCIÓN")</f>
        <v>PROCESO DE SELECCIÓN</v>
      </c>
      <c r="AI221" s="34" t="str">
        <f>IFERROR(__xludf.DUMMYFUNCTION("""COMPUTED_VALUE""")," - ")</f>
        <v> - </v>
      </c>
      <c r="AJ221" s="34"/>
      <c r="AK221" s="34" t="str">
        <f>IFERROR(__xludf.DUMMYFUNCTION("""COMPUTED_VALUE"""),"C")</f>
        <v>C</v>
      </c>
      <c r="AL221">
        <f>IFERROR(__xludf.DUMMYFUNCTION("""COMPUTED_VALUE"""),77.0)</f>
        <v>77</v>
      </c>
      <c r="AM221">
        <f>IFERROR(__xludf.DUMMYFUNCTION("""COMPUTED_VALUE"""),2018.0)</f>
        <v>2018</v>
      </c>
      <c r="AN221" t="str">
        <f t="shared" si="1"/>
        <v>15401585-K</v>
      </c>
    </row>
    <row r="222">
      <c r="A222" s="33">
        <f>IFERROR(__xludf.DUMMYFUNCTION("""COMPUTED_VALUE"""),7983577.0)</f>
        <v>7983577</v>
      </c>
      <c r="B222" s="33">
        <f>IFERROR(__xludf.DUMMYFUNCTION("""COMPUTED_VALUE"""),126.0)</f>
        <v>126</v>
      </c>
      <c r="C222" s="33" t="str">
        <f>IFERROR(__xludf.DUMMYFUNCTION("""COMPUTED_VALUE"""),"ACTA2019-09")</f>
        <v>ACTA2019-09</v>
      </c>
      <c r="D222" s="34" t="str">
        <f>IFERROR(__xludf.DUMMYFUNCTION("""COMPUTED_VALUE"""),"INGRESAR CENTRO DE COSTO A LA DERECHA")</f>
        <v>INGRESAR CENTRO DE COSTO A LA DERECHA</v>
      </c>
      <c r="E222" s="34" t="str">
        <f>IFERROR(__xludf.DUMMYFUNCTION("""COMPUTED_VALUE"""),"UNIDAD DE ADQUISICIONES")</f>
        <v>UNIDAD DE ADQUISICIONES</v>
      </c>
      <c r="F222" s="34" t="str">
        <f>IFERROR(__xludf.DUMMYFUNCTION("""COMPUTED_VALUE"""),"Jefe(a) de Área")</f>
        <v>Jefe(a) de Área</v>
      </c>
      <c r="G222" s="33" t="str">
        <f>IFERROR(__xludf.DUMMYFUNCTION("""COMPUTED_VALUE"""),"JEFE DE AREA COMPRAS Y SERVICIOS INSTITUCIONALES")</f>
        <v>JEFE DE AREA COMPRAS Y SERVICIOS INSTITUCIONALES</v>
      </c>
      <c r="H222">
        <f>IFERROR(__xludf.DUMMYFUNCTION("""COMPUTED_VALUE"""),8.0)</f>
        <v>8</v>
      </c>
      <c r="I222" s="34" t="str">
        <f>IFERROR(__xludf.DUMMYFUNCTION("""COMPUTED_VALUE"""),"Jornada Completa")</f>
        <v>Jornada Completa</v>
      </c>
      <c r="J222" s="33" t="str">
        <f>IFERROR(__xludf.DUMMYFUNCTION("""COMPUTED_VALUE"""),"A CONTRATA")</f>
        <v>A CONTRATA</v>
      </c>
      <c r="K222" s="33" t="str">
        <f>IFERROR(__xludf.DUMMYFUNCTION("""COMPUTED_VALUE"""),"PROFESIONAL")</f>
        <v>PROFESIONAL</v>
      </c>
      <c r="L222" s="34" t="str">
        <f>IFERROR(__xludf.DUMMYFUNCTION("""COMPUTED_VALUE"""),"INTERNO")</f>
        <v>INTERNO</v>
      </c>
      <c r="M222" s="34">
        <f>IFERROR(__xludf.DUMMYFUNCTION("""COMPUTED_VALUE"""),3.0)</f>
        <v>3</v>
      </c>
      <c r="N222" s="34" t="str">
        <f>IFERROR(__xludf.DUMMYFUNCTION("""COMPUTED_VALUE"""),"NO")</f>
        <v>NO</v>
      </c>
      <c r="O222">
        <f>IFERROR(__xludf.DUMMYFUNCTION("""COMPUTED_VALUE"""),0.0)</f>
        <v>0</v>
      </c>
      <c r="P222">
        <f>IFERROR(__xludf.DUMMYFUNCTION("""COMPUTED_VALUE"""),2.0)</f>
        <v>2</v>
      </c>
      <c r="Q222" s="35">
        <f>IFERROR(__xludf.DUMMYFUNCTION("""COMPUTED_VALUE"""),0.0)</f>
        <v>0</v>
      </c>
      <c r="R222" s="36" t="str">
        <f>IFERROR(__xludf.DUMMYFUNCTION("""COMPUTED_VALUE"""),"SELECCIONADO")</f>
        <v>SELECCIONADO</v>
      </c>
      <c r="S222" s="37">
        <f>IFERROR(__xludf.DUMMYFUNCTION("""COMPUTED_VALUE"""),43587.0)</f>
        <v>43587</v>
      </c>
      <c r="T222" s="34" t="str">
        <f>IFERROR(__xludf.DUMMYFUNCTION("""COMPUTED_VALUE"""),"ORTIZ DINAMARCA PEDRO MARIO")</f>
        <v>ORTIZ DINAMARCA PEDRO MARIO</v>
      </c>
      <c r="V222" t="str">
        <f>IFERROR(__xludf.DUMMYFUNCTION("""COMPUTED_VALUE"""),"7983577-3")</f>
        <v>7983577-3</v>
      </c>
      <c r="W222" t="str">
        <f>IFERROR(__xludf.DUMMYFUNCTION("""COMPUTED_VALUE"""),"SI")</f>
        <v>SI</v>
      </c>
      <c r="X222" t="str">
        <f>IFERROR(__xludf.DUMMYFUNCTION("""COMPUTED_VALUE"""),"Liderazgo")</f>
        <v>Liderazgo</v>
      </c>
      <c r="Y222" t="str">
        <f>IFERROR(__xludf.DUMMYFUNCTION("""COMPUTED_VALUE"""),"Capacidad de Planificacion y Organizacion")</f>
        <v>Capacidad de Planificacion y Organizacion</v>
      </c>
      <c r="AA222" s="38">
        <f>IFERROR(__xludf.DUMMYFUNCTION("""COMPUTED_VALUE"""),43483.0)</f>
        <v>43483</v>
      </c>
      <c r="AB222" s="38">
        <f>IFERROR(__xludf.DUMMYFUNCTION("""COMPUTED_VALUE"""),43489.0)</f>
        <v>43489</v>
      </c>
      <c r="AF222" s="39"/>
      <c r="AG222" s="39"/>
      <c r="AH222" s="34" t="str">
        <f>IFERROR(__xludf.DUMMYFUNCTION("""COMPUTED_VALUE"""),"PROCESO DE SELECCIÓN")</f>
        <v>PROCESO DE SELECCIÓN</v>
      </c>
      <c r="AI222" s="34" t="str">
        <f>IFERROR(__xludf.DUMMYFUNCTION("""COMPUTED_VALUE""")," - ")</f>
        <v> - </v>
      </c>
      <c r="AJ222" s="34"/>
      <c r="AK222" s="34" t="str">
        <f>IFERROR(__xludf.DUMMYFUNCTION("""COMPUTED_VALUE"""),"C")</f>
        <v>C</v>
      </c>
      <c r="AL222">
        <f>IFERROR(__xludf.DUMMYFUNCTION("""COMPUTED_VALUE"""),71.0)</f>
        <v>71</v>
      </c>
      <c r="AM222">
        <f>IFERROR(__xludf.DUMMYFUNCTION("""COMPUTED_VALUE"""),2018.0)</f>
        <v>2018</v>
      </c>
      <c r="AN222" t="str">
        <f t="shared" si="1"/>
        <v>07983577-3</v>
      </c>
    </row>
    <row r="223">
      <c r="A223" s="33">
        <f>IFERROR(__xludf.DUMMYFUNCTION("""COMPUTED_VALUE"""),1.1643375E7)</f>
        <v>11643375</v>
      </c>
      <c r="B223" s="33">
        <f>IFERROR(__xludf.DUMMYFUNCTION("""COMPUTED_VALUE"""),127.0)</f>
        <v>127</v>
      </c>
      <c r="C223" s="33" t="str">
        <f>IFERROR(__xludf.DUMMYFUNCTION("""COMPUTED_VALUE"""),"IR2018-03")</f>
        <v>IR2018-03</v>
      </c>
      <c r="D223" s="34" t="str">
        <f>IFERROR(__xludf.DUMMYFUNCTION("""COMPUTED_VALUE"""),"INGRESAR CENTRO DE COSTO A LA DERECHA")</f>
        <v>INGRESAR CENTRO DE COSTO A LA DERECHA</v>
      </c>
      <c r="E223" s="34" t="str">
        <f>IFERROR(__xludf.DUMMYFUNCTION("""COMPUTED_VALUE"""),"DPTO. DE MAT. Y CS. DE LA COMP.")</f>
        <v>DPTO. DE MAT. Y CS. DE LA COMP.</v>
      </c>
      <c r="F223" s="34" t="str">
        <f>IFERROR(__xludf.DUMMYFUNCTION("""COMPUTED_VALUE"""),"Administrativo(a) de Apoyo")</f>
        <v>Administrativo(a) de Apoyo</v>
      </c>
      <c r="G223" s="33" t="str">
        <f>IFERROR(__xludf.DUMMYFUNCTION("""COMPUTED_VALUE"""),"ADMINISTRATIVA DE APOYO")</f>
        <v>ADMINISTRATIVA DE APOYO</v>
      </c>
      <c r="H223">
        <f>IFERROR(__xludf.DUMMYFUNCTION("""COMPUTED_VALUE"""),20.0)</f>
        <v>20</v>
      </c>
      <c r="I223" s="34" t="str">
        <f>IFERROR(__xludf.DUMMYFUNCTION("""COMPUTED_VALUE"""),"Jornada Completa")</f>
        <v>Jornada Completa</v>
      </c>
      <c r="J223" s="33" t="str">
        <f>IFERROR(__xludf.DUMMYFUNCTION("""COMPUTED_VALUE"""),"A CONTRATA")</f>
        <v>A CONTRATA</v>
      </c>
      <c r="K223" s="33" t="str">
        <f>IFERROR(__xludf.DUMMYFUNCTION("""COMPUTED_VALUE"""),"ADMINISTRATIVO")</f>
        <v>ADMINISTRATIVO</v>
      </c>
      <c r="L223" s="34" t="str">
        <f>IFERROR(__xludf.DUMMYFUNCTION("""COMPUTED_VALUE"""),"INTERNO")</f>
        <v>INTERNO</v>
      </c>
      <c r="M223" s="34">
        <f>IFERROR(__xludf.DUMMYFUNCTION("""COMPUTED_VALUE"""),1.0)</f>
        <v>1</v>
      </c>
      <c r="N223" s="34" t="str">
        <f>IFERROR(__xludf.DUMMYFUNCTION("""COMPUTED_VALUE"""),"EXTERNO")</f>
        <v>EXTERNO</v>
      </c>
      <c r="O223">
        <f>IFERROR(__xludf.DUMMYFUNCTION("""COMPUTED_VALUE"""),23.0)</f>
        <v>23</v>
      </c>
      <c r="P223">
        <f>IFERROR(__xludf.DUMMYFUNCTION("""COMPUTED_VALUE"""),3.0)</f>
        <v>3</v>
      </c>
      <c r="Q223" s="35">
        <f>IFERROR(__xludf.DUMMYFUNCTION("""COMPUTED_VALUE"""),0.0)</f>
        <v>0</v>
      </c>
      <c r="R223" s="36" t="str">
        <f>IFERROR(__xludf.DUMMYFUNCTION("""COMPUTED_VALUE"""),"SELECCIONADA")</f>
        <v>SELECCIONADA</v>
      </c>
      <c r="S223" s="37">
        <f>IFERROR(__xludf.DUMMYFUNCTION("""COMPUTED_VALUE"""),43647.0)</f>
        <v>43647</v>
      </c>
      <c r="T223" s="34"/>
      <c r="U223" t="str">
        <f>IFERROR(__xludf.DUMMYFUNCTION("""COMPUTED_VALUE"""),"UMAÑA HERRERA BLANCA")</f>
        <v>UMAÑA HERRERA BLANCA</v>
      </c>
      <c r="V223" t="str">
        <f>IFERROR(__xludf.DUMMYFUNCTION("""COMPUTED_VALUE"""),"11643375-3")</f>
        <v>11643375-3</v>
      </c>
      <c r="W223" t="str">
        <f>IFERROR(__xludf.DUMMYFUNCTION("""COMPUTED_VALUE"""),"NO")</f>
        <v>NO</v>
      </c>
      <c r="AA223" s="38">
        <f>IFERROR(__xludf.DUMMYFUNCTION("""COMPUTED_VALUE"""),43392.0)</f>
        <v>43392</v>
      </c>
      <c r="AB223" s="38">
        <f>IFERROR(__xludf.DUMMYFUNCTION("""COMPUTED_VALUE"""),43399.0)</f>
        <v>43399</v>
      </c>
      <c r="AF223" s="39"/>
      <c r="AG223" s="39"/>
      <c r="AH223" s="34" t="str">
        <f>IFERROR(__xludf.DUMMYFUNCTION("""COMPUTED_VALUE"""),"PROCESO DE SELECCIÓN")</f>
        <v>PROCESO DE SELECCIÓN</v>
      </c>
      <c r="AI223" s="34" t="str">
        <f>IFERROR(__xludf.DUMMYFUNCTION("""COMPUTED_VALUE"""),"GARCIA ESPINOZA ELIANA")</f>
        <v>GARCIA ESPINOZA ELIANA</v>
      </c>
      <c r="AJ223" s="34"/>
      <c r="AK223" s="34" t="str">
        <f>IFERROR(__xludf.DUMMYFUNCTION("""COMPUTED_VALUE"""),"P")</f>
        <v>P</v>
      </c>
      <c r="AL223">
        <f>IFERROR(__xludf.DUMMYFUNCTION("""COMPUTED_VALUE"""),177.0)</f>
        <v>177</v>
      </c>
      <c r="AM223">
        <f>IFERROR(__xludf.DUMMYFUNCTION("""COMPUTED_VALUE"""),2019.0)</f>
        <v>2019</v>
      </c>
      <c r="AN223" t="str">
        <f t="shared" si="1"/>
        <v>11643375-3</v>
      </c>
    </row>
    <row r="224">
      <c r="A224" s="33">
        <f>IFERROR(__xludf.DUMMYFUNCTION("""COMPUTED_VALUE"""),1.5794628E7)</f>
        <v>15794628</v>
      </c>
      <c r="B224" s="33">
        <f>IFERROR(__xludf.DUMMYFUNCTION("""COMPUTED_VALUE"""),128.0)</f>
        <v>128</v>
      </c>
      <c r="C224" s="33" t="str">
        <f>IFERROR(__xludf.DUMMYFUNCTION("""COMPUTED_VALUE"""),"ACTA2018-09")</f>
        <v>ACTA2018-09</v>
      </c>
      <c r="D224" s="34" t="str">
        <f>IFERROR(__xludf.DUMMYFUNCTION("""COMPUTED_VALUE"""),"INGRESAR CENTRO DE COSTO A LA DERECHA")</f>
        <v>INGRESAR CENTRO DE COSTO A LA DERECHA</v>
      </c>
      <c r="E224" s="34" t="str">
        <f>IFERROR(__xludf.DUMMYFUNCTION("""COMPUTED_VALUE"""),"ESCUELA DE PSICOLOGIA")</f>
        <v>ESCUELA DE PSICOLOGIA</v>
      </c>
      <c r="F224" s="34" t="str">
        <f>IFERROR(__xludf.DUMMYFUNCTION("""COMPUTED_VALUE"""),"Analista de Gestión Administrativa")</f>
        <v>Analista de Gestión Administrativa</v>
      </c>
      <c r="G224" s="33" t="str">
        <f>IFERROR(__xludf.DUMMYFUNCTION("""COMPUTED_VALUE"""),"ANALISTA DE GESTION ADMINISTRATIVA")</f>
        <v>ANALISTA DE GESTION ADMINISTRATIVA</v>
      </c>
      <c r="H224">
        <f>IFERROR(__xludf.DUMMYFUNCTION("""COMPUTED_VALUE"""),14.0)</f>
        <v>14</v>
      </c>
      <c r="I224" s="34" t="str">
        <f>IFERROR(__xludf.DUMMYFUNCTION("""COMPUTED_VALUE"""),"Jornada Completa")</f>
        <v>Jornada Completa</v>
      </c>
      <c r="J224" s="33" t="str">
        <f>IFERROR(__xludf.DUMMYFUNCTION("""COMPUTED_VALUE"""),"A CONTRATA")</f>
        <v>A CONTRATA</v>
      </c>
      <c r="K224" s="33" t="str">
        <f>IFERROR(__xludf.DUMMYFUNCTION("""COMPUTED_VALUE"""),"PROFESIONAL")</f>
        <v>PROFESIONAL</v>
      </c>
      <c r="L224" s="34" t="str">
        <f>IFERROR(__xludf.DUMMYFUNCTION("""COMPUTED_VALUE"""),"INTERNO")</f>
        <v>INTERNO</v>
      </c>
      <c r="M224" s="34">
        <f>IFERROR(__xludf.DUMMYFUNCTION("""COMPUTED_VALUE"""),10.0)</f>
        <v>10</v>
      </c>
      <c r="N224" s="34" t="str">
        <f>IFERROR(__xludf.DUMMYFUNCTION("""COMPUTED_VALUE"""),"NO")</f>
        <v>NO</v>
      </c>
      <c r="O224">
        <f>IFERROR(__xludf.DUMMYFUNCTION("""COMPUTED_VALUE"""),0.0)</f>
        <v>0</v>
      </c>
      <c r="P224">
        <f>IFERROR(__xludf.DUMMYFUNCTION("""COMPUTED_VALUE"""),1.0)</f>
        <v>1</v>
      </c>
      <c r="Q224" s="35">
        <f>IFERROR(__xludf.DUMMYFUNCTION("""COMPUTED_VALUE"""),0.0)</f>
        <v>0</v>
      </c>
      <c r="R224" s="36" t="str">
        <f>IFERROR(__xludf.DUMMYFUNCTION("""COMPUTED_VALUE"""),"SELECCIONADA")</f>
        <v>SELECCIONADA</v>
      </c>
      <c r="S224" s="37">
        <f>IFERROR(__xludf.DUMMYFUNCTION("""COMPUTED_VALUE"""),43535.0)</f>
        <v>43535</v>
      </c>
      <c r="T224" s="34" t="str">
        <f>IFERROR(__xludf.DUMMYFUNCTION("""COMPUTED_VALUE"""),"GALAZ MANCILLA MARIELA ALEJANDRA")</f>
        <v>GALAZ MANCILLA MARIELA ALEJANDRA</v>
      </c>
      <c r="V224" t="str">
        <f>IFERROR(__xludf.DUMMYFUNCTION("""COMPUTED_VALUE"""),"15794628-5")</f>
        <v>15794628-5</v>
      </c>
      <c r="W224" t="str">
        <f>IFERROR(__xludf.DUMMYFUNCTION("""COMPUTED_VALUE"""),"SI")</f>
        <v>SI</v>
      </c>
      <c r="X224" t="str">
        <f>IFERROR(__xludf.DUMMYFUNCTION("""COMPUTED_VALUE"""),"Capacidad de Planificacion y Organizacion")</f>
        <v>Capacidad de Planificacion y Organizacion</v>
      </c>
      <c r="AA224" s="38">
        <f>IFERROR(__xludf.DUMMYFUNCTION("""COMPUTED_VALUE"""),43444.0)</f>
        <v>43444</v>
      </c>
      <c r="AB224" s="38">
        <f>IFERROR(__xludf.DUMMYFUNCTION("""COMPUTED_VALUE"""),43451.0)</f>
        <v>43451</v>
      </c>
      <c r="AF224" s="39"/>
      <c r="AG224" s="39"/>
      <c r="AH224" s="34" t="str">
        <f>IFERROR(__xludf.DUMMYFUNCTION("""COMPUTED_VALUE"""),"PROCESO DE SELECCIÓN")</f>
        <v>PROCESO DE SELECCIÓN</v>
      </c>
      <c r="AI224" s="34" t="str">
        <f>IFERROR(__xludf.DUMMYFUNCTION("""COMPUTED_VALUE"""),"-")</f>
        <v>-</v>
      </c>
      <c r="AJ224" s="34"/>
      <c r="AK224" s="34" t="str">
        <f>IFERROR(__xludf.DUMMYFUNCTION("""COMPUTED_VALUE"""),"C")</f>
        <v>C</v>
      </c>
      <c r="AL224">
        <f>IFERROR(__xludf.DUMMYFUNCTION("""COMPUTED_VALUE"""),61.0)</f>
        <v>61</v>
      </c>
      <c r="AM224">
        <f>IFERROR(__xludf.DUMMYFUNCTION("""COMPUTED_VALUE"""),2018.0)</f>
        <v>2018</v>
      </c>
      <c r="AN224" t="str">
        <f t="shared" si="1"/>
        <v>15794628-5</v>
      </c>
    </row>
    <row r="225">
      <c r="A225" s="33">
        <f>IFERROR(__xludf.DUMMYFUNCTION("""COMPUTED_VALUE"""),1.5050864E7)</f>
        <v>15050864</v>
      </c>
      <c r="B225" s="33">
        <f>IFERROR(__xludf.DUMMYFUNCTION("""COMPUTED_VALUE"""),129.0)</f>
        <v>129</v>
      </c>
      <c r="C225" s="33" t="str">
        <f>IFERROR(__xludf.DUMMYFUNCTION("""COMPUTED_VALUE"""),"a251")</f>
        <v>a251</v>
      </c>
      <c r="D225" s="34" t="str">
        <f>IFERROR(__xludf.DUMMYFUNCTION("""COMPUTED_VALUE"""),"INGRESAR CENTRO DE COSTO A LA DERECHA")</f>
        <v>INGRESAR CENTRO DE COSTO A LA DERECHA</v>
      </c>
      <c r="E225" s="34" t="str">
        <f>IFERROR(__xludf.DUMMYFUNCTION("""COMPUTED_VALUE"""),"DPTO. DE FINANZAS Y TESORERIA")</f>
        <v>DPTO. DE FINANZAS Y TESORERIA</v>
      </c>
      <c r="F225" s="34" t="str">
        <f>IFERROR(__xludf.DUMMYFUNCTION("""COMPUTED_VALUE"""),"Administrativo(a) Contable")</f>
        <v>Administrativo(a) Contable</v>
      </c>
      <c r="G225" s="33" t="str">
        <f>IFERROR(__xludf.DUMMYFUNCTION("""COMPUTED_VALUE"""),"ADMINISTRATIVA CONTABLE")</f>
        <v>ADMINISTRATIVA CONTABLE</v>
      </c>
      <c r="H225">
        <f>IFERROR(__xludf.DUMMYFUNCTION("""COMPUTED_VALUE"""),17.0)</f>
        <v>17</v>
      </c>
      <c r="I225" s="34" t="str">
        <f>IFERROR(__xludf.DUMMYFUNCTION("""COMPUTED_VALUE"""),"Jornada Completa")</f>
        <v>Jornada Completa</v>
      </c>
      <c r="J225" s="33" t="str">
        <f>IFERROR(__xludf.DUMMYFUNCTION("""COMPUTED_VALUE"""),"A CONTRATA")</f>
        <v>A CONTRATA</v>
      </c>
      <c r="K225" s="33" t="str">
        <f>IFERROR(__xludf.DUMMYFUNCTION("""COMPUTED_VALUE"""),"TECNICO")</f>
        <v>TECNICO</v>
      </c>
      <c r="L225" s="34" t="str">
        <f>IFERROR(__xludf.DUMMYFUNCTION("""COMPUTED_VALUE"""),"INTERNO")</f>
        <v>INTERNO</v>
      </c>
      <c r="M225" s="34">
        <f>IFERROR(__xludf.DUMMYFUNCTION("""COMPUTED_VALUE"""),2.0)</f>
        <v>2</v>
      </c>
      <c r="N225" s="34" t="str">
        <f>IFERROR(__xludf.DUMMYFUNCTION("""COMPUTED_VALUE"""),"NO")</f>
        <v>NO</v>
      </c>
      <c r="O225">
        <f>IFERROR(__xludf.DUMMYFUNCTION("""COMPUTED_VALUE"""),0.0)</f>
        <v>0</v>
      </c>
      <c r="P225">
        <f>IFERROR(__xludf.DUMMYFUNCTION("""COMPUTED_VALUE"""),1.0)</f>
        <v>1</v>
      </c>
      <c r="Q225" s="35">
        <f>IFERROR(__xludf.DUMMYFUNCTION("""COMPUTED_VALUE"""),0.0)</f>
        <v>0</v>
      </c>
      <c r="R225" s="36" t="str">
        <f>IFERROR(__xludf.DUMMYFUNCTION("""COMPUTED_VALUE"""),"SELECCIONADA")</f>
        <v>SELECCIONADA</v>
      </c>
      <c r="S225" s="37">
        <f>IFERROR(__xludf.DUMMYFUNCTION("""COMPUTED_VALUE"""),43537.0)</f>
        <v>43537</v>
      </c>
      <c r="T225" s="34" t="str">
        <f>IFERROR(__xludf.DUMMYFUNCTION("""COMPUTED_VALUE"""),"LOPEZ CORTES ELIZABETH YOLANDA")</f>
        <v>LOPEZ CORTES ELIZABETH YOLANDA</v>
      </c>
      <c r="V225" t="str">
        <f>IFERROR(__xludf.DUMMYFUNCTION("""COMPUTED_VALUE"""),"15050864-9")</f>
        <v>15050864-9</v>
      </c>
      <c r="W225" t="str">
        <f>IFERROR(__xludf.DUMMYFUNCTION("""COMPUTED_VALUE"""),"SI")</f>
        <v>SI</v>
      </c>
      <c r="X225" t="str">
        <f>IFERROR(__xludf.DUMMYFUNCTION("""COMPUTED_VALUE"""),"Trabajo en Equipo")</f>
        <v>Trabajo en Equipo</v>
      </c>
      <c r="AA225" s="38">
        <f>IFERROR(__xludf.DUMMYFUNCTION("""COMPUTED_VALUE"""),43398.0)</f>
        <v>43398</v>
      </c>
      <c r="AB225" s="38">
        <f>IFERROR(__xludf.DUMMYFUNCTION("""COMPUTED_VALUE"""),43409.0)</f>
        <v>43409</v>
      </c>
      <c r="AF225" s="39"/>
      <c r="AG225" s="39"/>
      <c r="AH225" s="34" t="str">
        <f>IFERROR(__xludf.DUMMYFUNCTION("""COMPUTED_VALUE"""),"PROCESO DE SELECCIÓN")</f>
        <v>PROCESO DE SELECCIÓN</v>
      </c>
      <c r="AI225" s="34" t="str">
        <f>IFERROR(__xludf.DUMMYFUNCTION("""COMPUTED_VALUE"""),"CUBILLOS CASTRO MARIA")</f>
        <v>CUBILLOS CASTRO MARIA</v>
      </c>
      <c r="AJ225" s="34"/>
      <c r="AK225" s="34" t="str">
        <f>IFERROR(__xludf.DUMMYFUNCTION("""COMPUTED_VALUE"""),"C")</f>
        <v>C</v>
      </c>
      <c r="AL225">
        <f>IFERROR(__xludf.DUMMYFUNCTION("""COMPUTED_VALUE"""),93.0)</f>
        <v>93</v>
      </c>
      <c r="AM225">
        <f>IFERROR(__xludf.DUMMYFUNCTION("""COMPUTED_VALUE"""),2018.0)</f>
        <v>2018</v>
      </c>
      <c r="AN225" t="str">
        <f t="shared" si="1"/>
        <v>15050864-9</v>
      </c>
    </row>
    <row r="226">
      <c r="A226" s="33">
        <f>IFERROR(__xludf.DUMMYFUNCTION("""COMPUTED_VALUE"""),1.5083887E7)</f>
        <v>15083887</v>
      </c>
      <c r="B226" s="33">
        <f>IFERROR(__xludf.DUMMYFUNCTION("""COMPUTED_VALUE"""),1.0)</f>
        <v>1</v>
      </c>
      <c r="C226" s="33"/>
      <c r="D226" s="34" t="str">
        <f>IFERROR(__xludf.DUMMYFUNCTION("""COMPUTED_VALUE"""),"INGRESAR CENTRO DE COSTO A LA DERECHA")</f>
        <v>INGRESAR CENTRO DE COSTO A LA DERECHA</v>
      </c>
      <c r="E226" s="34" t="str">
        <f>IFERROR(__xludf.DUMMYFUNCTION("""COMPUTED_VALUE"""),"DPTO. DE PUBLICIDAD E IMAGEN")</f>
        <v>DPTO. DE PUBLICIDAD E IMAGEN</v>
      </c>
      <c r="F226" s="34" t="str">
        <f>IFERROR(__xludf.DUMMYFUNCTION("""COMPUTED_VALUE"""),"Secretario(a) de Apoyo Docente")</f>
        <v>Secretario(a) de Apoyo Docente</v>
      </c>
      <c r="G226" s="33" t="str">
        <f>IFERROR(__xludf.DUMMYFUNCTION("""COMPUTED_VALUE"""),"SECRETARIO(A) DE APOYO DOCENTE")</f>
        <v>SECRETARIO(A) DE APOYO DOCENTE</v>
      </c>
      <c r="H226">
        <f>IFERROR(__xludf.DUMMYFUNCTION("""COMPUTED_VALUE"""),17.0)</f>
        <v>17</v>
      </c>
      <c r="I226" s="34" t="str">
        <f>IFERROR(__xludf.DUMMYFUNCTION("""COMPUTED_VALUE"""),"Jornada Completa")</f>
        <v>Jornada Completa</v>
      </c>
      <c r="J226" s="33" t="str">
        <f>IFERROR(__xludf.DUMMYFUNCTION("""COMPUTED_VALUE"""),"A CONTRATA")</f>
        <v>A CONTRATA</v>
      </c>
      <c r="K226" s="33" t="str">
        <f>IFERROR(__xludf.DUMMYFUNCTION("""COMPUTED_VALUE"""),"ADMINISTRATIVO")</f>
        <v>ADMINISTRATIVO</v>
      </c>
      <c r="L226" s="34" t="str">
        <f>IFERROR(__xludf.DUMMYFUNCTION("""COMPUTED_VALUE"""),"INTERNO")</f>
        <v>INTERNO</v>
      </c>
      <c r="M226" s="34">
        <f>IFERROR(__xludf.DUMMYFUNCTION("""COMPUTED_VALUE"""),0.0)</f>
        <v>0</v>
      </c>
      <c r="N226" s="34" t="str">
        <f>IFERROR(__xludf.DUMMYFUNCTION("""COMPUTED_VALUE"""),"EXTERNO")</f>
        <v>EXTERNO</v>
      </c>
      <c r="O226">
        <f>IFERROR(__xludf.DUMMYFUNCTION("""COMPUTED_VALUE"""),13.0)</f>
        <v>13</v>
      </c>
      <c r="P226">
        <f>IFERROR(__xludf.DUMMYFUNCTION("""COMPUTED_VALUE"""),1.0)</f>
        <v>1</v>
      </c>
      <c r="Q226" s="35">
        <f>IFERROR(__xludf.DUMMYFUNCTION("""COMPUTED_VALUE"""),1.0)</f>
        <v>1</v>
      </c>
      <c r="R226" s="36" t="str">
        <f>IFERROR(__xludf.DUMMYFUNCTION("""COMPUTED_VALUE"""),"SELECCIONADA")</f>
        <v>SELECCIONADA</v>
      </c>
      <c r="S226" s="37">
        <f>IFERROR(__xludf.DUMMYFUNCTION("""COMPUTED_VALUE"""),42857.0)</f>
        <v>42857</v>
      </c>
      <c r="T226" s="34"/>
      <c r="U226" t="str">
        <f>IFERROR(__xludf.DUMMYFUNCTION("""COMPUTED_VALUE"""),"MARIBEL MUÑOZ GUERRA")</f>
        <v>MARIBEL MUÑOZ GUERRA</v>
      </c>
      <c r="V226" t="str">
        <f>IFERROR(__xludf.DUMMYFUNCTION("""COMPUTED_VALUE"""),"15083887-8")</f>
        <v>15083887-8</v>
      </c>
      <c r="W226" t="str">
        <f>IFERROR(__xludf.DUMMYFUNCTION("""COMPUTED_VALUE"""),"SI")</f>
        <v>SI</v>
      </c>
      <c r="X226" t="str">
        <f>IFERROR(__xludf.DUMMYFUNCTION("""COMPUTED_VALUE"""),"Franqueza- Confiabilidad- Integridad")</f>
        <v>Franqueza- Confiabilidad- Integridad</v>
      </c>
      <c r="AA226" s="38">
        <f>IFERROR(__xludf.DUMMYFUNCTION("""COMPUTED_VALUE"""),42807.0)</f>
        <v>42807</v>
      </c>
      <c r="AB226" s="38">
        <f>IFERROR(__xludf.DUMMYFUNCTION("""COMPUTED_VALUE"""),42814.0)</f>
        <v>42814</v>
      </c>
      <c r="AF226" s="39"/>
      <c r="AG226" s="39"/>
      <c r="AH226" s="34" t="str">
        <f>IFERROR(__xludf.DUMMYFUNCTION("""COMPUTED_VALUE"""),"PROCESO DE SELECCIÓN")</f>
        <v>PROCESO DE SELECCIÓN</v>
      </c>
      <c r="AI226" s="34" t="str">
        <f>IFERROR(__xludf.DUMMYFUNCTION("""COMPUTED_VALUE"""),"AUTORIZADO 2016")</f>
        <v>AUTORIZADO 2016</v>
      </c>
      <c r="AJ226" s="34"/>
      <c r="AK226" s="34" t="str">
        <f>IFERROR(__xludf.DUMMYFUNCTION("""COMPUTED_VALUE"""),"E")</f>
        <v>E</v>
      </c>
      <c r="AL226">
        <f>IFERROR(__xludf.DUMMYFUNCTION("""COMPUTED_VALUE"""),32.0)</f>
        <v>32</v>
      </c>
      <c r="AM226">
        <f>IFERROR(__xludf.DUMMYFUNCTION("""COMPUTED_VALUE"""),2017.0)</f>
        <v>2017</v>
      </c>
      <c r="AN226" t="str">
        <f t="shared" si="1"/>
        <v>15083887-8</v>
      </c>
    </row>
    <row r="227">
      <c r="A227" s="33">
        <f>IFERROR(__xludf.DUMMYFUNCTION("""COMPUTED_VALUE"""),1.3750423E7)</f>
        <v>13750423</v>
      </c>
      <c r="B227" s="33">
        <f>IFERROR(__xludf.DUMMYFUNCTION("""COMPUTED_VALUE"""),2.0)</f>
        <v>2</v>
      </c>
      <c r="C227" s="33"/>
      <c r="D227" s="34" t="str">
        <f>IFERROR(__xludf.DUMMYFUNCTION("""COMPUTED_VALUE"""),"INGRESAR CENTRO DE COSTO A LA DERECHA")</f>
        <v>INGRESAR CENTRO DE COSTO A LA DERECHA</v>
      </c>
      <c r="E227" s="34" t="str">
        <f>IFERROR(__xludf.DUMMYFUNCTION("""COMPUTED_VALUE"""),"PRORRECTORIA")</f>
        <v>PRORRECTORIA</v>
      </c>
      <c r="F227" s="34" t="str">
        <f>IFERROR(__xludf.DUMMYFUNCTION("""COMPUTED_VALUE"""),"Jefe(a) de Área")</f>
        <v>Jefe(a) de Área</v>
      </c>
      <c r="G227" s="33" t="str">
        <f>IFERROR(__xludf.DUMMYFUNCTION("""COMPUTED_VALUE"""),"JEFE DE AREA")</f>
        <v>JEFE DE AREA</v>
      </c>
      <c r="H227">
        <f>IFERROR(__xludf.DUMMYFUNCTION("""COMPUTED_VALUE"""),8.0)</f>
        <v>8</v>
      </c>
      <c r="I227" s="34" t="str">
        <f>IFERROR(__xludf.DUMMYFUNCTION("""COMPUTED_VALUE"""),"Jornada Completa")</f>
        <v>Jornada Completa</v>
      </c>
      <c r="J227" s="33" t="str">
        <f>IFERROR(__xludf.DUMMYFUNCTION("""COMPUTED_VALUE"""),"A CONTRATA")</f>
        <v>A CONTRATA</v>
      </c>
      <c r="K227" s="33" t="str">
        <f>IFERROR(__xludf.DUMMYFUNCTION("""COMPUTED_VALUE"""),"PROFESIONAL")</f>
        <v>PROFESIONAL</v>
      </c>
      <c r="L227" s="34" t="str">
        <f>IFERROR(__xludf.DUMMYFUNCTION("""COMPUTED_VALUE"""),"INTERNO")</f>
        <v>INTERNO</v>
      </c>
      <c r="M227" s="34">
        <f>IFERROR(__xludf.DUMMYFUNCTION("""COMPUTED_VALUE"""),16.0)</f>
        <v>16</v>
      </c>
      <c r="N227" s="34" t="str">
        <f>IFERROR(__xludf.DUMMYFUNCTION("""COMPUTED_VALUE"""),"NO")</f>
        <v>NO</v>
      </c>
      <c r="P227">
        <f>IFERROR(__xludf.DUMMYFUNCTION("""COMPUTED_VALUE"""),2.0)</f>
        <v>2</v>
      </c>
      <c r="Q227" s="35">
        <f>IFERROR(__xludf.DUMMYFUNCTION("""COMPUTED_VALUE"""),0.0)</f>
        <v>0</v>
      </c>
      <c r="R227" s="36" t="str">
        <f>IFERROR(__xludf.DUMMYFUNCTION("""COMPUTED_VALUE"""),"SELECCIONADA")</f>
        <v>SELECCIONADA</v>
      </c>
      <c r="S227" s="37">
        <f>IFERROR(__xludf.DUMMYFUNCTION("""COMPUTED_VALUE"""),42836.0)</f>
        <v>42836</v>
      </c>
      <c r="T227" s="34" t="str">
        <f>IFERROR(__xludf.DUMMYFUNCTION("""COMPUTED_VALUE"""),"TAPIA AREVALO MARCELA ANDREA")</f>
        <v>TAPIA AREVALO MARCELA ANDREA</v>
      </c>
      <c r="V227" t="str">
        <f>IFERROR(__xludf.DUMMYFUNCTION("""COMPUTED_VALUE"""),"13750423-5")</f>
        <v>13750423-5</v>
      </c>
      <c r="W227" t="str">
        <f>IFERROR(__xludf.DUMMYFUNCTION("""COMPUTED_VALUE"""),"SI")</f>
        <v>SI</v>
      </c>
      <c r="X227" t="str">
        <f>IFERROR(__xludf.DUMMYFUNCTION("""COMPUTED_VALUE"""),"LIDERAZGO")</f>
        <v>LIDERAZGO</v>
      </c>
      <c r="AA227" s="38">
        <f>IFERROR(__xludf.DUMMYFUNCTION("""COMPUTED_VALUE"""),42808.0)</f>
        <v>42808</v>
      </c>
      <c r="AB227" s="38">
        <f>IFERROR(__xludf.DUMMYFUNCTION("""COMPUTED_VALUE"""),42811.0)</f>
        <v>42811</v>
      </c>
      <c r="AC227">
        <f>IFERROR(__xludf.DUMMYFUNCTION("""COMPUTED_VALUE"""),14.0)</f>
        <v>14</v>
      </c>
      <c r="AD227" t="str">
        <f>IFERROR(__xludf.DUMMYFUNCTION("""COMPUTED_VALUE"""),"PROFESIONAL")</f>
        <v>PROFESIONAL</v>
      </c>
      <c r="AE227" t="str">
        <f>IFERROR(__xludf.DUMMYFUNCTION("""COMPUTED_VALUE"""),"ANALISTA DE GESTION ADMINISTRATIVA")</f>
        <v>ANALISTA DE GESTION ADMINISTRATIVA</v>
      </c>
      <c r="AF227" s="39" t="str">
        <f>IFERROR(__xludf.DUMMYFUNCTION("""COMPUTED_VALUE"""),"ESCUELA DE MEDICINA")</f>
        <v>ESCUELA DE MEDICINA</v>
      </c>
      <c r="AG227" s="39" t="str">
        <f>IFERROR(__xludf.DUMMYFUNCTION("""COMPUTED_VALUE"""),"FALTAN DOCUMENTOS EN CARPETA")</f>
        <v>FALTAN DOCUMENTOS EN CARPETA</v>
      </c>
      <c r="AH227" s="34" t="str">
        <f>IFERROR(__xludf.DUMMYFUNCTION("""COMPUTED_VALUE"""),"PROCESO DE SELECCIÓN")</f>
        <v>PROCESO DE SELECCIÓN</v>
      </c>
      <c r="AI227" s="34" t="str">
        <f>IFERROR(__xludf.DUMMYFUNCTION("""COMPUTED_VALUE"""),"PAOLA REYES REYES")</f>
        <v>PAOLA REYES REYES</v>
      </c>
      <c r="AJ227" s="34"/>
      <c r="AK227" s="34" t="str">
        <f>IFERROR(__xludf.DUMMYFUNCTION("""COMPUTED_VALUE"""),"C")</f>
        <v>C</v>
      </c>
      <c r="AL227">
        <f>IFERROR(__xludf.DUMMYFUNCTION("""COMPUTED_VALUE"""),18.0)</f>
        <v>18</v>
      </c>
      <c r="AM227">
        <f>IFERROR(__xludf.DUMMYFUNCTION("""COMPUTED_VALUE"""),2017.0)</f>
        <v>2017</v>
      </c>
      <c r="AN227" t="str">
        <f t="shared" si="1"/>
        <v>13750423-5</v>
      </c>
    </row>
    <row r="228">
      <c r="A228" s="33">
        <f>IFERROR(__xludf.DUMMYFUNCTION("""COMPUTED_VALUE"""),1.5347267E7)</f>
        <v>15347267</v>
      </c>
      <c r="B228" s="33">
        <f>IFERROR(__xludf.DUMMYFUNCTION("""COMPUTED_VALUE"""),3.0)</f>
        <v>3</v>
      </c>
      <c r="C228" s="33"/>
      <c r="D228" s="34" t="str">
        <f>IFERROR(__xludf.DUMMYFUNCTION("""COMPUTED_VALUE"""),"INGRESAR CENTRO DE COSTO A LA DERECHA")</f>
        <v>INGRESAR CENTRO DE COSTO A LA DERECHA</v>
      </c>
      <c r="E228" s="34" t="str">
        <f>IFERROR(__xludf.DUMMYFUNCTION("""COMPUTED_VALUE"""),"DPTO. DE DEPORTES")</f>
        <v>DPTO. DE DEPORTES</v>
      </c>
      <c r="F228" s="34" t="str">
        <f>IFERROR(__xludf.DUMMYFUNCTION("""COMPUTED_VALUE"""),"Entrenador(a) Deportivo(a)")</f>
        <v>Entrenador(a) Deportivo(a)</v>
      </c>
      <c r="G228" s="33" t="str">
        <f>IFERROR(__xludf.DUMMYFUNCTION("""COMPUTED_VALUE"""),"PROFESOR ENTRENADOR DEPORTIVO (VOLEIBOL)")</f>
        <v>PROFESOR ENTRENADOR DEPORTIVO (VOLEIBOL)</v>
      </c>
      <c r="H228">
        <f>IFERROR(__xludf.DUMMYFUNCTION("""COMPUTED_VALUE"""),13.0)</f>
        <v>13</v>
      </c>
      <c r="I228" s="34" t="str">
        <f>IFERROR(__xludf.DUMMYFUNCTION("""COMPUTED_VALUE"""),"1/2 Jornada")</f>
        <v>1/2 Jornada</v>
      </c>
      <c r="J228" s="33" t="str">
        <f>IFERROR(__xludf.DUMMYFUNCTION("""COMPUTED_VALUE"""),"A CONTRATA")</f>
        <v>A CONTRATA</v>
      </c>
      <c r="K228" s="33" t="str">
        <f>IFERROR(__xludf.DUMMYFUNCTION("""COMPUTED_VALUE"""),"PROFESIONAL")</f>
        <v>PROFESIONAL</v>
      </c>
      <c r="L228" s="34" t="str">
        <f>IFERROR(__xludf.DUMMYFUNCTION("""COMPUTED_VALUE"""),"INTERNO")</f>
        <v>INTERNO</v>
      </c>
      <c r="M228" s="34">
        <f>IFERROR(__xludf.DUMMYFUNCTION("""COMPUTED_VALUE"""),0.0)</f>
        <v>0</v>
      </c>
      <c r="N228" s="34" t="str">
        <f>IFERROR(__xludf.DUMMYFUNCTION("""COMPUTED_VALUE"""),"EXTERNO")</f>
        <v>EXTERNO</v>
      </c>
      <c r="O228">
        <f>IFERROR(__xludf.DUMMYFUNCTION("""COMPUTED_VALUE"""),7.0)</f>
        <v>7</v>
      </c>
      <c r="P228">
        <f>IFERROR(__xludf.DUMMYFUNCTION("""COMPUTED_VALUE"""),1.0)</f>
        <v>1</v>
      </c>
      <c r="Q228" s="35">
        <f>IFERROR(__xludf.DUMMYFUNCTION("""COMPUTED_VALUE"""),1.0)</f>
        <v>1</v>
      </c>
      <c r="R228" s="36" t="str">
        <f>IFERROR(__xludf.DUMMYFUNCTION("""COMPUTED_VALUE"""),"SELECCIONADO")</f>
        <v>SELECCIONADO</v>
      </c>
      <c r="S228" s="37">
        <f>IFERROR(__xludf.DUMMYFUNCTION("""COMPUTED_VALUE"""),42851.0)</f>
        <v>42851</v>
      </c>
      <c r="T228" s="34"/>
      <c r="U228" t="str">
        <f>IFERROR(__xludf.DUMMYFUNCTION("""COMPUTED_VALUE"""),"CRISTIAN ESCOBAR ZUÑIGA")</f>
        <v>CRISTIAN ESCOBAR ZUÑIGA</v>
      </c>
      <c r="V228" t="str">
        <f>IFERROR(__xludf.DUMMYFUNCTION("""COMPUTED_VALUE"""),"15347267-K")</f>
        <v>15347267-K</v>
      </c>
      <c r="W228" t="str">
        <f>IFERROR(__xludf.DUMMYFUNCTION("""COMPUTED_VALUE"""),"NO")</f>
        <v>NO</v>
      </c>
      <c r="AA228" s="38">
        <f>IFERROR(__xludf.DUMMYFUNCTION("""COMPUTED_VALUE"""),42816.0)</f>
        <v>42816</v>
      </c>
      <c r="AB228" s="38">
        <f>IFERROR(__xludf.DUMMYFUNCTION("""COMPUTED_VALUE"""),42823.0)</f>
        <v>42823</v>
      </c>
      <c r="AF228" s="39"/>
      <c r="AG228" s="39"/>
      <c r="AH228" s="34" t="str">
        <f>IFERROR(__xludf.DUMMYFUNCTION("""COMPUTED_VALUE"""),"PROCESO DE SELECCIÓN")</f>
        <v>PROCESO DE SELECCIÓN</v>
      </c>
      <c r="AI228" s="34" t="str">
        <f>IFERROR(__xludf.DUMMYFUNCTION("""COMPUTED_VALUE"""),"ALEJANDRO TORO CATALAN")</f>
        <v>ALEJANDRO TORO CATALAN</v>
      </c>
      <c r="AJ228" s="34"/>
      <c r="AK228" s="34" t="str">
        <f>IFERROR(__xludf.DUMMYFUNCTION("""COMPUTED_VALUE"""),"P")</f>
        <v>P</v>
      </c>
      <c r="AL228">
        <f>IFERROR(__xludf.DUMMYFUNCTION("""COMPUTED_VALUE"""),21.0)</f>
        <v>21</v>
      </c>
      <c r="AM228">
        <f>IFERROR(__xludf.DUMMYFUNCTION("""COMPUTED_VALUE"""),2017.0)</f>
        <v>2017</v>
      </c>
      <c r="AN228" t="str">
        <f t="shared" si="1"/>
        <v>15347267-K</v>
      </c>
    </row>
    <row r="229">
      <c r="A229" s="33">
        <f>IFERROR(__xludf.DUMMYFUNCTION("""COMPUTED_VALUE"""),1.6578821E7)</f>
        <v>16578821</v>
      </c>
      <c r="B229" s="33">
        <f>IFERROR(__xludf.DUMMYFUNCTION("""COMPUTED_VALUE"""),4.0)</f>
        <v>4</v>
      </c>
      <c r="C229" s="33"/>
      <c r="D229" s="34" t="str">
        <f>IFERROR(__xludf.DUMMYFUNCTION("""COMPUTED_VALUE"""),"INGRESAR CENTRO DE COSTO A LA DERECHA")</f>
        <v>INGRESAR CENTRO DE COSTO A LA DERECHA</v>
      </c>
      <c r="E229" s="34" t="str">
        <f>IFERROR(__xludf.DUMMYFUNCTION("""COMPUTED_VALUE"""),"DPTO. DE RECURSOS HUMANOS")</f>
        <v>DPTO. DE RECURSOS HUMANOS</v>
      </c>
      <c r="F229" s="34" t="str">
        <f>IFERROR(__xludf.DUMMYFUNCTION("""COMPUTED_VALUE"""),"Administrativo(a) de Remuneraciones")</f>
        <v>Administrativo(a) de Remuneraciones</v>
      </c>
      <c r="G229" s="33" t="str">
        <f>IFERROR(__xludf.DUMMYFUNCTION("""COMPUTED_VALUE"""),"ADMINISTRATIVO DE REMUNERACIONES")</f>
        <v>ADMINISTRATIVO DE REMUNERACIONES</v>
      </c>
      <c r="H229">
        <f>IFERROR(__xludf.DUMMYFUNCTION("""COMPUTED_VALUE"""),17.0)</f>
        <v>17</v>
      </c>
      <c r="I229" s="34" t="str">
        <f>IFERROR(__xludf.DUMMYFUNCTION("""COMPUTED_VALUE"""),"Jornada Completa")</f>
        <v>Jornada Completa</v>
      </c>
      <c r="J229" s="33" t="str">
        <f>IFERROR(__xludf.DUMMYFUNCTION("""COMPUTED_VALUE"""),"A CONTRATA")</f>
        <v>A CONTRATA</v>
      </c>
      <c r="K229" s="33" t="str">
        <f>IFERROR(__xludf.DUMMYFUNCTION("""COMPUTED_VALUE"""),"ADMINISTRATIVO")</f>
        <v>ADMINISTRATIVO</v>
      </c>
      <c r="L229" s="34" t="str">
        <f>IFERROR(__xludf.DUMMYFUNCTION("""COMPUTED_VALUE"""),"INTERNO")</f>
        <v>INTERNO</v>
      </c>
      <c r="M229" s="34">
        <f>IFERROR(__xludf.DUMMYFUNCTION("""COMPUTED_VALUE"""),2.0)</f>
        <v>2</v>
      </c>
      <c r="N229" s="34" t="str">
        <f>IFERROR(__xludf.DUMMYFUNCTION("""COMPUTED_VALUE"""),"EXTERNO")</f>
        <v>EXTERNO</v>
      </c>
      <c r="O229">
        <f>IFERROR(__xludf.DUMMYFUNCTION("""COMPUTED_VALUE"""),23.0)</f>
        <v>23</v>
      </c>
      <c r="P229">
        <f>IFERROR(__xludf.DUMMYFUNCTION("""COMPUTED_VALUE"""),5.0)</f>
        <v>5</v>
      </c>
      <c r="Q229" s="35">
        <f>IFERROR(__xludf.DUMMYFUNCTION("""COMPUTED_VALUE"""),2.0)</f>
        <v>2</v>
      </c>
      <c r="R229" s="36" t="str">
        <f>IFERROR(__xludf.DUMMYFUNCTION("""COMPUTED_VALUE"""),"SELECCIONADA")</f>
        <v>SELECCIONADA</v>
      </c>
      <c r="S229" s="37">
        <f>IFERROR(__xludf.DUMMYFUNCTION("""COMPUTED_VALUE"""),42842.0)</f>
        <v>42842</v>
      </c>
      <c r="T229" s="34"/>
      <c r="U229" t="str">
        <f>IFERROR(__xludf.DUMMYFUNCTION("""COMPUTED_VALUE"""),"PAMELA ARMIJO CONTRERAS")</f>
        <v>PAMELA ARMIJO CONTRERAS</v>
      </c>
      <c r="V229" t="str">
        <f>IFERROR(__xludf.DUMMYFUNCTION("""COMPUTED_VALUE"""),"16578821-3")</f>
        <v>16578821-3</v>
      </c>
      <c r="W229" t="str">
        <f>IFERROR(__xludf.DUMMYFUNCTION("""COMPUTED_VALUE"""),"NO")</f>
        <v>NO</v>
      </c>
      <c r="AA229" s="38">
        <f>IFERROR(__xludf.DUMMYFUNCTION("""COMPUTED_VALUE"""),42796.0)</f>
        <v>42796</v>
      </c>
      <c r="AB229" s="38">
        <f>IFERROR(__xludf.DUMMYFUNCTION("""COMPUTED_VALUE"""),42803.0)</f>
        <v>42803</v>
      </c>
      <c r="AF229" s="39"/>
      <c r="AG229" s="39"/>
      <c r="AH229" s="34" t="str">
        <f>IFERROR(__xludf.DUMMYFUNCTION("""COMPUTED_VALUE"""),"PROCESO DE SELECCIÓN")</f>
        <v>PROCESO DE SELECCIÓN</v>
      </c>
      <c r="AI229" s="34" t="str">
        <f>IFERROR(__xludf.DUMMYFUNCTION("""COMPUTED_VALUE"""),"SERGIO DELGADO VERDEJO")</f>
        <v>SERGIO DELGADO VERDEJO</v>
      </c>
      <c r="AJ229" s="34"/>
      <c r="AK229" s="34" t="str">
        <f>IFERROR(__xludf.DUMMYFUNCTION("""COMPUTED_VALUE"""),"E")</f>
        <v>E</v>
      </c>
      <c r="AL229">
        <f>IFERROR(__xludf.DUMMYFUNCTION("""COMPUTED_VALUE"""),28.0)</f>
        <v>28</v>
      </c>
      <c r="AM229">
        <f>IFERROR(__xludf.DUMMYFUNCTION("""COMPUTED_VALUE"""),2017.0)</f>
        <v>2017</v>
      </c>
      <c r="AN229" t="str">
        <f t="shared" si="1"/>
        <v>16578821-3</v>
      </c>
    </row>
    <row r="230">
      <c r="A230" s="33">
        <f>IFERROR(__xludf.DUMMYFUNCTION("""COMPUTED_VALUE"""),1.5934235E7)</f>
        <v>15934235</v>
      </c>
      <c r="B230" s="33">
        <f>IFERROR(__xludf.DUMMYFUNCTION("""COMPUTED_VALUE"""),5.0)</f>
        <v>5</v>
      </c>
      <c r="C230" s="33"/>
      <c r="D230" s="34" t="str">
        <f>IFERROR(__xludf.DUMMYFUNCTION("""COMPUTED_VALUE"""),"INGRESAR CENTRO DE COSTO A LA DERECHA")</f>
        <v>INGRESAR CENTRO DE COSTO A LA DERECHA</v>
      </c>
      <c r="E230" s="34" t="str">
        <f>IFERROR(__xludf.DUMMYFUNCTION("""COMPUTED_VALUE"""),"VR. ACADEMICA")</f>
        <v>VR. ACADEMICA</v>
      </c>
      <c r="F230" s="34" t="str">
        <f>IFERROR(__xludf.DUMMYFUNCTION("""COMPUTED_VALUE"""),"Secretario(a) A")</f>
        <v>Secretario(a) A</v>
      </c>
      <c r="G230" s="33" t="str">
        <f>IFERROR(__xludf.DUMMYFUNCTION("""COMPUTED_VALUE"""),"SECRETARIO (A)")</f>
        <v>SECRETARIO (A)</v>
      </c>
      <c r="H230">
        <f>IFERROR(__xludf.DUMMYFUNCTION("""COMPUTED_VALUE"""),13.0)</f>
        <v>13</v>
      </c>
      <c r="I230" s="34" t="str">
        <f>IFERROR(__xludf.DUMMYFUNCTION("""COMPUTED_VALUE"""),"Jornada Completa")</f>
        <v>Jornada Completa</v>
      </c>
      <c r="J230" s="33" t="str">
        <f>IFERROR(__xludf.DUMMYFUNCTION("""COMPUTED_VALUE"""),"A CONTRATA")</f>
        <v>A CONTRATA</v>
      </c>
      <c r="K230" s="33" t="str">
        <f>IFERROR(__xludf.DUMMYFUNCTION("""COMPUTED_VALUE"""),"ADMINISTRATIVO")</f>
        <v>ADMINISTRATIVO</v>
      </c>
      <c r="L230" s="34" t="str">
        <f>IFERROR(__xludf.DUMMYFUNCTION("""COMPUTED_VALUE"""),"INTERNO")</f>
        <v>INTERNO</v>
      </c>
      <c r="M230" s="34">
        <f>IFERROR(__xludf.DUMMYFUNCTION("""COMPUTED_VALUE"""),4.0)</f>
        <v>4</v>
      </c>
      <c r="N230" s="34" t="str">
        <f>IFERROR(__xludf.DUMMYFUNCTION("""COMPUTED_VALUE"""),"NO")</f>
        <v>NO</v>
      </c>
      <c r="O230">
        <f>IFERROR(__xludf.DUMMYFUNCTION("""COMPUTED_VALUE"""),0.0)</f>
        <v>0</v>
      </c>
      <c r="P230">
        <f>IFERROR(__xludf.DUMMYFUNCTION("""COMPUTED_VALUE"""),2.0)</f>
        <v>2</v>
      </c>
      <c r="Q230" s="35">
        <f>IFERROR(__xludf.DUMMYFUNCTION("""COMPUTED_VALUE"""),0.0)</f>
        <v>0</v>
      </c>
      <c r="R230" s="36" t="str">
        <f>IFERROR(__xludf.DUMMYFUNCTION("""COMPUTED_VALUE"""),"SELECCIONADA")</f>
        <v>SELECCIONADA</v>
      </c>
      <c r="S230" s="37">
        <f>IFERROR(__xludf.DUMMYFUNCTION("""COMPUTED_VALUE"""),42887.0)</f>
        <v>42887</v>
      </c>
      <c r="T230" s="34" t="str">
        <f>IFERROR(__xludf.DUMMYFUNCTION("""COMPUTED_VALUE"""),"DIAMANTINO IBAR VALERY DENISSE")</f>
        <v>DIAMANTINO IBAR VALERY DENISSE</v>
      </c>
      <c r="V230" t="str">
        <f>IFERROR(__xludf.DUMMYFUNCTION("""COMPUTED_VALUE"""),"15934235-2")</f>
        <v>15934235-2</v>
      </c>
      <c r="W230" t="str">
        <f>IFERROR(__xludf.DUMMYFUNCTION("""COMPUTED_VALUE"""),"NO")</f>
        <v>NO</v>
      </c>
      <c r="AA230" s="38">
        <f>IFERROR(__xludf.DUMMYFUNCTION("""COMPUTED_VALUE"""),42810.0)</f>
        <v>42810</v>
      </c>
      <c r="AB230" s="38">
        <f>IFERROR(__xludf.DUMMYFUNCTION("""COMPUTED_VALUE"""),42818.0)</f>
        <v>42818</v>
      </c>
      <c r="AC230">
        <f>IFERROR(__xludf.DUMMYFUNCTION("""COMPUTED_VALUE"""),16.0)</f>
        <v>16</v>
      </c>
      <c r="AD230" t="str">
        <f>IFERROR(__xludf.DUMMYFUNCTION("""COMPUTED_VALUE"""),"ADMINISTRATIVO")</f>
        <v>ADMINISTRATIVO</v>
      </c>
      <c r="AE230" t="str">
        <f>IFERROR(__xludf.DUMMYFUNCTION("""COMPUTED_VALUE"""),"SECRETARIA APOYO DOCENTE")</f>
        <v>SECRETARIA APOYO DOCENTE</v>
      </c>
      <c r="AF230" s="39" t="str">
        <f>IFERROR(__xludf.DUMMYFUNCTION("""COMPUTED_VALUE"""),"DPTO. DE RECURSOS HUMANOS")</f>
        <v>DPTO. DE RECURSOS HUMANOS</v>
      </c>
      <c r="AG230" s="39"/>
      <c r="AH230" s="34" t="str">
        <f>IFERROR(__xludf.DUMMYFUNCTION("""COMPUTED_VALUE"""),"PROCESO DE SELECCIÓN")</f>
        <v>PROCESO DE SELECCIÓN</v>
      </c>
      <c r="AI230" s="34" t="str">
        <f>IFERROR(__xludf.DUMMYFUNCTION("""COMPUTED_VALUE"""),"JUDITH SILVA BARCAZÓ")</f>
        <v>JUDITH SILVA BARCAZÓ</v>
      </c>
      <c r="AJ230" s="34"/>
      <c r="AK230" s="34" t="str">
        <f>IFERROR(__xludf.DUMMYFUNCTION("""COMPUTED_VALUE"""),"C")</f>
        <v>C</v>
      </c>
      <c r="AL230">
        <f>IFERROR(__xludf.DUMMYFUNCTION("""COMPUTED_VALUE"""),50.0)</f>
        <v>50</v>
      </c>
      <c r="AM230">
        <f>IFERROR(__xludf.DUMMYFUNCTION("""COMPUTED_VALUE"""),2017.0)</f>
        <v>2017</v>
      </c>
      <c r="AN230" t="str">
        <f t="shared" si="1"/>
        <v>15934235-2</v>
      </c>
    </row>
    <row r="231">
      <c r="A231" s="33">
        <f>IFERROR(__xludf.DUMMYFUNCTION("""COMPUTED_VALUE"""),1.2502248E7)</f>
        <v>12502248</v>
      </c>
      <c r="B231" s="33">
        <f>IFERROR(__xludf.DUMMYFUNCTION("""COMPUTED_VALUE"""),6.0)</f>
        <v>6</v>
      </c>
      <c r="C231" s="33"/>
      <c r="D231" s="34" t="str">
        <f>IFERROR(__xludf.DUMMYFUNCTION("""COMPUTED_VALUE"""),"INGRESAR CENTRO DE COSTO A LA DERECHA")</f>
        <v>INGRESAR CENTRO DE COSTO A LA DERECHA</v>
      </c>
      <c r="E231" s="34" t="str">
        <f>IFERROR(__xludf.DUMMYFUNCTION("""COMPUTED_VALUE"""),"FACULTAD DE QUIMICA Y BIOLOGIA")</f>
        <v>FACULTAD DE QUIMICA Y BIOLOGIA</v>
      </c>
      <c r="F231" s="34" t="str">
        <f>IFERROR(__xludf.DUMMYFUNCTION("""COMPUTED_VALUE"""),"Analista de Gestión Administrativa")</f>
        <v>Analista de Gestión Administrativa</v>
      </c>
      <c r="G231" s="33" t="str">
        <f>IFERROR(__xludf.DUMMYFUNCTION("""COMPUTED_VALUE"""),"ANALISTA DE GESTION ADMINISTRATIVA")</f>
        <v>ANALISTA DE GESTION ADMINISTRATIVA</v>
      </c>
      <c r="H231">
        <f>IFERROR(__xludf.DUMMYFUNCTION("""COMPUTED_VALUE"""),14.0)</f>
        <v>14</v>
      </c>
      <c r="I231" s="34" t="str">
        <f>IFERROR(__xludf.DUMMYFUNCTION("""COMPUTED_VALUE"""),"Jornada Completa")</f>
        <v>Jornada Completa</v>
      </c>
      <c r="J231" s="33" t="str">
        <f>IFERROR(__xludf.DUMMYFUNCTION("""COMPUTED_VALUE"""),"A CONTRATA")</f>
        <v>A CONTRATA</v>
      </c>
      <c r="K231" s="33" t="str">
        <f>IFERROR(__xludf.DUMMYFUNCTION("""COMPUTED_VALUE"""),"PROFESIONAL")</f>
        <v>PROFESIONAL</v>
      </c>
      <c r="L231" s="34" t="str">
        <f>IFERROR(__xludf.DUMMYFUNCTION("""COMPUTED_VALUE"""),"INTERNO")</f>
        <v>INTERNO</v>
      </c>
      <c r="M231" s="34">
        <f>IFERROR(__xludf.DUMMYFUNCTION("""COMPUTED_VALUE"""),9.0)</f>
        <v>9</v>
      </c>
      <c r="N231" s="34" t="str">
        <f>IFERROR(__xludf.DUMMYFUNCTION("""COMPUTED_VALUE"""),"NO")</f>
        <v>NO</v>
      </c>
      <c r="O231">
        <f>IFERROR(__xludf.DUMMYFUNCTION("""COMPUTED_VALUE"""),0.0)</f>
        <v>0</v>
      </c>
      <c r="P231">
        <f>IFERROR(__xludf.DUMMYFUNCTION("""COMPUTED_VALUE"""),5.0)</f>
        <v>5</v>
      </c>
      <c r="Q231" s="35">
        <f>IFERROR(__xludf.DUMMYFUNCTION("""COMPUTED_VALUE"""),0.0)</f>
        <v>0</v>
      </c>
      <c r="R231" s="36" t="str">
        <f>IFERROR(__xludf.DUMMYFUNCTION("""COMPUTED_VALUE"""),"SELECCIONADA")</f>
        <v>SELECCIONADA</v>
      </c>
      <c r="S231" s="37">
        <f>IFERROR(__xludf.DUMMYFUNCTION("""COMPUTED_VALUE"""),42887.0)</f>
        <v>42887</v>
      </c>
      <c r="T231" s="34" t="str">
        <f>IFERROR(__xludf.DUMMYFUNCTION("""COMPUTED_VALUE"""),"VICTORIANO DONOSO MARGARITA DEL ROSARIO")</f>
        <v>VICTORIANO DONOSO MARGARITA DEL ROSARIO</v>
      </c>
      <c r="V231" t="str">
        <f>IFERROR(__xludf.DUMMYFUNCTION("""COMPUTED_VALUE"""),"12502248-0")</f>
        <v>12502248-0</v>
      </c>
      <c r="W231" t="str">
        <f>IFERROR(__xludf.DUMMYFUNCTION("""COMPUTED_VALUE"""),"SI")</f>
        <v>SI</v>
      </c>
      <c r="X231" t="str">
        <f>IFERROR(__xludf.DUMMYFUNCTION("""COMPUTED_VALUE"""),"CAPACIDAD DE PLANIFICACION Y ORGANIZACION")</f>
        <v>CAPACIDAD DE PLANIFICACION Y ORGANIZACION</v>
      </c>
      <c r="AA231" s="38">
        <f>IFERROR(__xludf.DUMMYFUNCTION("""COMPUTED_VALUE"""),42796.0)</f>
        <v>42796</v>
      </c>
      <c r="AB231" s="38">
        <f>IFERROR(__xludf.DUMMYFUNCTION("""COMPUTED_VALUE"""),42803.0)</f>
        <v>42803</v>
      </c>
      <c r="AF231" s="39"/>
      <c r="AG231" s="39"/>
      <c r="AH231" s="34" t="str">
        <f>IFERROR(__xludf.DUMMYFUNCTION("""COMPUTED_VALUE"""),"PROCESO DE SELECCIÓN")</f>
        <v>PROCESO DE SELECCIÓN</v>
      </c>
      <c r="AI231" s="34" t="str">
        <f>IFERROR(__xludf.DUMMYFUNCTION("""COMPUTED_VALUE"""),"AUTORIZADO 2016")</f>
        <v>AUTORIZADO 2016</v>
      </c>
      <c r="AJ231" s="34"/>
      <c r="AK231" s="34" t="str">
        <f>IFERROR(__xludf.DUMMYFUNCTION("""COMPUTED_VALUE"""),"C")</f>
        <v>C</v>
      </c>
      <c r="AL231">
        <f>IFERROR(__xludf.DUMMYFUNCTION("""COMPUTED_VALUE"""),61.0)</f>
        <v>61</v>
      </c>
      <c r="AM231">
        <f>IFERROR(__xludf.DUMMYFUNCTION("""COMPUTED_VALUE"""),2017.0)</f>
        <v>2017</v>
      </c>
      <c r="AN231" t="str">
        <f t="shared" si="1"/>
        <v>12502248-0</v>
      </c>
    </row>
    <row r="232">
      <c r="A232" s="33">
        <f>IFERROR(__xludf.DUMMYFUNCTION("""COMPUTED_VALUE"""),1.7316152E7)</f>
        <v>17316152</v>
      </c>
      <c r="B232" s="33">
        <f>IFERROR(__xludf.DUMMYFUNCTION("""COMPUTED_VALUE"""),7.0)</f>
        <v>7</v>
      </c>
      <c r="C232" s="33"/>
      <c r="D232" s="34" t="str">
        <f>IFERROR(__xludf.DUMMYFUNCTION("""COMPUTED_VALUE"""),"INGRESAR CENTRO DE COSTO A LA DERECHA")</f>
        <v>INGRESAR CENTRO DE COSTO A LA DERECHA</v>
      </c>
      <c r="E232" s="34" t="str">
        <f>IFERROR(__xludf.DUMMYFUNCTION("""COMPUTED_VALUE"""),"DPTO. DE COMUNICACIONES")</f>
        <v>DPTO. DE COMUNICACIONES</v>
      </c>
      <c r="F232" s="34" t="str">
        <f>IFERROR(__xludf.DUMMYFUNCTION("""COMPUTED_VALUE"""),"Encargado(a) de Ceremonial y Protocolo")</f>
        <v>Encargado(a) de Ceremonial y Protocolo</v>
      </c>
      <c r="G232" s="33" t="str">
        <f>IFERROR(__xludf.DUMMYFUNCTION("""COMPUTED_VALUE"""),"ENCARGADO DE CEREMONIA Y PROTOCOLO")</f>
        <v>ENCARGADO DE CEREMONIA Y PROTOCOLO</v>
      </c>
      <c r="H232">
        <f>IFERROR(__xludf.DUMMYFUNCTION("""COMPUTED_VALUE"""),13.0)</f>
        <v>13</v>
      </c>
      <c r="I232" s="34" t="str">
        <f>IFERROR(__xludf.DUMMYFUNCTION("""COMPUTED_VALUE"""),"1/2 Jornada")</f>
        <v>1/2 Jornada</v>
      </c>
      <c r="J232" s="33" t="str">
        <f>IFERROR(__xludf.DUMMYFUNCTION("""COMPUTED_VALUE"""),"A CONTRATA")</f>
        <v>A CONTRATA</v>
      </c>
      <c r="K232" s="33" t="str">
        <f>IFERROR(__xludf.DUMMYFUNCTION("""COMPUTED_VALUE"""),"PROFESIONAL")</f>
        <v>PROFESIONAL</v>
      </c>
      <c r="L232" s="34" t="str">
        <f>IFERROR(__xludf.DUMMYFUNCTION("""COMPUTED_VALUE"""),"INTERNO")</f>
        <v>INTERNO</v>
      </c>
      <c r="M232" s="34">
        <f>IFERROR(__xludf.DUMMYFUNCTION("""COMPUTED_VALUE"""),0.0)</f>
        <v>0</v>
      </c>
      <c r="N232" s="34" t="str">
        <f>IFERROR(__xludf.DUMMYFUNCTION("""COMPUTED_VALUE"""),"EXTERNO")</f>
        <v>EXTERNO</v>
      </c>
      <c r="O232">
        <f>IFERROR(__xludf.DUMMYFUNCTION("""COMPUTED_VALUE"""),4.0)</f>
        <v>4</v>
      </c>
      <c r="P232">
        <f>IFERROR(__xludf.DUMMYFUNCTION("""COMPUTED_VALUE"""),1.0)</f>
        <v>1</v>
      </c>
      <c r="Q232" s="35">
        <f>IFERROR(__xludf.DUMMYFUNCTION("""COMPUTED_VALUE"""),1.0)</f>
        <v>1</v>
      </c>
      <c r="R232" s="36" t="str">
        <f>IFERROR(__xludf.DUMMYFUNCTION("""COMPUTED_VALUE"""),"SELECCIONADA")</f>
        <v>SELECCIONADA</v>
      </c>
      <c r="S232" s="37">
        <f>IFERROR(__xludf.DUMMYFUNCTION("""COMPUTED_VALUE"""),42887.0)</f>
        <v>42887</v>
      </c>
      <c r="T232" s="34"/>
      <c r="U232" t="str">
        <f>IFERROR(__xludf.DUMMYFUNCTION("""COMPUTED_VALUE"""),"PAZ HENRIQUEZ CAAMAÑO")</f>
        <v>PAZ HENRIQUEZ CAAMAÑO</v>
      </c>
      <c r="V232" t="str">
        <f>IFERROR(__xludf.DUMMYFUNCTION("""COMPUTED_VALUE"""),"17316152-2")</f>
        <v>17316152-2</v>
      </c>
      <c r="W232" t="str">
        <f>IFERROR(__xludf.DUMMYFUNCTION("""COMPUTED_VALUE"""),"SI")</f>
        <v>SI</v>
      </c>
      <c r="X232" t="str">
        <f>IFERROR(__xludf.DUMMYFUNCTION("""COMPUTED_VALUE"""),"Iniciativa")</f>
        <v>Iniciativa</v>
      </c>
      <c r="Y232" t="str">
        <f>IFERROR(__xludf.DUMMYFUNCTION("""COMPUTED_VALUE"""),"PENSAMIENTO ESTRATEGICO")</f>
        <v>PENSAMIENTO ESTRATEGICO</v>
      </c>
      <c r="AA232" s="38">
        <f>IFERROR(__xludf.DUMMYFUNCTION("""COMPUTED_VALUE"""),42797.0)</f>
        <v>42797</v>
      </c>
      <c r="AB232" s="38">
        <f>IFERROR(__xludf.DUMMYFUNCTION("""COMPUTED_VALUE"""),42804.0)</f>
        <v>42804</v>
      </c>
      <c r="AF232" s="39"/>
      <c r="AG232" s="39"/>
      <c r="AH232" s="34" t="str">
        <f>IFERROR(__xludf.DUMMYFUNCTION("""COMPUTED_VALUE"""),"PROCESO DE SELECCIÓN")</f>
        <v>PROCESO DE SELECCIÓN</v>
      </c>
      <c r="AI232" s="34" t="str">
        <f>IFERROR(__xludf.DUMMYFUNCTION("""COMPUTED_VALUE"""),"AUTORIZADO 2016")</f>
        <v>AUTORIZADO 2016</v>
      </c>
      <c r="AJ232" s="34"/>
      <c r="AK232" s="34" t="str">
        <f>IFERROR(__xludf.DUMMYFUNCTION("""COMPUTED_VALUE"""),"P")</f>
        <v>P</v>
      </c>
      <c r="AL232">
        <f>IFERROR(__xludf.DUMMYFUNCTION("""COMPUTED_VALUE"""),60.0)</f>
        <v>60</v>
      </c>
      <c r="AM232">
        <f>IFERROR(__xludf.DUMMYFUNCTION("""COMPUTED_VALUE"""),2017.0)</f>
        <v>2017</v>
      </c>
      <c r="AN232" t="str">
        <f t="shared" si="1"/>
        <v>17316152-2</v>
      </c>
    </row>
    <row r="233">
      <c r="A233" s="33">
        <f>IFERROR(__xludf.DUMMYFUNCTION("""COMPUTED_VALUE"""),1.4534049E7)</f>
        <v>14534049</v>
      </c>
      <c r="B233" s="33">
        <f>IFERROR(__xludf.DUMMYFUNCTION("""COMPUTED_VALUE"""),8.0)</f>
        <v>8</v>
      </c>
      <c r="C233" s="33"/>
      <c r="D233" s="34" t="str">
        <f>IFERROR(__xludf.DUMMYFUNCTION("""COMPUTED_VALUE"""),"INGRESAR CENTRO DE COSTO A LA DERECHA")</f>
        <v>INGRESAR CENTRO DE COSTO A LA DERECHA</v>
      </c>
      <c r="E233" s="34" t="str">
        <f>IFERROR(__xludf.DUMMYFUNCTION("""COMPUTED_VALUE"""),"DPTO. DE INGENIERIA QUIMICA")</f>
        <v>DPTO. DE INGENIERIA QUIMICA</v>
      </c>
      <c r="F233" s="34" t="str">
        <f>IFERROR(__xludf.DUMMYFUNCTION("""COMPUTED_VALUE"""),"Mayordomo(a)")</f>
        <v>Mayordomo(a)</v>
      </c>
      <c r="G233" s="33" t="str">
        <f>IFERROR(__xludf.DUMMYFUNCTION("""COMPUTED_VALUE"""),"MAYORDOMO")</f>
        <v>MAYORDOMO</v>
      </c>
      <c r="H233">
        <f>IFERROR(__xludf.DUMMYFUNCTION("""COMPUTED_VALUE"""),21.0)</f>
        <v>21</v>
      </c>
      <c r="I233" s="34" t="str">
        <f>IFERROR(__xludf.DUMMYFUNCTION("""COMPUTED_VALUE"""),"Jornada Completa")</f>
        <v>Jornada Completa</v>
      </c>
      <c r="J233" s="33" t="str">
        <f>IFERROR(__xludf.DUMMYFUNCTION("""COMPUTED_VALUE"""),"A CONTRATA")</f>
        <v>A CONTRATA</v>
      </c>
      <c r="K233" s="33" t="str">
        <f>IFERROR(__xludf.DUMMYFUNCTION("""COMPUTED_VALUE"""),"AUXILIAR")</f>
        <v>AUXILIAR</v>
      </c>
      <c r="L233" s="34" t="str">
        <f>IFERROR(__xludf.DUMMYFUNCTION("""COMPUTED_VALUE"""),"INTERNO")</f>
        <v>INTERNO</v>
      </c>
      <c r="M233" s="34">
        <f>IFERROR(__xludf.DUMMYFUNCTION("""COMPUTED_VALUE"""),0.0)</f>
        <v>0</v>
      </c>
      <c r="N233" s="34" t="str">
        <f>IFERROR(__xludf.DUMMYFUNCTION("""COMPUTED_VALUE"""),"EXTERNO")</f>
        <v>EXTERNO</v>
      </c>
      <c r="O233">
        <f>IFERROR(__xludf.DUMMYFUNCTION("""COMPUTED_VALUE"""),10.0)</f>
        <v>10</v>
      </c>
      <c r="P233">
        <f>IFERROR(__xludf.DUMMYFUNCTION("""COMPUTED_VALUE"""),2.0)</f>
        <v>2</v>
      </c>
      <c r="Q233" s="35">
        <f>IFERROR(__xludf.DUMMYFUNCTION("""COMPUTED_VALUE"""),1.0)</f>
        <v>1</v>
      </c>
      <c r="R233" s="36" t="str">
        <f>IFERROR(__xludf.DUMMYFUNCTION("""COMPUTED_VALUE"""),"SELECCIONADO")</f>
        <v>SELECCIONADO</v>
      </c>
      <c r="S233" s="37">
        <f>IFERROR(__xludf.DUMMYFUNCTION("""COMPUTED_VALUE"""),42887.0)</f>
        <v>42887</v>
      </c>
      <c r="T233" s="34"/>
      <c r="U233" t="str">
        <f>IFERROR(__xludf.DUMMYFUNCTION("""COMPUTED_VALUE"""),"WILSON GUTIERREZ GALDAMEZ")</f>
        <v>WILSON GUTIERREZ GALDAMEZ</v>
      </c>
      <c r="V233" t="str">
        <f>IFERROR(__xludf.DUMMYFUNCTION("""COMPUTED_VALUE"""),"14534049-7")</f>
        <v>14534049-7</v>
      </c>
      <c r="W233" t="str">
        <f>IFERROR(__xludf.DUMMYFUNCTION("""COMPUTED_VALUE"""),"NO")</f>
        <v>NO</v>
      </c>
      <c r="AA233" s="38">
        <f>IFERROR(__xludf.DUMMYFUNCTION("""COMPUTED_VALUE"""),42818.0)</f>
        <v>42818</v>
      </c>
      <c r="AB233" s="38">
        <f>IFERROR(__xludf.DUMMYFUNCTION("""COMPUTED_VALUE"""),42825.0)</f>
        <v>42825</v>
      </c>
      <c r="AF233" s="39"/>
      <c r="AG233" s="39"/>
      <c r="AH233" s="34" t="str">
        <f>IFERROR(__xludf.DUMMYFUNCTION("""COMPUTED_VALUE"""),"PROCESO DE SELECCIÓN")</f>
        <v>PROCESO DE SELECCIÓN</v>
      </c>
      <c r="AI233" s="34" t="str">
        <f>IFERROR(__xludf.DUMMYFUNCTION("""COMPUTED_VALUE"""),"SERGIO CORTES HURTADO")</f>
        <v>SERGIO CORTES HURTADO</v>
      </c>
      <c r="AJ233" s="34"/>
      <c r="AK233" s="34" t="str">
        <f>IFERROR(__xludf.DUMMYFUNCTION("""COMPUTED_VALUE"""),"E")</f>
        <v>E</v>
      </c>
      <c r="AL233">
        <f>IFERROR(__xludf.DUMMYFUNCTION("""COMPUTED_VALUE"""),45.0)</f>
        <v>45</v>
      </c>
      <c r="AM233">
        <f>IFERROR(__xludf.DUMMYFUNCTION("""COMPUTED_VALUE"""),2017.0)</f>
        <v>2017</v>
      </c>
      <c r="AN233" t="str">
        <f t="shared" si="1"/>
        <v>14534049-7</v>
      </c>
    </row>
    <row r="234">
      <c r="A234" s="33">
        <f>IFERROR(__xludf.DUMMYFUNCTION("""COMPUTED_VALUE"""),1.8338937E7)</f>
        <v>18338937</v>
      </c>
      <c r="B234" s="33">
        <f>IFERROR(__xludf.DUMMYFUNCTION("""COMPUTED_VALUE"""),9.0)</f>
        <v>9</v>
      </c>
      <c r="C234" s="33"/>
      <c r="D234" s="34" t="str">
        <f>IFERROR(__xludf.DUMMYFUNCTION("""COMPUTED_VALUE"""),"INGRESAR CENTRO DE COSTO A LA DERECHA")</f>
        <v>INGRESAR CENTRO DE COSTO A LA DERECHA</v>
      </c>
      <c r="E234" s="34" t="str">
        <f>IFERROR(__xludf.DUMMYFUNCTION("""COMPUTED_VALUE"""),"UNIDAD DE DESARR. PROYECTOS TECN.")</f>
        <v>UNIDAD DE DESARR. PROYECTOS TECN.</v>
      </c>
      <c r="F234" s="34" t="str">
        <f>IFERROR(__xludf.DUMMYFUNCTION("""COMPUTED_VALUE"""),"Secretario(a) C")</f>
        <v>Secretario(a) C</v>
      </c>
      <c r="G234" s="33" t="str">
        <f>IFERROR(__xludf.DUMMYFUNCTION("""COMPUTED_VALUE"""),"SECRETARIO(A) C ADMINISTRATIVO")</f>
        <v>SECRETARIO(A) C ADMINISTRATIVO</v>
      </c>
      <c r="H234">
        <f>IFERROR(__xludf.DUMMYFUNCTION("""COMPUTED_VALUE"""),20.0)</f>
        <v>20</v>
      </c>
      <c r="I234" s="34" t="str">
        <f>IFERROR(__xludf.DUMMYFUNCTION("""COMPUTED_VALUE"""),"Jornada Completa")</f>
        <v>Jornada Completa</v>
      </c>
      <c r="J234" s="33" t="str">
        <f>IFERROR(__xludf.DUMMYFUNCTION("""COMPUTED_VALUE"""),"A CONTRATA")</f>
        <v>A CONTRATA</v>
      </c>
      <c r="K234" s="33" t="str">
        <f>IFERROR(__xludf.DUMMYFUNCTION("""COMPUTED_VALUE"""),"ADMINISTRATIVO")</f>
        <v>ADMINISTRATIVO</v>
      </c>
      <c r="L234" s="34" t="str">
        <f>IFERROR(__xludf.DUMMYFUNCTION("""COMPUTED_VALUE"""),"INTERNO")</f>
        <v>INTERNO</v>
      </c>
      <c r="M234" s="34">
        <f>IFERROR(__xludf.DUMMYFUNCTION("""COMPUTED_VALUE"""),0.0)</f>
        <v>0</v>
      </c>
      <c r="N234" s="34" t="str">
        <f>IFERROR(__xludf.DUMMYFUNCTION("""COMPUTED_VALUE"""),"EXTERNO")</f>
        <v>EXTERNO</v>
      </c>
      <c r="O234">
        <f>IFERROR(__xludf.DUMMYFUNCTION("""COMPUTED_VALUE"""),16.0)</f>
        <v>16</v>
      </c>
      <c r="P234">
        <f>IFERROR(__xludf.DUMMYFUNCTION("""COMPUTED_VALUE"""),2.0)</f>
        <v>2</v>
      </c>
      <c r="Q234" s="35">
        <f>IFERROR(__xludf.DUMMYFUNCTION("""COMPUTED_VALUE"""),1.0)</f>
        <v>1</v>
      </c>
      <c r="R234" s="36" t="str">
        <f>IFERROR(__xludf.DUMMYFUNCTION("""COMPUTED_VALUE"""),"SELECCIONADA")</f>
        <v>SELECCIONADA</v>
      </c>
      <c r="S234" s="37">
        <f>IFERROR(__xludf.DUMMYFUNCTION("""COMPUTED_VALUE"""),42891.0)</f>
        <v>42891</v>
      </c>
      <c r="T234" s="34"/>
      <c r="U234" t="str">
        <f>IFERROR(__xludf.DUMMYFUNCTION("""COMPUTED_VALUE"""),"KATHERINE GARATE MILLAN")</f>
        <v>KATHERINE GARATE MILLAN</v>
      </c>
      <c r="V234" t="str">
        <f>IFERROR(__xludf.DUMMYFUNCTION("""COMPUTED_VALUE"""),"18338937-8")</f>
        <v>18338937-8</v>
      </c>
      <c r="W234" t="str">
        <f>IFERROR(__xludf.DUMMYFUNCTION("""COMPUTED_VALUE"""),"NO")</f>
        <v>NO</v>
      </c>
      <c r="AA234" s="38">
        <f>IFERROR(__xludf.DUMMYFUNCTION("""COMPUTED_VALUE"""),42817.0)</f>
        <v>42817</v>
      </c>
      <c r="AB234" s="38">
        <f>IFERROR(__xludf.DUMMYFUNCTION("""COMPUTED_VALUE"""),42824.0)</f>
        <v>42824</v>
      </c>
      <c r="AF234" s="39"/>
      <c r="AG234" s="39"/>
      <c r="AH234" s="34" t="str">
        <f>IFERROR(__xludf.DUMMYFUNCTION("""COMPUTED_VALUE"""),"PROCESO DE SELECCIÓN")</f>
        <v>PROCESO DE SELECCIÓN</v>
      </c>
      <c r="AI234" s="34" t="str">
        <f>IFERROR(__xludf.DUMMYFUNCTION("""COMPUTED_VALUE"""),"VIOLETA ABARCA")</f>
        <v>VIOLETA ABARCA</v>
      </c>
      <c r="AJ234" s="34"/>
      <c r="AK234" s="34" t="str">
        <f>IFERROR(__xludf.DUMMYFUNCTION("""COMPUTED_VALUE"""),"E")</f>
        <v>E</v>
      </c>
      <c r="AL234">
        <f>IFERROR(__xludf.DUMMYFUNCTION("""COMPUTED_VALUE"""),48.0)</f>
        <v>48</v>
      </c>
      <c r="AM234">
        <f>IFERROR(__xludf.DUMMYFUNCTION("""COMPUTED_VALUE"""),2017.0)</f>
        <v>2017</v>
      </c>
      <c r="AN234" t="str">
        <f t="shared" si="1"/>
        <v>18338937-8</v>
      </c>
    </row>
    <row r="235">
      <c r="A235" s="33">
        <f>IFERROR(__xludf.DUMMYFUNCTION("""COMPUTED_VALUE"""),1.6348283E7)</f>
        <v>16348283</v>
      </c>
      <c r="B235" s="33">
        <f>IFERROR(__xludf.DUMMYFUNCTION("""COMPUTED_VALUE"""),10.0)</f>
        <v>10</v>
      </c>
      <c r="C235" s="33"/>
      <c r="D235" s="34" t="str">
        <f>IFERROR(__xludf.DUMMYFUNCTION("""COMPUTED_VALUE"""),"INGRESAR CENTRO DE COSTO A LA DERECHA")</f>
        <v>INGRESAR CENTRO DE COSTO A LA DERECHA</v>
      </c>
      <c r="E235" s="34" t="str">
        <f>IFERROR(__xludf.DUMMYFUNCTION("""COMPUTED_VALUE"""),"DPTO. DE BIOLOGIA")</f>
        <v>DPTO. DE BIOLOGIA</v>
      </c>
      <c r="F235" s="34" t="str">
        <f>IFERROR(__xludf.DUMMYFUNCTION("""COMPUTED_VALUE"""),"Técnico(a) de Laboratorio")</f>
        <v>Técnico(a) de Laboratorio</v>
      </c>
      <c r="G235" s="33" t="str">
        <f>IFERROR(__xludf.DUMMYFUNCTION("""COMPUTED_VALUE"""),"TECNICO DE LABORATORIO")</f>
        <v>TECNICO DE LABORATORIO</v>
      </c>
      <c r="H235">
        <f>IFERROR(__xludf.DUMMYFUNCTION("""COMPUTED_VALUE"""),17.0)</f>
        <v>17</v>
      </c>
      <c r="I235" s="34" t="str">
        <f>IFERROR(__xludf.DUMMYFUNCTION("""COMPUTED_VALUE"""),"Jornada Completa")</f>
        <v>Jornada Completa</v>
      </c>
      <c r="J235" s="33" t="str">
        <f>IFERROR(__xludf.DUMMYFUNCTION("""COMPUTED_VALUE"""),"A CONTRATA")</f>
        <v>A CONTRATA</v>
      </c>
      <c r="K235" s="33" t="str">
        <f>IFERROR(__xludf.DUMMYFUNCTION("""COMPUTED_VALUE"""),"TECNICO")</f>
        <v>TECNICO</v>
      </c>
      <c r="L235" s="34" t="str">
        <f>IFERROR(__xludf.DUMMYFUNCTION("""COMPUTED_VALUE"""),"INTERNO")</f>
        <v>INTERNO</v>
      </c>
      <c r="M235" s="34">
        <f>IFERROR(__xludf.DUMMYFUNCTION("""COMPUTED_VALUE"""),1.0)</f>
        <v>1</v>
      </c>
      <c r="N235" s="34" t="str">
        <f>IFERROR(__xludf.DUMMYFUNCTION("""COMPUTED_VALUE"""),"EXTERNO")</f>
        <v>EXTERNO</v>
      </c>
      <c r="O235">
        <f>IFERROR(__xludf.DUMMYFUNCTION("""COMPUTED_VALUE"""),16.0)</f>
        <v>16</v>
      </c>
      <c r="P235">
        <f>IFERROR(__xludf.DUMMYFUNCTION("""COMPUTED_VALUE"""),2.0)</f>
        <v>2</v>
      </c>
      <c r="Q235" s="35">
        <f>IFERROR(__xludf.DUMMYFUNCTION("""COMPUTED_VALUE"""),3.0)</f>
        <v>3</v>
      </c>
      <c r="R235" s="36" t="str">
        <f>IFERROR(__xludf.DUMMYFUNCTION("""COMPUTED_VALUE"""),"SELECCIONADA")</f>
        <v>SELECCIONADA</v>
      </c>
      <c r="S235" s="37">
        <f>IFERROR(__xludf.DUMMYFUNCTION("""COMPUTED_VALUE"""),42870.0)</f>
        <v>42870</v>
      </c>
      <c r="T235" s="34"/>
      <c r="U235" t="str">
        <f>IFERROR(__xludf.DUMMYFUNCTION("""COMPUTED_VALUE"""),"CAROL MEZA VALDERRAMA")</f>
        <v>CAROL MEZA VALDERRAMA</v>
      </c>
      <c r="V235" t="str">
        <f>IFERROR(__xludf.DUMMYFUNCTION("""COMPUTED_VALUE"""),"16348283-5")</f>
        <v>16348283-5</v>
      </c>
      <c r="W235" t="str">
        <f>IFERROR(__xludf.DUMMYFUNCTION("""COMPUTED_VALUE"""),"NO")</f>
        <v>NO</v>
      </c>
      <c r="AA235" s="38">
        <f>IFERROR(__xludf.DUMMYFUNCTION("""COMPUTED_VALUE"""),42795.0)</f>
        <v>42795</v>
      </c>
      <c r="AB235" s="38">
        <f>IFERROR(__xludf.DUMMYFUNCTION("""COMPUTED_VALUE"""),42802.0)</f>
        <v>42802</v>
      </c>
      <c r="AF235" s="39"/>
      <c r="AG235" s="39"/>
      <c r="AH235" s="34" t="str">
        <f>IFERROR(__xludf.DUMMYFUNCTION("""COMPUTED_VALUE"""),"PROCESO DE SELECCIÓN")</f>
        <v>PROCESO DE SELECCIÓN</v>
      </c>
      <c r="AI235" s="34" t="str">
        <f>IFERROR(__xludf.DUMMYFUNCTION("""COMPUTED_VALUE"""),"JOCELYN VALENZUELA MELLA")</f>
        <v>JOCELYN VALENZUELA MELLA</v>
      </c>
      <c r="AJ235" s="34"/>
      <c r="AK235" s="34" t="str">
        <f>IFERROR(__xludf.DUMMYFUNCTION("""COMPUTED_VALUE"""),"C")</f>
        <v>C</v>
      </c>
      <c r="AL235">
        <f>IFERROR(__xludf.DUMMYFUNCTION("""COMPUTED_VALUE"""),49.0)</f>
        <v>49</v>
      </c>
      <c r="AM235">
        <f>IFERROR(__xludf.DUMMYFUNCTION("""COMPUTED_VALUE"""),2017.0)</f>
        <v>2017</v>
      </c>
      <c r="AN235" t="str">
        <f t="shared" si="1"/>
        <v>16348283-5</v>
      </c>
    </row>
    <row r="236">
      <c r="A236" s="33">
        <f>IFERROR(__xludf.DUMMYFUNCTION("""COMPUTED_VALUE"""),1.9241477E7)</f>
        <v>19241477</v>
      </c>
      <c r="B236" s="33">
        <f>IFERROR(__xludf.DUMMYFUNCTION("""COMPUTED_VALUE"""),11.0)</f>
        <v>11</v>
      </c>
      <c r="C236" s="33"/>
      <c r="D236" s="34" t="str">
        <f>IFERROR(__xludf.DUMMYFUNCTION("""COMPUTED_VALUE"""),"INGRESAR CENTRO DE COSTO A LA DERECHA")</f>
        <v>INGRESAR CENTRO DE COSTO A LA DERECHA</v>
      </c>
      <c r="E236" s="34" t="str">
        <f>IFERROR(__xludf.DUMMYFUNCTION("""COMPUTED_VALUE"""),"FACULTAD DE QUIMICA Y BIOLOGIA")</f>
        <v>FACULTAD DE QUIMICA Y BIOLOGIA</v>
      </c>
      <c r="F236" s="34" t="str">
        <f>IFERROR(__xludf.DUMMYFUNCTION("""COMPUTED_VALUE"""),"Asistente de Laboratorio")</f>
        <v>Asistente de Laboratorio</v>
      </c>
      <c r="G236" s="33" t="str">
        <f>IFERROR(__xludf.DUMMYFUNCTION("""COMPUTED_VALUE"""),"ASISTENTE DE LABORATORIO")</f>
        <v>ASISTENTE DE LABORATORIO</v>
      </c>
      <c r="H236">
        <f>IFERROR(__xludf.DUMMYFUNCTION("""COMPUTED_VALUE"""),20.0)</f>
        <v>20</v>
      </c>
      <c r="I236" s="34" t="str">
        <f>IFERROR(__xludf.DUMMYFUNCTION("""COMPUTED_VALUE"""),"Jornada Completa")</f>
        <v>Jornada Completa</v>
      </c>
      <c r="J236" s="33" t="str">
        <f>IFERROR(__xludf.DUMMYFUNCTION("""COMPUTED_VALUE"""),"A CONTRATA")</f>
        <v>A CONTRATA</v>
      </c>
      <c r="K236" s="33" t="str">
        <f>IFERROR(__xludf.DUMMYFUNCTION("""COMPUTED_VALUE"""),"TECNICO")</f>
        <v>TECNICO</v>
      </c>
      <c r="L236" s="34" t="str">
        <f>IFERROR(__xludf.DUMMYFUNCTION("""COMPUTED_VALUE"""),"INTERNO")</f>
        <v>INTERNO</v>
      </c>
      <c r="M236" s="34">
        <f>IFERROR(__xludf.DUMMYFUNCTION("""COMPUTED_VALUE"""),0.0)</f>
        <v>0</v>
      </c>
      <c r="N236" s="34" t="str">
        <f>IFERROR(__xludf.DUMMYFUNCTION("""COMPUTED_VALUE"""),"EXTERNO")</f>
        <v>EXTERNO</v>
      </c>
      <c r="O236">
        <f>IFERROR(__xludf.DUMMYFUNCTION("""COMPUTED_VALUE"""),24.0)</f>
        <v>24</v>
      </c>
      <c r="P236">
        <f>IFERROR(__xludf.DUMMYFUNCTION("""COMPUTED_VALUE"""),2.0)</f>
        <v>2</v>
      </c>
      <c r="Q236" s="35">
        <f>IFERROR(__xludf.DUMMYFUNCTION("""COMPUTED_VALUE"""),4.0)</f>
        <v>4</v>
      </c>
      <c r="R236" s="36" t="str">
        <f>IFERROR(__xludf.DUMMYFUNCTION("""COMPUTED_VALUE"""),"SELECCIONADO")</f>
        <v>SELECCIONADO</v>
      </c>
      <c r="S236" s="37">
        <f>IFERROR(__xludf.DUMMYFUNCTION("""COMPUTED_VALUE"""),42877.0)</f>
        <v>42877</v>
      </c>
      <c r="T236" s="34"/>
      <c r="U236" t="str">
        <f>IFERROR(__xludf.DUMMYFUNCTION("""COMPUTED_VALUE"""),"SEBASTIAN RIVERO GUZMAN")</f>
        <v>SEBASTIAN RIVERO GUZMAN</v>
      </c>
      <c r="V236" t="str">
        <f>IFERROR(__xludf.DUMMYFUNCTION("""COMPUTED_VALUE"""),"19241477-6")</f>
        <v>19241477-6</v>
      </c>
      <c r="W236" t="str">
        <f>IFERROR(__xludf.DUMMYFUNCTION("""COMPUTED_VALUE"""),"SI")</f>
        <v>SI</v>
      </c>
      <c r="X236" t="str">
        <f>IFERROR(__xludf.DUMMYFUNCTION("""COMPUTED_VALUE"""),"TRABAJO EN EQUIPO")</f>
        <v>TRABAJO EN EQUIPO</v>
      </c>
      <c r="AA236" s="38">
        <f>IFERROR(__xludf.DUMMYFUNCTION("""COMPUTED_VALUE"""),42795.0)</f>
        <v>42795</v>
      </c>
      <c r="AB236" s="38">
        <f>IFERROR(__xludf.DUMMYFUNCTION("""COMPUTED_VALUE"""),42802.0)</f>
        <v>42802</v>
      </c>
      <c r="AF236" s="39"/>
      <c r="AG236" s="39"/>
      <c r="AH236" s="34" t="str">
        <f>IFERROR(__xludf.DUMMYFUNCTION("""COMPUTED_VALUE"""),"PROCESO DE SELECCIÓN")</f>
        <v>PROCESO DE SELECCIÓN</v>
      </c>
      <c r="AI236" s="34" t="str">
        <f>IFERROR(__xludf.DUMMYFUNCTION("""COMPUTED_VALUE"""),"DAVID BARAHONA MUÑOZ")</f>
        <v>DAVID BARAHONA MUÑOZ</v>
      </c>
      <c r="AJ236" s="34"/>
      <c r="AK236" s="34" t="str">
        <f>IFERROR(__xludf.DUMMYFUNCTION("""COMPUTED_VALUE"""),"P")</f>
        <v>P</v>
      </c>
      <c r="AL236">
        <f>IFERROR(__xludf.DUMMYFUNCTION("""COMPUTED_VALUE"""),54.0)</f>
        <v>54</v>
      </c>
      <c r="AM236">
        <f>IFERROR(__xludf.DUMMYFUNCTION("""COMPUTED_VALUE"""),2017.0)</f>
        <v>2017</v>
      </c>
      <c r="AN236" t="str">
        <f t="shared" si="1"/>
        <v>19241477-6</v>
      </c>
    </row>
    <row r="237">
      <c r="A237" s="33">
        <f>IFERROR(__xludf.DUMMYFUNCTION("""COMPUTED_VALUE"""),1.6704249E7)</f>
        <v>16704249</v>
      </c>
      <c r="B237" s="33">
        <f>IFERROR(__xludf.DUMMYFUNCTION("""COMPUTED_VALUE"""),12.0)</f>
        <v>12</v>
      </c>
      <c r="C237" s="33"/>
      <c r="D237" s="34" t="str">
        <f>IFERROR(__xludf.DUMMYFUNCTION("""COMPUTED_VALUE"""),"INGRESAR CENTRO DE COSTO A LA DERECHA")</f>
        <v>INGRESAR CENTRO DE COSTO A LA DERECHA</v>
      </c>
      <c r="E237" s="34" t="str">
        <f>IFERROR(__xludf.DUMMYFUNCTION("""COMPUTED_VALUE"""),"DPTO. DE COMUNICACIONES")</f>
        <v>DPTO. DE COMUNICACIONES</v>
      </c>
      <c r="F237" s="34" t="str">
        <f>IFERROR(__xludf.DUMMYFUNCTION("""COMPUTED_VALUE"""),"Camarógrafo(a)")</f>
        <v>Camarógrafo(a)</v>
      </c>
      <c r="G237" s="33" t="str">
        <f>IFERROR(__xludf.DUMMYFUNCTION("""COMPUTED_VALUE"""),"CAMARÓGRAFO")</f>
        <v>CAMARÓGRAFO</v>
      </c>
      <c r="H237">
        <f>IFERROR(__xludf.DUMMYFUNCTION("""COMPUTED_VALUE"""),13.0)</f>
        <v>13</v>
      </c>
      <c r="I237" s="34" t="str">
        <f>IFERROR(__xludf.DUMMYFUNCTION("""COMPUTED_VALUE"""),"Jornada Completa")</f>
        <v>Jornada Completa</v>
      </c>
      <c r="J237" s="33" t="str">
        <f>IFERROR(__xludf.DUMMYFUNCTION("""COMPUTED_VALUE"""),"A CONTRATA")</f>
        <v>A CONTRATA</v>
      </c>
      <c r="K237" s="33" t="str">
        <f>IFERROR(__xludf.DUMMYFUNCTION("""COMPUTED_VALUE"""),"TECNICO")</f>
        <v>TECNICO</v>
      </c>
      <c r="L237" s="34" t="str">
        <f>IFERROR(__xludf.DUMMYFUNCTION("""COMPUTED_VALUE"""),"INTERNO")</f>
        <v>INTERNO</v>
      </c>
      <c r="M237" s="34">
        <f>IFERROR(__xludf.DUMMYFUNCTION("""COMPUTED_VALUE"""),1.0)</f>
        <v>1</v>
      </c>
      <c r="N237" s="34" t="str">
        <f>IFERROR(__xludf.DUMMYFUNCTION("""COMPUTED_VALUE"""),"EXTERNO")</f>
        <v>EXTERNO</v>
      </c>
      <c r="O237">
        <f>IFERROR(__xludf.DUMMYFUNCTION("""COMPUTED_VALUE"""),20.0)</f>
        <v>20</v>
      </c>
      <c r="P237">
        <f>IFERROR(__xludf.DUMMYFUNCTION("""COMPUTED_VALUE"""),1.0)</f>
        <v>1</v>
      </c>
      <c r="Q237" s="35">
        <f>IFERROR(__xludf.DUMMYFUNCTION("""COMPUTED_VALUE"""),1.0)</f>
        <v>1</v>
      </c>
      <c r="R237" s="36" t="str">
        <f>IFERROR(__xludf.DUMMYFUNCTION("""COMPUTED_VALUE"""),"SELECCIONADO")</f>
        <v>SELECCIONADO</v>
      </c>
      <c r="S237" s="37">
        <f>IFERROR(__xludf.DUMMYFUNCTION("""COMPUTED_VALUE"""),42948.0)</f>
        <v>42948</v>
      </c>
      <c r="T237" s="34"/>
      <c r="U237" t="str">
        <f>IFERROR(__xludf.DUMMYFUNCTION("""COMPUTED_VALUE"""),"GONZALO VILLARROEL AYALA")</f>
        <v>GONZALO VILLARROEL AYALA</v>
      </c>
      <c r="V237" t="str">
        <f>IFERROR(__xludf.DUMMYFUNCTION("""COMPUTED_VALUE"""),"16704249-K")</f>
        <v>16704249-K</v>
      </c>
      <c r="W237" t="str">
        <f>IFERROR(__xludf.DUMMYFUNCTION("""COMPUTED_VALUE"""),"SI")</f>
        <v>SI</v>
      </c>
      <c r="X237" t="str">
        <f>IFERROR(__xludf.DUMMYFUNCTION("""COMPUTED_VALUE"""),"FLEXIBILIDAD")</f>
        <v>FLEXIBILIDAD</v>
      </c>
      <c r="AA237" s="38">
        <f>IFERROR(__xludf.DUMMYFUNCTION("""COMPUTED_VALUE"""),42860.0)</f>
        <v>42860</v>
      </c>
      <c r="AB237" s="38">
        <f>IFERROR(__xludf.DUMMYFUNCTION("""COMPUTED_VALUE"""),42867.0)</f>
        <v>42867</v>
      </c>
      <c r="AF237" s="39"/>
      <c r="AG237" s="39"/>
      <c r="AH237" s="34" t="str">
        <f>IFERROR(__xludf.DUMMYFUNCTION("""COMPUTED_VALUE"""),"PROCESO DE SELECCIÓN")</f>
        <v>PROCESO DE SELECCIÓN</v>
      </c>
      <c r="AI237" s="34" t="str">
        <f>IFERROR(__xludf.DUMMYFUNCTION("""COMPUTED_VALUE"""),"BASTIAN GONZALEZ TAPIA")</f>
        <v>BASTIAN GONZALEZ TAPIA</v>
      </c>
      <c r="AJ237" s="34"/>
      <c r="AK237" s="34" t="str">
        <f>IFERROR(__xludf.DUMMYFUNCTION("""COMPUTED_VALUE"""),"E")</f>
        <v>E</v>
      </c>
      <c r="AL237">
        <f>IFERROR(__xludf.DUMMYFUNCTION("""COMPUTED_VALUE"""),58.0)</f>
        <v>58</v>
      </c>
      <c r="AM237">
        <f>IFERROR(__xludf.DUMMYFUNCTION("""COMPUTED_VALUE"""),2017.0)</f>
        <v>2017</v>
      </c>
      <c r="AN237" t="str">
        <f t="shared" si="1"/>
        <v>16704249-K</v>
      </c>
    </row>
    <row r="238">
      <c r="A238" s="33">
        <f>IFERROR(__xludf.DUMMYFUNCTION("""COMPUTED_VALUE"""),1.8766421E7)</f>
        <v>18766421</v>
      </c>
      <c r="B238" s="33">
        <f>IFERROR(__xludf.DUMMYFUNCTION("""COMPUTED_VALUE"""),13.0)</f>
        <v>13</v>
      </c>
      <c r="C238" s="33"/>
      <c r="D238" s="34" t="str">
        <f>IFERROR(__xludf.DUMMYFUNCTION("""COMPUTED_VALUE"""),"INGRESAR CENTRO DE COSTO A LA DERECHA")</f>
        <v>INGRESAR CENTRO DE COSTO A LA DERECHA</v>
      </c>
      <c r="E238" s="34" t="str">
        <f>IFERROR(__xludf.DUMMYFUNCTION("""COMPUTED_VALUE"""),"DPTO. DE DESARROLLO DE PERSONAS")</f>
        <v>DPTO. DE DESARROLLO DE PERSONAS</v>
      </c>
      <c r="F238" s="34" t="str">
        <f>IFERROR(__xludf.DUMMYFUNCTION("""COMPUTED_VALUE"""),"Analista de Gestión II")</f>
        <v>Analista de Gestión II</v>
      </c>
      <c r="G238" s="33" t="str">
        <f>IFERROR(__xludf.DUMMYFUNCTION("""COMPUTED_VALUE"""),"ANALISTA DE GESTION II")</f>
        <v>ANALISTA DE GESTION II</v>
      </c>
      <c r="H238">
        <f>IFERROR(__xludf.DUMMYFUNCTION("""COMPUTED_VALUE"""),13.0)</f>
        <v>13</v>
      </c>
      <c r="I238" s="34" t="str">
        <f>IFERROR(__xludf.DUMMYFUNCTION("""COMPUTED_VALUE"""),"Jornada Completa")</f>
        <v>Jornada Completa</v>
      </c>
      <c r="J238" s="33" t="str">
        <f>IFERROR(__xludf.DUMMYFUNCTION("""COMPUTED_VALUE"""),"A CONTRATA")</f>
        <v>A CONTRATA</v>
      </c>
      <c r="K238" s="33" t="str">
        <f>IFERROR(__xludf.DUMMYFUNCTION("""COMPUTED_VALUE"""),"PROFESIONAL")</f>
        <v>PROFESIONAL</v>
      </c>
      <c r="L238" s="34" t="str">
        <f>IFERROR(__xludf.DUMMYFUNCTION("""COMPUTED_VALUE"""),"INTERNO")</f>
        <v>INTERNO</v>
      </c>
      <c r="M238" s="34">
        <f>IFERROR(__xludf.DUMMYFUNCTION("""COMPUTED_VALUE"""),2.0)</f>
        <v>2</v>
      </c>
      <c r="N238" s="34" t="str">
        <f>IFERROR(__xludf.DUMMYFUNCTION("""COMPUTED_VALUE"""),"EXTERNO")</f>
        <v>EXTERNO</v>
      </c>
      <c r="O238">
        <f>IFERROR(__xludf.DUMMYFUNCTION("""COMPUTED_VALUE"""),9.0)</f>
        <v>9</v>
      </c>
      <c r="P238">
        <f>IFERROR(__xludf.DUMMYFUNCTION("""COMPUTED_VALUE"""),1.0)</f>
        <v>1</v>
      </c>
      <c r="Q238" s="35">
        <f>IFERROR(__xludf.DUMMYFUNCTION("""COMPUTED_VALUE"""),1.0)</f>
        <v>1</v>
      </c>
      <c r="R238" s="36" t="str">
        <f>IFERROR(__xludf.DUMMYFUNCTION("""COMPUTED_VALUE"""),"SELECCIONADO")</f>
        <v>SELECCIONADO</v>
      </c>
      <c r="S238" s="37">
        <f>IFERROR(__xludf.DUMMYFUNCTION("""COMPUTED_VALUE"""),42935.0)</f>
        <v>42935</v>
      </c>
      <c r="T238" s="34"/>
      <c r="U238" t="str">
        <f>IFERROR(__xludf.DUMMYFUNCTION("""COMPUTED_VALUE"""),"DANIEL PEREZ ALCANTARA")</f>
        <v>DANIEL PEREZ ALCANTARA</v>
      </c>
      <c r="V238" t="str">
        <f>IFERROR(__xludf.DUMMYFUNCTION("""COMPUTED_VALUE"""),"18766421-7")</f>
        <v>18766421-7</v>
      </c>
      <c r="AA238" s="38">
        <f>IFERROR(__xludf.DUMMYFUNCTION("""COMPUTED_VALUE"""),42915.0)</f>
        <v>42915</v>
      </c>
      <c r="AB238" s="38">
        <f>IFERROR(__xludf.DUMMYFUNCTION("""COMPUTED_VALUE"""),42919.0)</f>
        <v>42919</v>
      </c>
      <c r="AF238" s="39"/>
      <c r="AG238" s="39"/>
      <c r="AH238" s="34" t="str">
        <f>IFERROR(__xludf.DUMMYFUNCTION("""COMPUTED_VALUE"""),"PROCESO DE SELECCIÓN")</f>
        <v>PROCESO DE SELECCIÓN</v>
      </c>
      <c r="AI238" s="34" t="str">
        <f>IFERROR(__xludf.DUMMYFUNCTION("""COMPUTED_VALUE"""),"ANDRES GONZALEZ SANTA CRUZ")</f>
        <v>ANDRES GONZALEZ SANTA CRUZ</v>
      </c>
      <c r="AJ238" s="34"/>
      <c r="AK238" s="34"/>
      <c r="AL238">
        <f>IFERROR(__xludf.DUMMYFUNCTION("""COMPUTED_VALUE"""),13.0)</f>
        <v>13</v>
      </c>
      <c r="AM238">
        <f>IFERROR(__xludf.DUMMYFUNCTION("""COMPUTED_VALUE"""),2017.0)</f>
        <v>2017</v>
      </c>
      <c r="AN238" t="str">
        <f t="shared" si="1"/>
        <v>18766421-7</v>
      </c>
    </row>
    <row r="239">
      <c r="A239" s="33">
        <f>IFERROR(__xludf.DUMMYFUNCTION("""COMPUTED_VALUE"""),1.2855258E7)</f>
        <v>12855258</v>
      </c>
      <c r="B239" s="33">
        <f>IFERROR(__xludf.DUMMYFUNCTION("""COMPUTED_VALUE"""),14.0)</f>
        <v>14</v>
      </c>
      <c r="C239" s="33"/>
      <c r="D239" s="34" t="str">
        <f>IFERROR(__xludf.DUMMYFUNCTION("""COMPUTED_VALUE"""),"INGRESAR CENTRO DE COSTO A LA DERECHA")</f>
        <v>INGRESAR CENTRO DE COSTO A LA DERECHA</v>
      </c>
      <c r="E239" s="34" t="str">
        <f>IFERROR(__xludf.DUMMYFUNCTION("""COMPUTED_VALUE"""),"FACULTAD DE CIENCIAS MEDICAS")</f>
        <v>FACULTAD DE CIENCIAS MEDICAS</v>
      </c>
      <c r="F239" s="34" t="str">
        <f>IFERROR(__xludf.DUMMYFUNCTION("""COMPUTED_VALUE"""),"Secretario(a) C")</f>
        <v>Secretario(a) C</v>
      </c>
      <c r="G239" s="33" t="str">
        <f>IFERROR(__xludf.DUMMYFUNCTION("""COMPUTED_VALUE"""),"SECRETARIA C")</f>
        <v>SECRETARIA C</v>
      </c>
      <c r="H239">
        <f>IFERROR(__xludf.DUMMYFUNCTION("""COMPUTED_VALUE"""),20.0)</f>
        <v>20</v>
      </c>
      <c r="I239" s="34" t="str">
        <f>IFERROR(__xludf.DUMMYFUNCTION("""COMPUTED_VALUE"""),"Jornada Completa")</f>
        <v>Jornada Completa</v>
      </c>
      <c r="J239" s="33" t="str">
        <f>IFERROR(__xludf.DUMMYFUNCTION("""COMPUTED_VALUE"""),"A CONTRATA")</f>
        <v>A CONTRATA</v>
      </c>
      <c r="K239" s="33" t="str">
        <f>IFERROR(__xludf.DUMMYFUNCTION("""COMPUTED_VALUE"""),"ADMINISTRATIVO")</f>
        <v>ADMINISTRATIVO</v>
      </c>
      <c r="L239" s="34" t="str">
        <f>IFERROR(__xludf.DUMMYFUNCTION("""COMPUTED_VALUE"""),"INTERNO")</f>
        <v>INTERNO</v>
      </c>
      <c r="M239" s="34">
        <f>IFERROR(__xludf.DUMMYFUNCTION("""COMPUTED_VALUE"""),1.0)</f>
        <v>1</v>
      </c>
      <c r="N239" s="34" t="str">
        <f>IFERROR(__xludf.DUMMYFUNCTION("""COMPUTED_VALUE"""),"EXTERNO")</f>
        <v>EXTERNO</v>
      </c>
      <c r="O239">
        <f>IFERROR(__xludf.DUMMYFUNCTION("""COMPUTED_VALUE"""),16.0)</f>
        <v>16</v>
      </c>
      <c r="P239">
        <f>IFERROR(__xludf.DUMMYFUNCTION("""COMPUTED_VALUE"""),1.0)</f>
        <v>1</v>
      </c>
      <c r="Q239" s="35">
        <f>IFERROR(__xludf.DUMMYFUNCTION("""COMPUTED_VALUE"""),1.0)</f>
        <v>1</v>
      </c>
      <c r="R239" s="36" t="str">
        <f>IFERROR(__xludf.DUMMYFUNCTION("""COMPUTED_VALUE"""),"SELECCIONADA")</f>
        <v>SELECCIONADA</v>
      </c>
      <c r="S239" s="37">
        <f>IFERROR(__xludf.DUMMYFUNCTION("""COMPUTED_VALUE"""),42905.0)</f>
        <v>42905</v>
      </c>
      <c r="T239" s="34"/>
      <c r="U239" t="str">
        <f>IFERROR(__xludf.DUMMYFUNCTION("""COMPUTED_VALUE"""),"CLAUDIA PENTENERO TOLOZA")</f>
        <v>CLAUDIA PENTENERO TOLOZA</v>
      </c>
      <c r="V239" t="str">
        <f>IFERROR(__xludf.DUMMYFUNCTION("""COMPUTED_VALUE"""),"12855258-8")</f>
        <v>12855258-8</v>
      </c>
      <c r="W239" t="str">
        <f>IFERROR(__xludf.DUMMYFUNCTION("""COMPUTED_VALUE"""),"NO")</f>
        <v>NO</v>
      </c>
      <c r="AA239" s="38">
        <f>IFERROR(__xludf.DUMMYFUNCTION("""COMPUTED_VALUE"""),42864.0)</f>
        <v>42864</v>
      </c>
      <c r="AB239" s="38">
        <f>IFERROR(__xludf.DUMMYFUNCTION("""COMPUTED_VALUE"""),42871.0)</f>
        <v>42871</v>
      </c>
      <c r="AF239" s="39"/>
      <c r="AG239" s="39"/>
      <c r="AH239" s="34" t="str">
        <f>IFERROR(__xludf.DUMMYFUNCTION("""COMPUTED_VALUE"""),"PROCESO DE SELECCIÓN")</f>
        <v>PROCESO DE SELECCIÓN</v>
      </c>
      <c r="AI239" s="34" t="str">
        <f>IFERROR(__xludf.DUMMYFUNCTION("""COMPUTED_VALUE"""),"VALERIA ULLORA DAVIS")</f>
        <v>VALERIA ULLORA DAVIS</v>
      </c>
      <c r="AJ239" s="34"/>
      <c r="AK239" s="34" t="str">
        <f>IFERROR(__xludf.DUMMYFUNCTION("""COMPUTED_VALUE"""),"E")</f>
        <v>E</v>
      </c>
      <c r="AL239">
        <f>IFERROR(__xludf.DUMMYFUNCTION("""COMPUTED_VALUE"""),25.0)</f>
        <v>25</v>
      </c>
      <c r="AM239">
        <f>IFERROR(__xludf.DUMMYFUNCTION("""COMPUTED_VALUE"""),2017.0)</f>
        <v>2017</v>
      </c>
      <c r="AN239" t="str">
        <f t="shared" si="1"/>
        <v>12855258-8</v>
      </c>
    </row>
    <row r="240">
      <c r="A240" s="33">
        <f>IFERROR(__xludf.DUMMYFUNCTION("""COMPUTED_VALUE"""),1.7972409E7)</f>
        <v>17972409</v>
      </c>
      <c r="B240" s="33">
        <f>IFERROR(__xludf.DUMMYFUNCTION("""COMPUTED_VALUE"""),15.0)</f>
        <v>15</v>
      </c>
      <c r="C240" s="33"/>
      <c r="D240" s="34" t="str">
        <f>IFERROR(__xludf.DUMMYFUNCTION("""COMPUTED_VALUE"""),"INGRESAR CENTRO DE COSTO A LA DERECHA")</f>
        <v>INGRESAR CENTRO DE COSTO A LA DERECHA</v>
      </c>
      <c r="E240" s="34" t="str">
        <f>IFERROR(__xludf.DUMMYFUNCTION("""COMPUTED_VALUE"""),"FACULTAD DE CIENCIAS MEDICAS")</f>
        <v>FACULTAD DE CIENCIAS MEDICAS</v>
      </c>
      <c r="F240" s="34" t="str">
        <f>IFERROR(__xludf.DUMMYFUNCTION("""COMPUTED_VALUE"""),"Encargado(a) de Laboratorio")</f>
        <v>Encargado(a) de Laboratorio</v>
      </c>
      <c r="G240" s="33" t="str">
        <f>IFERROR(__xludf.DUMMYFUNCTION("""COMPUTED_VALUE"""),"ENCARGADO DE LABORATORIO DE EMBRIOLOGIA")</f>
        <v>ENCARGADO DE LABORATORIO DE EMBRIOLOGIA</v>
      </c>
      <c r="H240">
        <f>IFERROR(__xludf.DUMMYFUNCTION("""COMPUTED_VALUE"""),13.0)</f>
        <v>13</v>
      </c>
      <c r="I240" s="34" t="str">
        <f>IFERROR(__xludf.DUMMYFUNCTION("""COMPUTED_VALUE"""),"Jornada Completa")</f>
        <v>Jornada Completa</v>
      </c>
      <c r="J240" s="33" t="str">
        <f>IFERROR(__xludf.DUMMYFUNCTION("""COMPUTED_VALUE"""),"A CONTRATA")</f>
        <v>A CONTRATA</v>
      </c>
      <c r="K240" s="33" t="str">
        <f>IFERROR(__xludf.DUMMYFUNCTION("""COMPUTED_VALUE"""),"PROFESIONAL")</f>
        <v>PROFESIONAL</v>
      </c>
      <c r="L240" s="34" t="str">
        <f>IFERROR(__xludf.DUMMYFUNCTION("""COMPUTED_VALUE"""),"INTERNO")</f>
        <v>INTERNO</v>
      </c>
      <c r="M240" s="34">
        <f>IFERROR(__xludf.DUMMYFUNCTION("""COMPUTED_VALUE"""),0.0)</f>
        <v>0</v>
      </c>
      <c r="N240" s="34" t="str">
        <f>IFERROR(__xludf.DUMMYFUNCTION("""COMPUTED_VALUE"""),"EXTERNO")</f>
        <v>EXTERNO</v>
      </c>
      <c r="O240">
        <f>IFERROR(__xludf.DUMMYFUNCTION("""COMPUTED_VALUE"""),9.0)</f>
        <v>9</v>
      </c>
      <c r="P240">
        <f>IFERROR(__xludf.DUMMYFUNCTION("""COMPUTED_VALUE"""),2.0)</f>
        <v>2</v>
      </c>
      <c r="Q240" s="35">
        <f>IFERROR(__xludf.DUMMYFUNCTION("""COMPUTED_VALUE"""),1.0)</f>
        <v>1</v>
      </c>
      <c r="R240" s="36" t="str">
        <f>IFERROR(__xludf.DUMMYFUNCTION("""COMPUTED_VALUE"""),"SELECCIONADA")</f>
        <v>SELECCIONADA</v>
      </c>
      <c r="S240" s="37">
        <f>IFERROR(__xludf.DUMMYFUNCTION("""COMPUTED_VALUE"""),42920.0)</f>
        <v>42920</v>
      </c>
      <c r="T240" s="34"/>
      <c r="U240" t="str">
        <f>IFERROR(__xludf.DUMMYFUNCTION("""COMPUTED_VALUE"""),"BARBARA VALENCIA CONTRERAS")</f>
        <v>BARBARA VALENCIA CONTRERAS</v>
      </c>
      <c r="V240" t="str">
        <f>IFERROR(__xludf.DUMMYFUNCTION("""COMPUTED_VALUE"""),"17972409-K")</f>
        <v>17972409-K</v>
      </c>
      <c r="W240" t="str">
        <f>IFERROR(__xludf.DUMMYFUNCTION("""COMPUTED_VALUE"""),"SI")</f>
        <v>SI</v>
      </c>
      <c r="X240" t="str">
        <f>IFERROR(__xludf.DUMMYFUNCTION("""COMPUTED_VALUE"""),"TRABAJO EN EQUIPO")</f>
        <v>TRABAJO EN EQUIPO</v>
      </c>
      <c r="Y240" t="str">
        <f>IFERROR(__xludf.DUMMYFUNCTION("""COMPUTED_VALUE"""),"CAPACIDAD DE PLANIFICACION Y ORGANIZACION")</f>
        <v>CAPACIDAD DE PLANIFICACION Y ORGANIZACION</v>
      </c>
      <c r="AA240" s="38">
        <f>IFERROR(__xludf.DUMMYFUNCTION("""COMPUTED_VALUE"""),42860.0)</f>
        <v>42860</v>
      </c>
      <c r="AB240" s="38">
        <f>IFERROR(__xludf.DUMMYFUNCTION("""COMPUTED_VALUE"""),42867.0)</f>
        <v>42867</v>
      </c>
      <c r="AF240" s="39"/>
      <c r="AG240" s="39"/>
      <c r="AH240" s="34" t="str">
        <f>IFERROR(__xludf.DUMMYFUNCTION("""COMPUTED_VALUE"""),"PROCESO DE SELECCIÓN")</f>
        <v>PROCESO DE SELECCIÓN</v>
      </c>
      <c r="AI240" s="34" t="str">
        <f>IFERROR(__xludf.DUMMYFUNCTION("""COMPUTED_VALUE"""),"JORGE LILLO CONTRERAS")</f>
        <v>JORGE LILLO CONTRERAS</v>
      </c>
      <c r="AJ240" s="34"/>
      <c r="AK240" s="34" t="str">
        <f>IFERROR(__xludf.DUMMYFUNCTION("""COMPUTED_VALUE"""),"E")</f>
        <v>E</v>
      </c>
      <c r="AL240">
        <f>IFERROR(__xludf.DUMMYFUNCTION("""COMPUTED_VALUE"""),38.0)</f>
        <v>38</v>
      </c>
      <c r="AM240">
        <f>IFERROR(__xludf.DUMMYFUNCTION("""COMPUTED_VALUE"""),2017.0)</f>
        <v>2017</v>
      </c>
      <c r="AN240" t="str">
        <f t="shared" si="1"/>
        <v>17972409-K</v>
      </c>
    </row>
    <row r="241">
      <c r="A241" s="33">
        <f>IFERROR(__xludf.DUMMYFUNCTION("""COMPUTED_VALUE"""),1.7001164E7)</f>
        <v>17001164</v>
      </c>
      <c r="B241" s="33">
        <f>IFERROR(__xludf.DUMMYFUNCTION("""COMPUTED_VALUE"""),16.0)</f>
        <v>16</v>
      </c>
      <c r="C241" s="33"/>
      <c r="D241" s="34" t="str">
        <f>IFERROR(__xludf.DUMMYFUNCTION("""COMPUTED_VALUE"""),"INGRESAR CENTRO DE COSTO A LA DERECHA")</f>
        <v>INGRESAR CENTRO DE COSTO A LA DERECHA</v>
      </c>
      <c r="E241" s="34" t="str">
        <f>IFERROR(__xludf.DUMMYFUNCTION("""COMPUTED_VALUE"""),"FACULTAD DE ADMINIST Y ECONOMI")</f>
        <v>FACULTAD DE ADMINIST Y ECONOMI</v>
      </c>
      <c r="F241" s="34" t="str">
        <f>IFERROR(__xludf.DUMMYFUNCTION("""COMPUTED_VALUE"""),"Estafeta")</f>
        <v>Estafeta</v>
      </c>
      <c r="G241" s="33" t="str">
        <f>IFERROR(__xludf.DUMMYFUNCTION("""COMPUTED_VALUE"""),"ESTAFETA")</f>
        <v>ESTAFETA</v>
      </c>
      <c r="H241">
        <f>IFERROR(__xludf.DUMMYFUNCTION("""COMPUTED_VALUE"""),23.0)</f>
        <v>23</v>
      </c>
      <c r="I241" s="34" t="str">
        <f>IFERROR(__xludf.DUMMYFUNCTION("""COMPUTED_VALUE"""),"Jornada Completa")</f>
        <v>Jornada Completa</v>
      </c>
      <c r="J241" s="33" t="str">
        <f>IFERROR(__xludf.DUMMYFUNCTION("""COMPUTED_VALUE"""),"A CONTRATA")</f>
        <v>A CONTRATA</v>
      </c>
      <c r="K241" s="33" t="str">
        <f>IFERROR(__xludf.DUMMYFUNCTION("""COMPUTED_VALUE"""),"AUXILIAR")</f>
        <v>AUXILIAR</v>
      </c>
      <c r="L241" s="34" t="str">
        <f>IFERROR(__xludf.DUMMYFUNCTION("""COMPUTED_VALUE"""),"INTERNO")</f>
        <v>INTERNO</v>
      </c>
      <c r="M241" s="34">
        <f>IFERROR(__xludf.DUMMYFUNCTION("""COMPUTED_VALUE"""),0.0)</f>
        <v>0</v>
      </c>
      <c r="N241" s="34" t="str">
        <f>IFERROR(__xludf.DUMMYFUNCTION("""COMPUTED_VALUE"""),"EXTERNO")</f>
        <v>EXTERNO</v>
      </c>
      <c r="O241">
        <f>IFERROR(__xludf.DUMMYFUNCTION("""COMPUTED_VALUE"""),23.0)</f>
        <v>23</v>
      </c>
      <c r="P241">
        <f>IFERROR(__xludf.DUMMYFUNCTION("""COMPUTED_VALUE"""),1.0)</f>
        <v>1</v>
      </c>
      <c r="Q241" s="35">
        <f>IFERROR(__xludf.DUMMYFUNCTION("""COMPUTED_VALUE"""),1.0)</f>
        <v>1</v>
      </c>
      <c r="R241" s="36" t="str">
        <f>IFERROR(__xludf.DUMMYFUNCTION("""COMPUTED_VALUE"""),"SELECCIONADO")</f>
        <v>SELECCIONADO</v>
      </c>
      <c r="S241" s="37">
        <f>IFERROR(__xludf.DUMMYFUNCTION("""COMPUTED_VALUE"""),42894.0)</f>
        <v>42894</v>
      </c>
      <c r="T241" s="34"/>
      <c r="U241" t="str">
        <f>IFERROR(__xludf.DUMMYFUNCTION("""COMPUTED_VALUE"""),"CAMILO DIAZ CONTRERAS")</f>
        <v>CAMILO DIAZ CONTRERAS</v>
      </c>
      <c r="V241" t="str">
        <f>IFERROR(__xludf.DUMMYFUNCTION("""COMPUTED_VALUE"""),"17001164-3")</f>
        <v>17001164-3</v>
      </c>
      <c r="W241" t="str">
        <f>IFERROR(__xludf.DUMMYFUNCTION("""COMPUTED_VALUE"""),"NO")</f>
        <v>NO</v>
      </c>
      <c r="AA241" s="38">
        <f>IFERROR(__xludf.DUMMYFUNCTION("""COMPUTED_VALUE"""),42860.0)</f>
        <v>42860</v>
      </c>
      <c r="AB241" s="38">
        <f>IFERROR(__xludf.DUMMYFUNCTION("""COMPUTED_VALUE"""),42867.0)</f>
        <v>42867</v>
      </c>
      <c r="AF241" s="39"/>
      <c r="AG241" s="39"/>
      <c r="AH241" s="34" t="str">
        <f>IFERROR(__xludf.DUMMYFUNCTION("""COMPUTED_VALUE"""),"PROCESO DE SELECCIÓN")</f>
        <v>PROCESO DE SELECCIÓN</v>
      </c>
      <c r="AI241" s="34" t="str">
        <f>IFERROR(__xludf.DUMMYFUNCTION("""COMPUTED_VALUE"""),"JACINTO TRUJILLO SILVA")</f>
        <v>JACINTO TRUJILLO SILVA</v>
      </c>
      <c r="AJ241" s="34"/>
      <c r="AK241" s="34" t="str">
        <f>IFERROR(__xludf.DUMMYFUNCTION("""COMPUTED_VALUE"""),"P")</f>
        <v>P</v>
      </c>
      <c r="AL241">
        <f>IFERROR(__xludf.DUMMYFUNCTION("""COMPUTED_VALUE"""),20.0)</f>
        <v>20</v>
      </c>
      <c r="AM241">
        <f>IFERROR(__xludf.DUMMYFUNCTION("""COMPUTED_VALUE"""),2017.0)</f>
        <v>2017</v>
      </c>
      <c r="AN241" t="str">
        <f t="shared" si="1"/>
        <v>17001164-3</v>
      </c>
    </row>
    <row r="242">
      <c r="A242" s="33">
        <f>IFERROR(__xludf.DUMMYFUNCTION("""COMPUTED_VALUE"""),1.7741571E7)</f>
        <v>17741571</v>
      </c>
      <c r="B242" s="33">
        <f>IFERROR(__xludf.DUMMYFUNCTION("""COMPUTED_VALUE"""),17.0)</f>
        <v>17</v>
      </c>
      <c r="C242" s="33"/>
      <c r="D242" s="34" t="str">
        <f>IFERROR(__xludf.DUMMYFUNCTION("""COMPUTED_VALUE"""),"INGRESAR CENTRO DE COSTO A LA DERECHA")</f>
        <v>INGRESAR CENTRO DE COSTO A LA DERECHA</v>
      </c>
      <c r="E242" s="34" t="str">
        <f>IFERROR(__xludf.DUMMYFUNCTION("""COMPUTED_VALUE"""),"SELLO EDITORIAL")</f>
        <v>SELLO EDITORIAL</v>
      </c>
      <c r="F242" s="34" t="str">
        <f>IFERROR(__xludf.DUMMYFUNCTION("""COMPUTED_VALUE"""),"Administrativo(a) Especializado")</f>
        <v>Administrativo(a) Especializado</v>
      </c>
      <c r="G242" s="33" t="str">
        <f>IFERROR(__xludf.DUMMYFUNCTION("""COMPUTED_VALUE"""),"ADMINISTRATIVO ESPECIALIZADO")</f>
        <v>ADMINISTRATIVO ESPECIALIZADO</v>
      </c>
      <c r="H242">
        <f>IFERROR(__xludf.DUMMYFUNCTION("""COMPUTED_VALUE"""),12.0)</f>
        <v>12</v>
      </c>
      <c r="I242" s="34" t="str">
        <f>IFERROR(__xludf.DUMMYFUNCTION("""COMPUTED_VALUE"""),"Jornada Completa")</f>
        <v>Jornada Completa</v>
      </c>
      <c r="J242" s="33" t="str">
        <f>IFERROR(__xludf.DUMMYFUNCTION("""COMPUTED_VALUE"""),"A CONTRATA")</f>
        <v>A CONTRATA</v>
      </c>
      <c r="K242" s="33" t="str">
        <f>IFERROR(__xludf.DUMMYFUNCTION("""COMPUTED_VALUE"""),"ADMINISTRATIVO")</f>
        <v>ADMINISTRATIVO</v>
      </c>
      <c r="L242" s="34" t="str">
        <f>IFERROR(__xludf.DUMMYFUNCTION("""COMPUTED_VALUE"""),"INTERNO")</f>
        <v>INTERNO</v>
      </c>
      <c r="M242" s="34">
        <f>IFERROR(__xludf.DUMMYFUNCTION("""COMPUTED_VALUE"""),5.0)</f>
        <v>5</v>
      </c>
      <c r="N242" s="34" t="str">
        <f>IFERROR(__xludf.DUMMYFUNCTION("""COMPUTED_VALUE"""),"NO")</f>
        <v>NO</v>
      </c>
      <c r="O242">
        <f>IFERROR(__xludf.DUMMYFUNCTION("""COMPUTED_VALUE"""),0.0)</f>
        <v>0</v>
      </c>
      <c r="P242">
        <f>IFERROR(__xludf.DUMMYFUNCTION("""COMPUTED_VALUE"""),3.0)</f>
        <v>3</v>
      </c>
      <c r="Q242" s="35">
        <f>IFERROR(__xludf.DUMMYFUNCTION("""COMPUTED_VALUE"""),0.0)</f>
        <v>0</v>
      </c>
      <c r="R242" s="36" t="str">
        <f>IFERROR(__xludf.DUMMYFUNCTION("""COMPUTED_VALUE"""),"SELECCIONADO")</f>
        <v>SELECCIONADO</v>
      </c>
      <c r="S242" s="37">
        <f>IFERROR(__xludf.DUMMYFUNCTION("""COMPUTED_VALUE"""),42917.0)</f>
        <v>42917</v>
      </c>
      <c r="T242" s="34" t="str">
        <f>IFERROR(__xludf.DUMMYFUNCTION("""COMPUTED_VALUE"""),"ANGULO RUIZ MARTIN ALEJANDRO")</f>
        <v>ANGULO RUIZ MARTIN ALEJANDRO</v>
      </c>
      <c r="V242" t="str">
        <f>IFERROR(__xludf.DUMMYFUNCTION("""COMPUTED_VALUE"""),"17741571-5")</f>
        <v>17741571-5</v>
      </c>
      <c r="W242" t="str">
        <f>IFERROR(__xludf.DUMMYFUNCTION("""COMPUTED_VALUE"""),"NO")</f>
        <v>NO</v>
      </c>
      <c r="AA242" s="38">
        <f>IFERROR(__xludf.DUMMYFUNCTION("""COMPUTED_VALUE"""),42858.0)</f>
        <v>42858</v>
      </c>
      <c r="AB242" s="38">
        <f>IFERROR(__xludf.DUMMYFUNCTION("""COMPUTED_VALUE"""),42865.0)</f>
        <v>42865</v>
      </c>
      <c r="AC242">
        <f>IFERROR(__xludf.DUMMYFUNCTION("""COMPUTED_VALUE"""),17.0)</f>
        <v>17</v>
      </c>
      <c r="AD242" t="str">
        <f>IFERROR(__xludf.DUMMYFUNCTION("""COMPUTED_VALUE"""),"ADMINISTRATIVO")</f>
        <v>ADMINISTRATIVO</v>
      </c>
      <c r="AE242" t="str">
        <f>IFERROR(__xludf.DUMMYFUNCTION("""COMPUTED_VALUE"""),"ADMINISTRATIVO DE RECURSOS HUMANOS")</f>
        <v>ADMINISTRATIVO DE RECURSOS HUMANOS</v>
      </c>
      <c r="AF242" s="39" t="str">
        <f>IFERROR(__xludf.DUMMYFUNCTION("""COMPUTED_VALUE"""),"DPTO. DE RECURSOS HUMANOS")</f>
        <v>DPTO. DE RECURSOS HUMANOS</v>
      </c>
      <c r="AG242" s="39"/>
      <c r="AH242" s="34" t="str">
        <f>IFERROR(__xludf.DUMMYFUNCTION("""COMPUTED_VALUE"""),"PROCESO DE SELECCIÓN")</f>
        <v>PROCESO DE SELECCIÓN</v>
      </c>
      <c r="AI242" s="34" t="str">
        <f>IFERROR(__xludf.DUMMYFUNCTION("""COMPUTED_VALUE"""),"JULIA RIOSECO")</f>
        <v>JULIA RIOSECO</v>
      </c>
      <c r="AJ242" s="34"/>
      <c r="AK242" s="34" t="str">
        <f>IFERROR(__xludf.DUMMYFUNCTION("""COMPUTED_VALUE"""),"C")</f>
        <v>C</v>
      </c>
      <c r="AL242">
        <f>IFERROR(__xludf.DUMMYFUNCTION("""COMPUTED_VALUE"""),38.0)</f>
        <v>38</v>
      </c>
      <c r="AM242">
        <f>IFERROR(__xludf.DUMMYFUNCTION("""COMPUTED_VALUE"""),2017.0)</f>
        <v>2017</v>
      </c>
      <c r="AN242" t="str">
        <f t="shared" si="1"/>
        <v>17741571-5</v>
      </c>
    </row>
    <row r="243">
      <c r="A243" s="33">
        <f>IFERROR(__xludf.DUMMYFUNCTION("""COMPUTED_VALUE"""),1.3688765E7)</f>
        <v>13688765</v>
      </c>
      <c r="B243" s="33">
        <f>IFERROR(__xludf.DUMMYFUNCTION("""COMPUTED_VALUE"""),18.0)</f>
        <v>18</v>
      </c>
      <c r="C243" s="33"/>
      <c r="D243" s="34" t="str">
        <f>IFERROR(__xludf.DUMMYFUNCTION("""COMPUTED_VALUE"""),"INGRESAR CENTRO DE COSTO A LA DERECHA")</f>
        <v>INGRESAR CENTRO DE COSTO A LA DERECHA</v>
      </c>
      <c r="E243" s="34" t="str">
        <f>IFERROR(__xludf.DUMMYFUNCTION("""COMPUTED_VALUE"""),"VR. DE POSTGRADO")</f>
        <v>VR. DE POSTGRADO</v>
      </c>
      <c r="F243" s="34" t="str">
        <f>IFERROR(__xludf.DUMMYFUNCTION("""COMPUTED_VALUE"""),"Analista de Gestión I")</f>
        <v>Analista de Gestión I</v>
      </c>
      <c r="G243" s="33" t="str">
        <f>IFERROR(__xludf.DUMMYFUNCTION("""COMPUTED_VALUE"""),"ANALISTA DE GESTION I")</f>
        <v>ANALISTA DE GESTION I</v>
      </c>
      <c r="H243">
        <f>IFERROR(__xludf.DUMMYFUNCTION("""COMPUTED_VALUE"""),10.0)</f>
        <v>10</v>
      </c>
      <c r="I243" s="34" t="str">
        <f>IFERROR(__xludf.DUMMYFUNCTION("""COMPUTED_VALUE"""),"Jornada Completa")</f>
        <v>Jornada Completa</v>
      </c>
      <c r="J243" s="33" t="str">
        <f>IFERROR(__xludf.DUMMYFUNCTION("""COMPUTED_VALUE"""),"A CONTRATA")</f>
        <v>A CONTRATA</v>
      </c>
      <c r="K243" s="33" t="str">
        <f>IFERROR(__xludf.DUMMYFUNCTION("""COMPUTED_VALUE"""),"PROFESIONAL")</f>
        <v>PROFESIONAL</v>
      </c>
      <c r="L243" s="34" t="str">
        <f>IFERROR(__xludf.DUMMYFUNCTION("""COMPUTED_VALUE"""),"INTERNO")</f>
        <v>INTERNO</v>
      </c>
      <c r="M243" s="34">
        <f>IFERROR(__xludf.DUMMYFUNCTION("""COMPUTED_VALUE"""),10.0)</f>
        <v>10</v>
      </c>
      <c r="N243" s="34" t="str">
        <f>IFERROR(__xludf.DUMMYFUNCTION("""COMPUTED_VALUE"""),"NO")</f>
        <v>NO</v>
      </c>
      <c r="O243">
        <f>IFERROR(__xludf.DUMMYFUNCTION("""COMPUTED_VALUE"""),0.0)</f>
        <v>0</v>
      </c>
      <c r="P243">
        <f>IFERROR(__xludf.DUMMYFUNCTION("""COMPUTED_VALUE"""),3.0)</f>
        <v>3</v>
      </c>
      <c r="Q243" s="35">
        <f>IFERROR(__xludf.DUMMYFUNCTION("""COMPUTED_VALUE"""),0.0)</f>
        <v>0</v>
      </c>
      <c r="R243" s="36" t="str">
        <f>IFERROR(__xludf.DUMMYFUNCTION("""COMPUTED_VALUE"""),"SELECCIONADA")</f>
        <v>SELECCIONADA</v>
      </c>
      <c r="S243" s="37">
        <f>IFERROR(__xludf.DUMMYFUNCTION("""COMPUTED_VALUE"""),42917.0)</f>
        <v>42917</v>
      </c>
      <c r="T243" s="34" t="str">
        <f>IFERROR(__xludf.DUMMYFUNCTION("""COMPUTED_VALUE"""),"SANZANA PROBOSTE EVELYN DENISSE")</f>
        <v>SANZANA PROBOSTE EVELYN DENISSE</v>
      </c>
      <c r="V243" t="str">
        <f>IFERROR(__xludf.DUMMYFUNCTION("""COMPUTED_VALUE"""),"13688765-3")</f>
        <v>13688765-3</v>
      </c>
      <c r="W243" t="str">
        <f>IFERROR(__xludf.DUMMYFUNCTION("""COMPUTED_VALUE"""),"SI")</f>
        <v>SI</v>
      </c>
      <c r="X243" t="str">
        <f>IFERROR(__xludf.DUMMYFUNCTION("""COMPUTED_VALUE"""),"PENSAMIENTO ANALITICO")</f>
        <v>PENSAMIENTO ANALITICO</v>
      </c>
      <c r="AA243" s="38">
        <f>IFERROR(__xludf.DUMMYFUNCTION("""COMPUTED_VALUE"""),42797.0)</f>
        <v>42797</v>
      </c>
      <c r="AB243" s="38">
        <f>IFERROR(__xludf.DUMMYFUNCTION("""COMPUTED_VALUE"""),42804.0)</f>
        <v>42804</v>
      </c>
      <c r="AC243">
        <f>IFERROR(__xludf.DUMMYFUNCTION("""COMPUTED_VALUE"""),13.0)</f>
        <v>13</v>
      </c>
      <c r="AD243" t="str">
        <f>IFERROR(__xludf.DUMMYFUNCTION("""COMPUTED_VALUE"""),"PROFESIONAL")</f>
        <v>PROFESIONAL</v>
      </c>
      <c r="AE243" t="str">
        <f>IFERROR(__xludf.DUMMYFUNCTION("""COMPUTED_VALUE"""),"ANALISTA DE GESTION II")</f>
        <v>ANALISTA DE GESTION II</v>
      </c>
      <c r="AF243" s="39" t="str">
        <f>IFERROR(__xludf.DUMMYFUNCTION("""COMPUTED_VALUE"""),"SECRETARIA GENERAL")</f>
        <v>SECRETARIA GENERAL</v>
      </c>
      <c r="AG243" s="39"/>
      <c r="AH243" s="34" t="str">
        <f>IFERROR(__xludf.DUMMYFUNCTION("""COMPUTED_VALUE"""),"PROCESO DE SELECCIÓN")</f>
        <v>PROCESO DE SELECCIÓN</v>
      </c>
      <c r="AI243" s="34" t="str">
        <f>IFERROR(__xludf.DUMMYFUNCTION("""COMPUTED_VALUE"""),"AUTORIZADO 2016")</f>
        <v>AUTORIZADO 2016</v>
      </c>
      <c r="AJ243" s="34"/>
      <c r="AK243" s="34" t="str">
        <f>IFERROR(__xludf.DUMMYFUNCTION("""COMPUTED_VALUE"""),"C")</f>
        <v>C</v>
      </c>
      <c r="AL243">
        <f>IFERROR(__xludf.DUMMYFUNCTION("""COMPUTED_VALUE"""),81.0)</f>
        <v>81</v>
      </c>
      <c r="AM243">
        <f>IFERROR(__xludf.DUMMYFUNCTION("""COMPUTED_VALUE"""),2017.0)</f>
        <v>2017</v>
      </c>
      <c r="AN243" t="str">
        <f t="shared" si="1"/>
        <v>13688765-3</v>
      </c>
    </row>
    <row r="244">
      <c r="A244" s="33">
        <f>IFERROR(__xludf.DUMMYFUNCTION("""COMPUTED_VALUE"""),1.6877666E7)</f>
        <v>16877666</v>
      </c>
      <c r="B244" s="33">
        <f>IFERROR(__xludf.DUMMYFUNCTION("""COMPUTED_VALUE"""),19.0)</f>
        <v>19</v>
      </c>
      <c r="C244" s="33"/>
      <c r="D244" s="34" t="str">
        <f>IFERROR(__xludf.DUMMYFUNCTION("""COMPUTED_VALUE"""),"INGRESAR CENTRO DE COSTO A LA DERECHA")</f>
        <v>INGRESAR CENTRO DE COSTO A LA DERECHA</v>
      </c>
      <c r="E244" s="34" t="str">
        <f>IFERROR(__xludf.DUMMYFUNCTION("""COMPUTED_VALUE"""),"UNIDAD DE BIENESTAR DEL PERSONAL")</f>
        <v>UNIDAD DE BIENESTAR DEL PERSONAL</v>
      </c>
      <c r="F244" s="34" t="str">
        <f>IFERROR(__xludf.DUMMYFUNCTION("""COMPUTED_VALUE"""),"Nutricionista")</f>
        <v>Nutricionista</v>
      </c>
      <c r="G244" s="33" t="str">
        <f>IFERROR(__xludf.DUMMYFUNCTION("""COMPUTED_VALUE"""),"NUTRICIONISTA (JARDIN INFANTIL)")</f>
        <v>NUTRICIONISTA (JARDIN INFANTIL)</v>
      </c>
      <c r="H244">
        <f>IFERROR(__xludf.DUMMYFUNCTION("""COMPUTED_VALUE"""),13.0)</f>
        <v>13</v>
      </c>
      <c r="I244" s="34" t="str">
        <f>IFERROR(__xludf.DUMMYFUNCTION("""COMPUTED_VALUE"""),"1/2 Jornada")</f>
        <v>1/2 Jornada</v>
      </c>
      <c r="J244" s="33" t="str">
        <f>IFERROR(__xludf.DUMMYFUNCTION("""COMPUTED_VALUE"""),"A CONTRATA")</f>
        <v>A CONTRATA</v>
      </c>
      <c r="K244" s="33" t="str">
        <f>IFERROR(__xludf.DUMMYFUNCTION("""COMPUTED_VALUE"""),"PROFESIONAL")</f>
        <v>PROFESIONAL</v>
      </c>
      <c r="L244" s="34" t="str">
        <f>IFERROR(__xludf.DUMMYFUNCTION("""COMPUTED_VALUE"""),"INTERNO")</f>
        <v>INTERNO</v>
      </c>
      <c r="M244" s="34">
        <f>IFERROR(__xludf.DUMMYFUNCTION("""COMPUTED_VALUE"""),0.0)</f>
        <v>0</v>
      </c>
      <c r="N244" s="34" t="str">
        <f>IFERROR(__xludf.DUMMYFUNCTION("""COMPUTED_VALUE"""),"EXTERNO")</f>
        <v>EXTERNO</v>
      </c>
      <c r="O244">
        <f>IFERROR(__xludf.DUMMYFUNCTION("""COMPUTED_VALUE"""),129.0)</f>
        <v>129</v>
      </c>
      <c r="P244">
        <f>IFERROR(__xludf.DUMMYFUNCTION("""COMPUTED_VALUE"""),3.0)</f>
        <v>3</v>
      </c>
      <c r="Q244" s="35">
        <f>IFERROR(__xludf.DUMMYFUNCTION("""COMPUTED_VALUE"""),1.0)</f>
        <v>1</v>
      </c>
      <c r="R244" s="36" t="str">
        <f>IFERROR(__xludf.DUMMYFUNCTION("""COMPUTED_VALUE"""),"SELECCIONADA")</f>
        <v>SELECCIONADA</v>
      </c>
      <c r="S244" s="37">
        <f>IFERROR(__xludf.DUMMYFUNCTION("""COMPUTED_VALUE"""),42919.0)</f>
        <v>42919</v>
      </c>
      <c r="T244" s="34"/>
      <c r="U244" t="str">
        <f>IFERROR(__xludf.DUMMYFUNCTION("""COMPUTED_VALUE"""),"ELIZABETH QUEZADA CAÑETE")</f>
        <v>ELIZABETH QUEZADA CAÑETE</v>
      </c>
      <c r="V244" t="str">
        <f>IFERROR(__xludf.DUMMYFUNCTION("""COMPUTED_VALUE"""),"16877666-7")</f>
        <v>16877666-7</v>
      </c>
      <c r="W244" t="str">
        <f>IFERROR(__xludf.DUMMYFUNCTION("""COMPUTED_VALUE"""),"NO")</f>
        <v>NO</v>
      </c>
      <c r="AA244" s="38">
        <f>IFERROR(__xludf.DUMMYFUNCTION("""COMPUTED_VALUE"""),42845.0)</f>
        <v>42845</v>
      </c>
      <c r="AB244" s="38">
        <f>IFERROR(__xludf.DUMMYFUNCTION("""COMPUTED_VALUE"""),42852.0)</f>
        <v>42852</v>
      </c>
      <c r="AF244" s="39"/>
      <c r="AG244" s="39"/>
      <c r="AH244" s="34" t="str">
        <f>IFERROR(__xludf.DUMMYFUNCTION("""COMPUTED_VALUE"""),"PROCESO DE SELECCIÓN")</f>
        <v>PROCESO DE SELECCIÓN</v>
      </c>
      <c r="AI244" s="34" t="str">
        <f>IFERROR(__xludf.DUMMYFUNCTION("""COMPUTED_VALUE"""),"MARIA BARRIGA FIGUEROA")</f>
        <v>MARIA BARRIGA FIGUEROA</v>
      </c>
      <c r="AJ244" s="34"/>
      <c r="AK244" s="34" t="str">
        <f>IFERROR(__xludf.DUMMYFUNCTION("""COMPUTED_VALUE"""),"E")</f>
        <v>E</v>
      </c>
      <c r="AL244">
        <f>IFERROR(__xludf.DUMMYFUNCTION("""COMPUTED_VALUE"""),48.0)</f>
        <v>48</v>
      </c>
      <c r="AM244">
        <f>IFERROR(__xludf.DUMMYFUNCTION("""COMPUTED_VALUE"""),2017.0)</f>
        <v>2017</v>
      </c>
      <c r="AN244" t="str">
        <f t="shared" si="1"/>
        <v>16877666-7</v>
      </c>
    </row>
    <row r="245">
      <c r="A245" s="33">
        <f>IFERROR(__xludf.DUMMYFUNCTION("""COMPUTED_VALUE"""),1.5564557E7)</f>
        <v>15564557</v>
      </c>
      <c r="B245" s="33">
        <f>IFERROR(__xludf.DUMMYFUNCTION("""COMPUTED_VALUE"""),20.0)</f>
        <v>20</v>
      </c>
      <c r="C245" s="33"/>
      <c r="D245" s="34" t="str">
        <f>IFERROR(__xludf.DUMMYFUNCTION("""COMPUTED_VALUE"""),"INGRESAR CENTRO DE COSTO A LA DERECHA")</f>
        <v>INGRESAR CENTRO DE COSTO A LA DERECHA</v>
      </c>
      <c r="E245" s="34" t="str">
        <f>IFERROR(__xludf.DUMMYFUNCTION("""COMPUTED_VALUE"""),"DPTO. DE COMUNICACIONES")</f>
        <v>DPTO. DE COMUNICACIONES</v>
      </c>
      <c r="F245" s="34" t="str">
        <f>IFERROR(__xludf.DUMMYFUNCTION("""COMPUTED_VALUE"""),"Periodista")</f>
        <v>Periodista</v>
      </c>
      <c r="G245" s="33" t="str">
        <f>IFERROR(__xludf.DUMMYFUNCTION("""COMPUTED_VALUE"""),"PERIODISTA (COMUNICADOR AUDIOVISUAL)")</f>
        <v>PERIODISTA (COMUNICADOR AUDIOVISUAL)</v>
      </c>
      <c r="H245">
        <f>IFERROR(__xludf.DUMMYFUNCTION("""COMPUTED_VALUE"""),13.0)</f>
        <v>13</v>
      </c>
      <c r="I245" s="34" t="str">
        <f>IFERROR(__xludf.DUMMYFUNCTION("""COMPUTED_VALUE"""),"Jornada Completa")</f>
        <v>Jornada Completa</v>
      </c>
      <c r="J245" s="33" t="str">
        <f>IFERROR(__xludf.DUMMYFUNCTION("""COMPUTED_VALUE"""),"A CONTRATA")</f>
        <v>A CONTRATA</v>
      </c>
      <c r="K245" s="33" t="str">
        <f>IFERROR(__xludf.DUMMYFUNCTION("""COMPUTED_VALUE"""),"PROFESIONAL")</f>
        <v>PROFESIONAL</v>
      </c>
      <c r="L245" s="34" t="str">
        <f>IFERROR(__xludf.DUMMYFUNCTION("""COMPUTED_VALUE"""),"INTERNO")</f>
        <v>INTERNO</v>
      </c>
      <c r="M245" s="34">
        <f>IFERROR(__xludf.DUMMYFUNCTION("""COMPUTED_VALUE"""),0.0)</f>
        <v>0</v>
      </c>
      <c r="N245" s="34" t="str">
        <f>IFERROR(__xludf.DUMMYFUNCTION("""COMPUTED_VALUE"""),"EXTERNO")</f>
        <v>EXTERNO</v>
      </c>
      <c r="O245">
        <f>IFERROR(__xludf.DUMMYFUNCTION("""COMPUTED_VALUE"""),24.0)</f>
        <v>24</v>
      </c>
      <c r="P245">
        <f>IFERROR(__xludf.DUMMYFUNCTION("""COMPUTED_VALUE"""),2.0)</f>
        <v>2</v>
      </c>
      <c r="Q245" s="35">
        <f>IFERROR(__xludf.DUMMYFUNCTION("""COMPUTED_VALUE"""),1.0)</f>
        <v>1</v>
      </c>
      <c r="R245" s="36" t="str">
        <f>IFERROR(__xludf.DUMMYFUNCTION("""COMPUTED_VALUE"""),"SELECCIONADO")</f>
        <v>SELECCIONADO</v>
      </c>
      <c r="S245" s="37">
        <f>IFERROR(__xludf.DUMMYFUNCTION("""COMPUTED_VALUE"""),42887.0)</f>
        <v>42887</v>
      </c>
      <c r="T245" s="34"/>
      <c r="U245" t="str">
        <f>IFERROR(__xludf.DUMMYFUNCTION("""COMPUTED_VALUE"""),"ISAAC ESTAY ROSALES")</f>
        <v>ISAAC ESTAY ROSALES</v>
      </c>
      <c r="V245" t="str">
        <f>IFERROR(__xludf.DUMMYFUNCTION("""COMPUTED_VALUE"""),"15564557-1")</f>
        <v>15564557-1</v>
      </c>
      <c r="W245" t="str">
        <f>IFERROR(__xludf.DUMMYFUNCTION("""COMPUTED_VALUE"""),"SI")</f>
        <v>SI</v>
      </c>
      <c r="X245" t="str">
        <f>IFERROR(__xludf.DUMMYFUNCTION("""COMPUTED_VALUE"""),"CAPACIDAD DE PLANIFICACION Y ORGANIZACION")</f>
        <v>CAPACIDAD DE PLANIFICACION Y ORGANIZACION</v>
      </c>
      <c r="AA245" s="38">
        <f>IFERROR(__xludf.DUMMYFUNCTION("""COMPUTED_VALUE"""),42817.0)</f>
        <v>42817</v>
      </c>
      <c r="AB245" s="38">
        <f>IFERROR(__xludf.DUMMYFUNCTION("""COMPUTED_VALUE"""),42824.0)</f>
        <v>42824</v>
      </c>
      <c r="AF245" s="39"/>
      <c r="AG245" s="39"/>
      <c r="AH245" s="34" t="str">
        <f>IFERROR(__xludf.DUMMYFUNCTION("""COMPUTED_VALUE"""),"PROCESO DE SELECCIÓN")</f>
        <v>PROCESO DE SELECCIÓN</v>
      </c>
      <c r="AI245" s="34" t="str">
        <f>IFERROR(__xludf.DUMMYFUNCTION("""COMPUTED_VALUE"""),"RICARDO RIQUELME")</f>
        <v>RICARDO RIQUELME</v>
      </c>
      <c r="AJ245" s="34"/>
      <c r="AK245" s="34" t="str">
        <f>IFERROR(__xludf.DUMMYFUNCTION("""COMPUTED_VALUE"""),"E")</f>
        <v>E</v>
      </c>
      <c r="AL245">
        <f>IFERROR(__xludf.DUMMYFUNCTION("""COMPUTED_VALUE"""),46.0)</f>
        <v>46</v>
      </c>
      <c r="AM245">
        <f>IFERROR(__xludf.DUMMYFUNCTION("""COMPUTED_VALUE"""),2017.0)</f>
        <v>2017</v>
      </c>
      <c r="AN245" t="str">
        <f t="shared" si="1"/>
        <v>15564557-1</v>
      </c>
    </row>
    <row r="246">
      <c r="A246" s="33">
        <f>IFERROR(__xludf.DUMMYFUNCTION("""COMPUTED_VALUE"""),1.6025809E7)</f>
        <v>16025809</v>
      </c>
      <c r="B246" s="33">
        <f>IFERROR(__xludf.DUMMYFUNCTION("""COMPUTED_VALUE"""),21.0)</f>
        <v>21</v>
      </c>
      <c r="C246" s="33"/>
      <c r="D246" s="34" t="str">
        <f>IFERROR(__xludf.DUMMYFUNCTION("""COMPUTED_VALUE"""),"INGRESAR CENTRO DE COSTO A LA DERECHA")</f>
        <v>INGRESAR CENTRO DE COSTO A LA DERECHA</v>
      </c>
      <c r="E246" s="34" t="str">
        <f>IFERROR(__xludf.DUMMYFUNCTION("""COMPUTED_VALUE"""),"UNIDAD DE ADQUISICIONES")</f>
        <v>UNIDAD DE ADQUISICIONES</v>
      </c>
      <c r="F246" s="34" t="str">
        <f>IFERROR(__xludf.DUMMYFUNCTION("""COMPUTED_VALUE"""),"Administrativo(a) de Apoyo")</f>
        <v>Administrativo(a) de Apoyo</v>
      </c>
      <c r="G246" s="33" t="str">
        <f>IFERROR(__xludf.DUMMYFUNCTION("""COMPUTED_VALUE"""),"ADMINISTRATIVO DE APOYO")</f>
        <v>ADMINISTRATIVO DE APOYO</v>
      </c>
      <c r="H246">
        <f>IFERROR(__xludf.DUMMYFUNCTION("""COMPUTED_VALUE"""),20.0)</f>
        <v>20</v>
      </c>
      <c r="I246" s="34" t="str">
        <f>IFERROR(__xludf.DUMMYFUNCTION("""COMPUTED_VALUE"""),"Jornada Completa")</f>
        <v>Jornada Completa</v>
      </c>
      <c r="J246" s="33" t="str">
        <f>IFERROR(__xludf.DUMMYFUNCTION("""COMPUTED_VALUE"""),"A CONTRATA")</f>
        <v>A CONTRATA</v>
      </c>
      <c r="K246" s="33" t="str">
        <f>IFERROR(__xludf.DUMMYFUNCTION("""COMPUTED_VALUE"""),"ADMINISTRATIVO")</f>
        <v>ADMINISTRATIVO</v>
      </c>
      <c r="L246" s="34" t="str">
        <f>IFERROR(__xludf.DUMMYFUNCTION("""COMPUTED_VALUE"""),"INTERNO")</f>
        <v>INTERNO</v>
      </c>
      <c r="M246" s="34">
        <f>IFERROR(__xludf.DUMMYFUNCTION("""COMPUTED_VALUE"""),1.0)</f>
        <v>1</v>
      </c>
      <c r="N246" s="34" t="str">
        <f>IFERROR(__xludf.DUMMYFUNCTION("""COMPUTED_VALUE"""),"NO")</f>
        <v>NO</v>
      </c>
      <c r="O246">
        <f>IFERROR(__xludf.DUMMYFUNCTION("""COMPUTED_VALUE"""),0.0)</f>
        <v>0</v>
      </c>
      <c r="P246">
        <f>IFERROR(__xludf.DUMMYFUNCTION("""COMPUTED_VALUE"""),1.0)</f>
        <v>1</v>
      </c>
      <c r="Q246" s="35">
        <f>IFERROR(__xludf.DUMMYFUNCTION("""COMPUTED_VALUE"""),0.0)</f>
        <v>0</v>
      </c>
      <c r="R246" s="36" t="str">
        <f>IFERROR(__xludf.DUMMYFUNCTION("""COMPUTED_VALUE"""),"SELECCIONADA")</f>
        <v>SELECCIONADA</v>
      </c>
      <c r="S246" s="37">
        <f>IFERROR(__xludf.DUMMYFUNCTION("""COMPUTED_VALUE"""),42948.0)</f>
        <v>42948</v>
      </c>
      <c r="T246" s="34" t="str">
        <f>IFERROR(__xludf.DUMMYFUNCTION("""COMPUTED_VALUE"""),"ROJAS CHIGUAIHUEN ELIZABETH MARGARITA")</f>
        <v>ROJAS CHIGUAIHUEN ELIZABETH MARGARITA</v>
      </c>
      <c r="V246" t="str">
        <f>IFERROR(__xludf.DUMMYFUNCTION("""COMPUTED_VALUE"""),"16025809-8")</f>
        <v>16025809-8</v>
      </c>
      <c r="W246" t="str">
        <f>IFERROR(__xludf.DUMMYFUNCTION("""COMPUTED_VALUE"""),"NO")</f>
        <v>NO</v>
      </c>
      <c r="AA246" s="38">
        <f>IFERROR(__xludf.DUMMYFUNCTION("""COMPUTED_VALUE"""),42893.0)</f>
        <v>42893</v>
      </c>
      <c r="AB246" s="38">
        <f>IFERROR(__xludf.DUMMYFUNCTION("""COMPUTED_VALUE"""),42900.0)</f>
        <v>42900</v>
      </c>
      <c r="AC246">
        <f>IFERROR(__xludf.DUMMYFUNCTION("""COMPUTED_VALUE"""),23.0)</f>
        <v>23</v>
      </c>
      <c r="AD246" t="str">
        <f>IFERROR(__xludf.DUMMYFUNCTION("""COMPUTED_VALUE"""),"AUXILIAR")</f>
        <v>AUXILIAR</v>
      </c>
      <c r="AE246" t="str">
        <f>IFERROR(__xludf.DUMMYFUNCTION("""COMPUTED_VALUE"""),"ESTAFETA")</f>
        <v>ESTAFETA</v>
      </c>
      <c r="AF246" s="39" t="str">
        <f>IFERROR(__xludf.DUMMYFUNCTION("""COMPUTED_VALUE"""),"PRORRECTORIA")</f>
        <v>PRORRECTORIA</v>
      </c>
      <c r="AG246" s="39"/>
      <c r="AH246" s="34" t="str">
        <f>IFERROR(__xludf.DUMMYFUNCTION("""COMPUTED_VALUE"""),"PROCESO DE SELECCIÓN")</f>
        <v>PROCESO DE SELECCIÓN</v>
      </c>
      <c r="AI246" s="34" t="str">
        <f>IFERROR(__xludf.DUMMYFUNCTION("""COMPUTED_VALUE"""),"AUTORIZADO 2017")</f>
        <v>AUTORIZADO 2017</v>
      </c>
      <c r="AJ246" s="34"/>
      <c r="AK246" s="34" t="str">
        <f>IFERROR(__xludf.DUMMYFUNCTION("""COMPUTED_VALUE"""),"C")</f>
        <v>C</v>
      </c>
      <c r="AL246">
        <f>IFERROR(__xludf.DUMMYFUNCTION("""COMPUTED_VALUE"""),35.0)</f>
        <v>35</v>
      </c>
      <c r="AM246">
        <f>IFERROR(__xludf.DUMMYFUNCTION("""COMPUTED_VALUE"""),2017.0)</f>
        <v>2017</v>
      </c>
      <c r="AN246" t="str">
        <f t="shared" si="1"/>
        <v>16025809-8</v>
      </c>
    </row>
    <row r="247">
      <c r="A247" s="33">
        <f>IFERROR(__xludf.DUMMYFUNCTION("""COMPUTED_VALUE"""),1.6661194E7)</f>
        <v>16661194</v>
      </c>
      <c r="B247" s="33">
        <f>IFERROR(__xludf.DUMMYFUNCTION("""COMPUTED_VALUE"""),22.0)</f>
        <v>22</v>
      </c>
      <c r="C247" s="33"/>
      <c r="D247" s="34" t="str">
        <f>IFERROR(__xludf.DUMMYFUNCTION("""COMPUTED_VALUE"""),"INGRESAR CENTRO DE COSTO A LA DERECHA")</f>
        <v>INGRESAR CENTRO DE COSTO A LA DERECHA</v>
      </c>
      <c r="E247" s="34" t="str">
        <f>IFERROR(__xludf.DUMMYFUNCTION("""COMPUTED_VALUE"""),"UNIDAD DE ATENCION DE SALUD")</f>
        <v>UNIDAD DE ATENCION DE SALUD</v>
      </c>
      <c r="F247" s="34" t="str">
        <f>IFERROR(__xludf.DUMMYFUNCTION("""COMPUTED_VALUE"""),"Auxiliar de Enfermería")</f>
        <v>Auxiliar de Enfermería</v>
      </c>
      <c r="G247" s="33" t="str">
        <f>IFERROR(__xludf.DUMMYFUNCTION("""COMPUTED_VALUE"""),"AUXILIAR DE ENFERMERIA")</f>
        <v>AUXILIAR DE ENFERMERIA</v>
      </c>
      <c r="H247">
        <f>IFERROR(__xludf.DUMMYFUNCTION("""COMPUTED_VALUE"""),17.0)</f>
        <v>17</v>
      </c>
      <c r="I247" s="34" t="str">
        <f>IFERROR(__xludf.DUMMYFUNCTION("""COMPUTED_VALUE"""),"Jornada Completa")</f>
        <v>Jornada Completa</v>
      </c>
      <c r="J247" s="33" t="str">
        <f>IFERROR(__xludf.DUMMYFUNCTION("""COMPUTED_VALUE"""),"A CONTRATA")</f>
        <v>A CONTRATA</v>
      </c>
      <c r="K247" s="33" t="str">
        <f>IFERROR(__xludf.DUMMYFUNCTION("""COMPUTED_VALUE"""),"TECNICO")</f>
        <v>TECNICO</v>
      </c>
      <c r="L247" s="34" t="str">
        <f>IFERROR(__xludf.DUMMYFUNCTION("""COMPUTED_VALUE"""),"INTERNO")</f>
        <v>INTERNO</v>
      </c>
      <c r="M247" s="34">
        <f>IFERROR(__xludf.DUMMYFUNCTION("""COMPUTED_VALUE"""),1.0)</f>
        <v>1</v>
      </c>
      <c r="N247" s="34" t="str">
        <f>IFERROR(__xludf.DUMMYFUNCTION("""COMPUTED_VALUE"""),"EXTERNO")</f>
        <v>EXTERNO</v>
      </c>
      <c r="O247">
        <f>IFERROR(__xludf.DUMMYFUNCTION("""COMPUTED_VALUE"""),20.0)</f>
        <v>20</v>
      </c>
      <c r="P247">
        <f>IFERROR(__xludf.DUMMYFUNCTION("""COMPUTED_VALUE"""),2.0)</f>
        <v>2</v>
      </c>
      <c r="Q247" s="35">
        <f>IFERROR(__xludf.DUMMYFUNCTION("""COMPUTED_VALUE"""),1.0)</f>
        <v>1</v>
      </c>
      <c r="R247" s="36" t="str">
        <f>IFERROR(__xludf.DUMMYFUNCTION("""COMPUTED_VALUE"""),"SELECCIONADA")</f>
        <v>SELECCIONADA</v>
      </c>
      <c r="S247" s="37">
        <f>IFERROR(__xludf.DUMMYFUNCTION("""COMPUTED_VALUE"""),42948.0)</f>
        <v>42948</v>
      </c>
      <c r="T247" s="34"/>
      <c r="U247" t="str">
        <f>IFERROR(__xludf.DUMMYFUNCTION("""COMPUTED_VALUE"""),"DANIELA ANDIA CLAVERO")</f>
        <v>DANIELA ANDIA CLAVERO</v>
      </c>
      <c r="V247" t="str">
        <f>IFERROR(__xludf.DUMMYFUNCTION("""COMPUTED_VALUE"""),"16661194-6")</f>
        <v>16661194-6</v>
      </c>
      <c r="W247" t="str">
        <f>IFERROR(__xludf.DUMMYFUNCTION("""COMPUTED_VALUE"""),"NO")</f>
        <v>NO</v>
      </c>
      <c r="AA247" s="38">
        <f>IFERROR(__xludf.DUMMYFUNCTION("""COMPUTED_VALUE"""),42880.0)</f>
        <v>42880</v>
      </c>
      <c r="AB247" s="38">
        <f>IFERROR(__xludf.DUMMYFUNCTION("""COMPUTED_VALUE"""),42887.0)</f>
        <v>42887</v>
      </c>
      <c r="AF247" s="39"/>
      <c r="AG247" s="39"/>
      <c r="AH247" s="34" t="str">
        <f>IFERROR(__xludf.DUMMYFUNCTION("""COMPUTED_VALUE"""),"PROCESO DE SELECCIÓN")</f>
        <v>PROCESO DE SELECCIÓN</v>
      </c>
      <c r="AI247" s="34" t="str">
        <f>IFERROR(__xludf.DUMMYFUNCTION("""COMPUTED_VALUE"""),"ELIZABETH PONCE PEREZ")</f>
        <v>ELIZABETH PONCE PEREZ</v>
      </c>
      <c r="AJ247" s="34"/>
      <c r="AK247" s="34" t="str">
        <f>IFERROR(__xludf.DUMMYFUNCTION("""COMPUTED_VALUE"""),"E")</f>
        <v>E</v>
      </c>
      <c r="AL247">
        <f>IFERROR(__xludf.DUMMYFUNCTION("""COMPUTED_VALUE"""),44.0)</f>
        <v>44</v>
      </c>
      <c r="AM247">
        <f>IFERROR(__xludf.DUMMYFUNCTION("""COMPUTED_VALUE"""),2017.0)</f>
        <v>2017</v>
      </c>
      <c r="AN247" t="str">
        <f t="shared" si="1"/>
        <v>16661194-6</v>
      </c>
    </row>
    <row r="248">
      <c r="A248" s="33">
        <f>IFERROR(__xludf.DUMMYFUNCTION("""COMPUTED_VALUE"""),1.2900867E7)</f>
        <v>12900867</v>
      </c>
      <c r="B248" s="33">
        <f>IFERROR(__xludf.DUMMYFUNCTION("""COMPUTED_VALUE"""),23.0)</f>
        <v>23</v>
      </c>
      <c r="C248" s="33"/>
      <c r="D248" s="34" t="str">
        <f>IFERROR(__xludf.DUMMYFUNCTION("""COMPUTED_VALUE"""),"INGRESAR CENTRO DE COSTO A LA DERECHA")</f>
        <v>INGRESAR CENTRO DE COSTO A LA DERECHA</v>
      </c>
      <c r="E248" s="34" t="str">
        <f>IFERROR(__xludf.DUMMYFUNCTION("""COMPUTED_VALUE"""),"UNIDAD DE ADM. SERV. ALIMENTARIOS")</f>
        <v>UNIDAD DE ADM. SERV. ALIMENTARIOS</v>
      </c>
      <c r="F248" s="34" t="str">
        <f>IFERROR(__xludf.DUMMYFUNCTION("""COMPUTED_VALUE"""),"Ayudante Maestro(a) de Cocina")</f>
        <v>Ayudante Maestro(a) de Cocina</v>
      </c>
      <c r="G248" s="33" t="str">
        <f>IFERROR(__xludf.DUMMYFUNCTION("""COMPUTED_VALUE"""),"AYUDANTE MAESTRO COCINA")</f>
        <v>AYUDANTE MAESTRO COCINA</v>
      </c>
      <c r="H248">
        <f>IFERROR(__xludf.DUMMYFUNCTION("""COMPUTED_VALUE"""),20.0)</f>
        <v>20</v>
      </c>
      <c r="I248" s="34" t="str">
        <f>IFERROR(__xludf.DUMMYFUNCTION("""COMPUTED_VALUE"""),"Jornada Completa")</f>
        <v>Jornada Completa</v>
      </c>
      <c r="J248" s="33" t="str">
        <f>IFERROR(__xludf.DUMMYFUNCTION("""COMPUTED_VALUE"""),"A CONTRATA")</f>
        <v>A CONTRATA</v>
      </c>
      <c r="K248" s="33" t="str">
        <f>IFERROR(__xludf.DUMMYFUNCTION("""COMPUTED_VALUE"""),"TECNICO")</f>
        <v>TECNICO</v>
      </c>
      <c r="L248" s="34" t="str">
        <f>IFERROR(__xludf.DUMMYFUNCTION("""COMPUTED_VALUE"""),"INTERNO")</f>
        <v>INTERNO</v>
      </c>
      <c r="M248" s="34">
        <f>IFERROR(__xludf.DUMMYFUNCTION("""COMPUTED_VALUE"""),1.0)</f>
        <v>1</v>
      </c>
      <c r="N248" s="34" t="str">
        <f>IFERROR(__xludf.DUMMYFUNCTION("""COMPUTED_VALUE"""),"NO")</f>
        <v>NO</v>
      </c>
      <c r="O248">
        <f>IFERROR(__xludf.DUMMYFUNCTION("""COMPUTED_VALUE"""),0.0)</f>
        <v>0</v>
      </c>
      <c r="P248">
        <f>IFERROR(__xludf.DUMMYFUNCTION("""COMPUTED_VALUE"""),1.0)</f>
        <v>1</v>
      </c>
      <c r="Q248" s="35">
        <f>IFERROR(__xludf.DUMMYFUNCTION("""COMPUTED_VALUE"""),0.0)</f>
        <v>0</v>
      </c>
      <c r="R248" s="36" t="str">
        <f>IFERROR(__xludf.DUMMYFUNCTION("""COMPUTED_VALUE"""),"SELECCIONADA")</f>
        <v>SELECCIONADA</v>
      </c>
      <c r="S248" s="37">
        <f>IFERROR(__xludf.DUMMYFUNCTION("""COMPUTED_VALUE"""),42948.0)</f>
        <v>42948</v>
      </c>
      <c r="T248" s="34" t="str">
        <f>IFERROR(__xludf.DUMMYFUNCTION("""COMPUTED_VALUE"""),"AVILA GALVEZ RAQUEL DEL CARMEN")</f>
        <v>AVILA GALVEZ RAQUEL DEL CARMEN</v>
      </c>
      <c r="V248" t="str">
        <f>IFERROR(__xludf.DUMMYFUNCTION("""COMPUTED_VALUE"""),"12900867-9")</f>
        <v>12900867-9</v>
      </c>
      <c r="W248" t="str">
        <f>IFERROR(__xludf.DUMMYFUNCTION("""COMPUTED_VALUE"""),"NO")</f>
        <v>NO</v>
      </c>
      <c r="AA248" s="38">
        <f>IFERROR(__xludf.DUMMYFUNCTION("""COMPUTED_VALUE"""),42899.0)</f>
        <v>42899</v>
      </c>
      <c r="AB248" s="38">
        <f>IFERROR(__xludf.DUMMYFUNCTION("""COMPUTED_VALUE"""),42906.0)</f>
        <v>42906</v>
      </c>
      <c r="AC248">
        <f>IFERROR(__xludf.DUMMYFUNCTION("""COMPUTED_VALUE"""),23.0)</f>
        <v>23</v>
      </c>
      <c r="AD248" t="str">
        <f>IFERROR(__xludf.DUMMYFUNCTION("""COMPUTED_VALUE"""),"AUXILIAR")</f>
        <v>AUXILIAR</v>
      </c>
      <c r="AE248" t="str">
        <f>IFERROR(__xludf.DUMMYFUNCTION("""COMPUTED_VALUE"""),"AUXILIAR DE SERVICIOS ")</f>
        <v>AUXILIAR DE SERVICIOS </v>
      </c>
      <c r="AF248" s="39" t="str">
        <f>IFERROR(__xludf.DUMMYFUNCTION("""COMPUTED_VALUE"""),"UNIDAD DE ADMINISTRACION DE SERVICIOS ALIMENTARIOS")</f>
        <v>UNIDAD DE ADMINISTRACION DE SERVICIOS ALIMENTARIOS</v>
      </c>
      <c r="AG248" s="39"/>
      <c r="AH248" s="34" t="str">
        <f>IFERROR(__xludf.DUMMYFUNCTION("""COMPUTED_VALUE"""),"PROCESO DE SELECCIÓN")</f>
        <v>PROCESO DE SELECCIÓN</v>
      </c>
      <c r="AI248" s="34" t="str">
        <f>IFERROR(__xludf.DUMMYFUNCTION("""COMPUTED_VALUE"""),"MANUEL CORREA HERNANDEZ")</f>
        <v>MANUEL CORREA HERNANDEZ</v>
      </c>
      <c r="AJ248" s="34"/>
      <c r="AK248" s="34" t="str">
        <f>IFERROR(__xludf.DUMMYFUNCTION("""COMPUTED_VALUE"""),"P")</f>
        <v>P</v>
      </c>
      <c r="AL248">
        <f>IFERROR(__xludf.DUMMYFUNCTION("""COMPUTED_VALUE"""),31.0)</f>
        <v>31</v>
      </c>
      <c r="AM248">
        <f>IFERROR(__xludf.DUMMYFUNCTION("""COMPUTED_VALUE"""),2017.0)</f>
        <v>2017</v>
      </c>
      <c r="AN248" t="str">
        <f t="shared" si="1"/>
        <v>12900867-9</v>
      </c>
    </row>
    <row r="249">
      <c r="A249" s="33">
        <f>IFERROR(__xludf.DUMMYFUNCTION("""COMPUTED_VALUE"""),1.6372814E7)</f>
        <v>16372814</v>
      </c>
      <c r="B249" s="33">
        <f>IFERROR(__xludf.DUMMYFUNCTION("""COMPUTED_VALUE"""),24.0)</f>
        <v>24</v>
      </c>
      <c r="C249" s="33"/>
      <c r="D249" s="34" t="str">
        <f>IFERROR(__xludf.DUMMYFUNCTION("""COMPUTED_VALUE"""),"INGRESAR CENTRO DE COSTO A LA DERECHA")</f>
        <v>INGRESAR CENTRO DE COSTO A LA DERECHA</v>
      </c>
      <c r="E249" s="34" t="str">
        <f>IFERROR(__xludf.DUMMYFUNCTION("""COMPUTED_VALUE"""),"UNIDAD DE BIENESTAR DEL PERSONAL")</f>
        <v>UNIDAD DE BIENESTAR DEL PERSONAL</v>
      </c>
      <c r="F249" s="34" t="str">
        <f>IFERROR(__xludf.DUMMYFUNCTION("""COMPUTED_VALUE"""),"Educador(a) de Párvulos")</f>
        <v>Educador(a) de Párvulos</v>
      </c>
      <c r="G249" s="33" t="str">
        <f>IFERROR(__xludf.DUMMYFUNCTION("""COMPUTED_VALUE"""),"EDUCADOR DE PARVULOS (SALA CUNA Y JARDIN INFANTIL)")</f>
        <v>EDUCADOR DE PARVULOS (SALA CUNA Y JARDIN INFANTIL)</v>
      </c>
      <c r="H249">
        <f>IFERROR(__xludf.DUMMYFUNCTION("""COMPUTED_VALUE"""),13.0)</f>
        <v>13</v>
      </c>
      <c r="I249" s="34" t="str">
        <f>IFERROR(__xludf.DUMMYFUNCTION("""COMPUTED_VALUE"""),"Jornada Completa")</f>
        <v>Jornada Completa</v>
      </c>
      <c r="J249" s="33" t="str">
        <f>IFERROR(__xludf.DUMMYFUNCTION("""COMPUTED_VALUE"""),"A CONTRATA")</f>
        <v>A CONTRATA</v>
      </c>
      <c r="K249" s="33" t="str">
        <f>IFERROR(__xludf.DUMMYFUNCTION("""COMPUTED_VALUE"""),"PROFESIONAL")</f>
        <v>PROFESIONAL</v>
      </c>
      <c r="L249" s="34" t="str">
        <f>IFERROR(__xludf.DUMMYFUNCTION("""COMPUTED_VALUE"""),"INTERNO")</f>
        <v>INTERNO</v>
      </c>
      <c r="M249" s="34">
        <f>IFERROR(__xludf.DUMMYFUNCTION("""COMPUTED_VALUE"""),0.0)</f>
        <v>0</v>
      </c>
      <c r="N249" s="34" t="str">
        <f>IFERROR(__xludf.DUMMYFUNCTION("""COMPUTED_VALUE"""),"EXTERNO")</f>
        <v>EXTERNO</v>
      </c>
      <c r="O249">
        <f>IFERROR(__xludf.DUMMYFUNCTION("""COMPUTED_VALUE"""),36.0)</f>
        <v>36</v>
      </c>
      <c r="P249">
        <f>IFERROR(__xludf.DUMMYFUNCTION("""COMPUTED_VALUE"""),2.0)</f>
        <v>2</v>
      </c>
      <c r="Q249" s="35">
        <f>IFERROR(__xludf.DUMMYFUNCTION("""COMPUTED_VALUE"""),1.0)</f>
        <v>1</v>
      </c>
      <c r="R249" s="36" t="str">
        <f>IFERROR(__xludf.DUMMYFUNCTION("""COMPUTED_VALUE"""),"SELECCIONADA")</f>
        <v>SELECCIONADA</v>
      </c>
      <c r="S249" s="37">
        <f>IFERROR(__xludf.DUMMYFUNCTION("""COMPUTED_VALUE"""),42948.0)</f>
        <v>42948</v>
      </c>
      <c r="T249" s="34"/>
      <c r="U249" t="str">
        <f>IFERROR(__xludf.DUMMYFUNCTION("""COMPUTED_VALUE"""),"PAMELA ROMERO SANTANDER")</f>
        <v>PAMELA ROMERO SANTANDER</v>
      </c>
      <c r="V249" t="str">
        <f>IFERROR(__xludf.DUMMYFUNCTION("""COMPUTED_VALUE"""),"16372814-1")</f>
        <v>16372814-1</v>
      </c>
      <c r="W249" t="str">
        <f>IFERROR(__xludf.DUMMYFUNCTION("""COMPUTED_VALUE"""),"NO")</f>
        <v>NO</v>
      </c>
      <c r="AA249" s="38">
        <f>IFERROR(__xludf.DUMMYFUNCTION("""COMPUTED_VALUE"""),42895.0)</f>
        <v>42895</v>
      </c>
      <c r="AB249" s="38">
        <f>IFERROR(__xludf.DUMMYFUNCTION("""COMPUTED_VALUE"""),42902.0)</f>
        <v>42902</v>
      </c>
      <c r="AF249" s="39"/>
      <c r="AG249" s="39"/>
      <c r="AH249" s="34" t="str">
        <f>IFERROR(__xludf.DUMMYFUNCTION("""COMPUTED_VALUE"""),"PROCESO DE SELECCIÓN")</f>
        <v>PROCESO DE SELECCIÓN</v>
      </c>
      <c r="AI249" s="34" t="str">
        <f>IFERROR(__xludf.DUMMYFUNCTION("""COMPUTED_VALUE"""),"PAMELA DELGADO JORQUERA")</f>
        <v>PAMELA DELGADO JORQUERA</v>
      </c>
      <c r="AJ249" s="34"/>
      <c r="AK249" s="34" t="str">
        <f>IFERROR(__xludf.DUMMYFUNCTION("""COMPUTED_VALUE"""),"P")</f>
        <v>P</v>
      </c>
      <c r="AL249">
        <f>IFERROR(__xludf.DUMMYFUNCTION("""COMPUTED_VALUE"""),33.0)</f>
        <v>33</v>
      </c>
      <c r="AM249">
        <f>IFERROR(__xludf.DUMMYFUNCTION("""COMPUTED_VALUE"""),2017.0)</f>
        <v>2017</v>
      </c>
      <c r="AN249" t="str">
        <f t="shared" si="1"/>
        <v>16372814-1</v>
      </c>
    </row>
    <row r="250">
      <c r="A250" s="33">
        <f>IFERROR(__xludf.DUMMYFUNCTION("""COMPUTED_VALUE"""),1.6942218E7)</f>
        <v>16942218</v>
      </c>
      <c r="B250" s="33">
        <f>IFERROR(__xludf.DUMMYFUNCTION("""COMPUTED_VALUE"""),25.0)</f>
        <v>25</v>
      </c>
      <c r="C250" s="33"/>
      <c r="D250" s="34" t="str">
        <f>IFERROR(__xludf.DUMMYFUNCTION("""COMPUTED_VALUE"""),"INGRESAR CENTRO DE COSTO A LA DERECHA")</f>
        <v>INGRESAR CENTRO DE COSTO A LA DERECHA</v>
      </c>
      <c r="E250" s="34" t="str">
        <f>IFERROR(__xludf.DUMMYFUNCTION("""COMPUTED_VALUE"""),"DPTO. DE FINANZAS Y TESORERIA")</f>
        <v>DPTO. DE FINANZAS Y TESORERIA</v>
      </c>
      <c r="F250" s="34" t="str">
        <f>IFERROR(__xludf.DUMMYFUNCTION("""COMPUTED_VALUE"""),"Jefe(a) de Sección")</f>
        <v>Jefe(a) de Sección</v>
      </c>
      <c r="G250" s="33" t="str">
        <f>IFERROR(__xludf.DUMMYFUNCTION("""COMPUTED_VALUE"""),"JEFE DE SECCIÓN (CONCILIACIONES BANCARIAS)")</f>
        <v>JEFE DE SECCIÓN (CONCILIACIONES BANCARIAS)</v>
      </c>
      <c r="H250">
        <f>IFERROR(__xludf.DUMMYFUNCTION("""COMPUTED_VALUE"""),8.0)</f>
        <v>8</v>
      </c>
      <c r="I250" s="34" t="str">
        <f>IFERROR(__xludf.DUMMYFUNCTION("""COMPUTED_VALUE"""),"Jornada Completa")</f>
        <v>Jornada Completa</v>
      </c>
      <c r="J250" s="33" t="str">
        <f>IFERROR(__xludf.DUMMYFUNCTION("""COMPUTED_VALUE"""),"A CONTRATA")</f>
        <v>A CONTRATA</v>
      </c>
      <c r="K250" s="33" t="str">
        <f>IFERROR(__xludf.DUMMYFUNCTION("""COMPUTED_VALUE"""),"PROFESIONAL")</f>
        <v>PROFESIONAL</v>
      </c>
      <c r="L250" s="34" t="str">
        <f>IFERROR(__xludf.DUMMYFUNCTION("""COMPUTED_VALUE"""),"INTERNO")</f>
        <v>INTERNO</v>
      </c>
      <c r="M250" s="34">
        <f>IFERROR(__xludf.DUMMYFUNCTION("""COMPUTED_VALUE"""),0.0)</f>
        <v>0</v>
      </c>
      <c r="N250" s="34" t="str">
        <f>IFERROR(__xludf.DUMMYFUNCTION("""COMPUTED_VALUE"""),"EXTERNO")</f>
        <v>EXTERNO</v>
      </c>
      <c r="O250">
        <f>IFERROR(__xludf.DUMMYFUNCTION("""COMPUTED_VALUE"""),14.0)</f>
        <v>14</v>
      </c>
      <c r="P250">
        <f>IFERROR(__xludf.DUMMYFUNCTION("""COMPUTED_VALUE"""),1.0)</f>
        <v>1</v>
      </c>
      <c r="Q250" s="35">
        <f>IFERROR(__xludf.DUMMYFUNCTION("""COMPUTED_VALUE"""),1.0)</f>
        <v>1</v>
      </c>
      <c r="R250" s="36" t="str">
        <f>IFERROR(__xludf.DUMMYFUNCTION("""COMPUTED_VALUE"""),"SELECCIONADA")</f>
        <v>SELECCIONADA</v>
      </c>
      <c r="S250" s="37">
        <f>IFERROR(__xludf.DUMMYFUNCTION("""COMPUTED_VALUE"""),42948.0)</f>
        <v>42948</v>
      </c>
      <c r="T250" s="34"/>
      <c r="U250" t="str">
        <f>IFERROR(__xludf.DUMMYFUNCTION("""COMPUTED_VALUE"""),"CLAUDIA DIAZ MOLINA")</f>
        <v>CLAUDIA DIAZ MOLINA</v>
      </c>
      <c r="V250" t="str">
        <f>IFERROR(__xludf.DUMMYFUNCTION("""COMPUTED_VALUE"""),"16942218-4")</f>
        <v>16942218-4</v>
      </c>
      <c r="W250" t="str">
        <f>IFERROR(__xludf.DUMMYFUNCTION("""COMPUTED_VALUE"""),"NO")</f>
        <v>NO</v>
      </c>
      <c r="AA250" s="38">
        <f>IFERROR(__xludf.DUMMYFUNCTION("""COMPUTED_VALUE"""),42895.0)</f>
        <v>42895</v>
      </c>
      <c r="AB250" s="38">
        <f>IFERROR(__xludf.DUMMYFUNCTION("""COMPUTED_VALUE"""),42902.0)</f>
        <v>42902</v>
      </c>
      <c r="AF250" s="39"/>
      <c r="AG250" s="39"/>
      <c r="AH250" s="34" t="str">
        <f>IFERROR(__xludf.DUMMYFUNCTION("""COMPUTED_VALUE"""),"PROCESO DE SELECCIÓN")</f>
        <v>PROCESO DE SELECCIÓN</v>
      </c>
      <c r="AI250" s="34" t="str">
        <f>IFERROR(__xludf.DUMMYFUNCTION("""COMPUTED_VALUE"""),"AUTORIZADO 2017")</f>
        <v>AUTORIZADO 2017</v>
      </c>
      <c r="AJ250" s="34"/>
      <c r="AK250" s="34" t="str">
        <f>IFERROR(__xludf.DUMMYFUNCTION("""COMPUTED_VALUE"""),"P")</f>
        <v>P</v>
      </c>
      <c r="AL250">
        <f>IFERROR(__xludf.DUMMYFUNCTION("""COMPUTED_VALUE"""),33.0)</f>
        <v>33</v>
      </c>
      <c r="AM250">
        <f>IFERROR(__xludf.DUMMYFUNCTION("""COMPUTED_VALUE"""),2017.0)</f>
        <v>2017</v>
      </c>
      <c r="AN250" t="str">
        <f t="shared" si="1"/>
        <v>16942218-4</v>
      </c>
    </row>
    <row r="251">
      <c r="A251" s="33">
        <f>IFERROR(__xludf.DUMMYFUNCTION("""COMPUTED_VALUE"""),1.9635069E7)</f>
        <v>19635069</v>
      </c>
      <c r="B251" s="33">
        <f>IFERROR(__xludf.DUMMYFUNCTION("""COMPUTED_VALUE"""),26.0)</f>
        <v>26</v>
      </c>
      <c r="C251" s="33"/>
      <c r="D251" s="34" t="str">
        <f>IFERROR(__xludf.DUMMYFUNCTION("""COMPUTED_VALUE"""),"INGRESAR CENTRO DE COSTO A LA DERECHA")</f>
        <v>INGRESAR CENTRO DE COSTO A LA DERECHA</v>
      </c>
      <c r="E251" s="34" t="str">
        <f>IFERROR(__xludf.DUMMYFUNCTION("""COMPUTED_VALUE"""),"DPTO. DE COMUNICACIONES")</f>
        <v>DPTO. DE COMUNICACIONES</v>
      </c>
      <c r="F251" s="34" t="str">
        <f>IFERROR(__xludf.DUMMYFUNCTION("""COMPUTED_VALUE"""),"Estafeta")</f>
        <v>Estafeta</v>
      </c>
      <c r="G251" s="33" t="str">
        <f>IFERROR(__xludf.DUMMYFUNCTION("""COMPUTED_VALUE"""),"ESTAFETA")</f>
        <v>ESTAFETA</v>
      </c>
      <c r="H251">
        <f>IFERROR(__xludf.DUMMYFUNCTION("""COMPUTED_VALUE"""),23.0)</f>
        <v>23</v>
      </c>
      <c r="I251" s="34" t="str">
        <f>IFERROR(__xludf.DUMMYFUNCTION("""COMPUTED_VALUE"""),"Jornada Completa")</f>
        <v>Jornada Completa</v>
      </c>
      <c r="J251" s="33" t="str">
        <f>IFERROR(__xludf.DUMMYFUNCTION("""COMPUTED_VALUE"""),"A CONTRATA")</f>
        <v>A CONTRATA</v>
      </c>
      <c r="K251" s="33" t="str">
        <f>IFERROR(__xludf.DUMMYFUNCTION("""COMPUTED_VALUE"""),"AUXILIAR")</f>
        <v>AUXILIAR</v>
      </c>
      <c r="L251" s="34" t="str">
        <f>IFERROR(__xludf.DUMMYFUNCTION("""COMPUTED_VALUE"""),"INTERNO")</f>
        <v>INTERNO</v>
      </c>
      <c r="M251" s="34">
        <f>IFERROR(__xludf.DUMMYFUNCTION("""COMPUTED_VALUE"""),1.0)</f>
        <v>1</v>
      </c>
      <c r="N251" s="34" t="str">
        <f>IFERROR(__xludf.DUMMYFUNCTION("""COMPUTED_VALUE"""),"EXTERNO")</f>
        <v>EXTERNO</v>
      </c>
      <c r="O251">
        <f>IFERROR(__xludf.DUMMYFUNCTION("""COMPUTED_VALUE"""),44.0)</f>
        <v>44</v>
      </c>
      <c r="P251">
        <f>IFERROR(__xludf.DUMMYFUNCTION("""COMPUTED_VALUE"""),1.0)</f>
        <v>1</v>
      </c>
      <c r="Q251" s="35">
        <f>IFERROR(__xludf.DUMMYFUNCTION("""COMPUTED_VALUE"""),2.0)</f>
        <v>2</v>
      </c>
      <c r="R251" s="36" t="str">
        <f>IFERROR(__xludf.DUMMYFUNCTION("""COMPUTED_VALUE"""),"SELECCIONADO")</f>
        <v>SELECCIONADO</v>
      </c>
      <c r="S251" s="37">
        <f>IFERROR(__xludf.DUMMYFUNCTION("""COMPUTED_VALUE"""),42915.0)</f>
        <v>42915</v>
      </c>
      <c r="T251" s="34"/>
      <c r="U251" t="str">
        <f>IFERROR(__xludf.DUMMYFUNCTION("""COMPUTED_VALUE"""),"CRISTOPHER ALVAREZ VALENZUELA")</f>
        <v>CRISTOPHER ALVAREZ VALENZUELA</v>
      </c>
      <c r="V251" t="str">
        <f>IFERROR(__xludf.DUMMYFUNCTION("""COMPUTED_VALUE"""),"19635069-1")</f>
        <v>19635069-1</v>
      </c>
      <c r="W251" t="str">
        <f>IFERROR(__xludf.DUMMYFUNCTION("""COMPUTED_VALUE"""),"NO")</f>
        <v>NO</v>
      </c>
      <c r="AA251" s="38">
        <f>IFERROR(__xludf.DUMMYFUNCTION("""COMPUTED_VALUE"""),42874.0)</f>
        <v>42874</v>
      </c>
      <c r="AB251" s="38">
        <f>IFERROR(__xludf.DUMMYFUNCTION("""COMPUTED_VALUE"""),42881.0)</f>
        <v>42881</v>
      </c>
      <c r="AF251" s="39"/>
      <c r="AG251" s="39"/>
      <c r="AH251" s="34" t="str">
        <f>IFERROR(__xludf.DUMMYFUNCTION("""COMPUTED_VALUE"""),"PROCESO DE SELECCIÓN")</f>
        <v>PROCESO DE SELECCIÓN</v>
      </c>
      <c r="AI251" s="34" t="str">
        <f>IFERROR(__xludf.DUMMYFUNCTION("""COMPUTED_VALUE"""),"JAIME MOLINA URRA")</f>
        <v>JAIME MOLINA URRA</v>
      </c>
      <c r="AJ251" s="34"/>
      <c r="AK251" s="34" t="str">
        <f>IFERROR(__xludf.DUMMYFUNCTION("""COMPUTED_VALUE"""),"E")</f>
        <v>E</v>
      </c>
      <c r="AL251">
        <f>IFERROR(__xludf.DUMMYFUNCTION("""COMPUTED_VALUE"""),25.0)</f>
        <v>25</v>
      </c>
      <c r="AM251">
        <f>IFERROR(__xludf.DUMMYFUNCTION("""COMPUTED_VALUE"""),2017.0)</f>
        <v>2017</v>
      </c>
      <c r="AN251" t="str">
        <f t="shared" si="1"/>
        <v>19635069-1</v>
      </c>
    </row>
    <row r="252">
      <c r="A252" s="33">
        <f>IFERROR(__xludf.DUMMYFUNCTION("""COMPUTED_VALUE"""),8507126.0)</f>
        <v>8507126</v>
      </c>
      <c r="B252" s="33">
        <f>IFERROR(__xludf.DUMMYFUNCTION("""COMPUTED_VALUE"""),27.0)</f>
        <v>27</v>
      </c>
      <c r="C252" s="33"/>
      <c r="D252" s="34" t="str">
        <f>IFERROR(__xludf.DUMMYFUNCTION("""COMPUTED_VALUE"""),"INGRESAR CENTRO DE COSTO A LA DERECHA")</f>
        <v>INGRESAR CENTRO DE COSTO A LA DERECHA</v>
      </c>
      <c r="E252" s="34" t="str">
        <f>IFERROR(__xludf.DUMMYFUNCTION("""COMPUTED_VALUE"""),"DPTO. DE DEPORTES")</f>
        <v>DPTO. DE DEPORTES</v>
      </c>
      <c r="F252" s="34" t="str">
        <f>IFERROR(__xludf.DUMMYFUNCTION("""COMPUTED_VALUE"""),"Entrenador(a) Deportivo(a)")</f>
        <v>Entrenador(a) Deportivo(a)</v>
      </c>
      <c r="G252" s="33" t="str">
        <f>IFERROR(__xludf.DUMMYFUNCTION("""COMPUTED_VALUE"""),"ENTRENADOR DEPORTIVO (FUTBOL)")</f>
        <v>ENTRENADOR DEPORTIVO (FUTBOL)</v>
      </c>
      <c r="H252">
        <f>IFERROR(__xludf.DUMMYFUNCTION("""COMPUTED_VALUE"""),13.0)</f>
        <v>13</v>
      </c>
      <c r="I252" s="34" t="str">
        <f>IFERROR(__xludf.DUMMYFUNCTION("""COMPUTED_VALUE"""),"1/2 Jornada")</f>
        <v>1/2 Jornada</v>
      </c>
      <c r="J252" s="33" t="str">
        <f>IFERROR(__xludf.DUMMYFUNCTION("""COMPUTED_VALUE"""),"A CONTRATA")</f>
        <v>A CONTRATA</v>
      </c>
      <c r="K252" s="33" t="str">
        <f>IFERROR(__xludf.DUMMYFUNCTION("""COMPUTED_VALUE"""),"PROFESIONAL")</f>
        <v>PROFESIONAL</v>
      </c>
      <c r="L252" s="34" t="str">
        <f>IFERROR(__xludf.DUMMYFUNCTION("""COMPUTED_VALUE"""),"INTERNO")</f>
        <v>INTERNO</v>
      </c>
      <c r="M252" s="34">
        <f>IFERROR(__xludf.DUMMYFUNCTION("""COMPUTED_VALUE"""),1.0)</f>
        <v>1</v>
      </c>
      <c r="N252" s="34" t="str">
        <f>IFERROR(__xludf.DUMMYFUNCTION("""COMPUTED_VALUE"""),"EXTERNO")</f>
        <v>EXTERNO</v>
      </c>
      <c r="O252">
        <f>IFERROR(__xludf.DUMMYFUNCTION("""COMPUTED_VALUE"""),53.0)</f>
        <v>53</v>
      </c>
      <c r="P252">
        <f>IFERROR(__xludf.DUMMYFUNCTION("""COMPUTED_VALUE"""),3.0)</f>
        <v>3</v>
      </c>
      <c r="Q252" s="35">
        <f>IFERROR(__xludf.DUMMYFUNCTION("""COMPUTED_VALUE"""),1.0)</f>
        <v>1</v>
      </c>
      <c r="R252" s="36" t="str">
        <f>IFERROR(__xludf.DUMMYFUNCTION("""COMPUTED_VALUE"""),"SELECCIONADO")</f>
        <v>SELECCIONADO</v>
      </c>
      <c r="S252" s="37">
        <f>IFERROR(__xludf.DUMMYFUNCTION("""COMPUTED_VALUE"""),42955.0)</f>
        <v>42955</v>
      </c>
      <c r="T252" s="34"/>
      <c r="U252" t="str">
        <f>IFERROR(__xludf.DUMMYFUNCTION("""COMPUTED_VALUE"""),"JUAN GUTIERREZ ACOSTA")</f>
        <v>JUAN GUTIERREZ ACOSTA</v>
      </c>
      <c r="V252" t="str">
        <f>IFERROR(__xludf.DUMMYFUNCTION("""COMPUTED_VALUE"""),"8507126-2")</f>
        <v>8507126-2</v>
      </c>
      <c r="W252" t="str">
        <f>IFERROR(__xludf.DUMMYFUNCTION("""COMPUTED_VALUE"""),"SI")</f>
        <v>SI</v>
      </c>
      <c r="X252" t="str">
        <f>IFERROR(__xludf.DUMMYFUNCTION("""COMPUTED_VALUE"""),"LIDERAZGO")</f>
        <v>LIDERAZGO</v>
      </c>
      <c r="Y252" t="str">
        <f>IFERROR(__xludf.DUMMYFUNCTION("""COMPUTED_VALUE"""),"TRABAJO EN EQUIPO")</f>
        <v>TRABAJO EN EQUIPO</v>
      </c>
      <c r="AA252" s="38">
        <f>IFERROR(__xludf.DUMMYFUNCTION("""COMPUTED_VALUE"""),42902.0)</f>
        <v>42902</v>
      </c>
      <c r="AB252" s="38">
        <f>IFERROR(__xludf.DUMMYFUNCTION("""COMPUTED_VALUE"""),42907.0)</f>
        <v>42907</v>
      </c>
      <c r="AF252" s="39"/>
      <c r="AG252" s="39"/>
      <c r="AH252" s="34" t="str">
        <f>IFERROR(__xludf.DUMMYFUNCTION("""COMPUTED_VALUE"""),"PROCESO DE SELECCIÓN")</f>
        <v>PROCESO DE SELECCIÓN</v>
      </c>
      <c r="AI252" s="34" t="str">
        <f>IFERROR(__xludf.DUMMYFUNCTION("""COMPUTED_VALUE"""),"GIOVANNI NATALI FLANDEZ")</f>
        <v>GIOVANNI NATALI FLANDEZ</v>
      </c>
      <c r="AJ252" s="34"/>
      <c r="AK252" s="34" t="str">
        <f>IFERROR(__xludf.DUMMYFUNCTION("""COMPUTED_VALUE"""),"E")</f>
        <v>E</v>
      </c>
      <c r="AL252">
        <f>IFERROR(__xludf.DUMMYFUNCTION("""COMPUTED_VALUE"""),35.0)</f>
        <v>35</v>
      </c>
      <c r="AM252">
        <f>IFERROR(__xludf.DUMMYFUNCTION("""COMPUTED_VALUE"""),2017.0)</f>
        <v>2017</v>
      </c>
      <c r="AN252" t="str">
        <f t="shared" si="1"/>
        <v>08507126-2</v>
      </c>
    </row>
    <row r="253">
      <c r="A253" s="33">
        <f>IFERROR(__xludf.DUMMYFUNCTION("""COMPUTED_VALUE"""),1.2960008E7)</f>
        <v>12960008</v>
      </c>
      <c r="B253" s="33">
        <f>IFERROR(__xludf.DUMMYFUNCTION("""COMPUTED_VALUE"""),28.0)</f>
        <v>28</v>
      </c>
      <c r="C253" s="33"/>
      <c r="D253" s="34" t="str">
        <f>IFERROR(__xludf.DUMMYFUNCTION("""COMPUTED_VALUE"""),"INGRESAR CENTRO DE COSTO A LA DERECHA")</f>
        <v>INGRESAR CENTRO DE COSTO A LA DERECHA</v>
      </c>
      <c r="E253" s="34" t="str">
        <f>IFERROR(__xludf.DUMMYFUNCTION("""COMPUTED_VALUE"""),"DPTO. DE ECONOMIA")</f>
        <v>DPTO. DE ECONOMIA</v>
      </c>
      <c r="F253" s="34" t="str">
        <f>IFERROR(__xludf.DUMMYFUNCTION("""COMPUTED_VALUE"""),"Secretario(a) B")</f>
        <v>Secretario(a) B</v>
      </c>
      <c r="G253" s="33" t="str">
        <f>IFERROR(__xludf.DUMMYFUNCTION("""COMPUTED_VALUE"""),"SECRETARIA B DEPARTAMENTO")</f>
        <v>SECRETARIA B DEPARTAMENTO</v>
      </c>
      <c r="H253">
        <f>IFERROR(__xludf.DUMMYFUNCTION("""COMPUTED_VALUE"""),17.0)</f>
        <v>17</v>
      </c>
      <c r="I253" s="34" t="str">
        <f>IFERROR(__xludf.DUMMYFUNCTION("""COMPUTED_VALUE"""),"Jornada Completa")</f>
        <v>Jornada Completa</v>
      </c>
      <c r="J253" s="33" t="str">
        <f>IFERROR(__xludf.DUMMYFUNCTION("""COMPUTED_VALUE"""),"A CONTRATA")</f>
        <v>A CONTRATA</v>
      </c>
      <c r="K253" s="33" t="str">
        <f>IFERROR(__xludf.DUMMYFUNCTION("""COMPUTED_VALUE"""),"ADMINISTRATIVO")</f>
        <v>ADMINISTRATIVO</v>
      </c>
      <c r="L253" s="34" t="str">
        <f>IFERROR(__xludf.DUMMYFUNCTION("""COMPUTED_VALUE"""),"INTERNO")</f>
        <v>INTERNO</v>
      </c>
      <c r="M253" s="34">
        <f>IFERROR(__xludf.DUMMYFUNCTION("""COMPUTED_VALUE"""),1.0)</f>
        <v>1</v>
      </c>
      <c r="N253" s="34" t="str">
        <f>IFERROR(__xludf.DUMMYFUNCTION("""COMPUTED_VALUE"""),"EXTERNO")</f>
        <v>EXTERNO</v>
      </c>
      <c r="O253">
        <f>IFERROR(__xludf.DUMMYFUNCTION("""COMPUTED_VALUE"""),7.0)</f>
        <v>7</v>
      </c>
      <c r="P253">
        <f>IFERROR(__xludf.DUMMYFUNCTION("""COMPUTED_VALUE"""),1.0)</f>
        <v>1</v>
      </c>
      <c r="Q253" s="35">
        <f>IFERROR(__xludf.DUMMYFUNCTION("""COMPUTED_VALUE"""),1.0)</f>
        <v>1</v>
      </c>
      <c r="R253" s="36" t="str">
        <f>IFERROR(__xludf.DUMMYFUNCTION("""COMPUTED_VALUE"""),"SELECCIONADA")</f>
        <v>SELECCIONADA</v>
      </c>
      <c r="S253" s="37">
        <f>IFERROR(__xludf.DUMMYFUNCTION("""COMPUTED_VALUE"""),42954.0)</f>
        <v>42954</v>
      </c>
      <c r="T253" s="34"/>
      <c r="U253" t="str">
        <f>IFERROR(__xludf.DUMMYFUNCTION("""COMPUTED_VALUE"""),"SILVIA ACEVEDO BERRIOS")</f>
        <v>SILVIA ACEVEDO BERRIOS</v>
      </c>
      <c r="V253" t="str">
        <f>IFERROR(__xludf.DUMMYFUNCTION("""COMPUTED_VALUE"""),"12960008-K")</f>
        <v>12960008-K</v>
      </c>
      <c r="W253" t="str">
        <f>IFERROR(__xludf.DUMMYFUNCTION("""COMPUTED_VALUE"""),"NO")</f>
        <v>NO</v>
      </c>
      <c r="AA253" s="38">
        <f>IFERROR(__xludf.DUMMYFUNCTION("""COMPUTED_VALUE"""),42922.0)</f>
        <v>42922</v>
      </c>
      <c r="AB253" s="38">
        <f>IFERROR(__xludf.DUMMYFUNCTION("""COMPUTED_VALUE"""),42929.0)</f>
        <v>42929</v>
      </c>
      <c r="AF253" s="39"/>
      <c r="AG253" s="39"/>
      <c r="AH253" s="34" t="str">
        <f>IFERROR(__xludf.DUMMYFUNCTION("""COMPUTED_VALUE"""),"PROCESO DE SELECCIÓN")</f>
        <v>PROCESO DE SELECCIÓN</v>
      </c>
      <c r="AI253" s="34" t="str">
        <f>IFERROR(__xludf.DUMMYFUNCTION("""COMPUTED_VALUE"""),"AUTORIZADO 2017")</f>
        <v>AUTORIZADO 2017</v>
      </c>
      <c r="AJ253" s="34"/>
      <c r="AK253" s="34" t="str">
        <f>IFERROR(__xludf.DUMMYFUNCTION("""COMPUTED_VALUE"""),"P")</f>
        <v>P</v>
      </c>
      <c r="AL253">
        <f>IFERROR(__xludf.DUMMYFUNCTION("""COMPUTED_VALUE"""),18.0)</f>
        <v>18</v>
      </c>
      <c r="AM253">
        <f>IFERROR(__xludf.DUMMYFUNCTION("""COMPUTED_VALUE"""),2017.0)</f>
        <v>2017</v>
      </c>
      <c r="AN253" t="str">
        <f t="shared" si="1"/>
        <v>12960008-K</v>
      </c>
    </row>
    <row r="254">
      <c r="A254" s="33">
        <f>IFERROR(__xludf.DUMMYFUNCTION("""COMPUTED_VALUE"""),1.2260688E7)</f>
        <v>12260688</v>
      </c>
      <c r="B254" s="33">
        <f>IFERROR(__xludf.DUMMYFUNCTION("""COMPUTED_VALUE"""),29.0)</f>
        <v>29</v>
      </c>
      <c r="C254" s="33"/>
      <c r="D254" s="34" t="str">
        <f>IFERROR(__xludf.DUMMYFUNCTION("""COMPUTED_VALUE"""),"INGRESAR CENTRO DE COSTO A LA DERECHA")</f>
        <v>INGRESAR CENTRO DE COSTO A LA DERECHA</v>
      </c>
      <c r="E254" s="34" t="str">
        <f>IFERROR(__xludf.DUMMYFUNCTION("""COMPUTED_VALUE"""),"FACULTAD DE QUIMICA Y BIOLOGIA")</f>
        <v>FACULTAD DE QUIMICA Y BIOLOGIA</v>
      </c>
      <c r="F254" s="34" t="str">
        <f>IFERROR(__xludf.DUMMYFUNCTION("""COMPUTED_VALUE"""),"Administrativo(a) de Apoyo")</f>
        <v>Administrativo(a) de Apoyo</v>
      </c>
      <c r="G254" s="33" t="str">
        <f>IFERROR(__xludf.DUMMYFUNCTION("""COMPUTED_VALUE"""),"ADMINISTRATIVO DE APOYO")</f>
        <v>ADMINISTRATIVO DE APOYO</v>
      </c>
      <c r="H254">
        <f>IFERROR(__xludf.DUMMYFUNCTION("""COMPUTED_VALUE"""),20.0)</f>
        <v>20</v>
      </c>
      <c r="I254" s="34" t="str">
        <f>IFERROR(__xludf.DUMMYFUNCTION("""COMPUTED_VALUE"""),"Jornada Completa")</f>
        <v>Jornada Completa</v>
      </c>
      <c r="J254" s="33" t="str">
        <f>IFERROR(__xludf.DUMMYFUNCTION("""COMPUTED_VALUE"""),"A CONTRATA")</f>
        <v>A CONTRATA</v>
      </c>
      <c r="K254" s="33" t="str">
        <f>IFERROR(__xludf.DUMMYFUNCTION("""COMPUTED_VALUE"""),"ADMINISTRATIVO")</f>
        <v>ADMINISTRATIVO</v>
      </c>
      <c r="L254" s="34" t="str">
        <f>IFERROR(__xludf.DUMMYFUNCTION("""COMPUTED_VALUE"""),"INTERNO")</f>
        <v>INTERNO</v>
      </c>
      <c r="M254" s="34">
        <f>IFERROR(__xludf.DUMMYFUNCTION("""COMPUTED_VALUE"""),0.0)</f>
        <v>0</v>
      </c>
      <c r="N254" s="34" t="str">
        <f>IFERROR(__xludf.DUMMYFUNCTION("""COMPUTED_VALUE"""),"EXTERNO")</f>
        <v>EXTERNO</v>
      </c>
      <c r="O254">
        <f>IFERROR(__xludf.DUMMYFUNCTION("""COMPUTED_VALUE"""),15.0)</f>
        <v>15</v>
      </c>
      <c r="P254">
        <f>IFERROR(__xludf.DUMMYFUNCTION("""COMPUTED_VALUE"""),2.0)</f>
        <v>2</v>
      </c>
      <c r="Q254" s="35">
        <f>IFERROR(__xludf.DUMMYFUNCTION("""COMPUTED_VALUE"""),1.0)</f>
        <v>1</v>
      </c>
      <c r="R254" s="36" t="str">
        <f>IFERROR(__xludf.DUMMYFUNCTION("""COMPUTED_VALUE"""),"SELECCIONADA")</f>
        <v>SELECCIONADA</v>
      </c>
      <c r="S254" s="37">
        <f>IFERROR(__xludf.DUMMYFUNCTION("""COMPUTED_VALUE"""),42948.0)</f>
        <v>42948</v>
      </c>
      <c r="T254" s="34"/>
      <c r="U254" t="str">
        <f>IFERROR(__xludf.DUMMYFUNCTION("""COMPUTED_VALUE"""),"MARTA ADRIAZOLA MORENO")</f>
        <v>MARTA ADRIAZOLA MORENO</v>
      </c>
      <c r="V254" t="str">
        <f>IFERROR(__xludf.DUMMYFUNCTION("""COMPUTED_VALUE"""),"12260688-0")</f>
        <v>12260688-0</v>
      </c>
      <c r="W254" t="str">
        <f>IFERROR(__xludf.DUMMYFUNCTION("""COMPUTED_VALUE"""),"SI")</f>
        <v>SI</v>
      </c>
      <c r="X254" t="str">
        <f>IFERROR(__xludf.DUMMYFUNCTION("""COMPUTED_VALUE"""),"COMUNICACION")</f>
        <v>COMUNICACION</v>
      </c>
      <c r="AA254" s="38">
        <f>IFERROR(__xludf.DUMMYFUNCTION("""COMPUTED_VALUE"""),42899.0)</f>
        <v>42899</v>
      </c>
      <c r="AB254" s="38">
        <f>IFERROR(__xludf.DUMMYFUNCTION("""COMPUTED_VALUE"""),42906.0)</f>
        <v>42906</v>
      </c>
      <c r="AF254" s="39"/>
      <c r="AG254" s="39"/>
      <c r="AH254" s="34" t="str">
        <f>IFERROR(__xludf.DUMMYFUNCTION("""COMPUTED_VALUE"""),"PROCESO DE SELECCIÓN")</f>
        <v>PROCESO DE SELECCIÓN</v>
      </c>
      <c r="AI254" s="34" t="str">
        <f>IFERROR(__xludf.DUMMYFUNCTION("""COMPUTED_VALUE"""),"LORENA IBARRA ACOSTA")</f>
        <v>LORENA IBARRA ACOSTA</v>
      </c>
      <c r="AJ254" s="34"/>
      <c r="AK254" s="34" t="str">
        <f>IFERROR(__xludf.DUMMYFUNCTION("""COMPUTED_VALUE"""),"P")</f>
        <v>P</v>
      </c>
      <c r="AL254">
        <f>IFERROR(__xludf.DUMMYFUNCTION("""COMPUTED_VALUE"""),31.0)</f>
        <v>31</v>
      </c>
      <c r="AM254">
        <f>IFERROR(__xludf.DUMMYFUNCTION("""COMPUTED_VALUE"""),2017.0)</f>
        <v>2017</v>
      </c>
      <c r="AN254" t="str">
        <f t="shared" si="1"/>
        <v>12260688-0</v>
      </c>
    </row>
    <row r="255">
      <c r="A255" s="33">
        <f>IFERROR(__xludf.DUMMYFUNCTION("""COMPUTED_VALUE"""),1.8326702E7)</f>
        <v>18326702</v>
      </c>
      <c r="B255" s="33">
        <f>IFERROR(__xludf.DUMMYFUNCTION("""COMPUTED_VALUE"""),30.0)</f>
        <v>30</v>
      </c>
      <c r="C255" s="33"/>
      <c r="D255" s="34" t="str">
        <f>IFERROR(__xludf.DUMMYFUNCTION("""COMPUTED_VALUE"""),"INGRESAR CENTRO DE COSTO A LA DERECHA")</f>
        <v>INGRESAR CENTRO DE COSTO A LA DERECHA</v>
      </c>
      <c r="E255" s="34" t="str">
        <f>IFERROR(__xludf.DUMMYFUNCTION("""COMPUTED_VALUE"""),"SECRETARIA GENERAL")</f>
        <v>SECRETARIA GENERAL</v>
      </c>
      <c r="F255" s="34" t="str">
        <f>IFERROR(__xludf.DUMMYFUNCTION("""COMPUTED_VALUE"""),"Administrativo(a) Especializado")</f>
        <v>Administrativo(a) Especializado</v>
      </c>
      <c r="G255" s="33" t="str">
        <f>IFERROR(__xludf.DUMMYFUNCTION("""COMPUTED_VALUE"""),"ADMINISTRATIVO ESPECIALIZADO")</f>
        <v>ADMINISTRATIVO ESPECIALIZADO</v>
      </c>
      <c r="H255">
        <f>IFERROR(__xludf.DUMMYFUNCTION("""COMPUTED_VALUE"""),12.0)</f>
        <v>12</v>
      </c>
      <c r="I255" s="34" t="str">
        <f>IFERROR(__xludf.DUMMYFUNCTION("""COMPUTED_VALUE"""),"Jornada Completa")</f>
        <v>Jornada Completa</v>
      </c>
      <c r="J255" s="33" t="str">
        <f>IFERROR(__xludf.DUMMYFUNCTION("""COMPUTED_VALUE"""),"A CONTRATA")</f>
        <v>A CONTRATA</v>
      </c>
      <c r="K255" s="33" t="str">
        <f>IFERROR(__xludf.DUMMYFUNCTION("""COMPUTED_VALUE"""),"ADMINISTRATIVO")</f>
        <v>ADMINISTRATIVO</v>
      </c>
      <c r="L255" s="34" t="str">
        <f>IFERROR(__xludf.DUMMYFUNCTION("""COMPUTED_VALUE"""),"INTERNO")</f>
        <v>INTERNO</v>
      </c>
      <c r="M255" s="34">
        <f>IFERROR(__xludf.DUMMYFUNCTION("""COMPUTED_VALUE"""),19.0)</f>
        <v>19</v>
      </c>
      <c r="N255" s="34" t="str">
        <f>IFERROR(__xludf.DUMMYFUNCTION("""COMPUTED_VALUE"""),"NO")</f>
        <v>NO</v>
      </c>
      <c r="O255">
        <f>IFERROR(__xludf.DUMMYFUNCTION("""COMPUTED_VALUE"""),0.0)</f>
        <v>0</v>
      </c>
      <c r="P255">
        <f>IFERROR(__xludf.DUMMYFUNCTION("""COMPUTED_VALUE"""),3.0)</f>
        <v>3</v>
      </c>
      <c r="Q255" s="35">
        <f>IFERROR(__xludf.DUMMYFUNCTION("""COMPUTED_VALUE"""),0.0)</f>
        <v>0</v>
      </c>
      <c r="R255" s="36" t="str">
        <f>IFERROR(__xludf.DUMMYFUNCTION("""COMPUTED_VALUE"""),"SELECCIONADO")</f>
        <v>SELECCIONADO</v>
      </c>
      <c r="S255" s="37">
        <f>IFERROR(__xludf.DUMMYFUNCTION("""COMPUTED_VALUE"""),42954.0)</f>
        <v>42954</v>
      </c>
      <c r="T255" s="34" t="str">
        <f>IFERROR(__xludf.DUMMYFUNCTION("""COMPUTED_VALUE"""),"ESTAY ZORRICUETA RENE EDUARDO FELIPE")</f>
        <v>ESTAY ZORRICUETA RENE EDUARDO FELIPE</v>
      </c>
      <c r="V255" t="str">
        <f>IFERROR(__xludf.DUMMYFUNCTION("""COMPUTED_VALUE"""),"18326702-7")</f>
        <v>18326702-7</v>
      </c>
      <c r="W255" t="str">
        <f>IFERROR(__xludf.DUMMYFUNCTION("""COMPUTED_VALUE"""),"NO")</f>
        <v>NO</v>
      </c>
      <c r="AA255" s="38">
        <f>IFERROR(__xludf.DUMMYFUNCTION("""COMPUTED_VALUE"""),42901.0)</f>
        <v>42901</v>
      </c>
      <c r="AB255" s="38">
        <f>IFERROR(__xludf.DUMMYFUNCTION("""COMPUTED_VALUE"""),42908.0)</f>
        <v>42908</v>
      </c>
      <c r="AF255" s="39"/>
      <c r="AG255" s="39"/>
      <c r="AH255" s="34" t="str">
        <f>IFERROR(__xludf.DUMMYFUNCTION("""COMPUTED_VALUE"""),"PROCESO DE SELECCIÓN")</f>
        <v>PROCESO DE SELECCIÓN</v>
      </c>
      <c r="AI255" s="34" t="str">
        <f>IFERROR(__xludf.DUMMYFUNCTION("""COMPUTED_VALUE"""),"AUTORIZADO 2017")</f>
        <v>AUTORIZADO 2017</v>
      </c>
      <c r="AJ255" s="34"/>
      <c r="AK255" s="34" t="str">
        <f>IFERROR(__xludf.DUMMYFUNCTION("""COMPUTED_VALUE"""),"C")</f>
        <v>C</v>
      </c>
      <c r="AL255">
        <f>IFERROR(__xludf.DUMMYFUNCTION("""COMPUTED_VALUE"""),33.0)</f>
        <v>33</v>
      </c>
      <c r="AM255">
        <f>IFERROR(__xludf.DUMMYFUNCTION("""COMPUTED_VALUE"""),2017.0)</f>
        <v>2017</v>
      </c>
      <c r="AN255" t="str">
        <f t="shared" si="1"/>
        <v>18326702-7</v>
      </c>
    </row>
    <row r="256">
      <c r="A256" s="33">
        <f>IFERROR(__xludf.DUMMYFUNCTION("""COMPUTED_VALUE"""),1.5426721E7)</f>
        <v>15426721</v>
      </c>
      <c r="B256" s="33">
        <f>IFERROR(__xludf.DUMMYFUNCTION("""COMPUTED_VALUE"""),31.0)</f>
        <v>31</v>
      </c>
      <c r="C256" s="33"/>
      <c r="D256" s="34" t="str">
        <f>IFERROR(__xludf.DUMMYFUNCTION("""COMPUTED_VALUE"""),"INGRESAR CENTRO DE COSTO A LA DERECHA")</f>
        <v>INGRESAR CENTRO DE COSTO A LA DERECHA</v>
      </c>
      <c r="E256" s="34" t="str">
        <f>IFERROR(__xludf.DUMMYFUNCTION("""COMPUTED_VALUE"""),"DPTO. DE FISICA")</f>
        <v>DPTO. DE FISICA</v>
      </c>
      <c r="F256" s="34" t="str">
        <f>IFERROR(__xludf.DUMMYFUNCTION("""COMPUTED_VALUE"""),"Mayordomo(a)")</f>
        <v>Mayordomo(a)</v>
      </c>
      <c r="G256" s="33" t="str">
        <f>IFERROR(__xludf.DUMMYFUNCTION("""COMPUTED_VALUE"""),"MAYORDOMO")</f>
        <v>MAYORDOMO</v>
      </c>
      <c r="H256">
        <f>IFERROR(__xludf.DUMMYFUNCTION("""COMPUTED_VALUE"""),21.0)</f>
        <v>21</v>
      </c>
      <c r="I256" s="34" t="str">
        <f>IFERROR(__xludf.DUMMYFUNCTION("""COMPUTED_VALUE"""),"Jornada Completa")</f>
        <v>Jornada Completa</v>
      </c>
      <c r="J256" s="33" t="str">
        <f>IFERROR(__xludf.DUMMYFUNCTION("""COMPUTED_VALUE"""),"A CONTRATA")</f>
        <v>A CONTRATA</v>
      </c>
      <c r="K256" s="33" t="str">
        <f>IFERROR(__xludf.DUMMYFUNCTION("""COMPUTED_VALUE"""),"AUXILIAR")</f>
        <v>AUXILIAR</v>
      </c>
      <c r="L256" s="34" t="str">
        <f>IFERROR(__xludf.DUMMYFUNCTION("""COMPUTED_VALUE"""),"INTERNO")</f>
        <v>INTERNO</v>
      </c>
      <c r="M256" s="34">
        <f>IFERROR(__xludf.DUMMYFUNCTION("""COMPUTED_VALUE"""),0.0)</f>
        <v>0</v>
      </c>
      <c r="N256" s="34" t="str">
        <f>IFERROR(__xludf.DUMMYFUNCTION("""COMPUTED_VALUE"""),"EXTERNO")</f>
        <v>EXTERNO</v>
      </c>
      <c r="O256">
        <f>IFERROR(__xludf.DUMMYFUNCTION("""COMPUTED_VALUE"""),32.0)</f>
        <v>32</v>
      </c>
      <c r="P256">
        <f>IFERROR(__xludf.DUMMYFUNCTION("""COMPUTED_VALUE"""),1.0)</f>
        <v>1</v>
      </c>
      <c r="Q256" s="35">
        <f>IFERROR(__xludf.DUMMYFUNCTION("""COMPUTED_VALUE"""),3.0)</f>
        <v>3</v>
      </c>
      <c r="R256" s="36" t="str">
        <f>IFERROR(__xludf.DUMMYFUNCTION("""COMPUTED_VALUE"""),"SELECCIONADO")</f>
        <v>SELECCIONADO</v>
      </c>
      <c r="S256" s="37">
        <f>IFERROR(__xludf.DUMMYFUNCTION("""COMPUTED_VALUE"""),42948.0)</f>
        <v>42948</v>
      </c>
      <c r="T256" s="34"/>
      <c r="U256" t="str">
        <f>IFERROR(__xludf.DUMMYFUNCTION("""COMPUTED_VALUE"""),"ALEXIS RIFFO CAMPOS")</f>
        <v>ALEXIS RIFFO CAMPOS</v>
      </c>
      <c r="V256" t="str">
        <f>IFERROR(__xludf.DUMMYFUNCTION("""COMPUTED_VALUE"""),"15426721-2")</f>
        <v>15426721-2</v>
      </c>
      <c r="W256" t="str">
        <f>IFERROR(__xludf.DUMMYFUNCTION("""COMPUTED_VALUE"""),"NO")</f>
        <v>NO</v>
      </c>
      <c r="AA256" s="38">
        <f>IFERROR(__xludf.DUMMYFUNCTION("""COMPUTED_VALUE"""),42880.0)</f>
        <v>42880</v>
      </c>
      <c r="AB256" s="38">
        <f>IFERROR(__xludf.DUMMYFUNCTION("""COMPUTED_VALUE"""),42894.0)</f>
        <v>42894</v>
      </c>
      <c r="AF256" s="39"/>
      <c r="AG256" s="39"/>
      <c r="AH256" s="34" t="str">
        <f>IFERROR(__xludf.DUMMYFUNCTION("""COMPUTED_VALUE"""),"PROCESO DE SELECCIÓN")</f>
        <v>PROCESO DE SELECCIÓN</v>
      </c>
      <c r="AI256" s="34" t="str">
        <f>IFERROR(__xludf.DUMMYFUNCTION("""COMPUTED_VALUE"""),"AUTORIZADO 2016")</f>
        <v>AUTORIZADO 2016</v>
      </c>
      <c r="AJ256" s="34"/>
      <c r="AK256" s="34" t="str">
        <f>IFERROR(__xludf.DUMMYFUNCTION("""COMPUTED_VALUE"""),"E")</f>
        <v>E</v>
      </c>
      <c r="AL256">
        <f>IFERROR(__xludf.DUMMYFUNCTION("""COMPUTED_VALUE"""),39.0)</f>
        <v>39</v>
      </c>
      <c r="AM256">
        <f>IFERROR(__xludf.DUMMYFUNCTION("""COMPUTED_VALUE"""),2017.0)</f>
        <v>2017</v>
      </c>
      <c r="AN256" t="str">
        <f t="shared" si="1"/>
        <v>15426721-2</v>
      </c>
    </row>
    <row r="257">
      <c r="A257" s="33">
        <f>IFERROR(__xludf.DUMMYFUNCTION("""COMPUTED_VALUE"""),1.8304944E7)</f>
        <v>18304944</v>
      </c>
      <c r="B257" s="33">
        <f>IFERROR(__xludf.DUMMYFUNCTION("""COMPUTED_VALUE"""),32.0)</f>
        <v>32</v>
      </c>
      <c r="C257" s="33"/>
      <c r="D257" s="34" t="str">
        <f>IFERROR(__xludf.DUMMYFUNCTION("""COMPUTED_VALUE"""),"INGRESAR CENTRO DE COSTO A LA DERECHA")</f>
        <v>INGRESAR CENTRO DE COSTO A LA DERECHA</v>
      </c>
      <c r="E257" s="34" t="str">
        <f>IFERROR(__xludf.DUMMYFUNCTION("""COMPUTED_VALUE"""),"ESCUELA DE MEDICINA")</f>
        <v>ESCUELA DE MEDICINA</v>
      </c>
      <c r="F257" s="34" t="str">
        <f>IFERROR(__xludf.DUMMYFUNCTION("""COMPUTED_VALUE"""),"Analista de Gestión Administrativa")</f>
        <v>Analista de Gestión Administrativa</v>
      </c>
      <c r="G257" s="33" t="str">
        <f>IFERROR(__xludf.DUMMYFUNCTION("""COMPUTED_VALUE"""),"ANALISTA DE GESTION ADMINISTRATIVA")</f>
        <v>ANALISTA DE GESTION ADMINISTRATIVA</v>
      </c>
      <c r="H257">
        <f>IFERROR(__xludf.DUMMYFUNCTION("""COMPUTED_VALUE"""),14.0)</f>
        <v>14</v>
      </c>
      <c r="I257" s="34" t="str">
        <f>IFERROR(__xludf.DUMMYFUNCTION("""COMPUTED_VALUE"""),"Jornada Completa")</f>
        <v>Jornada Completa</v>
      </c>
      <c r="J257" s="33" t="str">
        <f>IFERROR(__xludf.DUMMYFUNCTION("""COMPUTED_VALUE"""),"A CONTRATA")</f>
        <v>A CONTRATA</v>
      </c>
      <c r="K257" s="33" t="str">
        <f>IFERROR(__xludf.DUMMYFUNCTION("""COMPUTED_VALUE"""),"ADMINISTRATIVO")</f>
        <v>ADMINISTRATIVO</v>
      </c>
      <c r="L257" s="34" t="str">
        <f>IFERROR(__xludf.DUMMYFUNCTION("""COMPUTED_VALUE"""),"INTERNO")</f>
        <v>INTERNO</v>
      </c>
      <c r="M257" s="34">
        <f>IFERROR(__xludf.DUMMYFUNCTION("""COMPUTED_VALUE"""),5.0)</f>
        <v>5</v>
      </c>
      <c r="N257" s="34" t="str">
        <f>IFERROR(__xludf.DUMMYFUNCTION("""COMPUTED_VALUE"""),"EXTERNO")</f>
        <v>EXTERNO</v>
      </c>
      <c r="O257">
        <f>IFERROR(__xludf.DUMMYFUNCTION("""COMPUTED_VALUE"""),10.0)</f>
        <v>10</v>
      </c>
      <c r="P257">
        <f>IFERROR(__xludf.DUMMYFUNCTION("""COMPUTED_VALUE"""),6.0)</f>
        <v>6</v>
      </c>
      <c r="Q257" s="35">
        <f>IFERROR(__xludf.DUMMYFUNCTION("""COMPUTED_VALUE"""),1.0)</f>
        <v>1</v>
      </c>
      <c r="R257" s="36" t="str">
        <f>IFERROR(__xludf.DUMMYFUNCTION("""COMPUTED_VALUE"""),"SELECCIONADA")</f>
        <v>SELECCIONADA</v>
      </c>
      <c r="S257" s="37">
        <f>IFERROR(__xludf.DUMMYFUNCTION("""COMPUTED_VALUE"""),42936.0)</f>
        <v>42936</v>
      </c>
      <c r="T257" s="34"/>
      <c r="U257" t="str">
        <f>IFERROR(__xludf.DUMMYFUNCTION("""COMPUTED_VALUE"""),"SILVINA MAYO AVILA")</f>
        <v>SILVINA MAYO AVILA</v>
      </c>
      <c r="V257" t="str">
        <f>IFERROR(__xludf.DUMMYFUNCTION("""COMPUTED_VALUE"""),"18304944-5")</f>
        <v>18304944-5</v>
      </c>
      <c r="W257" t="str">
        <f>IFERROR(__xludf.DUMMYFUNCTION("""COMPUTED_VALUE"""),"SI")</f>
        <v>SI</v>
      </c>
      <c r="X257" t="str">
        <f>IFERROR(__xludf.DUMMYFUNCTION("""COMPUTED_VALUE"""),"CAPACIDAD DE PLANIFICACION Y ORGANIZACION")</f>
        <v>CAPACIDAD DE PLANIFICACION Y ORGANIZACION</v>
      </c>
      <c r="AA257" s="38">
        <f>IFERROR(__xludf.DUMMYFUNCTION("""COMPUTED_VALUE"""),42886.0)</f>
        <v>42886</v>
      </c>
      <c r="AB257" s="38">
        <f>IFERROR(__xludf.DUMMYFUNCTION("""COMPUTED_VALUE"""),42893.0)</f>
        <v>42893</v>
      </c>
      <c r="AF257" s="39"/>
      <c r="AG257" s="39"/>
      <c r="AH257" s="34" t="str">
        <f>IFERROR(__xludf.DUMMYFUNCTION("""COMPUTED_VALUE"""),"PROCESO DE SELECCIÓN")</f>
        <v>PROCESO DE SELECCIÓN</v>
      </c>
      <c r="AI257" s="34" t="str">
        <f>IFERROR(__xludf.DUMMYFUNCTION("""COMPUTED_VALUE"""),"MARCELA TAPIA AREVALO")</f>
        <v>MARCELA TAPIA AREVALO</v>
      </c>
      <c r="AJ257" s="34"/>
      <c r="AK257" s="34" t="str">
        <f>IFERROR(__xludf.DUMMYFUNCTION("""COMPUTED_VALUE"""),"E")</f>
        <v>E</v>
      </c>
      <c r="AL257">
        <f>IFERROR(__xludf.DUMMYFUNCTION("""COMPUTED_VALUE"""),32.0)</f>
        <v>32</v>
      </c>
      <c r="AM257">
        <f>IFERROR(__xludf.DUMMYFUNCTION("""COMPUTED_VALUE"""),2017.0)</f>
        <v>2017</v>
      </c>
      <c r="AN257" t="str">
        <f t="shared" si="1"/>
        <v>18304944-5</v>
      </c>
    </row>
    <row r="258">
      <c r="A258" s="33">
        <f>IFERROR(__xludf.DUMMYFUNCTION("""COMPUTED_VALUE"""),1.7339326E7)</f>
        <v>17339326</v>
      </c>
      <c r="B258" s="33">
        <f>IFERROR(__xludf.DUMMYFUNCTION("""COMPUTED_VALUE"""),33.0)</f>
        <v>33</v>
      </c>
      <c r="C258" s="33"/>
      <c r="D258" s="34" t="str">
        <f>IFERROR(__xludf.DUMMYFUNCTION("""COMPUTED_VALUE"""),"INGRESAR CENTRO DE COSTO A LA DERECHA")</f>
        <v>INGRESAR CENTRO DE COSTO A LA DERECHA</v>
      </c>
      <c r="E258" s="34" t="str">
        <f>IFERROR(__xludf.DUMMYFUNCTION("""COMPUTED_VALUE"""),"DPTO. DE INGENIERIA OBRAS CIVILES")</f>
        <v>DPTO. DE INGENIERIA OBRAS CIVILES</v>
      </c>
      <c r="F258" s="34" t="str">
        <f>IFERROR(__xludf.DUMMYFUNCTION("""COMPUTED_VALUE"""),"Encargado(a) Técnico(a) de Laboratorio")</f>
        <v>Encargado(a) Técnico(a) de Laboratorio</v>
      </c>
      <c r="G258" s="33" t="str">
        <f>IFERROR(__xludf.DUMMYFUNCTION("""COMPUTED_VALUE"""),"ENCARGADO TECNICO DE LABORATORIO")</f>
        <v>ENCARGADO TECNICO DE LABORATORIO</v>
      </c>
      <c r="H258">
        <f>IFERROR(__xludf.DUMMYFUNCTION("""COMPUTED_VALUE"""),14.0)</f>
        <v>14</v>
      </c>
      <c r="I258" s="34" t="str">
        <f>IFERROR(__xludf.DUMMYFUNCTION("""COMPUTED_VALUE"""),"Jornada Completa")</f>
        <v>Jornada Completa</v>
      </c>
      <c r="J258" s="33" t="str">
        <f>IFERROR(__xludf.DUMMYFUNCTION("""COMPUTED_VALUE"""),"A CONTRATA")</f>
        <v>A CONTRATA</v>
      </c>
      <c r="K258" s="33" t="str">
        <f>IFERROR(__xludf.DUMMYFUNCTION("""COMPUTED_VALUE"""),"TECNICO")</f>
        <v>TECNICO</v>
      </c>
      <c r="L258" s="34" t="str">
        <f>IFERROR(__xludf.DUMMYFUNCTION("""COMPUTED_VALUE"""),"INTERNO")</f>
        <v>INTERNO</v>
      </c>
      <c r="M258" s="34">
        <f>IFERROR(__xludf.DUMMYFUNCTION("""COMPUTED_VALUE"""),0.0)</f>
        <v>0</v>
      </c>
      <c r="N258" s="34" t="str">
        <f>IFERROR(__xludf.DUMMYFUNCTION("""COMPUTED_VALUE"""),"EXTERNO")</f>
        <v>EXTERNO</v>
      </c>
      <c r="O258">
        <f>IFERROR(__xludf.DUMMYFUNCTION("""COMPUTED_VALUE"""),5.0)</f>
        <v>5</v>
      </c>
      <c r="P258">
        <f>IFERROR(__xludf.DUMMYFUNCTION("""COMPUTED_VALUE"""),1.0)</f>
        <v>1</v>
      </c>
      <c r="Q258" s="35">
        <f>IFERROR(__xludf.DUMMYFUNCTION("""COMPUTED_VALUE"""),1.0)</f>
        <v>1</v>
      </c>
      <c r="R258" s="36" t="str">
        <f>IFERROR(__xludf.DUMMYFUNCTION("""COMPUTED_VALUE"""),"SELECCIONADO")</f>
        <v>SELECCIONADO</v>
      </c>
      <c r="S258" s="37">
        <f>IFERROR(__xludf.DUMMYFUNCTION("""COMPUTED_VALUE"""),42948.0)</f>
        <v>42948</v>
      </c>
      <c r="T258" s="34"/>
      <c r="U258" t="str">
        <f>IFERROR(__xludf.DUMMYFUNCTION("""COMPUTED_VALUE"""),"PABLO TOBAR PALMA")</f>
        <v>PABLO TOBAR PALMA</v>
      </c>
      <c r="V258" t="str">
        <f>IFERROR(__xludf.DUMMYFUNCTION("""COMPUTED_VALUE"""),"17339326-1")</f>
        <v>17339326-1</v>
      </c>
      <c r="W258" t="str">
        <f>IFERROR(__xludf.DUMMYFUNCTION("""COMPUTED_VALUE"""),"SI")</f>
        <v>SI</v>
      </c>
      <c r="X258" t="str">
        <f>IFERROR(__xludf.DUMMYFUNCTION("""COMPUTED_VALUE"""),"CAPACIDAD DE PLANIFICACION Y ORGANIZACION")</f>
        <v>CAPACIDAD DE PLANIFICACION Y ORGANIZACION</v>
      </c>
      <c r="AA258" s="38">
        <f>IFERROR(__xludf.DUMMYFUNCTION("""COMPUTED_VALUE"""),42807.0)</f>
        <v>42807</v>
      </c>
      <c r="AB258" s="38">
        <f>IFERROR(__xludf.DUMMYFUNCTION("""COMPUTED_VALUE"""),42814.0)</f>
        <v>42814</v>
      </c>
      <c r="AF258" s="39"/>
      <c r="AG258" s="39"/>
      <c r="AH258" s="34" t="str">
        <f>IFERROR(__xludf.DUMMYFUNCTION("""COMPUTED_VALUE"""),"PROCESO DE SELECCIÓN")</f>
        <v>PROCESO DE SELECCIÓN</v>
      </c>
      <c r="AI258" s="34" t="str">
        <f>IFERROR(__xludf.DUMMYFUNCTION("""COMPUTED_VALUE"""),"AUTORIZADO 2016")</f>
        <v>AUTORIZADO 2016</v>
      </c>
      <c r="AJ258" s="34"/>
      <c r="AK258" s="34" t="str">
        <f>IFERROR(__xludf.DUMMYFUNCTION("""COMPUTED_VALUE"""),"P")</f>
        <v>P</v>
      </c>
      <c r="AL258">
        <f>IFERROR(__xludf.DUMMYFUNCTION("""COMPUTED_VALUE"""),97.0)</f>
        <v>97</v>
      </c>
      <c r="AM258">
        <f>IFERROR(__xludf.DUMMYFUNCTION("""COMPUTED_VALUE"""),2017.0)</f>
        <v>2017</v>
      </c>
      <c r="AN258" t="str">
        <f t="shared" si="1"/>
        <v>17339326-1</v>
      </c>
    </row>
    <row r="259">
      <c r="A259" s="33">
        <f>IFERROR(__xludf.DUMMYFUNCTION("""COMPUTED_VALUE"""),1.5314358E7)</f>
        <v>15314358</v>
      </c>
      <c r="B259" s="33">
        <f>IFERROR(__xludf.DUMMYFUNCTION("""COMPUTED_VALUE"""),34.0)</f>
        <v>34</v>
      </c>
      <c r="C259" s="33"/>
      <c r="D259" s="34" t="str">
        <f>IFERROR(__xludf.DUMMYFUNCTION("""COMPUTED_VALUE"""),"INGRESAR CENTRO DE COSTO A LA DERECHA")</f>
        <v>INGRESAR CENTRO DE COSTO A LA DERECHA</v>
      </c>
      <c r="E259" s="34" t="str">
        <f>IFERROR(__xludf.DUMMYFUNCTION("""COMPUTED_VALUE"""),"VR. DE VINCULACION CON EL MEDIO")</f>
        <v>VR. DE VINCULACION CON EL MEDIO</v>
      </c>
      <c r="F259" s="34" t="str">
        <f>IFERROR(__xludf.DUMMYFUNCTION("""COMPUTED_VALUE"""),"Jefe(a) de Área")</f>
        <v>Jefe(a) de Área</v>
      </c>
      <c r="G259" s="33" t="str">
        <f>IFERROR(__xludf.DUMMYFUNCTION("""COMPUTED_VALUE"""),"JEFE DE AREA ARCHIVO PATRIMONIAL")</f>
        <v>JEFE DE AREA ARCHIVO PATRIMONIAL</v>
      </c>
      <c r="H259">
        <f>IFERROR(__xludf.DUMMYFUNCTION("""COMPUTED_VALUE"""),8.0)</f>
        <v>8</v>
      </c>
      <c r="I259" s="34" t="str">
        <f>IFERROR(__xludf.DUMMYFUNCTION("""COMPUTED_VALUE"""),"Jornada Completa")</f>
        <v>Jornada Completa</v>
      </c>
      <c r="J259" s="33" t="str">
        <f>IFERROR(__xludf.DUMMYFUNCTION("""COMPUTED_VALUE"""),"A CONTRATA")</f>
        <v>A CONTRATA</v>
      </c>
      <c r="K259" s="33" t="str">
        <f>IFERROR(__xludf.DUMMYFUNCTION("""COMPUTED_VALUE"""),"PROFESIONAL")</f>
        <v>PROFESIONAL</v>
      </c>
      <c r="L259" s="34" t="str">
        <f>IFERROR(__xludf.DUMMYFUNCTION("""COMPUTED_VALUE"""),"INTERNO")</f>
        <v>INTERNO</v>
      </c>
      <c r="M259" s="34">
        <f>IFERROR(__xludf.DUMMYFUNCTION("""COMPUTED_VALUE"""),1.0)</f>
        <v>1</v>
      </c>
      <c r="N259" s="34" t="str">
        <f>IFERROR(__xludf.DUMMYFUNCTION("""COMPUTED_VALUE"""),"EXTERNO")</f>
        <v>EXTERNO</v>
      </c>
      <c r="O259">
        <f>IFERROR(__xludf.DUMMYFUNCTION("""COMPUTED_VALUE"""),16.0)</f>
        <v>16</v>
      </c>
      <c r="P259">
        <f>IFERROR(__xludf.DUMMYFUNCTION("""COMPUTED_VALUE"""),1.0)</f>
        <v>1</v>
      </c>
      <c r="Q259" s="35">
        <f>IFERROR(__xludf.DUMMYFUNCTION("""COMPUTED_VALUE"""),1.0)</f>
        <v>1</v>
      </c>
      <c r="R259" s="36" t="str">
        <f>IFERROR(__xludf.DUMMYFUNCTION("""COMPUTED_VALUE"""),"SELECCIONADA")</f>
        <v>SELECCIONADA</v>
      </c>
      <c r="S259" s="37">
        <f>IFERROR(__xludf.DUMMYFUNCTION("""COMPUTED_VALUE"""),42969.0)</f>
        <v>42969</v>
      </c>
      <c r="T259" s="34"/>
      <c r="U259" t="str">
        <f>IFERROR(__xludf.DUMMYFUNCTION("""COMPUTED_VALUE"""),"ALEJANDRA PINTO LOPEZ")</f>
        <v>ALEJANDRA PINTO LOPEZ</v>
      </c>
      <c r="V259" t="str">
        <f>IFERROR(__xludf.DUMMYFUNCTION("""COMPUTED_VALUE"""),"15314358-7")</f>
        <v>15314358-7</v>
      </c>
      <c r="W259" t="str">
        <f>IFERROR(__xludf.DUMMYFUNCTION("""COMPUTED_VALUE"""),"NO")</f>
        <v>NO</v>
      </c>
      <c r="AA259" s="38">
        <f>IFERROR(__xludf.DUMMYFUNCTION("""COMPUTED_VALUE"""),42926.0)</f>
        <v>42926</v>
      </c>
      <c r="AB259" s="38">
        <f>IFERROR(__xludf.DUMMYFUNCTION("""COMPUTED_VALUE"""),42933.0)</f>
        <v>42933</v>
      </c>
      <c r="AF259" s="39"/>
      <c r="AG259" s="39"/>
      <c r="AH259" s="34" t="str">
        <f>IFERROR(__xludf.DUMMYFUNCTION("""COMPUTED_VALUE"""),"PROCESO DE SELECCIÓN")</f>
        <v>PROCESO DE SELECCIÓN</v>
      </c>
      <c r="AI259" s="34" t="str">
        <f>IFERROR(__xludf.DUMMYFUNCTION("""COMPUTED_VALUE"""),"ANDRES ZUÑIGA MELLA")</f>
        <v>ANDRES ZUÑIGA MELLA</v>
      </c>
      <c r="AJ259" s="34"/>
      <c r="AK259" s="34" t="str">
        <f>IFERROR(__xludf.DUMMYFUNCTION("""COMPUTED_VALUE"""),"P")</f>
        <v>P</v>
      </c>
      <c r="AL259">
        <f>IFERROR(__xludf.DUMMYFUNCTION("""COMPUTED_VALUE"""),27.0)</f>
        <v>27</v>
      </c>
      <c r="AM259">
        <f>IFERROR(__xludf.DUMMYFUNCTION("""COMPUTED_VALUE"""),2017.0)</f>
        <v>2017</v>
      </c>
      <c r="AN259" t="str">
        <f t="shared" si="1"/>
        <v>15314358-7</v>
      </c>
    </row>
    <row r="260">
      <c r="A260" s="33">
        <f>IFERROR(__xludf.DUMMYFUNCTION("""COMPUTED_VALUE"""),1.3923654E7)</f>
        <v>13923654</v>
      </c>
      <c r="B260" s="33">
        <f>IFERROR(__xludf.DUMMYFUNCTION("""COMPUTED_VALUE"""),35.0)</f>
        <v>35</v>
      </c>
      <c r="C260" s="33"/>
      <c r="D260" s="34" t="str">
        <f>IFERROR(__xludf.DUMMYFUNCTION("""COMPUTED_VALUE"""),"INGRESAR CENTRO DE COSTO A LA DERECHA")</f>
        <v>INGRESAR CENTRO DE COSTO A LA DERECHA</v>
      </c>
      <c r="E260" s="34" t="str">
        <f>IFERROR(__xludf.DUMMYFUNCTION("""COMPUTED_VALUE"""),"DIR. DE ADM. Y FINANZAS")</f>
        <v>DIR. DE ADM. Y FINANZAS</v>
      </c>
      <c r="F260" s="34" t="str">
        <f>IFERROR(__xludf.DUMMYFUNCTION("""COMPUTED_VALUE"""),"Analista Contable I")</f>
        <v>Analista Contable I</v>
      </c>
      <c r="G260" s="33" t="str">
        <f>IFERROR(__xludf.DUMMYFUNCTION("""COMPUTED_VALUE"""),"ANALISTA CONTABLE TRIBUTARIO")</f>
        <v>ANALISTA CONTABLE TRIBUTARIO</v>
      </c>
      <c r="H260">
        <f>IFERROR(__xludf.DUMMYFUNCTION("""COMPUTED_VALUE"""),10.0)</f>
        <v>10</v>
      </c>
      <c r="I260" s="34" t="str">
        <f>IFERROR(__xludf.DUMMYFUNCTION("""COMPUTED_VALUE"""),"Jornada Completa")</f>
        <v>Jornada Completa</v>
      </c>
      <c r="J260" s="33" t="str">
        <f>IFERROR(__xludf.DUMMYFUNCTION("""COMPUTED_VALUE"""),"A CONTRATA")</f>
        <v>A CONTRATA</v>
      </c>
      <c r="K260" s="33" t="str">
        <f>IFERROR(__xludf.DUMMYFUNCTION("""COMPUTED_VALUE"""),"PROFESIONAL")</f>
        <v>PROFESIONAL</v>
      </c>
      <c r="L260" s="34" t="str">
        <f>IFERROR(__xludf.DUMMYFUNCTION("""COMPUTED_VALUE"""),"INTERNO")</f>
        <v>INTERNO</v>
      </c>
      <c r="M260" s="34">
        <f>IFERROR(__xludf.DUMMYFUNCTION("""COMPUTED_VALUE"""),2.0)</f>
        <v>2</v>
      </c>
      <c r="N260" s="34" t="str">
        <f>IFERROR(__xludf.DUMMYFUNCTION("""COMPUTED_VALUE"""),"NO")</f>
        <v>NO</v>
      </c>
      <c r="O260">
        <f>IFERROR(__xludf.DUMMYFUNCTION("""COMPUTED_VALUE"""),0.0)</f>
        <v>0</v>
      </c>
      <c r="P260">
        <f>IFERROR(__xludf.DUMMYFUNCTION("""COMPUTED_VALUE"""),1.0)</f>
        <v>1</v>
      </c>
      <c r="Q260" s="35">
        <f>IFERROR(__xludf.DUMMYFUNCTION("""COMPUTED_VALUE"""),0.0)</f>
        <v>0</v>
      </c>
      <c r="R260" s="36" t="str">
        <f>IFERROR(__xludf.DUMMYFUNCTION("""COMPUTED_VALUE"""),"SELECCIONADA")</f>
        <v>SELECCIONADA</v>
      </c>
      <c r="S260" s="37">
        <f>IFERROR(__xludf.DUMMYFUNCTION("""COMPUTED_VALUE"""),42963.0)</f>
        <v>42963</v>
      </c>
      <c r="T260" s="34" t="str">
        <f>IFERROR(__xludf.DUMMYFUNCTION("""COMPUTED_VALUE"""),"DONA RIOSECO LESLEY LAUREN")</f>
        <v>DONA RIOSECO LESLEY LAUREN</v>
      </c>
      <c r="V260" t="str">
        <f>IFERROR(__xludf.DUMMYFUNCTION("""COMPUTED_VALUE"""),"13923654-8")</f>
        <v>13923654-8</v>
      </c>
      <c r="W260" t="str">
        <f>IFERROR(__xludf.DUMMYFUNCTION("""COMPUTED_VALUE"""),"NO")</f>
        <v>NO</v>
      </c>
      <c r="AA260" s="38">
        <f>IFERROR(__xludf.DUMMYFUNCTION("""COMPUTED_VALUE"""),42930.0)</f>
        <v>42930</v>
      </c>
      <c r="AB260" s="38">
        <f>IFERROR(__xludf.DUMMYFUNCTION("""COMPUTED_VALUE"""),42937.0)</f>
        <v>42937</v>
      </c>
      <c r="AC260">
        <f>IFERROR(__xludf.DUMMYFUNCTION("""COMPUTED_VALUE"""),13.0)</f>
        <v>13</v>
      </c>
      <c r="AD260" t="str">
        <f>IFERROR(__xludf.DUMMYFUNCTION("""COMPUTED_VALUE"""),"PROFESIONAL")</f>
        <v>PROFESIONAL</v>
      </c>
      <c r="AE260" t="str">
        <f>IFERROR(__xludf.DUMMYFUNCTION("""COMPUTED_VALUE"""),"ANALISTA CONTABLE II")</f>
        <v>ANALISTA CONTABLE II</v>
      </c>
      <c r="AF260" s="39" t="str">
        <f>IFERROR(__xludf.DUMMYFUNCTION("""COMPUTED_VALUE"""),"DIR. ADM. Y FINANZAS")</f>
        <v>DIR. ADM. Y FINANZAS</v>
      </c>
      <c r="AG260" s="39"/>
      <c r="AH260" s="34" t="str">
        <f>IFERROR(__xludf.DUMMYFUNCTION("""COMPUTED_VALUE"""),"PROCESO DE SELECCIÓN")</f>
        <v>PROCESO DE SELECCIÓN</v>
      </c>
      <c r="AI260" s="34" t="str">
        <f>IFERROR(__xludf.DUMMYFUNCTION("""COMPUTED_VALUE"""),"CARMEN SANCHO ")</f>
        <v>CARMEN SANCHO </v>
      </c>
      <c r="AJ260" s="34"/>
      <c r="AK260" s="34"/>
      <c r="AL260">
        <f>IFERROR(__xludf.DUMMYFUNCTION("""COMPUTED_VALUE"""),19.0)</f>
        <v>19</v>
      </c>
      <c r="AM260">
        <f>IFERROR(__xludf.DUMMYFUNCTION("""COMPUTED_VALUE"""),2017.0)</f>
        <v>2017</v>
      </c>
      <c r="AN260" t="str">
        <f t="shared" si="1"/>
        <v>13923654-8</v>
      </c>
    </row>
    <row r="261">
      <c r="A261" s="33">
        <f>IFERROR(__xludf.DUMMYFUNCTION("""COMPUTED_VALUE"""),1.0972162E7)</f>
        <v>10972162</v>
      </c>
      <c r="B261" s="33">
        <f>IFERROR(__xludf.DUMMYFUNCTION("""COMPUTED_VALUE"""),36.0)</f>
        <v>36</v>
      </c>
      <c r="C261" s="33"/>
      <c r="D261" s="34" t="str">
        <f>IFERROR(__xludf.DUMMYFUNCTION("""COMPUTED_VALUE"""),"INGRESAR CENTRO DE COSTO A LA DERECHA")</f>
        <v>INGRESAR CENTRO DE COSTO A LA DERECHA</v>
      </c>
      <c r="E261" s="34" t="str">
        <f>IFERROR(__xludf.DUMMYFUNCTION("""COMPUTED_VALUE"""),"DPTO. DE FINANZAS Y TESORERIA")</f>
        <v>DPTO. DE FINANZAS Y TESORERIA</v>
      </c>
      <c r="F261" s="34" t="str">
        <f>IFERROR(__xludf.DUMMYFUNCTION("""COMPUTED_VALUE"""),"Jefe(a) de Sección")</f>
        <v>Jefe(a) de Sección</v>
      </c>
      <c r="G261" s="33" t="str">
        <f>IFERROR(__xludf.DUMMYFUNCTION("""COMPUTED_VALUE"""),"JEFE DE SECCION ( ANALISIS)")</f>
        <v>JEFE DE SECCION ( ANALISIS)</v>
      </c>
      <c r="H261">
        <f>IFERROR(__xludf.DUMMYFUNCTION("""COMPUTED_VALUE"""),8.0)</f>
        <v>8</v>
      </c>
      <c r="I261" s="34" t="str">
        <f>IFERROR(__xludf.DUMMYFUNCTION("""COMPUTED_VALUE"""),"Jornada Completa")</f>
        <v>Jornada Completa</v>
      </c>
      <c r="J261" s="33" t="str">
        <f>IFERROR(__xludf.DUMMYFUNCTION("""COMPUTED_VALUE"""),"A CONTRATA")</f>
        <v>A CONTRATA</v>
      </c>
      <c r="K261" s="33" t="str">
        <f>IFERROR(__xludf.DUMMYFUNCTION("""COMPUTED_VALUE"""),"PROFESIONAL")</f>
        <v>PROFESIONAL</v>
      </c>
      <c r="L261" s="34" t="str">
        <f>IFERROR(__xludf.DUMMYFUNCTION("""COMPUTED_VALUE"""),"INTERNO")</f>
        <v>INTERNO</v>
      </c>
      <c r="M261" s="34">
        <f>IFERROR(__xludf.DUMMYFUNCTION("""COMPUTED_VALUE"""),1.0)</f>
        <v>1</v>
      </c>
      <c r="N261" s="34" t="str">
        <f>IFERROR(__xludf.DUMMYFUNCTION("""COMPUTED_VALUE"""),"NO")</f>
        <v>NO</v>
      </c>
      <c r="O261">
        <f>IFERROR(__xludf.DUMMYFUNCTION("""COMPUTED_VALUE"""),0.0)</f>
        <v>0</v>
      </c>
      <c r="P261">
        <f>IFERROR(__xludf.DUMMYFUNCTION("""COMPUTED_VALUE"""),1.0)</f>
        <v>1</v>
      </c>
      <c r="Q261" s="35">
        <f>IFERROR(__xludf.DUMMYFUNCTION("""COMPUTED_VALUE"""),0.0)</f>
        <v>0</v>
      </c>
      <c r="R261" s="36" t="str">
        <f>IFERROR(__xludf.DUMMYFUNCTION("""COMPUTED_VALUE"""),"SELECCIONADA")</f>
        <v>SELECCIONADA</v>
      </c>
      <c r="S261" s="37">
        <f>IFERROR(__xludf.DUMMYFUNCTION("""COMPUTED_VALUE"""),42982.0)</f>
        <v>42982</v>
      </c>
      <c r="T261" s="34" t="str">
        <f>IFERROR(__xludf.DUMMYFUNCTION("""COMPUTED_VALUE"""),"DONOSO PAVEZ MARION DEL PILAR")</f>
        <v>DONOSO PAVEZ MARION DEL PILAR</v>
      </c>
      <c r="V261" t="str">
        <f>IFERROR(__xludf.DUMMYFUNCTION("""COMPUTED_VALUE"""),"10972162-K")</f>
        <v>10972162-K</v>
      </c>
      <c r="W261" t="str">
        <f>IFERROR(__xludf.DUMMYFUNCTION("""COMPUTED_VALUE"""),"SI")</f>
        <v>SI</v>
      </c>
      <c r="X261" t="str">
        <f>IFERROR(__xludf.DUMMYFUNCTION("""COMPUTED_VALUE"""),"TRABAJO EN EQUIPO")</f>
        <v>TRABAJO EN EQUIPO</v>
      </c>
      <c r="AA261" s="38">
        <f>IFERROR(__xludf.DUMMYFUNCTION("""COMPUTED_VALUE"""),42964.0)</f>
        <v>42964</v>
      </c>
      <c r="AB261" s="38">
        <f>IFERROR(__xludf.DUMMYFUNCTION("""COMPUTED_VALUE"""),42971.0)</f>
        <v>42971</v>
      </c>
      <c r="AC261">
        <f>IFERROR(__xludf.DUMMYFUNCTION("""COMPUTED_VALUE"""),13.0)</f>
        <v>13</v>
      </c>
      <c r="AD261" t="str">
        <f>IFERROR(__xludf.DUMMYFUNCTION("""COMPUTED_VALUE"""),"PROFESIONAL")</f>
        <v>PROFESIONAL</v>
      </c>
      <c r="AE261" t="str">
        <f>IFERROR(__xludf.DUMMYFUNCTION("""COMPUTED_VALUE"""),"ANALISTA CONTABLE II")</f>
        <v>ANALISTA CONTABLE II</v>
      </c>
      <c r="AF261" s="39" t="str">
        <f>IFERROR(__xludf.DUMMYFUNCTION("""COMPUTED_VALUE"""),"DIR. ADM. Y FINANZAS")</f>
        <v>DIR. ADM. Y FINANZAS</v>
      </c>
      <c r="AG261" s="39"/>
      <c r="AH261" s="34" t="str">
        <f>IFERROR(__xludf.DUMMYFUNCTION("""COMPUTED_VALUE"""),"PROCESO DE SELECCIÓN")</f>
        <v>PROCESO DE SELECCIÓN</v>
      </c>
      <c r="AI261" s="34" t="str">
        <f>IFERROR(__xludf.DUMMYFUNCTION("""COMPUTED_VALUE"""),"FRANCISCO MORENO SOTO")</f>
        <v>FRANCISCO MORENO SOTO</v>
      </c>
      <c r="AJ261" s="34"/>
      <c r="AK261" s="34" t="str">
        <f>IFERROR(__xludf.DUMMYFUNCTION("""COMPUTED_VALUE"""),"P")</f>
        <v>P</v>
      </c>
      <c r="AL261">
        <f>IFERROR(__xludf.DUMMYFUNCTION("""COMPUTED_VALUE"""),8.0)</f>
        <v>8</v>
      </c>
      <c r="AM261">
        <f>IFERROR(__xludf.DUMMYFUNCTION("""COMPUTED_VALUE"""),2017.0)</f>
        <v>2017</v>
      </c>
      <c r="AN261" t="str">
        <f t="shared" si="1"/>
        <v>10972162-K</v>
      </c>
    </row>
    <row r="262">
      <c r="A262" s="33">
        <f>IFERROR(__xludf.DUMMYFUNCTION("""COMPUTED_VALUE"""),1.86719E7)</f>
        <v>18671900</v>
      </c>
      <c r="B262" s="33">
        <f>IFERROR(__xludf.DUMMYFUNCTION("""COMPUTED_VALUE"""),37.0)</f>
        <v>37</v>
      </c>
      <c r="C262" s="33"/>
      <c r="D262" s="34" t="str">
        <f>IFERROR(__xludf.DUMMYFUNCTION("""COMPUTED_VALUE"""),"INGRESAR CENTRO DE COSTO A LA DERECHA")</f>
        <v>INGRESAR CENTRO DE COSTO A LA DERECHA</v>
      </c>
      <c r="E262" s="34" t="str">
        <f>IFERROR(__xludf.DUMMYFUNCTION("""COMPUTED_VALUE"""),"DPTO. DE FINANZAS Y TESORERIA")</f>
        <v>DPTO. DE FINANZAS Y TESORERIA</v>
      </c>
      <c r="F262" s="34" t="str">
        <f>IFERROR(__xludf.DUMMYFUNCTION("""COMPUTED_VALUE"""),"Técnico(a) Contable")</f>
        <v>Técnico(a) Contable</v>
      </c>
      <c r="G262" s="33" t="str">
        <f>IFERROR(__xludf.DUMMYFUNCTION("""COMPUTED_VALUE"""),"TECNICO CONTABLE ( CONCILIACIONES BANCARIAS)")</f>
        <v>TECNICO CONTABLE ( CONCILIACIONES BANCARIAS)</v>
      </c>
      <c r="H262">
        <f>IFERROR(__xludf.DUMMYFUNCTION("""COMPUTED_VALUE"""),13.0)</f>
        <v>13</v>
      </c>
      <c r="I262" s="34" t="str">
        <f>IFERROR(__xludf.DUMMYFUNCTION("""COMPUTED_VALUE"""),"Jornada Completa")</f>
        <v>Jornada Completa</v>
      </c>
      <c r="J262" s="33" t="str">
        <f>IFERROR(__xludf.DUMMYFUNCTION("""COMPUTED_VALUE"""),"A CONTRATA")</f>
        <v>A CONTRATA</v>
      </c>
      <c r="K262" s="33" t="str">
        <f>IFERROR(__xludf.DUMMYFUNCTION("""COMPUTED_VALUE"""),"TECNICO")</f>
        <v>TECNICO</v>
      </c>
      <c r="L262" s="34" t="str">
        <f>IFERROR(__xludf.DUMMYFUNCTION("""COMPUTED_VALUE"""),"INTERNO")</f>
        <v>INTERNO</v>
      </c>
      <c r="M262" s="34">
        <f>IFERROR(__xludf.DUMMYFUNCTION("""COMPUTED_VALUE"""),1.0)</f>
        <v>1</v>
      </c>
      <c r="N262" s="34" t="str">
        <f>IFERROR(__xludf.DUMMYFUNCTION("""COMPUTED_VALUE"""),"NO")</f>
        <v>NO</v>
      </c>
      <c r="O262">
        <f>IFERROR(__xludf.DUMMYFUNCTION("""COMPUTED_VALUE"""),0.0)</f>
        <v>0</v>
      </c>
      <c r="P262">
        <f>IFERROR(__xludf.DUMMYFUNCTION("""COMPUTED_VALUE"""),1.0)</f>
        <v>1</v>
      </c>
      <c r="Q262" s="35">
        <f>IFERROR(__xludf.DUMMYFUNCTION("""COMPUTED_VALUE"""),0.0)</f>
        <v>0</v>
      </c>
      <c r="R262" s="36" t="str">
        <f>IFERROR(__xludf.DUMMYFUNCTION("""COMPUTED_VALUE"""),"SELECCIONADA")</f>
        <v>SELECCIONADA</v>
      </c>
      <c r="S262" s="37">
        <f>IFERROR(__xludf.DUMMYFUNCTION("""COMPUTED_VALUE"""),42982.0)</f>
        <v>42982</v>
      </c>
      <c r="T262" s="34" t="str">
        <f>IFERROR(__xludf.DUMMYFUNCTION("""COMPUTED_VALUE"""),"SALGADO CAYUL TAMARA ANDREA")</f>
        <v>SALGADO CAYUL TAMARA ANDREA</v>
      </c>
      <c r="V262" t="str">
        <f>IFERROR(__xludf.DUMMYFUNCTION("""COMPUTED_VALUE"""),"18671900-K")</f>
        <v>18671900-K</v>
      </c>
      <c r="W262" t="str">
        <f>IFERROR(__xludf.DUMMYFUNCTION("""COMPUTED_VALUE"""),"SI")</f>
        <v>SI</v>
      </c>
      <c r="X262" t="str">
        <f>IFERROR(__xludf.DUMMYFUNCTION("""COMPUTED_VALUE"""),"TOLERANCIA A LA PRESION")</f>
        <v>TOLERANCIA A LA PRESION</v>
      </c>
      <c r="AA262" s="38">
        <f>IFERROR(__xludf.DUMMYFUNCTION("""COMPUTED_VALUE"""),42930.0)</f>
        <v>42930</v>
      </c>
      <c r="AB262" s="38">
        <f>IFERROR(__xludf.DUMMYFUNCTION("""COMPUTED_VALUE"""),42937.0)</f>
        <v>42937</v>
      </c>
      <c r="AC262">
        <f>IFERROR(__xludf.DUMMYFUNCTION("""COMPUTED_VALUE"""),20.0)</f>
        <v>20</v>
      </c>
      <c r="AD262" t="str">
        <f>IFERROR(__xludf.DUMMYFUNCTION("""COMPUTED_VALUE"""),"ADMINISTRATIVO")</f>
        <v>ADMINISTRATIVO</v>
      </c>
      <c r="AE262" t="str">
        <f>IFERROR(__xludf.DUMMYFUNCTION("""COMPUTED_VALUE"""),"ADMINISTRATIVA DE APOYO")</f>
        <v>ADMINISTRATIVA DE APOYO</v>
      </c>
      <c r="AF262" s="39" t="str">
        <f>IFERROR(__xludf.DUMMYFUNCTION("""COMPUTED_VALUE"""),"DPTO. DESARROLLO PERSONAS")</f>
        <v>DPTO. DESARROLLO PERSONAS</v>
      </c>
      <c r="AG262" s="39"/>
      <c r="AH262" s="34" t="str">
        <f>IFERROR(__xludf.DUMMYFUNCTION("""COMPUTED_VALUE"""),"PROCESO DE SELECCIÓN")</f>
        <v>PROCESO DE SELECCIÓN</v>
      </c>
      <c r="AI262" s="34"/>
      <c r="AJ262" s="34"/>
      <c r="AK262" s="34" t="str">
        <f>IFERROR(__xludf.DUMMYFUNCTION("""COMPUTED_VALUE"""),"C")</f>
        <v>C</v>
      </c>
      <c r="AL262">
        <f>IFERROR(__xludf.DUMMYFUNCTION("""COMPUTED_VALUE"""),32.0)</f>
        <v>32</v>
      </c>
      <c r="AM262">
        <f>IFERROR(__xludf.DUMMYFUNCTION("""COMPUTED_VALUE"""),2017.0)</f>
        <v>2017</v>
      </c>
      <c r="AN262" t="str">
        <f t="shared" si="1"/>
        <v>18671900-K</v>
      </c>
    </row>
    <row r="263">
      <c r="A263" s="33">
        <f>IFERROR(__xludf.DUMMYFUNCTION("""COMPUTED_VALUE"""),8061081.0)</f>
        <v>8061081</v>
      </c>
      <c r="B263" s="33">
        <f>IFERROR(__xludf.DUMMYFUNCTION("""COMPUTED_VALUE"""),38.0)</f>
        <v>38</v>
      </c>
      <c r="C263" s="33"/>
      <c r="D263" s="34" t="str">
        <f>IFERROR(__xludf.DUMMYFUNCTION("""COMPUTED_VALUE"""),"INGRESAR CENTRO DE COSTO A LA DERECHA")</f>
        <v>INGRESAR CENTRO DE COSTO A LA DERECHA</v>
      </c>
      <c r="E263" s="34" t="str">
        <f>IFERROR(__xludf.DUMMYFUNCTION("""COMPUTED_VALUE"""),"DPTO. DE FINANZAS Y TESORERIA")</f>
        <v>DPTO. DE FINANZAS Y TESORERIA</v>
      </c>
      <c r="F263" s="34" t="str">
        <f>IFERROR(__xludf.DUMMYFUNCTION("""COMPUTED_VALUE"""),"Técnico(a) Contable")</f>
        <v>Técnico(a) Contable</v>
      </c>
      <c r="G263" s="33" t="str">
        <f>IFERROR(__xludf.DUMMYFUNCTION("""COMPUTED_VALUE"""),"TECNICO CONTABLE ( ENCARGADO DE PAGOS)")</f>
        <v>TECNICO CONTABLE ( ENCARGADO DE PAGOS)</v>
      </c>
      <c r="H263">
        <f>IFERROR(__xludf.DUMMYFUNCTION("""COMPUTED_VALUE"""),13.0)</f>
        <v>13</v>
      </c>
      <c r="I263" s="34" t="str">
        <f>IFERROR(__xludf.DUMMYFUNCTION("""COMPUTED_VALUE"""),"Jornada Completa")</f>
        <v>Jornada Completa</v>
      </c>
      <c r="J263" s="33" t="str">
        <f>IFERROR(__xludf.DUMMYFUNCTION("""COMPUTED_VALUE"""),"A CONTRATA")</f>
        <v>A CONTRATA</v>
      </c>
      <c r="K263" s="33" t="str">
        <f>IFERROR(__xludf.DUMMYFUNCTION("""COMPUTED_VALUE"""),"TECNICO")</f>
        <v>TECNICO</v>
      </c>
      <c r="L263" s="34" t="str">
        <f>IFERROR(__xludf.DUMMYFUNCTION("""COMPUTED_VALUE"""),"INTERNO")</f>
        <v>INTERNO</v>
      </c>
      <c r="M263" s="34">
        <f>IFERROR(__xludf.DUMMYFUNCTION("""COMPUTED_VALUE"""),2.0)</f>
        <v>2</v>
      </c>
      <c r="N263" s="34" t="str">
        <f>IFERROR(__xludf.DUMMYFUNCTION("""COMPUTED_VALUE"""),"NO")</f>
        <v>NO</v>
      </c>
      <c r="O263">
        <f>IFERROR(__xludf.DUMMYFUNCTION("""COMPUTED_VALUE"""),0.0)</f>
        <v>0</v>
      </c>
      <c r="P263">
        <f>IFERROR(__xludf.DUMMYFUNCTION("""COMPUTED_VALUE"""),1.0)</f>
        <v>1</v>
      </c>
      <c r="Q263" s="35">
        <f>IFERROR(__xludf.DUMMYFUNCTION("""COMPUTED_VALUE"""),0.0)</f>
        <v>0</v>
      </c>
      <c r="R263" s="36" t="str">
        <f>IFERROR(__xludf.DUMMYFUNCTION("""COMPUTED_VALUE"""),"SELECCIONADA")</f>
        <v>SELECCIONADA</v>
      </c>
      <c r="S263" s="37">
        <f>IFERROR(__xludf.DUMMYFUNCTION("""COMPUTED_VALUE"""),42982.0)</f>
        <v>42982</v>
      </c>
      <c r="T263" s="34" t="str">
        <f>IFERROR(__xludf.DUMMYFUNCTION("""COMPUTED_VALUE"""),"ACEVEDO CARRASCO XIMENA DE LOURDES")</f>
        <v>ACEVEDO CARRASCO XIMENA DE LOURDES</v>
      </c>
      <c r="V263" t="str">
        <f>IFERROR(__xludf.DUMMYFUNCTION("""COMPUTED_VALUE"""),"8061081-5")</f>
        <v>8061081-5</v>
      </c>
      <c r="W263" t="str">
        <f>IFERROR(__xludf.DUMMYFUNCTION("""COMPUTED_VALUE"""),"SI")</f>
        <v>SI</v>
      </c>
      <c r="X263" t="str">
        <f>IFERROR(__xludf.DUMMYFUNCTION("""COMPUTED_VALUE"""),"TOLERANCIA A LA PRESION")</f>
        <v>TOLERANCIA A LA PRESION</v>
      </c>
      <c r="AA263" s="38">
        <f>IFERROR(__xludf.DUMMYFUNCTION("""COMPUTED_VALUE"""),42930.0)</f>
        <v>42930</v>
      </c>
      <c r="AB263" s="38">
        <f>IFERROR(__xludf.DUMMYFUNCTION("""COMPUTED_VALUE"""),42937.0)</f>
        <v>42937</v>
      </c>
      <c r="AC263">
        <f>IFERROR(__xludf.DUMMYFUNCTION("""COMPUTED_VALUE"""),17.0)</f>
        <v>17</v>
      </c>
      <c r="AD263" t="str">
        <f>IFERROR(__xludf.DUMMYFUNCTION("""COMPUTED_VALUE"""),"ADMINISTRATIVO")</f>
        <v>ADMINISTRATIVO</v>
      </c>
      <c r="AE263" t="str">
        <f>IFERROR(__xludf.DUMMYFUNCTION("""COMPUTED_VALUE"""),"EJECUTIVO DE COBRANZAS")</f>
        <v>EJECUTIVO DE COBRANZAS</v>
      </c>
      <c r="AF263" s="39" t="str">
        <f>IFERROR(__xludf.DUMMYFUNCTION("""COMPUTED_VALUE"""),"DIR. ADM. Y FINANZAS")</f>
        <v>DIR. ADM. Y FINANZAS</v>
      </c>
      <c r="AG263" s="39"/>
      <c r="AH263" s="34" t="str">
        <f>IFERROR(__xludf.DUMMYFUNCTION("""COMPUTED_VALUE"""),"PROCESO DE SELECCIÓN")</f>
        <v>PROCESO DE SELECCIÓN</v>
      </c>
      <c r="AI263" s="34" t="str">
        <f>IFERROR(__xludf.DUMMYFUNCTION("""COMPUTED_VALUE"""),"MARJORIE MEDINA")</f>
        <v>MARJORIE MEDINA</v>
      </c>
      <c r="AJ263" s="34"/>
      <c r="AK263" s="34" t="str">
        <f>IFERROR(__xludf.DUMMYFUNCTION("""COMPUTED_VALUE"""),"C")</f>
        <v>C</v>
      </c>
      <c r="AL263">
        <f>IFERROR(__xludf.DUMMYFUNCTION("""COMPUTED_VALUE"""),32.0)</f>
        <v>32</v>
      </c>
      <c r="AM263">
        <f>IFERROR(__xludf.DUMMYFUNCTION("""COMPUTED_VALUE"""),2017.0)</f>
        <v>2017</v>
      </c>
      <c r="AN263" t="str">
        <f t="shared" si="1"/>
        <v>08061081-5</v>
      </c>
    </row>
    <row r="264">
      <c r="A264" s="33">
        <f>IFERROR(__xludf.DUMMYFUNCTION("""COMPUTED_VALUE"""),1.925895E7)</f>
        <v>19258950</v>
      </c>
      <c r="B264" s="33">
        <f>IFERROR(__xludf.DUMMYFUNCTION("""COMPUTED_VALUE"""),39.0)</f>
        <v>39</v>
      </c>
      <c r="C264" s="33"/>
      <c r="D264" s="34" t="str">
        <f>IFERROR(__xludf.DUMMYFUNCTION("""COMPUTED_VALUE"""),"INGRESAR CENTRO DE COSTO A LA DERECHA")</f>
        <v>INGRESAR CENTRO DE COSTO A LA DERECHA</v>
      </c>
      <c r="E264" s="34" t="str">
        <f>IFERROR(__xludf.DUMMYFUNCTION("""COMPUTED_VALUE"""),"SECRETARIA GENERAL")</f>
        <v>SECRETARIA GENERAL</v>
      </c>
      <c r="F264" s="34" t="str">
        <f>IFERROR(__xludf.DUMMYFUNCTION("""COMPUTED_VALUE"""),"Administrativo(a) de Apoyo")</f>
        <v>Administrativo(a) de Apoyo</v>
      </c>
      <c r="G264" s="33" t="str">
        <f>IFERROR(__xludf.DUMMYFUNCTION("""COMPUTED_VALUE"""),"ADMINISTRATIVO DE APOYO ( OFICINA DE PARTES CENTRAL)")</f>
        <v>ADMINISTRATIVO DE APOYO ( OFICINA DE PARTES CENTRAL)</v>
      </c>
      <c r="H264">
        <f>IFERROR(__xludf.DUMMYFUNCTION("""COMPUTED_VALUE"""),20.0)</f>
        <v>20</v>
      </c>
      <c r="I264" s="34" t="str">
        <f>IFERROR(__xludf.DUMMYFUNCTION("""COMPUTED_VALUE"""),"Jornada Completa")</f>
        <v>Jornada Completa</v>
      </c>
      <c r="J264" s="33" t="str">
        <f>IFERROR(__xludf.DUMMYFUNCTION("""COMPUTED_VALUE"""),"A CONTRATA")</f>
        <v>A CONTRATA</v>
      </c>
      <c r="K264" s="33" t="str">
        <f>IFERROR(__xludf.DUMMYFUNCTION("""COMPUTED_VALUE"""),"ADMINISTRATIVO")</f>
        <v>ADMINISTRATIVO</v>
      </c>
      <c r="L264" s="34" t="str">
        <f>IFERROR(__xludf.DUMMYFUNCTION("""COMPUTED_VALUE"""),"INTERNO")</f>
        <v>INTERNO</v>
      </c>
      <c r="M264" s="34">
        <f>IFERROR(__xludf.DUMMYFUNCTION("""COMPUTED_VALUE"""),1.0)</f>
        <v>1</v>
      </c>
      <c r="N264" s="34" t="str">
        <f>IFERROR(__xludf.DUMMYFUNCTION("""COMPUTED_VALUE"""),"NO")</f>
        <v>NO</v>
      </c>
      <c r="O264">
        <f>IFERROR(__xludf.DUMMYFUNCTION("""COMPUTED_VALUE"""),0.0)</f>
        <v>0</v>
      </c>
      <c r="P264">
        <f>IFERROR(__xludf.DUMMYFUNCTION("""COMPUTED_VALUE"""),1.0)</f>
        <v>1</v>
      </c>
      <c r="Q264" s="35">
        <f>IFERROR(__xludf.DUMMYFUNCTION("""COMPUTED_VALUE"""),0.0)</f>
        <v>0</v>
      </c>
      <c r="R264" s="36" t="str">
        <f>IFERROR(__xludf.DUMMYFUNCTION("""COMPUTED_VALUE"""),"SELECCIONADO")</f>
        <v>SELECCIONADO</v>
      </c>
      <c r="S264" s="37">
        <f>IFERROR(__xludf.DUMMYFUNCTION("""COMPUTED_VALUE"""),43034.0)</f>
        <v>43034</v>
      </c>
      <c r="T264" s="34" t="str">
        <f>IFERROR(__xludf.DUMMYFUNCTION("""COMPUTED_VALUE"""),"MONTECINOS ASTROZA JONATHAN KEVIN")</f>
        <v>MONTECINOS ASTROZA JONATHAN KEVIN</v>
      </c>
      <c r="V264" t="str">
        <f>IFERROR(__xludf.DUMMYFUNCTION("""COMPUTED_VALUE"""),"19258950-9")</f>
        <v>19258950-9</v>
      </c>
      <c r="W264" t="str">
        <f>IFERROR(__xludf.DUMMYFUNCTION("""COMPUTED_VALUE"""),"SI")</f>
        <v>SI</v>
      </c>
      <c r="X264" t="str">
        <f>IFERROR(__xludf.DUMMYFUNCTION("""COMPUTED_VALUE"""),"COMUNICACION")</f>
        <v>COMUNICACION</v>
      </c>
      <c r="AA264" s="38">
        <f>IFERROR(__xludf.DUMMYFUNCTION("""COMPUTED_VALUE"""),42954.0)</f>
        <v>42954</v>
      </c>
      <c r="AB264" s="38">
        <f>IFERROR(__xludf.DUMMYFUNCTION("""COMPUTED_VALUE"""),42961.0)</f>
        <v>42961</v>
      </c>
      <c r="AC264">
        <f>IFERROR(__xludf.DUMMYFUNCTION("""COMPUTED_VALUE"""),23.0)</f>
        <v>23</v>
      </c>
      <c r="AD264" t="str">
        <f>IFERROR(__xludf.DUMMYFUNCTION("""COMPUTED_VALUE"""),"AUXILIAR")</f>
        <v>AUXILIAR</v>
      </c>
      <c r="AE264" t="str">
        <f>IFERROR(__xludf.DUMMYFUNCTION("""COMPUTED_VALUE"""),"AUXILIAR DE SERVICIO")</f>
        <v>AUXILIAR DE SERVICIO</v>
      </c>
      <c r="AF264" s="39" t="str">
        <f>IFERROR(__xludf.DUMMYFUNCTION("""COMPUTED_VALUE"""),"UNIDAD DE CASINO")</f>
        <v>UNIDAD DE CASINO</v>
      </c>
      <c r="AG264" s="39"/>
      <c r="AH264" s="34" t="str">
        <f>IFERROR(__xludf.DUMMYFUNCTION("""COMPUTED_VALUE"""),"PROCESO DE SELECCIÓN")</f>
        <v>PROCESO DE SELECCIÓN</v>
      </c>
      <c r="AI264" s="34" t="str">
        <f>IFERROR(__xludf.DUMMYFUNCTION("""COMPUTED_VALUE"""),"RENE ESTAY ZURICUETA")</f>
        <v>RENE ESTAY ZURICUETA</v>
      </c>
      <c r="AJ264" s="34"/>
      <c r="AK264" s="34" t="str">
        <f>IFERROR(__xludf.DUMMYFUNCTION("""COMPUTED_VALUE"""),"C")</f>
        <v>C</v>
      </c>
      <c r="AL264">
        <f>IFERROR(__xludf.DUMMYFUNCTION("""COMPUTED_VALUE"""),54.0)</f>
        <v>54</v>
      </c>
      <c r="AM264">
        <f>IFERROR(__xludf.DUMMYFUNCTION("""COMPUTED_VALUE"""),2017.0)</f>
        <v>2017</v>
      </c>
      <c r="AN264" t="str">
        <f t="shared" si="1"/>
        <v>19258950-9</v>
      </c>
    </row>
    <row r="265">
      <c r="A265" s="33">
        <f>IFERROR(__xludf.DUMMYFUNCTION("""COMPUTED_VALUE"""),1.8698548E7)</f>
        <v>18698548</v>
      </c>
      <c r="B265" s="33">
        <f>IFERROR(__xludf.DUMMYFUNCTION("""COMPUTED_VALUE"""),40.0)</f>
        <v>40</v>
      </c>
      <c r="C265" s="33"/>
      <c r="D265" s="34" t="str">
        <f>IFERROR(__xludf.DUMMYFUNCTION("""COMPUTED_VALUE"""),"INGRESAR CENTRO DE COSTO A LA DERECHA")</f>
        <v>INGRESAR CENTRO DE COSTO A LA DERECHA</v>
      </c>
      <c r="E265" s="34" t="str">
        <f>IFERROR(__xludf.DUMMYFUNCTION("""COMPUTED_VALUE"""),"SECRETARIA GENERAL")</f>
        <v>SECRETARIA GENERAL</v>
      </c>
      <c r="F265" s="34" t="str">
        <f>IFERROR(__xludf.DUMMYFUNCTION("""COMPUTED_VALUE"""),"Analista de Gestión II")</f>
        <v>Analista de Gestión II</v>
      </c>
      <c r="G265" s="33" t="str">
        <f>IFERROR(__xludf.DUMMYFUNCTION("""COMPUTED_VALUE"""),"Analista de Gestión II")</f>
        <v>Analista de Gestión II</v>
      </c>
      <c r="H265">
        <f>IFERROR(__xludf.DUMMYFUNCTION("""COMPUTED_VALUE"""),13.0)</f>
        <v>13</v>
      </c>
      <c r="I265" s="34" t="str">
        <f>IFERROR(__xludf.DUMMYFUNCTION("""COMPUTED_VALUE"""),"Jornada Completa")</f>
        <v>Jornada Completa</v>
      </c>
      <c r="J265" s="33" t="str">
        <f>IFERROR(__xludf.DUMMYFUNCTION("""COMPUTED_VALUE"""),"A CONTRATA")</f>
        <v>A CONTRATA</v>
      </c>
      <c r="K265" s="33" t="str">
        <f>IFERROR(__xludf.DUMMYFUNCTION("""COMPUTED_VALUE"""),"PROFESIONAL")</f>
        <v>PROFESIONAL</v>
      </c>
      <c r="L265" s="34" t="str">
        <f>IFERROR(__xludf.DUMMYFUNCTION("""COMPUTED_VALUE"""),"INTERNO")</f>
        <v>INTERNO</v>
      </c>
      <c r="M265" s="34">
        <f>IFERROR(__xludf.DUMMYFUNCTION("""COMPUTED_VALUE"""),7.0)</f>
        <v>7</v>
      </c>
      <c r="N265" s="34" t="str">
        <f>IFERROR(__xludf.DUMMYFUNCTION("""COMPUTED_VALUE"""),"NO")</f>
        <v>NO</v>
      </c>
      <c r="P265">
        <f>IFERROR(__xludf.DUMMYFUNCTION("""COMPUTED_VALUE"""),3.0)</f>
        <v>3</v>
      </c>
      <c r="Q265" s="35">
        <f>IFERROR(__xludf.DUMMYFUNCTION("""COMPUTED_VALUE"""),0.0)</f>
        <v>0</v>
      </c>
      <c r="R265" s="36" t="str">
        <f>IFERROR(__xludf.DUMMYFUNCTION("""COMPUTED_VALUE"""),"SELECCIONADA")</f>
        <v>SELECCIONADA</v>
      </c>
      <c r="S265" s="37">
        <f>IFERROR(__xludf.DUMMYFUNCTION("""COMPUTED_VALUE"""),42970.0)</f>
        <v>42970</v>
      </c>
      <c r="T265" s="34" t="str">
        <f>IFERROR(__xludf.DUMMYFUNCTION("""COMPUTED_VALUE"""),"FARAY FARAY CAROLINA CONSTANZA")</f>
        <v>FARAY FARAY CAROLINA CONSTANZA</v>
      </c>
      <c r="V265" t="str">
        <f>IFERROR(__xludf.DUMMYFUNCTION("""COMPUTED_VALUE"""),"18698548-6")</f>
        <v>18698548-6</v>
      </c>
      <c r="W265" t="str">
        <f>IFERROR(__xludf.DUMMYFUNCTION("""COMPUTED_VALUE"""),"NO")</f>
        <v>NO</v>
      </c>
      <c r="AA265" s="38">
        <f>IFERROR(__xludf.DUMMYFUNCTION("""COMPUTED_VALUE"""),42901.0)</f>
        <v>42901</v>
      </c>
      <c r="AB265" s="38">
        <f>IFERROR(__xludf.DUMMYFUNCTION("""COMPUTED_VALUE"""),42908.0)</f>
        <v>42908</v>
      </c>
      <c r="AC265">
        <f>IFERROR(__xludf.DUMMYFUNCTION("""COMPUTED_VALUE"""),17.0)</f>
        <v>17</v>
      </c>
      <c r="AD265" t="str">
        <f>IFERROR(__xludf.DUMMYFUNCTION("""COMPUTED_VALUE"""),"ADMINISTRATIVO")</f>
        <v>ADMINISTRATIVO</v>
      </c>
      <c r="AE265" t="str">
        <f>IFERROR(__xludf.DUMMYFUNCTION("""COMPUTED_VALUE"""),"ADMINISTRATIVO DE PROCESOS")</f>
        <v>ADMINISTRATIVO DE PROCESOS</v>
      </c>
      <c r="AF265" s="39" t="str">
        <f>IFERROR(__xludf.DUMMYFUNCTION("""COMPUTED_VALUE"""),"DPTO. DESARROLLO DE PERSONAS")</f>
        <v>DPTO. DESARROLLO DE PERSONAS</v>
      </c>
      <c r="AG265" s="39"/>
      <c r="AH265" s="34" t="str">
        <f>IFERROR(__xludf.DUMMYFUNCTION("""COMPUTED_VALUE"""),"PROCESO DE SELECCIÓN")</f>
        <v>PROCESO DE SELECCIÓN</v>
      </c>
      <c r="AI265" s="34" t="str">
        <f>IFERROR(__xludf.DUMMYFUNCTION("""COMPUTED_VALUE"""),"EVELYN SANZANA PROVOSTE")</f>
        <v>EVELYN SANZANA PROVOSTE</v>
      </c>
      <c r="AJ265" s="34"/>
      <c r="AK265" s="34" t="str">
        <f>IFERROR(__xludf.DUMMYFUNCTION("""COMPUTED_VALUE"""),"C")</f>
        <v>C</v>
      </c>
      <c r="AL265">
        <f>IFERROR(__xludf.DUMMYFUNCTION("""COMPUTED_VALUE"""),45.0)</f>
        <v>45</v>
      </c>
      <c r="AM265">
        <f>IFERROR(__xludf.DUMMYFUNCTION("""COMPUTED_VALUE"""),2017.0)</f>
        <v>2017</v>
      </c>
      <c r="AN265" t="str">
        <f t="shared" si="1"/>
        <v>18698548-6</v>
      </c>
    </row>
    <row r="266">
      <c r="A266" s="33">
        <f>IFERROR(__xludf.DUMMYFUNCTION("""COMPUTED_VALUE"""),1.5776084E7)</f>
        <v>15776084</v>
      </c>
      <c r="B266" s="33">
        <f>IFERROR(__xludf.DUMMYFUNCTION("""COMPUTED_VALUE"""),41.0)</f>
        <v>41</v>
      </c>
      <c r="C266" s="33"/>
      <c r="D266" s="34" t="str">
        <f>IFERROR(__xludf.DUMMYFUNCTION("""COMPUTED_VALUE"""),"INGRESAR CENTRO DE COSTO A LA DERECHA")</f>
        <v>INGRESAR CENTRO DE COSTO A LA DERECHA</v>
      </c>
      <c r="E266" s="34" t="str">
        <f>IFERROR(__xludf.DUMMYFUNCTION("""COMPUTED_VALUE"""),"UNIDAD DE ATENCION DE SALUD")</f>
        <v>UNIDAD DE ATENCION DE SALUD</v>
      </c>
      <c r="F266" s="34" t="str">
        <f>IFERROR(__xludf.DUMMYFUNCTION("""COMPUTED_VALUE"""),"Chofer de Ambulancia")</f>
        <v>Chofer de Ambulancia</v>
      </c>
      <c r="G266" s="33" t="str">
        <f>IFERROR(__xludf.DUMMYFUNCTION("""COMPUTED_VALUE"""),"CHOFER ( CONDUCTOR DE AMBULANCIA)")</f>
        <v>CHOFER ( CONDUCTOR DE AMBULANCIA)</v>
      </c>
      <c r="H266">
        <f>IFERROR(__xludf.DUMMYFUNCTION("""COMPUTED_VALUE"""),20.0)</f>
        <v>20</v>
      </c>
      <c r="I266" s="34" t="str">
        <f>IFERROR(__xludf.DUMMYFUNCTION("""COMPUTED_VALUE"""),"Jornada Completa")</f>
        <v>Jornada Completa</v>
      </c>
      <c r="J266" s="33" t="str">
        <f>IFERROR(__xludf.DUMMYFUNCTION("""COMPUTED_VALUE"""),"A CONTRATA")</f>
        <v>A CONTRATA</v>
      </c>
      <c r="K266" s="33" t="str">
        <f>IFERROR(__xludf.DUMMYFUNCTION("""COMPUTED_VALUE"""),"TECNICO")</f>
        <v>TECNICO</v>
      </c>
      <c r="L266" s="34" t="str">
        <f>IFERROR(__xludf.DUMMYFUNCTION("""COMPUTED_VALUE"""),"INTERNO")</f>
        <v>INTERNO</v>
      </c>
      <c r="M266" s="34">
        <f>IFERROR(__xludf.DUMMYFUNCTION("""COMPUTED_VALUE"""),0.0)</f>
        <v>0</v>
      </c>
      <c r="N266" s="34" t="str">
        <f>IFERROR(__xludf.DUMMYFUNCTION("""COMPUTED_VALUE"""),"EXTERNO")</f>
        <v>EXTERNO</v>
      </c>
      <c r="O266">
        <f>IFERROR(__xludf.DUMMYFUNCTION("""COMPUTED_VALUE"""),11.0)</f>
        <v>11</v>
      </c>
      <c r="P266">
        <f>IFERROR(__xludf.DUMMYFUNCTION("""COMPUTED_VALUE"""),3.0)</f>
        <v>3</v>
      </c>
      <c r="Q266" s="35">
        <f>IFERROR(__xludf.DUMMYFUNCTION("""COMPUTED_VALUE"""),3.0)</f>
        <v>3</v>
      </c>
      <c r="R266" s="36" t="str">
        <f>IFERROR(__xludf.DUMMYFUNCTION("""COMPUTED_VALUE"""),"SELECCIONADO")</f>
        <v>SELECCIONADO</v>
      </c>
      <c r="S266" s="37">
        <f>IFERROR(__xludf.DUMMYFUNCTION("""COMPUTED_VALUE"""),42870.0)</f>
        <v>42870</v>
      </c>
      <c r="T266" s="34"/>
      <c r="U266" t="str">
        <f>IFERROR(__xludf.DUMMYFUNCTION("""COMPUTED_VALUE"""),"ISMAEL DIAZ ARANEDA")</f>
        <v>ISMAEL DIAZ ARANEDA</v>
      </c>
      <c r="V266" t="str">
        <f>IFERROR(__xludf.DUMMYFUNCTION("""COMPUTED_VALUE"""),"15776084-K")</f>
        <v>15776084-K</v>
      </c>
      <c r="W266" t="str">
        <f>IFERROR(__xludf.DUMMYFUNCTION("""COMPUTED_VALUE"""),"NO")</f>
        <v>NO</v>
      </c>
      <c r="AA266" s="38">
        <f>IFERROR(__xludf.DUMMYFUNCTION("""COMPUTED_VALUE"""),42818.0)</f>
        <v>42818</v>
      </c>
      <c r="AB266" s="38">
        <f>IFERROR(__xludf.DUMMYFUNCTION("""COMPUTED_VALUE"""),42825.0)</f>
        <v>42825</v>
      </c>
      <c r="AF266" s="39"/>
      <c r="AG266" s="39"/>
      <c r="AH266" s="34" t="str">
        <f>IFERROR(__xludf.DUMMYFUNCTION("""COMPUTED_VALUE"""),"PROCESO DE SELECCIÓN")</f>
        <v>PROCESO DE SELECCIÓN</v>
      </c>
      <c r="AI266" s="34"/>
      <c r="AJ266" s="34"/>
      <c r="AK266" s="34" t="str">
        <f>IFERROR(__xludf.DUMMYFUNCTION("""COMPUTED_VALUE"""),"E")</f>
        <v>E</v>
      </c>
      <c r="AL266">
        <f>IFERROR(__xludf.DUMMYFUNCTION("""COMPUTED_VALUE"""),32.0)</f>
        <v>32</v>
      </c>
      <c r="AM266">
        <f>IFERROR(__xludf.DUMMYFUNCTION("""COMPUTED_VALUE"""),2017.0)</f>
        <v>2017</v>
      </c>
      <c r="AN266" t="str">
        <f t="shared" si="1"/>
        <v>15776084-K</v>
      </c>
    </row>
    <row r="267">
      <c r="A267" s="33">
        <f>IFERROR(__xludf.DUMMYFUNCTION("""COMPUTED_VALUE"""),1.2449676E7)</f>
        <v>12449676</v>
      </c>
      <c r="B267" s="33">
        <f>IFERROR(__xludf.DUMMYFUNCTION("""COMPUTED_VALUE"""),42.0)</f>
        <v>42</v>
      </c>
      <c r="C267" s="33"/>
      <c r="D267" s="34" t="str">
        <f>IFERROR(__xludf.DUMMYFUNCTION("""COMPUTED_VALUE"""),"INGRESAR CENTRO DE COSTO A LA DERECHA")</f>
        <v>INGRESAR CENTRO DE COSTO A LA DERECHA</v>
      </c>
      <c r="E267" s="34" t="str">
        <f>IFERROR(__xludf.DUMMYFUNCTION("""COMPUTED_VALUE"""),"UNIDAD DE ATENCION DE SALUD")</f>
        <v>UNIDAD DE ATENCION DE SALUD</v>
      </c>
      <c r="F267" s="34" t="str">
        <f>IFERROR(__xludf.DUMMYFUNCTION("""COMPUTED_VALUE"""),"Chofer de Ambulancia")</f>
        <v>Chofer de Ambulancia</v>
      </c>
      <c r="G267" s="33" t="str">
        <f>IFERROR(__xludf.DUMMYFUNCTION("""COMPUTED_VALUE"""),"CHOFER ( CONDUCTOR DE AMBULANCIA)")</f>
        <v>CHOFER ( CONDUCTOR DE AMBULANCIA)</v>
      </c>
      <c r="H267">
        <f>IFERROR(__xludf.DUMMYFUNCTION("""COMPUTED_VALUE"""),20.0)</f>
        <v>20</v>
      </c>
      <c r="I267" s="34" t="str">
        <f>IFERROR(__xludf.DUMMYFUNCTION("""COMPUTED_VALUE"""),"Jornada Completa")</f>
        <v>Jornada Completa</v>
      </c>
      <c r="J267" s="33" t="str">
        <f>IFERROR(__xludf.DUMMYFUNCTION("""COMPUTED_VALUE"""),"A CONTRATA")</f>
        <v>A CONTRATA</v>
      </c>
      <c r="K267" s="33" t="str">
        <f>IFERROR(__xludf.DUMMYFUNCTION("""COMPUTED_VALUE"""),"TECNICO")</f>
        <v>TECNICO</v>
      </c>
      <c r="L267" s="34" t="str">
        <f>IFERROR(__xludf.DUMMYFUNCTION("""COMPUTED_VALUE"""),"INTERNO")</f>
        <v>INTERNO</v>
      </c>
      <c r="M267" s="34">
        <f>IFERROR(__xludf.DUMMYFUNCTION("""COMPUTED_VALUE"""),0.0)</f>
        <v>0</v>
      </c>
      <c r="N267" s="34" t="str">
        <f>IFERROR(__xludf.DUMMYFUNCTION("""COMPUTED_VALUE"""),"EXTERNO")</f>
        <v>EXTERNO</v>
      </c>
      <c r="O267">
        <f>IFERROR(__xludf.DUMMYFUNCTION("""COMPUTED_VALUE"""),11.0)</f>
        <v>11</v>
      </c>
      <c r="P267">
        <f>IFERROR(__xludf.DUMMYFUNCTION("""COMPUTED_VALUE"""),3.0)</f>
        <v>3</v>
      </c>
      <c r="Q267" s="35">
        <f>IFERROR(__xludf.DUMMYFUNCTION("""COMPUTED_VALUE"""),3.0)</f>
        <v>3</v>
      </c>
      <c r="R267" s="36" t="str">
        <f>IFERROR(__xludf.DUMMYFUNCTION("""COMPUTED_VALUE"""),"SELECCIONADO")</f>
        <v>SELECCIONADO</v>
      </c>
      <c r="S267" s="37">
        <f>IFERROR(__xludf.DUMMYFUNCTION("""COMPUTED_VALUE"""),42870.0)</f>
        <v>42870</v>
      </c>
      <c r="T267" s="34"/>
      <c r="U267" t="str">
        <f>IFERROR(__xludf.DUMMYFUNCTION("""COMPUTED_VALUE"""),"MAURICIO BARRIOS CALDERON")</f>
        <v>MAURICIO BARRIOS CALDERON</v>
      </c>
      <c r="V267" t="str">
        <f>IFERROR(__xludf.DUMMYFUNCTION("""COMPUTED_VALUE"""),"12449676-4")</f>
        <v>12449676-4</v>
      </c>
      <c r="W267" t="str">
        <f>IFERROR(__xludf.DUMMYFUNCTION("""COMPUTED_VALUE"""),"NO")</f>
        <v>NO</v>
      </c>
      <c r="AA267" s="38">
        <f>IFERROR(__xludf.DUMMYFUNCTION("""COMPUTED_VALUE"""),42818.0)</f>
        <v>42818</v>
      </c>
      <c r="AB267" s="38">
        <f>IFERROR(__xludf.DUMMYFUNCTION("""COMPUTED_VALUE"""),42825.0)</f>
        <v>42825</v>
      </c>
      <c r="AF267" s="39"/>
      <c r="AG267" s="39"/>
      <c r="AH267" s="34" t="str">
        <f>IFERROR(__xludf.DUMMYFUNCTION("""COMPUTED_VALUE"""),"PROCESO DE SELECCIÓN")</f>
        <v>PROCESO DE SELECCIÓN</v>
      </c>
      <c r="AI267" s="34"/>
      <c r="AJ267" s="34"/>
      <c r="AK267" s="34" t="str">
        <f>IFERROR(__xludf.DUMMYFUNCTION("""COMPUTED_VALUE"""),"E")</f>
        <v>E</v>
      </c>
      <c r="AL267">
        <f>IFERROR(__xludf.DUMMYFUNCTION("""COMPUTED_VALUE"""),32.0)</f>
        <v>32</v>
      </c>
      <c r="AM267">
        <f>IFERROR(__xludf.DUMMYFUNCTION("""COMPUTED_VALUE"""),2017.0)</f>
        <v>2017</v>
      </c>
      <c r="AN267" t="str">
        <f t="shared" si="1"/>
        <v>12449676-4</v>
      </c>
    </row>
    <row r="268">
      <c r="A268" s="33">
        <f>IFERROR(__xludf.DUMMYFUNCTION("""COMPUTED_VALUE"""),1.550534E7)</f>
        <v>15505340</v>
      </c>
      <c r="B268" s="33">
        <f>IFERROR(__xludf.DUMMYFUNCTION("""COMPUTED_VALUE"""),43.0)</f>
        <v>43</v>
      </c>
      <c r="C268" s="33"/>
      <c r="D268" s="34" t="str">
        <f>IFERROR(__xludf.DUMMYFUNCTION("""COMPUTED_VALUE"""),"INGRESAR CENTRO DE COSTO A LA DERECHA")</f>
        <v>INGRESAR CENTRO DE COSTO A LA DERECHA</v>
      </c>
      <c r="E268" s="34" t="str">
        <f>IFERROR(__xludf.DUMMYFUNCTION("""COMPUTED_VALUE"""),"FACULTAD DE DERECHO")</f>
        <v>FACULTAD DE DERECHO</v>
      </c>
      <c r="F268" s="34" t="str">
        <f>IFERROR(__xludf.DUMMYFUNCTION("""COMPUTED_VALUE"""),"Estafeta")</f>
        <v>Estafeta</v>
      </c>
      <c r="G268" s="33" t="str">
        <f>IFERROR(__xludf.DUMMYFUNCTION("""COMPUTED_VALUE"""),"ESTAFETA")</f>
        <v>ESTAFETA</v>
      </c>
      <c r="H268">
        <f>IFERROR(__xludf.DUMMYFUNCTION("""COMPUTED_VALUE"""),23.0)</f>
        <v>23</v>
      </c>
      <c r="I268" s="34" t="str">
        <f>IFERROR(__xludf.DUMMYFUNCTION("""COMPUTED_VALUE"""),"Jornada Completa")</f>
        <v>Jornada Completa</v>
      </c>
      <c r="J268" s="33" t="str">
        <f>IFERROR(__xludf.DUMMYFUNCTION("""COMPUTED_VALUE"""),"A CONTRATA")</f>
        <v>A CONTRATA</v>
      </c>
      <c r="K268" s="33" t="str">
        <f>IFERROR(__xludf.DUMMYFUNCTION("""COMPUTED_VALUE"""),"AUXILIAR")</f>
        <v>AUXILIAR</v>
      </c>
      <c r="L268" s="34" t="str">
        <f>IFERROR(__xludf.DUMMYFUNCTION("""COMPUTED_VALUE"""),"INTERNO")</f>
        <v>INTERNO</v>
      </c>
      <c r="M268" s="34">
        <f>IFERROR(__xludf.DUMMYFUNCTION("""COMPUTED_VALUE"""),1.0)</f>
        <v>1</v>
      </c>
      <c r="N268" s="34" t="str">
        <f>IFERROR(__xludf.DUMMYFUNCTION("""COMPUTED_VALUE"""),"EXTERNO")</f>
        <v>EXTERNO</v>
      </c>
      <c r="O268">
        <f>IFERROR(__xludf.DUMMYFUNCTION("""COMPUTED_VALUE"""),14.0)</f>
        <v>14</v>
      </c>
      <c r="P268">
        <f>IFERROR(__xludf.DUMMYFUNCTION("""COMPUTED_VALUE"""),2.0)</f>
        <v>2</v>
      </c>
      <c r="Q268" s="35">
        <f>IFERROR(__xludf.DUMMYFUNCTION("""COMPUTED_VALUE"""),1.0)</f>
        <v>1</v>
      </c>
      <c r="R268" s="36" t="str">
        <f>IFERROR(__xludf.DUMMYFUNCTION("""COMPUTED_VALUE"""),"SELECCIONADO")</f>
        <v>SELECCIONADO</v>
      </c>
      <c r="S268" s="37">
        <f>IFERROR(__xludf.DUMMYFUNCTION("""COMPUTED_VALUE"""),42933.0)</f>
        <v>42933</v>
      </c>
      <c r="T268" s="34"/>
      <c r="U268" t="str">
        <f>IFERROR(__xludf.DUMMYFUNCTION("""COMPUTED_VALUE"""),"MAURICIO ROJAS MARTINEZ")</f>
        <v>MAURICIO ROJAS MARTINEZ</v>
      </c>
      <c r="V268" t="str">
        <f>IFERROR(__xludf.DUMMYFUNCTION("""COMPUTED_VALUE"""),"15505340-2")</f>
        <v>15505340-2</v>
      </c>
      <c r="W268" t="str">
        <f>IFERROR(__xludf.DUMMYFUNCTION("""COMPUTED_VALUE"""),"NO")</f>
        <v>NO</v>
      </c>
      <c r="AA268" s="38">
        <f>IFERROR(__xludf.DUMMYFUNCTION("""COMPUTED_VALUE"""),42794.0)</f>
        <v>42794</v>
      </c>
      <c r="AB268" s="38">
        <f>IFERROR(__xludf.DUMMYFUNCTION("""COMPUTED_VALUE"""),42797.0)</f>
        <v>42797</v>
      </c>
      <c r="AF268" s="39"/>
      <c r="AG268" s="39"/>
      <c r="AH268" s="34" t="str">
        <f>IFERROR(__xludf.DUMMYFUNCTION("""COMPUTED_VALUE"""),"PROCESO DE SELECCIÓN")</f>
        <v>PROCESO DE SELECCIÓN</v>
      </c>
      <c r="AI268" s="34" t="str">
        <f>IFERROR(__xludf.DUMMYFUNCTION("""COMPUTED_VALUE"""),"AUTORIZADO 2016")</f>
        <v>AUTORIZADO 2016</v>
      </c>
      <c r="AJ268" s="34"/>
      <c r="AK268" s="34"/>
      <c r="AL268">
        <f>IFERROR(__xludf.DUMMYFUNCTION("""COMPUTED_VALUE"""),97.0)</f>
        <v>97</v>
      </c>
      <c r="AM268">
        <f>IFERROR(__xludf.DUMMYFUNCTION("""COMPUTED_VALUE"""),2017.0)</f>
        <v>2017</v>
      </c>
      <c r="AN268" t="str">
        <f t="shared" si="1"/>
        <v>15505340-2</v>
      </c>
    </row>
    <row r="269">
      <c r="A269" s="33">
        <f>IFERROR(__xludf.DUMMYFUNCTION("""COMPUTED_VALUE"""),1.5994631E7)</f>
        <v>15994631</v>
      </c>
      <c r="B269" s="33">
        <f>IFERROR(__xludf.DUMMYFUNCTION("""COMPUTED_VALUE"""),44.0)</f>
        <v>44</v>
      </c>
      <c r="C269" s="33"/>
      <c r="D269" s="34" t="str">
        <f>IFERROR(__xludf.DUMMYFUNCTION("""COMPUTED_VALUE"""),"INGRESAR CENTRO DE COSTO A LA DERECHA")</f>
        <v>INGRESAR CENTRO DE COSTO A LA DERECHA</v>
      </c>
      <c r="E269" s="34" t="str">
        <f>IFERROR(__xludf.DUMMYFUNCTION("""COMPUTED_VALUE"""),"DPTO. DE CALIDAD Y ACREDITACION")</f>
        <v>DPTO. DE CALIDAD Y ACREDITACION</v>
      </c>
      <c r="F269" s="34" t="str">
        <f>IFERROR(__xludf.DUMMYFUNCTION("""COMPUTED_VALUE"""),"Analista de Acreditación")</f>
        <v>Analista de Acreditación</v>
      </c>
      <c r="G269" s="33" t="str">
        <f>IFERROR(__xludf.DUMMYFUNCTION("""COMPUTED_VALUE"""),"ANALISTA DE ACREDITACIÓN")</f>
        <v>ANALISTA DE ACREDITACIÓN</v>
      </c>
      <c r="H269">
        <f>IFERROR(__xludf.DUMMYFUNCTION("""COMPUTED_VALUE"""),8.0)</f>
        <v>8</v>
      </c>
      <c r="I269" s="34" t="str">
        <f>IFERROR(__xludf.DUMMYFUNCTION("""COMPUTED_VALUE"""),"Jornada Completa")</f>
        <v>Jornada Completa</v>
      </c>
      <c r="J269" s="33" t="str">
        <f>IFERROR(__xludf.DUMMYFUNCTION("""COMPUTED_VALUE"""),"A CONTRATA")</f>
        <v>A CONTRATA</v>
      </c>
      <c r="K269" s="33" t="str">
        <f>IFERROR(__xludf.DUMMYFUNCTION("""COMPUTED_VALUE"""),"PROFESIONAL")</f>
        <v>PROFESIONAL</v>
      </c>
      <c r="L269" s="34" t="str">
        <f>IFERROR(__xludf.DUMMYFUNCTION("""COMPUTED_VALUE"""),"INTERNO")</f>
        <v>INTERNO</v>
      </c>
      <c r="M269" s="34">
        <f>IFERROR(__xludf.DUMMYFUNCTION("""COMPUTED_VALUE"""),2.0)</f>
        <v>2</v>
      </c>
      <c r="N269" s="34" t="str">
        <f>IFERROR(__xludf.DUMMYFUNCTION("""COMPUTED_VALUE"""),"EXTERNO")</f>
        <v>EXTERNO</v>
      </c>
      <c r="O269">
        <f>IFERROR(__xludf.DUMMYFUNCTION("""COMPUTED_VALUE"""),21.0)</f>
        <v>21</v>
      </c>
      <c r="P269">
        <f>IFERROR(__xludf.DUMMYFUNCTION("""COMPUTED_VALUE"""),2.0)</f>
        <v>2</v>
      </c>
      <c r="Q269" s="35">
        <f>IFERROR(__xludf.DUMMYFUNCTION("""COMPUTED_VALUE"""),1.0)</f>
        <v>1</v>
      </c>
      <c r="R269" s="36" t="str">
        <f>IFERROR(__xludf.DUMMYFUNCTION("""COMPUTED_VALUE"""),"SELECCIONADO")</f>
        <v>SELECCIONADO</v>
      </c>
      <c r="S269" s="37">
        <f>IFERROR(__xludf.DUMMYFUNCTION("""COMPUTED_VALUE"""),42917.0)</f>
        <v>42917</v>
      </c>
      <c r="T269" s="34"/>
      <c r="U269" t="str">
        <f>IFERROR(__xludf.DUMMYFUNCTION("""COMPUTED_VALUE"""),"OMAR SOTO BECERRA")</f>
        <v>OMAR SOTO BECERRA</v>
      </c>
      <c r="V269" t="str">
        <f>IFERROR(__xludf.DUMMYFUNCTION("""COMPUTED_VALUE"""),"15994631-2")</f>
        <v>15994631-2</v>
      </c>
      <c r="W269" t="str">
        <f>IFERROR(__xludf.DUMMYFUNCTION("""COMPUTED_VALUE"""),"SI")</f>
        <v>SI</v>
      </c>
      <c r="X269" t="str">
        <f>IFERROR(__xludf.DUMMYFUNCTION("""COMPUTED_VALUE"""),"Comunicacion")</f>
        <v>Comunicacion</v>
      </c>
      <c r="Y269" t="str">
        <f>IFERROR(__xludf.DUMMYFUNCTION("""COMPUTED_VALUE"""),"TRABAJO EN EQUIPO")</f>
        <v>TRABAJO EN EQUIPO</v>
      </c>
      <c r="AA269" s="38">
        <f>IFERROR(__xludf.DUMMYFUNCTION("""COMPUTED_VALUE"""),42845.0)</f>
        <v>42845</v>
      </c>
      <c r="AB269" s="38">
        <f>IFERROR(__xludf.DUMMYFUNCTION("""COMPUTED_VALUE"""),42853.0)</f>
        <v>42853</v>
      </c>
      <c r="AF269" s="39"/>
      <c r="AG269" s="39"/>
      <c r="AH269" s="34" t="str">
        <f>IFERROR(__xludf.DUMMYFUNCTION("""COMPUTED_VALUE"""),"PROCESO DE SELECCIÓN")</f>
        <v>PROCESO DE SELECCIÓN</v>
      </c>
      <c r="AI269" s="34" t="str">
        <f>IFERROR(__xludf.DUMMYFUNCTION("""COMPUTED_VALUE"""),"JENIFER CELIS")</f>
        <v>JENIFER CELIS</v>
      </c>
      <c r="AJ269" s="34"/>
      <c r="AK269" s="34"/>
      <c r="AL269">
        <f>IFERROR(__xludf.DUMMYFUNCTION("""COMPUTED_VALUE"""),46.0)</f>
        <v>46</v>
      </c>
      <c r="AM269">
        <f>IFERROR(__xludf.DUMMYFUNCTION("""COMPUTED_VALUE"""),2017.0)</f>
        <v>2017</v>
      </c>
      <c r="AN269" t="str">
        <f t="shared" si="1"/>
        <v>15994631-2</v>
      </c>
    </row>
    <row r="270">
      <c r="A270" s="33">
        <f>IFERROR(__xludf.DUMMYFUNCTION("""COMPUTED_VALUE"""),1.5316707E7)</f>
        <v>15316707</v>
      </c>
      <c r="B270" s="33">
        <f>IFERROR(__xludf.DUMMYFUNCTION("""COMPUTED_VALUE"""),45.0)</f>
        <v>45</v>
      </c>
      <c r="C270" s="33"/>
      <c r="D270" s="34" t="str">
        <f>IFERROR(__xludf.DUMMYFUNCTION("""COMPUTED_VALUE"""),"INGRESAR CENTRO DE COSTO A LA DERECHA")</f>
        <v>INGRESAR CENTRO DE COSTO A LA DERECHA</v>
      </c>
      <c r="E270" s="34" t="str">
        <f>IFERROR(__xludf.DUMMYFUNCTION("""COMPUTED_VALUE"""),"DPTO. DE CALIDAD Y ACREDITACION")</f>
        <v>DPTO. DE CALIDAD Y ACREDITACION</v>
      </c>
      <c r="F270" s="34" t="str">
        <f>IFERROR(__xludf.DUMMYFUNCTION("""COMPUTED_VALUE"""),"Analista de Acreditación")</f>
        <v>Analista de Acreditación</v>
      </c>
      <c r="G270" s="33" t="str">
        <f>IFERROR(__xludf.DUMMYFUNCTION("""COMPUTED_VALUE"""),"ANALISTA DE ACREDITACIÓN")</f>
        <v>ANALISTA DE ACREDITACIÓN</v>
      </c>
      <c r="H270">
        <f>IFERROR(__xludf.DUMMYFUNCTION("""COMPUTED_VALUE"""),8.0)</f>
        <v>8</v>
      </c>
      <c r="I270" s="34" t="str">
        <f>IFERROR(__xludf.DUMMYFUNCTION("""COMPUTED_VALUE"""),"Jornada Completa")</f>
        <v>Jornada Completa</v>
      </c>
      <c r="J270" s="33" t="str">
        <f>IFERROR(__xludf.DUMMYFUNCTION("""COMPUTED_VALUE"""),"A CONTRATA")</f>
        <v>A CONTRATA</v>
      </c>
      <c r="K270" s="33" t="str">
        <f>IFERROR(__xludf.DUMMYFUNCTION("""COMPUTED_VALUE"""),"PROFESIONAL")</f>
        <v>PROFESIONAL</v>
      </c>
      <c r="L270" s="34" t="str">
        <f>IFERROR(__xludf.DUMMYFUNCTION("""COMPUTED_VALUE"""),"INTERNO")</f>
        <v>INTERNO</v>
      </c>
      <c r="M270" s="34">
        <f>IFERROR(__xludf.DUMMYFUNCTION("""COMPUTED_VALUE"""),2.0)</f>
        <v>2</v>
      </c>
      <c r="N270" s="34" t="str">
        <f>IFERROR(__xludf.DUMMYFUNCTION("""COMPUTED_VALUE"""),"EXTERNO")</f>
        <v>EXTERNO</v>
      </c>
      <c r="O270">
        <f>IFERROR(__xludf.DUMMYFUNCTION("""COMPUTED_VALUE"""),21.0)</f>
        <v>21</v>
      </c>
      <c r="P270">
        <f>IFERROR(__xludf.DUMMYFUNCTION("""COMPUTED_VALUE"""),2.0)</f>
        <v>2</v>
      </c>
      <c r="Q270" s="35">
        <f>IFERROR(__xludf.DUMMYFUNCTION("""COMPUTED_VALUE"""),1.0)</f>
        <v>1</v>
      </c>
      <c r="R270" s="36" t="str">
        <f>IFERROR(__xludf.DUMMYFUNCTION("""COMPUTED_VALUE"""),"SELECCIONADA")</f>
        <v>SELECCIONADA</v>
      </c>
      <c r="S270" s="37">
        <f>IFERROR(__xludf.DUMMYFUNCTION("""COMPUTED_VALUE"""),42917.0)</f>
        <v>42917</v>
      </c>
      <c r="T270" s="34"/>
      <c r="U270" t="str">
        <f>IFERROR(__xludf.DUMMYFUNCTION("""COMPUTED_VALUE"""),"PAMELA PADILLA ORTIZ")</f>
        <v>PAMELA PADILLA ORTIZ</v>
      </c>
      <c r="V270" t="str">
        <f>IFERROR(__xludf.DUMMYFUNCTION("""COMPUTED_VALUE"""),"15316707-9")</f>
        <v>15316707-9</v>
      </c>
      <c r="W270" t="str">
        <f>IFERROR(__xludf.DUMMYFUNCTION("""COMPUTED_VALUE"""),"SI")</f>
        <v>SI</v>
      </c>
      <c r="X270" t="str">
        <f>IFERROR(__xludf.DUMMYFUNCTION("""COMPUTED_VALUE"""),"PENSAMIENTO ANALITICO")</f>
        <v>PENSAMIENTO ANALITICO</v>
      </c>
      <c r="Y270" t="str">
        <f>IFERROR(__xludf.DUMMYFUNCTION("""COMPUTED_VALUE"""),"ORIENTACION A LOS RESULTADOS")</f>
        <v>ORIENTACION A LOS RESULTADOS</v>
      </c>
      <c r="Z270" t="str">
        <f>IFERROR(__xludf.DUMMYFUNCTION("""COMPUTED_VALUE"""),"Capacidad de Planificacion y Organizacion")</f>
        <v>Capacidad de Planificacion y Organizacion</v>
      </c>
      <c r="AA270" s="38">
        <f>IFERROR(__xludf.DUMMYFUNCTION("""COMPUTED_VALUE"""),42845.0)</f>
        <v>42845</v>
      </c>
      <c r="AB270" s="38">
        <f>IFERROR(__xludf.DUMMYFUNCTION("""COMPUTED_VALUE"""),42853.0)</f>
        <v>42853</v>
      </c>
      <c r="AF270" s="39"/>
      <c r="AG270" s="39"/>
      <c r="AH270" s="34" t="str">
        <f>IFERROR(__xludf.DUMMYFUNCTION("""COMPUTED_VALUE"""),"PROCESO DE SELECCIÓN")</f>
        <v>PROCESO DE SELECCIÓN</v>
      </c>
      <c r="AI270" s="34" t="str">
        <f>IFERROR(__xludf.DUMMYFUNCTION("""COMPUTED_VALUE"""),"JOSE MIGUEL SANHUEZA")</f>
        <v>JOSE MIGUEL SANHUEZA</v>
      </c>
      <c r="AJ270" s="34"/>
      <c r="AK270" s="34"/>
      <c r="AL270">
        <f>IFERROR(__xludf.DUMMYFUNCTION("""COMPUTED_VALUE"""),46.0)</f>
        <v>46</v>
      </c>
      <c r="AM270">
        <f>IFERROR(__xludf.DUMMYFUNCTION("""COMPUTED_VALUE"""),2017.0)</f>
        <v>2017</v>
      </c>
      <c r="AN270" t="str">
        <f t="shared" si="1"/>
        <v>15316707-9</v>
      </c>
    </row>
    <row r="271">
      <c r="A271" s="33">
        <f>IFERROR(__xludf.DUMMYFUNCTION("""COMPUTED_VALUE"""),1.8278676E7)</f>
        <v>18278676</v>
      </c>
      <c r="B271" s="33">
        <f>IFERROR(__xludf.DUMMYFUNCTION("""COMPUTED_VALUE"""),46.0)</f>
        <v>46</v>
      </c>
      <c r="C271" s="33"/>
      <c r="D271" s="34" t="str">
        <f>IFERROR(__xludf.DUMMYFUNCTION("""COMPUTED_VALUE"""),"INGRESAR CENTRO DE COSTO A LA DERECHA")</f>
        <v>INGRESAR CENTRO DE COSTO A LA DERECHA</v>
      </c>
      <c r="E271" s="34" t="str">
        <f>IFERROR(__xludf.DUMMYFUNCTION("""COMPUTED_VALUE"""),"UNIDAD DE GESTION DEL CAMPUS")</f>
        <v>UNIDAD DE GESTION DEL CAMPUS</v>
      </c>
      <c r="F271" s="34" t="str">
        <f>IFERROR(__xludf.DUMMYFUNCTION("""COMPUTED_VALUE"""),"Técnico(a) de Bodega")</f>
        <v>Técnico(a) de Bodega</v>
      </c>
      <c r="G271" s="33" t="str">
        <f>IFERROR(__xludf.DUMMYFUNCTION("""COMPUTED_VALUE"""),"TÉCNICO DE BODEGA")</f>
        <v>TÉCNICO DE BODEGA</v>
      </c>
      <c r="H271">
        <f>IFERROR(__xludf.DUMMYFUNCTION("""COMPUTED_VALUE"""),17.0)</f>
        <v>17</v>
      </c>
      <c r="I271" s="34" t="str">
        <f>IFERROR(__xludf.DUMMYFUNCTION("""COMPUTED_VALUE"""),"Jornada Completa")</f>
        <v>Jornada Completa</v>
      </c>
      <c r="J271" s="33" t="str">
        <f>IFERROR(__xludf.DUMMYFUNCTION("""COMPUTED_VALUE"""),"A CONTRATA")</f>
        <v>A CONTRATA</v>
      </c>
      <c r="K271" s="33" t="str">
        <f>IFERROR(__xludf.DUMMYFUNCTION("""COMPUTED_VALUE"""),"TECNICO")</f>
        <v>TECNICO</v>
      </c>
      <c r="L271" s="34" t="str">
        <f>IFERROR(__xludf.DUMMYFUNCTION("""COMPUTED_VALUE"""),"INTERNO")</f>
        <v>INTERNO</v>
      </c>
      <c r="M271" s="34">
        <f>IFERROR(__xludf.DUMMYFUNCTION("""COMPUTED_VALUE"""),1.0)</f>
        <v>1</v>
      </c>
      <c r="N271" s="34" t="str">
        <f>IFERROR(__xludf.DUMMYFUNCTION("""COMPUTED_VALUE"""),"EXTERNO")</f>
        <v>EXTERNO</v>
      </c>
      <c r="O271">
        <f>IFERROR(__xludf.DUMMYFUNCTION("""COMPUTED_VALUE"""),4.0)</f>
        <v>4</v>
      </c>
      <c r="P271">
        <f>IFERROR(__xludf.DUMMYFUNCTION("""COMPUTED_VALUE"""),2.0)</f>
        <v>2</v>
      </c>
      <c r="Q271" s="35">
        <f>IFERROR(__xludf.DUMMYFUNCTION("""COMPUTED_VALUE"""),1.0)</f>
        <v>1</v>
      </c>
      <c r="R271" s="36" t="str">
        <f>IFERROR(__xludf.DUMMYFUNCTION("""COMPUTED_VALUE"""),"SELECCIONADO")</f>
        <v>SELECCIONADO</v>
      </c>
      <c r="S271" s="37">
        <f>IFERROR(__xludf.DUMMYFUNCTION("""COMPUTED_VALUE"""),43047.0)</f>
        <v>43047</v>
      </c>
      <c r="T271" s="34"/>
      <c r="U271" t="str">
        <f>IFERROR(__xludf.DUMMYFUNCTION("""COMPUTED_VALUE"""),"CHRISTIAN BAHAMONDES BARRIOS")</f>
        <v>CHRISTIAN BAHAMONDES BARRIOS</v>
      </c>
      <c r="V271" t="str">
        <f>IFERROR(__xludf.DUMMYFUNCTION("""COMPUTED_VALUE"""),"18278676-4")</f>
        <v>18278676-4</v>
      </c>
      <c r="W271" t="str">
        <f>IFERROR(__xludf.DUMMYFUNCTION("""COMPUTED_VALUE"""),"NO")</f>
        <v>NO</v>
      </c>
      <c r="AA271" s="38">
        <f>IFERROR(__xludf.DUMMYFUNCTION("""COMPUTED_VALUE"""),43006.0)</f>
        <v>43006</v>
      </c>
      <c r="AB271" s="38">
        <f>IFERROR(__xludf.DUMMYFUNCTION("""COMPUTED_VALUE"""),43013.0)</f>
        <v>43013</v>
      </c>
      <c r="AF271" s="39"/>
      <c r="AG271" s="39"/>
      <c r="AH271" s="34" t="str">
        <f>IFERROR(__xludf.DUMMYFUNCTION("""COMPUTED_VALUE"""),"PROCESO DE SELECCIÓN")</f>
        <v>PROCESO DE SELECCIÓN</v>
      </c>
      <c r="AI271" s="34" t="str">
        <f>IFERROR(__xludf.DUMMYFUNCTION("""COMPUTED_VALUE"""),"CLAUDIO REED ROMO")</f>
        <v>CLAUDIO REED ROMO</v>
      </c>
      <c r="AJ271" s="34"/>
      <c r="AK271" s="34"/>
      <c r="AL271">
        <f>IFERROR(__xludf.DUMMYFUNCTION("""COMPUTED_VALUE"""),25.0)</f>
        <v>25</v>
      </c>
      <c r="AM271">
        <f>IFERROR(__xludf.DUMMYFUNCTION("""COMPUTED_VALUE"""),2017.0)</f>
        <v>2017</v>
      </c>
      <c r="AN271" t="str">
        <f t="shared" si="1"/>
        <v>18278676-4</v>
      </c>
    </row>
    <row r="272">
      <c r="A272" s="33">
        <f>IFERROR(__xludf.DUMMYFUNCTION("""COMPUTED_VALUE"""),1.8336472E7)</f>
        <v>18336472</v>
      </c>
      <c r="B272" s="33">
        <f>IFERROR(__xludf.DUMMYFUNCTION("""COMPUTED_VALUE"""),47.0)</f>
        <v>47</v>
      </c>
      <c r="C272" s="33"/>
      <c r="D272" s="34" t="str">
        <f>IFERROR(__xludf.DUMMYFUNCTION("""COMPUTED_VALUE"""),"INGRESAR CENTRO DE COSTO A LA DERECHA")</f>
        <v>INGRESAR CENTRO DE COSTO A LA DERECHA</v>
      </c>
      <c r="E272" s="34" t="str">
        <f>IFERROR(__xludf.DUMMYFUNCTION("""COMPUTED_VALUE"""),"DPTO. DE DESARROLLO DE PERSONAS")</f>
        <v>DPTO. DE DESARROLLO DE PERSONAS</v>
      </c>
      <c r="F272" s="34" t="str">
        <f>IFERROR(__xludf.DUMMYFUNCTION("""COMPUTED_VALUE"""),"Administrativo(a) de Proceso")</f>
        <v>Administrativo(a) de Proceso</v>
      </c>
      <c r="G272" s="33" t="str">
        <f>IFERROR(__xludf.DUMMYFUNCTION("""COMPUTED_VALUE"""),"ADMINISTRATIVO DE PROCESO")</f>
        <v>ADMINISTRATIVO DE PROCESO</v>
      </c>
      <c r="H272">
        <f>IFERROR(__xludf.DUMMYFUNCTION("""COMPUTED_VALUE"""),17.0)</f>
        <v>17</v>
      </c>
      <c r="I272" s="34" t="str">
        <f>IFERROR(__xludf.DUMMYFUNCTION("""COMPUTED_VALUE"""),"Jornada Completa")</f>
        <v>Jornada Completa</v>
      </c>
      <c r="J272" s="33" t="str">
        <f>IFERROR(__xludf.DUMMYFUNCTION("""COMPUTED_VALUE"""),"A CONTRATA")</f>
        <v>A CONTRATA</v>
      </c>
      <c r="K272" s="33" t="str">
        <f>IFERROR(__xludf.DUMMYFUNCTION("""COMPUTED_VALUE"""),"ADMINISTRATIVO")</f>
        <v>ADMINISTRATIVO</v>
      </c>
      <c r="L272" s="34" t="str">
        <f>IFERROR(__xludf.DUMMYFUNCTION("""COMPUTED_VALUE"""),"INTERNO")</f>
        <v>INTERNO</v>
      </c>
      <c r="M272" s="34">
        <f>IFERROR(__xludf.DUMMYFUNCTION("""COMPUTED_VALUE"""),2.0)</f>
        <v>2</v>
      </c>
      <c r="N272" s="34" t="str">
        <f>IFERROR(__xludf.DUMMYFUNCTION("""COMPUTED_VALUE"""),"EXTERNO")</f>
        <v>EXTERNO</v>
      </c>
      <c r="O272">
        <f>IFERROR(__xludf.DUMMYFUNCTION("""COMPUTED_VALUE"""),6.0)</f>
        <v>6</v>
      </c>
      <c r="P272">
        <f>IFERROR(__xludf.DUMMYFUNCTION("""COMPUTED_VALUE"""),1.0)</f>
        <v>1</v>
      </c>
      <c r="Q272" s="35">
        <f>IFERROR(__xludf.DUMMYFUNCTION("""COMPUTED_VALUE"""),1.0)</f>
        <v>1</v>
      </c>
      <c r="R272" s="36" t="str">
        <f>IFERROR(__xludf.DUMMYFUNCTION("""COMPUTED_VALUE"""),"SELECCIONADO")</f>
        <v>SELECCIONADO</v>
      </c>
      <c r="S272" s="37">
        <f>IFERROR(__xludf.DUMMYFUNCTION("""COMPUTED_VALUE"""),43010.0)</f>
        <v>43010</v>
      </c>
      <c r="T272" s="34"/>
      <c r="U272" t="str">
        <f>IFERROR(__xludf.DUMMYFUNCTION("""COMPUTED_VALUE"""),"PATRICIO ARENAS LONCOMILLA")</f>
        <v>PATRICIO ARENAS LONCOMILLA</v>
      </c>
      <c r="V272" t="str">
        <f>IFERROR(__xludf.DUMMYFUNCTION("""COMPUTED_VALUE"""),"18336472-3")</f>
        <v>18336472-3</v>
      </c>
      <c r="W272" t="str">
        <f>IFERROR(__xludf.DUMMYFUNCTION("""COMPUTED_VALUE"""),"SI")</f>
        <v>SI</v>
      </c>
      <c r="AA272" s="38">
        <f>IFERROR(__xludf.DUMMYFUNCTION("""COMPUTED_VALUE"""),42982.0)</f>
        <v>42982</v>
      </c>
      <c r="AB272" s="38">
        <f>IFERROR(__xludf.DUMMYFUNCTION("""COMPUTED_VALUE"""),42985.0)</f>
        <v>42985</v>
      </c>
      <c r="AF272" s="39"/>
      <c r="AG272" s="39"/>
      <c r="AH272" s="34" t="str">
        <f>IFERROR(__xludf.DUMMYFUNCTION("""COMPUTED_VALUE"""),"PROCESO DE SELECCIÓN")</f>
        <v>PROCESO DE SELECCIÓN</v>
      </c>
      <c r="AI272" s="34" t="str">
        <f>IFERROR(__xludf.DUMMYFUNCTION("""COMPUTED_VALUE"""),"CAROLINA FARAY FARAY")</f>
        <v>CAROLINA FARAY FARAY</v>
      </c>
      <c r="AJ272" s="34"/>
      <c r="AK272" s="34"/>
      <c r="AL272">
        <f>IFERROR(__xludf.DUMMYFUNCTION("""COMPUTED_VALUE"""),18.0)</f>
        <v>18</v>
      </c>
      <c r="AM272">
        <f>IFERROR(__xludf.DUMMYFUNCTION("""COMPUTED_VALUE"""),2017.0)</f>
        <v>2017</v>
      </c>
      <c r="AN272" t="str">
        <f t="shared" si="1"/>
        <v>18336472-3</v>
      </c>
    </row>
    <row r="273">
      <c r="A273" s="33">
        <f>IFERROR(__xludf.DUMMYFUNCTION("""COMPUTED_VALUE"""),1.8076595E7)</f>
        <v>18076595</v>
      </c>
      <c r="B273" s="33">
        <f>IFERROR(__xludf.DUMMYFUNCTION("""COMPUTED_VALUE"""),48.0)</f>
        <v>48</v>
      </c>
      <c r="C273" s="33"/>
      <c r="D273" s="34" t="str">
        <f>IFERROR(__xludf.DUMMYFUNCTION("""COMPUTED_VALUE"""),"INGRESAR CENTRO DE COSTO A LA DERECHA")</f>
        <v>INGRESAR CENTRO DE COSTO A LA DERECHA</v>
      </c>
      <c r="E273" s="34" t="str">
        <f>IFERROR(__xludf.DUMMYFUNCTION("""COMPUTED_VALUE"""),"CONTRALORIA UNIVERSITARIA")</f>
        <v>CONTRALORIA UNIVERSITARIA</v>
      </c>
      <c r="F273" s="34" t="str">
        <f>IFERROR(__xludf.DUMMYFUNCTION("""COMPUTED_VALUE"""),"Auditor(a) I")</f>
        <v>Auditor(a) I</v>
      </c>
      <c r="G273" s="33" t="str">
        <f>IFERROR(__xludf.DUMMYFUNCTION("""COMPUTED_VALUE"""),"AUDITOR I")</f>
        <v>AUDITOR I</v>
      </c>
      <c r="H273">
        <f>IFERROR(__xludf.DUMMYFUNCTION("""COMPUTED_VALUE"""),8.0)</f>
        <v>8</v>
      </c>
      <c r="I273" s="34" t="str">
        <f>IFERROR(__xludf.DUMMYFUNCTION("""COMPUTED_VALUE"""),"Jornada Completa")</f>
        <v>Jornada Completa</v>
      </c>
      <c r="J273" s="33" t="str">
        <f>IFERROR(__xludf.DUMMYFUNCTION("""COMPUTED_VALUE"""),"A CONTRATA")</f>
        <v>A CONTRATA</v>
      </c>
      <c r="K273" s="33" t="str">
        <f>IFERROR(__xludf.DUMMYFUNCTION("""COMPUTED_VALUE"""),"PROFESIONAL")</f>
        <v>PROFESIONAL</v>
      </c>
      <c r="L273" s="34" t="str">
        <f>IFERROR(__xludf.DUMMYFUNCTION("""COMPUTED_VALUE"""),"INTERNO")</f>
        <v>INTERNO</v>
      </c>
      <c r="M273" s="34">
        <f>IFERROR(__xludf.DUMMYFUNCTION("""COMPUTED_VALUE"""),3.0)</f>
        <v>3</v>
      </c>
      <c r="N273" s="34" t="str">
        <f>IFERROR(__xludf.DUMMYFUNCTION("""COMPUTED_VALUE"""),"EXTERNO")</f>
        <v>EXTERNO</v>
      </c>
      <c r="O273">
        <f>IFERROR(__xludf.DUMMYFUNCTION("""COMPUTED_VALUE"""),8.0)</f>
        <v>8</v>
      </c>
      <c r="P273">
        <f>IFERROR(__xludf.DUMMYFUNCTION("""COMPUTED_VALUE"""),1.0)</f>
        <v>1</v>
      </c>
      <c r="Q273" s="35">
        <f>IFERROR(__xludf.DUMMYFUNCTION("""COMPUTED_VALUE"""),1.0)</f>
        <v>1</v>
      </c>
      <c r="R273" s="36" t="str">
        <f>IFERROR(__xludf.DUMMYFUNCTION("""COMPUTED_VALUE"""),"SELECCIONADA")</f>
        <v>SELECCIONADA</v>
      </c>
      <c r="S273" s="37">
        <f>IFERROR(__xludf.DUMMYFUNCTION("""COMPUTED_VALUE"""),43031.0)</f>
        <v>43031</v>
      </c>
      <c r="T273" s="34"/>
      <c r="U273" t="str">
        <f>IFERROR(__xludf.DUMMYFUNCTION("""COMPUTED_VALUE"""),"GISELLA RAMIREZ ASTUDILLO")</f>
        <v>GISELLA RAMIREZ ASTUDILLO</v>
      </c>
      <c r="V273" t="str">
        <f>IFERROR(__xludf.DUMMYFUNCTION("""COMPUTED_VALUE"""),"18076595-6")</f>
        <v>18076595-6</v>
      </c>
      <c r="W273" t="str">
        <f>IFERROR(__xludf.DUMMYFUNCTION("""COMPUTED_VALUE"""),"NO")</f>
        <v>NO</v>
      </c>
      <c r="AA273" s="38">
        <f>IFERROR(__xludf.DUMMYFUNCTION("""COMPUTED_VALUE"""),42972.0)</f>
        <v>42972</v>
      </c>
      <c r="AB273" s="38">
        <f>IFERROR(__xludf.DUMMYFUNCTION("""COMPUTED_VALUE"""),42979.0)</f>
        <v>42979</v>
      </c>
      <c r="AF273" s="39"/>
      <c r="AG273" s="39"/>
      <c r="AH273" s="34" t="str">
        <f>IFERROR(__xludf.DUMMYFUNCTION("""COMPUTED_VALUE"""),"PROCESO DE SELECCIÓN")</f>
        <v>PROCESO DE SELECCIÓN</v>
      </c>
      <c r="AI273" s="34" t="str">
        <f>IFERROR(__xludf.DUMMYFUNCTION("""COMPUTED_VALUE"""),"BUSCAR")</f>
        <v>BUSCAR</v>
      </c>
      <c r="AJ273" s="34"/>
      <c r="AK273" s="34"/>
      <c r="AL273">
        <f>IFERROR(__xludf.DUMMYFUNCTION("""COMPUTED_VALUE"""),37.0)</f>
        <v>37</v>
      </c>
      <c r="AM273">
        <f>IFERROR(__xludf.DUMMYFUNCTION("""COMPUTED_VALUE"""),2017.0)</f>
        <v>2017</v>
      </c>
      <c r="AN273" t="str">
        <f t="shared" si="1"/>
        <v>18076595-6</v>
      </c>
    </row>
    <row r="274">
      <c r="A274" s="33">
        <f>IFERROR(__xludf.DUMMYFUNCTION("""COMPUTED_VALUE"""),1.4189321E7)</f>
        <v>14189321</v>
      </c>
      <c r="B274" s="33">
        <f>IFERROR(__xludf.DUMMYFUNCTION("""COMPUTED_VALUE"""),49.0)</f>
        <v>49</v>
      </c>
      <c r="C274" s="33"/>
      <c r="D274" s="34" t="str">
        <f>IFERROR(__xludf.DUMMYFUNCTION("""COMPUTED_VALUE"""),"INGRESAR CENTRO DE COSTO A LA DERECHA")</f>
        <v>INGRESAR CENTRO DE COSTO A LA DERECHA</v>
      </c>
      <c r="E274" s="34" t="str">
        <f>IFERROR(__xludf.DUMMYFUNCTION("""COMPUTED_VALUE"""),"DPTO. DE FINANZAS Y TESORERIA")</f>
        <v>DPTO. DE FINANZAS Y TESORERIA</v>
      </c>
      <c r="F274" s="34" t="str">
        <f>IFERROR(__xludf.DUMMYFUNCTION("""COMPUTED_VALUE"""),"Jefe(a) de Sección")</f>
        <v>Jefe(a) de Sección</v>
      </c>
      <c r="G274" s="33" t="str">
        <f>IFERROR(__xludf.DUMMYFUNCTION("""COMPUTED_VALUE"""),"JEFE DE SECCION  ( OPERACIONES)")</f>
        <v>JEFE DE SECCION  ( OPERACIONES)</v>
      </c>
      <c r="H274">
        <f>IFERROR(__xludf.DUMMYFUNCTION("""COMPUTED_VALUE"""),8.0)</f>
        <v>8</v>
      </c>
      <c r="I274" s="34" t="str">
        <f>IFERROR(__xludf.DUMMYFUNCTION("""COMPUTED_VALUE"""),"Jornada Completa")</f>
        <v>Jornada Completa</v>
      </c>
      <c r="J274" s="33" t="str">
        <f>IFERROR(__xludf.DUMMYFUNCTION("""COMPUTED_VALUE"""),"A CONTRATA")</f>
        <v>A CONTRATA</v>
      </c>
      <c r="K274" s="33" t="str">
        <f>IFERROR(__xludf.DUMMYFUNCTION("""COMPUTED_VALUE"""),"PROFESIONAL")</f>
        <v>PROFESIONAL</v>
      </c>
      <c r="L274" s="34" t="str">
        <f>IFERROR(__xludf.DUMMYFUNCTION("""COMPUTED_VALUE"""),"INTERNO")</f>
        <v>INTERNO</v>
      </c>
      <c r="M274" s="34">
        <f>IFERROR(__xludf.DUMMYFUNCTION("""COMPUTED_VALUE"""),1.0)</f>
        <v>1</v>
      </c>
      <c r="N274" s="34" t="str">
        <f>IFERROR(__xludf.DUMMYFUNCTION("""COMPUTED_VALUE"""),"EXTERNO")</f>
        <v>EXTERNO</v>
      </c>
      <c r="O274">
        <f>IFERROR(__xludf.DUMMYFUNCTION("""COMPUTED_VALUE"""),4.0)</f>
        <v>4</v>
      </c>
      <c r="P274">
        <f>IFERROR(__xludf.DUMMYFUNCTION("""COMPUTED_VALUE"""),1.0)</f>
        <v>1</v>
      </c>
      <c r="Q274" s="35">
        <f>IFERROR(__xludf.DUMMYFUNCTION("""COMPUTED_VALUE"""),2.0)</f>
        <v>2</v>
      </c>
      <c r="R274" s="36" t="str">
        <f>IFERROR(__xludf.DUMMYFUNCTION("""COMPUTED_VALUE"""),"SELECCIONADO")</f>
        <v>SELECCIONADO</v>
      </c>
      <c r="S274" s="37">
        <f>IFERROR(__xludf.DUMMYFUNCTION("""COMPUTED_VALUE"""),43024.0)</f>
        <v>43024</v>
      </c>
      <c r="T274" s="34"/>
      <c r="U274" t="str">
        <f>IFERROR(__xludf.DUMMYFUNCTION("""COMPUTED_VALUE"""),"VICTOR DOCMAC CARVAJAL")</f>
        <v>VICTOR DOCMAC CARVAJAL</v>
      </c>
      <c r="V274" t="str">
        <f>IFERROR(__xludf.DUMMYFUNCTION("""COMPUTED_VALUE"""),"14189321-1")</f>
        <v>14189321-1</v>
      </c>
      <c r="W274" t="str">
        <f>IFERROR(__xludf.DUMMYFUNCTION("""COMPUTED_VALUE"""),"SI")</f>
        <v>SI</v>
      </c>
      <c r="X274" t="str">
        <f>IFERROR(__xludf.DUMMYFUNCTION("""COMPUTED_VALUE"""),"CAPACIDAD DE PLANIFICACION Y ORGANIZACION")</f>
        <v>CAPACIDAD DE PLANIFICACION Y ORGANIZACION</v>
      </c>
      <c r="Y274" t="str">
        <f>IFERROR(__xludf.DUMMYFUNCTION("""COMPUTED_VALUE"""),"TRABAJO EN EQUIPO")</f>
        <v>TRABAJO EN EQUIPO</v>
      </c>
      <c r="AA274" s="38">
        <f>IFERROR(__xludf.DUMMYFUNCTION("""COMPUTED_VALUE"""),42972.0)</f>
        <v>42972</v>
      </c>
      <c r="AB274" s="38">
        <f>IFERROR(__xludf.DUMMYFUNCTION("""COMPUTED_VALUE"""),42979.0)</f>
        <v>42979</v>
      </c>
      <c r="AF274" s="39"/>
      <c r="AG274" s="39"/>
      <c r="AH274" s="34" t="str">
        <f>IFERROR(__xludf.DUMMYFUNCTION("""COMPUTED_VALUE"""),"PROCESO DE SELECCIÓN")</f>
        <v>PROCESO DE SELECCIÓN</v>
      </c>
      <c r="AI274" s="34" t="str">
        <f>IFERROR(__xludf.DUMMYFUNCTION("""COMPUTED_VALUE"""),"BUSCAR")</f>
        <v>BUSCAR</v>
      </c>
      <c r="AJ274" s="34"/>
      <c r="AK274" s="34"/>
      <c r="AL274">
        <f>IFERROR(__xludf.DUMMYFUNCTION("""COMPUTED_VALUE"""),32.0)</f>
        <v>32</v>
      </c>
      <c r="AM274">
        <f>IFERROR(__xludf.DUMMYFUNCTION("""COMPUTED_VALUE"""),2017.0)</f>
        <v>2017</v>
      </c>
      <c r="AN274" t="str">
        <f t="shared" si="1"/>
        <v>14189321-1</v>
      </c>
    </row>
    <row r="275">
      <c r="A275" s="33">
        <f>IFERROR(__xludf.DUMMYFUNCTION("""COMPUTED_VALUE"""),1.1468281E7)</f>
        <v>11468281</v>
      </c>
      <c r="B275" s="33">
        <f>IFERROR(__xludf.DUMMYFUNCTION("""COMPUTED_VALUE"""),50.0)</f>
        <v>50</v>
      </c>
      <c r="C275" s="33"/>
      <c r="D275" s="34" t="str">
        <f>IFERROR(__xludf.DUMMYFUNCTION("""COMPUTED_VALUE"""),"INGRESAR CENTRO DE COSTO A LA DERECHA")</f>
        <v>INGRESAR CENTRO DE COSTO A LA DERECHA</v>
      </c>
      <c r="E275" s="34" t="str">
        <f>IFERROR(__xludf.DUMMYFUNCTION("""COMPUTED_VALUE"""),"FACULTAD DE CIENCIAS MEDICAS")</f>
        <v>FACULTAD DE CIENCIAS MEDICAS</v>
      </c>
      <c r="F275" s="34" t="str">
        <f>IFERROR(__xludf.DUMMYFUNCTION("""COMPUTED_VALUE"""),"Secretario(a) de Apoyo Docente")</f>
        <v>Secretario(a) de Apoyo Docente</v>
      </c>
      <c r="G275" s="33" t="str">
        <f>IFERROR(__xludf.DUMMYFUNCTION("""COMPUTED_VALUE"""),"SECRETARIA DE APOYO DOCENTE ( HOSPITAL BARROS LUCO)")</f>
        <v>SECRETARIA DE APOYO DOCENTE ( HOSPITAL BARROS LUCO)</v>
      </c>
      <c r="H275">
        <f>IFERROR(__xludf.DUMMYFUNCTION("""COMPUTED_VALUE"""),17.0)</f>
        <v>17</v>
      </c>
      <c r="I275" s="34" t="str">
        <f>IFERROR(__xludf.DUMMYFUNCTION("""COMPUTED_VALUE"""),"Jornada Completa")</f>
        <v>Jornada Completa</v>
      </c>
      <c r="J275" s="33" t="str">
        <f>IFERROR(__xludf.DUMMYFUNCTION("""COMPUTED_VALUE"""),"A CONTRATA")</f>
        <v>A CONTRATA</v>
      </c>
      <c r="K275" s="33" t="str">
        <f>IFERROR(__xludf.DUMMYFUNCTION("""COMPUTED_VALUE"""),"ADMINISTRATIVO")</f>
        <v>ADMINISTRATIVO</v>
      </c>
      <c r="L275" s="34" t="str">
        <f>IFERROR(__xludf.DUMMYFUNCTION("""COMPUTED_VALUE"""),"INTERNO")</f>
        <v>INTERNO</v>
      </c>
      <c r="M275" s="34">
        <f>IFERROR(__xludf.DUMMYFUNCTION("""COMPUTED_VALUE"""),1.0)</f>
        <v>1</v>
      </c>
      <c r="N275" s="34" t="str">
        <f>IFERROR(__xludf.DUMMYFUNCTION("""COMPUTED_VALUE"""),"EXTERNO")</f>
        <v>EXTERNO</v>
      </c>
      <c r="O275">
        <f>IFERROR(__xludf.DUMMYFUNCTION("""COMPUTED_VALUE"""),15.0)</f>
        <v>15</v>
      </c>
      <c r="P275">
        <f>IFERROR(__xludf.DUMMYFUNCTION("""COMPUTED_VALUE"""),2.0)</f>
        <v>2</v>
      </c>
      <c r="Q275" s="35">
        <f>IFERROR(__xludf.DUMMYFUNCTION("""COMPUTED_VALUE"""),1.0)</f>
        <v>1</v>
      </c>
      <c r="R275" s="36" t="str">
        <f>IFERROR(__xludf.DUMMYFUNCTION("""COMPUTED_VALUE"""),"SELECCIONADA")</f>
        <v>SELECCIONADA</v>
      </c>
      <c r="S275" s="37">
        <f>IFERROR(__xludf.DUMMYFUNCTION("""COMPUTED_VALUE"""),43032.0)</f>
        <v>43032</v>
      </c>
      <c r="T275" s="34"/>
      <c r="U275" t="str">
        <f>IFERROR(__xludf.DUMMYFUNCTION("""COMPUTED_VALUE"""),"CLAUDIA FUENTES PEZOA")</f>
        <v>CLAUDIA FUENTES PEZOA</v>
      </c>
      <c r="V275" t="str">
        <f>IFERROR(__xludf.DUMMYFUNCTION("""COMPUTED_VALUE"""),"11468281-0")</f>
        <v>11468281-0</v>
      </c>
      <c r="W275" t="str">
        <f>IFERROR(__xludf.DUMMYFUNCTION("""COMPUTED_VALUE"""),"NO")</f>
        <v>NO</v>
      </c>
      <c r="AA275" s="38">
        <f>IFERROR(__xludf.DUMMYFUNCTION("""COMPUTED_VALUE"""),42971.0)</f>
        <v>42971</v>
      </c>
      <c r="AB275" s="38">
        <f>IFERROR(__xludf.DUMMYFUNCTION("""COMPUTED_VALUE"""),42978.0)</f>
        <v>42978</v>
      </c>
      <c r="AF275" s="39"/>
      <c r="AG275" s="39"/>
      <c r="AH275" s="34" t="str">
        <f>IFERROR(__xludf.DUMMYFUNCTION("""COMPUTED_VALUE"""),"PROCESO DE SELECCIÓN")</f>
        <v>PROCESO DE SELECCIÓN</v>
      </c>
      <c r="AI275" s="34" t="str">
        <f>IFERROR(__xludf.DUMMYFUNCTION("""COMPUTED_VALUE"""),"BUSCAR")</f>
        <v>BUSCAR</v>
      </c>
      <c r="AJ275" s="34"/>
      <c r="AK275" s="34"/>
      <c r="AL275">
        <f>IFERROR(__xludf.DUMMYFUNCTION("""COMPUTED_VALUE"""),39.0)</f>
        <v>39</v>
      </c>
      <c r="AM275">
        <f>IFERROR(__xludf.DUMMYFUNCTION("""COMPUTED_VALUE"""),2017.0)</f>
        <v>2017</v>
      </c>
      <c r="AN275" t="str">
        <f t="shared" si="1"/>
        <v>11468281-0</v>
      </c>
    </row>
    <row r="276">
      <c r="A276" s="33">
        <f>IFERROR(__xludf.DUMMYFUNCTION("""COMPUTED_VALUE"""),1.7251005E7)</f>
        <v>17251005</v>
      </c>
      <c r="B276" s="33">
        <f>IFERROR(__xludf.DUMMYFUNCTION("""COMPUTED_VALUE"""),51.0)</f>
        <v>51</v>
      </c>
      <c r="C276" s="33"/>
      <c r="D276" s="34" t="str">
        <f>IFERROR(__xludf.DUMMYFUNCTION("""COMPUTED_VALUE"""),"INGRESAR CENTRO DE COSTO A LA DERECHA")</f>
        <v>INGRESAR CENTRO DE COSTO A LA DERECHA</v>
      </c>
      <c r="E276" s="34" t="str">
        <f>IFERROR(__xludf.DUMMYFUNCTION("""COMPUTED_VALUE"""),"DPTO. DE DESARROLLO DE PERSONAS")</f>
        <v>DPTO. DE DESARROLLO DE PERSONAS</v>
      </c>
      <c r="F276" s="34" t="str">
        <f>IFERROR(__xludf.DUMMYFUNCTION("""COMPUTED_VALUE"""),"Administrativo(a) de Proceso")</f>
        <v>Administrativo(a) de Proceso</v>
      </c>
      <c r="G276" s="33" t="str">
        <f>IFERROR(__xludf.DUMMYFUNCTION("""COMPUTED_VALUE"""),"ADMINISTRATIVO DE PROCESO")</f>
        <v>ADMINISTRATIVO DE PROCESO</v>
      </c>
      <c r="H276">
        <f>IFERROR(__xludf.DUMMYFUNCTION("""COMPUTED_VALUE"""),17.0)</f>
        <v>17</v>
      </c>
      <c r="I276" s="34" t="str">
        <f>IFERROR(__xludf.DUMMYFUNCTION("""COMPUTED_VALUE"""),"Jornada Completa")</f>
        <v>Jornada Completa</v>
      </c>
      <c r="J276" s="33" t="str">
        <f>IFERROR(__xludf.DUMMYFUNCTION("""COMPUTED_VALUE"""),"A CONTRATA")</f>
        <v>A CONTRATA</v>
      </c>
      <c r="K276" s="33" t="str">
        <f>IFERROR(__xludf.DUMMYFUNCTION("""COMPUTED_VALUE"""),"ADMINISTRATIVO")</f>
        <v>ADMINISTRATIVO</v>
      </c>
      <c r="L276" s="34" t="str">
        <f>IFERROR(__xludf.DUMMYFUNCTION("""COMPUTED_VALUE"""),"INTERNO")</f>
        <v>INTERNO</v>
      </c>
      <c r="M276" s="34">
        <f>IFERROR(__xludf.DUMMYFUNCTION("""COMPUTED_VALUE"""),2.0)</f>
        <v>2</v>
      </c>
      <c r="N276" s="34" t="str">
        <f>IFERROR(__xludf.DUMMYFUNCTION("""COMPUTED_VALUE"""),"EXTERNO")</f>
        <v>EXTERNO</v>
      </c>
      <c r="O276">
        <f>IFERROR(__xludf.DUMMYFUNCTION("""COMPUTED_VALUE"""),12.0)</f>
        <v>12</v>
      </c>
      <c r="P276">
        <f>IFERROR(__xludf.DUMMYFUNCTION("""COMPUTED_VALUE"""),1.0)</f>
        <v>1</v>
      </c>
      <c r="Q276" s="35">
        <f>IFERROR(__xludf.DUMMYFUNCTION("""COMPUTED_VALUE"""),1.0)</f>
        <v>1</v>
      </c>
      <c r="R276" s="36" t="str">
        <f>IFERROR(__xludf.DUMMYFUNCTION("""COMPUTED_VALUE"""),"SELECCIONADA")</f>
        <v>SELECCIONADA</v>
      </c>
      <c r="S276" s="37">
        <f>IFERROR(__xludf.DUMMYFUNCTION("""COMPUTED_VALUE"""),42983.0)</f>
        <v>42983</v>
      </c>
      <c r="T276" s="34"/>
      <c r="U276" t="str">
        <f>IFERROR(__xludf.DUMMYFUNCTION("""COMPUTED_VALUE"""),"GRACIELA GAMBOA MONSALVE")</f>
        <v>GRACIELA GAMBOA MONSALVE</v>
      </c>
      <c r="V276" t="str">
        <f>IFERROR(__xludf.DUMMYFUNCTION("""COMPUTED_VALUE"""),"17251005-1")</f>
        <v>17251005-1</v>
      </c>
      <c r="W276" t="str">
        <f>IFERROR(__xludf.DUMMYFUNCTION("""COMPUTED_VALUE"""),"NO")</f>
        <v>NO</v>
      </c>
      <c r="AA276" s="38">
        <f>IFERROR(__xludf.DUMMYFUNCTION("""COMPUTED_VALUE"""),42965.0)</f>
        <v>42965</v>
      </c>
      <c r="AB276" s="38">
        <f>IFERROR(__xludf.DUMMYFUNCTION("""COMPUTED_VALUE"""),42970.0)</f>
        <v>42970</v>
      </c>
      <c r="AF276" s="39"/>
      <c r="AG276" s="39"/>
      <c r="AH276" s="34" t="str">
        <f>IFERROR(__xludf.DUMMYFUNCTION("""COMPUTED_VALUE"""),"PROCESO DE SELECCIÓN")</f>
        <v>PROCESO DE SELECCIÓN</v>
      </c>
      <c r="AI276" s="34" t="str">
        <f>IFERROR(__xludf.DUMMYFUNCTION("""COMPUTED_VALUE"""),"TAMARA SALGADO CAYUL ")</f>
        <v>TAMARA SALGADO CAYUL </v>
      </c>
      <c r="AJ276" s="34"/>
      <c r="AK276" s="34"/>
      <c r="AL276">
        <f>IFERROR(__xludf.DUMMYFUNCTION("""COMPUTED_VALUE"""),10.0)</f>
        <v>10</v>
      </c>
      <c r="AM276">
        <f>IFERROR(__xludf.DUMMYFUNCTION("""COMPUTED_VALUE"""),2017.0)</f>
        <v>2017</v>
      </c>
      <c r="AN276" t="str">
        <f t="shared" si="1"/>
        <v>17251005-1</v>
      </c>
    </row>
    <row r="277">
      <c r="A277" s="33">
        <f>IFERROR(__xludf.DUMMYFUNCTION("""COMPUTED_VALUE"""),1.8818287E7)</f>
        <v>18818287</v>
      </c>
      <c r="B277" s="33">
        <f>IFERROR(__xludf.DUMMYFUNCTION("""COMPUTED_VALUE"""),52.0)</f>
        <v>52</v>
      </c>
      <c r="C277" s="33"/>
      <c r="D277" s="34" t="str">
        <f>IFERROR(__xludf.DUMMYFUNCTION("""COMPUTED_VALUE"""),"INGRESAR CENTRO DE COSTO A LA DERECHA")</f>
        <v>INGRESAR CENTRO DE COSTO A LA DERECHA</v>
      </c>
      <c r="E277" s="34" t="str">
        <f>IFERROR(__xludf.DUMMYFUNCTION("""COMPUTED_VALUE"""),"UNIDAD DE ATENCION DE SALUD")</f>
        <v>UNIDAD DE ATENCION DE SALUD</v>
      </c>
      <c r="F277" s="34" t="str">
        <f>IFERROR(__xludf.DUMMYFUNCTION("""COMPUTED_VALUE"""),"Matrón(a)")</f>
        <v>Matrón(a)</v>
      </c>
      <c r="G277" s="33" t="str">
        <f>IFERROR(__xludf.DUMMYFUNCTION("""COMPUTED_VALUE"""),"MATRON")</f>
        <v>MATRON</v>
      </c>
      <c r="H277">
        <f>IFERROR(__xludf.DUMMYFUNCTION("""COMPUTED_VALUE"""),13.0)</f>
        <v>13</v>
      </c>
      <c r="I277" s="34" t="str">
        <f>IFERROR(__xludf.DUMMYFUNCTION("""COMPUTED_VALUE"""),"1/2 Jornada")</f>
        <v>1/2 Jornada</v>
      </c>
      <c r="J277" s="33" t="str">
        <f>IFERROR(__xludf.DUMMYFUNCTION("""COMPUTED_VALUE"""),"A CONTRATA")</f>
        <v>A CONTRATA</v>
      </c>
      <c r="K277" s="33" t="str">
        <f>IFERROR(__xludf.DUMMYFUNCTION("""COMPUTED_VALUE"""),"PROFESIONAL")</f>
        <v>PROFESIONAL</v>
      </c>
      <c r="L277" s="34" t="str">
        <f>IFERROR(__xludf.DUMMYFUNCTION("""COMPUTED_VALUE"""),"INTERNO")</f>
        <v>INTERNO</v>
      </c>
      <c r="M277" s="34">
        <f>IFERROR(__xludf.DUMMYFUNCTION("""COMPUTED_VALUE"""),0.0)</f>
        <v>0</v>
      </c>
      <c r="N277" s="34" t="str">
        <f>IFERROR(__xludf.DUMMYFUNCTION("""COMPUTED_VALUE"""),"EXTERNO")</f>
        <v>EXTERNO</v>
      </c>
      <c r="O277">
        <f>IFERROR(__xludf.DUMMYFUNCTION("""COMPUTED_VALUE"""),10.0)</f>
        <v>10</v>
      </c>
      <c r="P277">
        <f>IFERROR(__xludf.DUMMYFUNCTION("""COMPUTED_VALUE"""),4.0)</f>
        <v>4</v>
      </c>
      <c r="Q277" s="35">
        <f>IFERROR(__xludf.DUMMYFUNCTION("""COMPUTED_VALUE"""),3.0)</f>
        <v>3</v>
      </c>
      <c r="R277" s="36" t="str">
        <f>IFERROR(__xludf.DUMMYFUNCTION("""COMPUTED_VALUE"""),"SELECCIONADA")</f>
        <v>SELECCIONADA</v>
      </c>
      <c r="S277" s="37">
        <f>IFERROR(__xludf.DUMMYFUNCTION("""COMPUTED_VALUE"""),42989.0)</f>
        <v>42989</v>
      </c>
      <c r="T277" s="34"/>
      <c r="U277" t="str">
        <f>IFERROR(__xludf.DUMMYFUNCTION("""COMPUTED_VALUE"""),"MARCELA VÁSQUEZ BECERRA")</f>
        <v>MARCELA VÁSQUEZ BECERRA</v>
      </c>
      <c r="V277" t="str">
        <f>IFERROR(__xludf.DUMMYFUNCTION("""COMPUTED_VALUE"""),"18818287-9")</f>
        <v>18818287-9</v>
      </c>
      <c r="W277" t="str">
        <f>IFERROR(__xludf.DUMMYFUNCTION("""COMPUTED_VALUE"""),"NO")</f>
        <v>NO</v>
      </c>
      <c r="AA277" s="38">
        <f>IFERROR(__xludf.DUMMYFUNCTION("""COMPUTED_VALUE"""),42965.0)</f>
        <v>42965</v>
      </c>
      <c r="AB277" s="38">
        <f>IFERROR(__xludf.DUMMYFUNCTION("""COMPUTED_VALUE"""),42972.0)</f>
        <v>42972</v>
      </c>
      <c r="AF277" s="39"/>
      <c r="AG277" s="39"/>
      <c r="AH277" s="34" t="str">
        <f>IFERROR(__xludf.DUMMYFUNCTION("""COMPUTED_VALUE"""),"PROCESO DE SELECCIÓN")</f>
        <v>PROCESO DE SELECCIÓN</v>
      </c>
      <c r="AI277" s="34" t="str">
        <f>IFERROR(__xludf.DUMMYFUNCTION("""COMPUTED_VALUE"""),"ESTEFANIA DE LA PEÑA")</f>
        <v>ESTEFANIA DE LA PEÑA</v>
      </c>
      <c r="AJ277" s="34"/>
      <c r="AK277" s="34"/>
      <c r="AL277">
        <f>IFERROR(__xludf.DUMMYFUNCTION("""COMPUTED_VALUE"""),12.0)</f>
        <v>12</v>
      </c>
      <c r="AM277">
        <f>IFERROR(__xludf.DUMMYFUNCTION("""COMPUTED_VALUE"""),2017.0)</f>
        <v>2017</v>
      </c>
      <c r="AN277" t="str">
        <f t="shared" si="1"/>
        <v>18818287-9</v>
      </c>
    </row>
    <row r="278">
      <c r="A278" s="33">
        <f>IFERROR(__xludf.DUMMYFUNCTION("""COMPUTED_VALUE"""),1.6280352E7)</f>
        <v>16280352</v>
      </c>
      <c r="B278" s="33">
        <f>IFERROR(__xludf.DUMMYFUNCTION("""COMPUTED_VALUE"""),53.0)</f>
        <v>53</v>
      </c>
      <c r="C278" s="33"/>
      <c r="D278" s="34" t="str">
        <f>IFERROR(__xludf.DUMMYFUNCTION("""COMPUTED_VALUE"""),"INGRESAR CENTRO DE COSTO A LA DERECHA")</f>
        <v>INGRESAR CENTRO DE COSTO A LA DERECHA</v>
      </c>
      <c r="E278" s="34" t="str">
        <f>IFERROR(__xludf.DUMMYFUNCTION("""COMPUTED_VALUE"""),"DPTO. DE INGENIERIA MECANICA")</f>
        <v>DPTO. DE INGENIERIA MECANICA</v>
      </c>
      <c r="F278" s="34" t="str">
        <f>IFERROR(__xludf.DUMMYFUNCTION("""COMPUTED_VALUE"""),"Técnico(a) de Soporte Básico en Computación")</f>
        <v>Técnico(a) de Soporte Básico en Computación</v>
      </c>
      <c r="G278" s="33" t="str">
        <f>IFERROR(__xludf.DUMMYFUNCTION("""COMPUTED_VALUE"""),"TECNICO DE SOPORTE BASICO EN COMPUTACION")</f>
        <v>TECNICO DE SOPORTE BASICO EN COMPUTACION</v>
      </c>
      <c r="H278">
        <f>IFERROR(__xludf.DUMMYFUNCTION("""COMPUTED_VALUE"""),17.0)</f>
        <v>17</v>
      </c>
      <c r="I278" s="34" t="str">
        <f>IFERROR(__xludf.DUMMYFUNCTION("""COMPUTED_VALUE"""),"Jornada Completa")</f>
        <v>Jornada Completa</v>
      </c>
      <c r="J278" s="33" t="str">
        <f>IFERROR(__xludf.DUMMYFUNCTION("""COMPUTED_VALUE"""),"A CONTRATA")</f>
        <v>A CONTRATA</v>
      </c>
      <c r="K278" s="33" t="str">
        <f>IFERROR(__xludf.DUMMYFUNCTION("""COMPUTED_VALUE"""),"TECNICO")</f>
        <v>TECNICO</v>
      </c>
      <c r="L278" s="34" t="str">
        <f>IFERROR(__xludf.DUMMYFUNCTION("""COMPUTED_VALUE"""),"INTERNO")</f>
        <v>INTERNO</v>
      </c>
      <c r="M278" s="34">
        <f>IFERROR(__xludf.DUMMYFUNCTION("""COMPUTED_VALUE"""),2.0)</f>
        <v>2</v>
      </c>
      <c r="N278" s="34" t="str">
        <f>IFERROR(__xludf.DUMMYFUNCTION("""COMPUTED_VALUE"""),"EXTERNO")</f>
        <v>EXTERNO</v>
      </c>
      <c r="O278">
        <f>IFERROR(__xludf.DUMMYFUNCTION("""COMPUTED_VALUE"""),14.0)</f>
        <v>14</v>
      </c>
      <c r="P278">
        <f>IFERROR(__xludf.DUMMYFUNCTION("""COMPUTED_VALUE"""),2.0)</f>
        <v>2</v>
      </c>
      <c r="Q278" s="35">
        <f>IFERROR(__xludf.DUMMYFUNCTION("""COMPUTED_VALUE"""),5.0)</f>
        <v>5</v>
      </c>
      <c r="R278" s="36" t="str">
        <f>IFERROR(__xludf.DUMMYFUNCTION("""COMPUTED_VALUE"""),"SELECCIONADO")</f>
        <v>SELECCIONADO</v>
      </c>
      <c r="S278" s="37">
        <f>IFERROR(__xludf.DUMMYFUNCTION("""COMPUTED_VALUE"""),43024.0)</f>
        <v>43024</v>
      </c>
      <c r="T278" s="34"/>
      <c r="U278" t="str">
        <f>IFERROR(__xludf.DUMMYFUNCTION("""COMPUTED_VALUE"""),"MATIAS ASTETE FUENTES")</f>
        <v>MATIAS ASTETE FUENTES</v>
      </c>
      <c r="V278" t="str">
        <f>IFERROR(__xludf.DUMMYFUNCTION("""COMPUTED_VALUE"""),"16280352-2")</f>
        <v>16280352-2</v>
      </c>
      <c r="W278" t="str">
        <f>IFERROR(__xludf.DUMMYFUNCTION("""COMPUTED_VALUE"""),"SI")</f>
        <v>SI</v>
      </c>
      <c r="X278" t="str">
        <f>IFERROR(__xludf.DUMMYFUNCTION("""COMPUTED_VALUE"""),"CAPACIDAD DE PLANIFICACION Y ORGANIZACION")</f>
        <v>CAPACIDAD DE PLANIFICACION Y ORGANIZACION</v>
      </c>
      <c r="Y278" t="str">
        <f>IFERROR(__xludf.DUMMYFUNCTION("""COMPUTED_VALUE"""),"PENSAMIENTO ANALITICO")</f>
        <v>PENSAMIENTO ANALITICO</v>
      </c>
      <c r="AA278" s="38">
        <f>IFERROR(__xludf.DUMMYFUNCTION("""COMPUTED_VALUE"""),42954.0)</f>
        <v>42954</v>
      </c>
      <c r="AB278" s="38">
        <f>IFERROR(__xludf.DUMMYFUNCTION("""COMPUTED_VALUE"""),42961.0)</f>
        <v>42961</v>
      </c>
      <c r="AF278" s="39"/>
      <c r="AG278" s="39"/>
      <c r="AH278" s="34" t="str">
        <f>IFERROR(__xludf.DUMMYFUNCTION("""COMPUTED_VALUE"""),"PROCESO DE SELECCIÓN")</f>
        <v>PROCESO DE SELECCIÓN</v>
      </c>
      <c r="AI278" s="34" t="str">
        <f>IFERROR(__xludf.DUMMYFUNCTION("""COMPUTED_VALUE"""),"BUSCAR")</f>
        <v>BUSCAR</v>
      </c>
      <c r="AJ278" s="34"/>
      <c r="AK278" s="34"/>
      <c r="AL278">
        <f>IFERROR(__xludf.DUMMYFUNCTION("""COMPUTED_VALUE"""),46.0)</f>
        <v>46</v>
      </c>
      <c r="AM278">
        <f>IFERROR(__xludf.DUMMYFUNCTION("""COMPUTED_VALUE"""),2017.0)</f>
        <v>2017</v>
      </c>
      <c r="AN278" t="str">
        <f t="shared" si="1"/>
        <v>16280352-2</v>
      </c>
    </row>
    <row r="279">
      <c r="A279" s="33">
        <f>IFERROR(__xludf.DUMMYFUNCTION("""COMPUTED_VALUE"""),1.6547604E7)</f>
        <v>16547604</v>
      </c>
      <c r="B279" s="33">
        <f>IFERROR(__xludf.DUMMYFUNCTION("""COMPUTED_VALUE"""),54.0)</f>
        <v>54</v>
      </c>
      <c r="C279" s="33"/>
      <c r="D279" s="34" t="str">
        <f>IFERROR(__xludf.DUMMYFUNCTION("""COMPUTED_VALUE"""),"INGRESAR CENTRO DE COSTO A LA DERECHA")</f>
        <v>INGRESAR CENTRO DE COSTO A LA DERECHA</v>
      </c>
      <c r="E279" s="34" t="str">
        <f>IFERROR(__xludf.DUMMYFUNCTION("""COMPUTED_VALUE"""),"ADM.GRAL. FONDO SOLIDARIO CRED")</f>
        <v>ADM.GRAL. FONDO SOLIDARIO CRED</v>
      </c>
      <c r="F279" s="34" t="str">
        <f>IFERROR(__xludf.DUMMYFUNCTION("""COMPUTED_VALUE"""),"Jefe(a) de Sección")</f>
        <v>Jefe(a) de Sección</v>
      </c>
      <c r="G279" s="33" t="str">
        <f>IFERROR(__xludf.DUMMYFUNCTION("""COMPUTED_VALUE"""),"JEFE DE SECCION ( COBRANZA)")</f>
        <v>JEFE DE SECCION ( COBRANZA)</v>
      </c>
      <c r="H279">
        <f>IFERROR(__xludf.DUMMYFUNCTION("""COMPUTED_VALUE"""),10.0)</f>
        <v>10</v>
      </c>
      <c r="I279" s="34" t="str">
        <f>IFERROR(__xludf.DUMMYFUNCTION("""COMPUTED_VALUE"""),"Jornada Completa")</f>
        <v>Jornada Completa</v>
      </c>
      <c r="J279" s="33" t="str">
        <f>IFERROR(__xludf.DUMMYFUNCTION("""COMPUTED_VALUE"""),"A CONTRATA")</f>
        <v>A CONTRATA</v>
      </c>
      <c r="K279" s="33" t="str">
        <f>IFERROR(__xludf.DUMMYFUNCTION("""COMPUTED_VALUE"""),"PROFESIONAL")</f>
        <v>PROFESIONAL</v>
      </c>
      <c r="L279" s="34" t="str">
        <f>IFERROR(__xludf.DUMMYFUNCTION("""COMPUTED_VALUE"""),"INTERNO")</f>
        <v>INTERNO</v>
      </c>
      <c r="M279" s="34">
        <f>IFERROR(__xludf.DUMMYFUNCTION("""COMPUTED_VALUE"""),2.0)</f>
        <v>2</v>
      </c>
      <c r="N279" s="34" t="str">
        <f>IFERROR(__xludf.DUMMYFUNCTION("""COMPUTED_VALUE"""),"EXTERNO")</f>
        <v>EXTERNO</v>
      </c>
      <c r="O279">
        <f>IFERROR(__xludf.DUMMYFUNCTION("""COMPUTED_VALUE"""),1.0)</f>
        <v>1</v>
      </c>
      <c r="P279">
        <f>IFERROR(__xludf.DUMMYFUNCTION("""COMPUTED_VALUE"""),1.0)</f>
        <v>1</v>
      </c>
      <c r="Q279" s="35">
        <f>IFERROR(__xludf.DUMMYFUNCTION("""COMPUTED_VALUE"""),2.0)</f>
        <v>2</v>
      </c>
      <c r="R279" s="36" t="str">
        <f>IFERROR(__xludf.DUMMYFUNCTION("""COMPUTED_VALUE"""),"SELECCIONADA")</f>
        <v>SELECCIONADA</v>
      </c>
      <c r="S279" s="37">
        <f>IFERROR(__xludf.DUMMYFUNCTION("""COMPUTED_VALUE"""),42963.0)</f>
        <v>42963</v>
      </c>
      <c r="T279" s="34"/>
      <c r="U279" t="str">
        <f>IFERROR(__xludf.DUMMYFUNCTION("""COMPUTED_VALUE"""),"PAOLA MESA ROZAS")</f>
        <v>PAOLA MESA ROZAS</v>
      </c>
      <c r="V279" t="str">
        <f>IFERROR(__xludf.DUMMYFUNCTION("""COMPUTED_VALUE"""),"16547604-2")</f>
        <v>16547604-2</v>
      </c>
      <c r="W279" t="str">
        <f>IFERROR(__xludf.DUMMYFUNCTION("""COMPUTED_VALUE"""),"SI")</f>
        <v>SI</v>
      </c>
      <c r="X279" t="str">
        <f>IFERROR(__xludf.DUMMYFUNCTION("""COMPUTED_VALUE"""),"TRABAJO EN EQUIPO")</f>
        <v>TRABAJO EN EQUIPO</v>
      </c>
      <c r="AA279" s="38">
        <f>IFERROR(__xludf.DUMMYFUNCTION("""COMPUTED_VALUE"""),42951.0)</f>
        <v>42951</v>
      </c>
      <c r="AB279" s="38">
        <f>IFERROR(__xludf.DUMMYFUNCTION("""COMPUTED_VALUE"""),42955.0)</f>
        <v>42955</v>
      </c>
      <c r="AF279" s="39"/>
      <c r="AG279" s="39"/>
      <c r="AH279" s="34" t="str">
        <f>IFERROR(__xludf.DUMMYFUNCTION("""COMPUTED_VALUE"""),"PROCESO DE SELECCIÓN")</f>
        <v>PROCESO DE SELECCIÓN</v>
      </c>
      <c r="AI279" s="34" t="str">
        <f>IFERROR(__xludf.DUMMYFUNCTION("""COMPUTED_VALUE"""),"BUSCAR")</f>
        <v>BUSCAR</v>
      </c>
      <c r="AJ279" s="34"/>
      <c r="AK279" s="34"/>
      <c r="AL279">
        <f>IFERROR(__xludf.DUMMYFUNCTION("""COMPUTED_VALUE"""),7.0)</f>
        <v>7</v>
      </c>
      <c r="AM279">
        <f>IFERROR(__xludf.DUMMYFUNCTION("""COMPUTED_VALUE"""),2017.0)</f>
        <v>2017</v>
      </c>
      <c r="AN279" t="str">
        <f t="shared" si="1"/>
        <v>16547604-2</v>
      </c>
    </row>
    <row r="280">
      <c r="A280" s="33">
        <f>IFERROR(__xludf.DUMMYFUNCTION("""COMPUTED_VALUE"""),1.2783339E7)</f>
        <v>12783339</v>
      </c>
      <c r="B280" s="33">
        <f>IFERROR(__xludf.DUMMYFUNCTION("""COMPUTED_VALUE"""),55.0)</f>
        <v>55</v>
      </c>
      <c r="C280" s="33"/>
      <c r="D280" s="34" t="str">
        <f>IFERROR(__xludf.DUMMYFUNCTION("""COMPUTED_VALUE"""),"INGRESAR CENTRO DE COSTO A LA DERECHA")</f>
        <v>INGRESAR CENTRO DE COSTO A LA DERECHA</v>
      </c>
      <c r="E280" s="34" t="str">
        <f>IFERROR(__xludf.DUMMYFUNCTION("""COMPUTED_VALUE"""),"DPTO. DE FINANZAS Y TESORERIA")</f>
        <v>DPTO. DE FINANZAS Y TESORERIA</v>
      </c>
      <c r="F280" s="34" t="str">
        <f>IFERROR(__xludf.DUMMYFUNCTION("""COMPUTED_VALUE"""),"Jefe(a) de Sección")</f>
        <v>Jefe(a) de Sección</v>
      </c>
      <c r="G280" s="33" t="str">
        <f>IFERROR(__xludf.DUMMYFUNCTION("""COMPUTED_VALUE"""),"JEFE DE SECCION ( ESTUDIOS- EJECUTIVO INTEGRAL CREDITO Y COBRANZAS)")</f>
        <v>JEFE DE SECCION ( ESTUDIOS- EJECUTIVO INTEGRAL CREDITO Y COBRANZAS)</v>
      </c>
      <c r="H280">
        <f>IFERROR(__xludf.DUMMYFUNCTION("""COMPUTED_VALUE"""),9.0)</f>
        <v>9</v>
      </c>
      <c r="I280" s="34" t="str">
        <f>IFERROR(__xludf.DUMMYFUNCTION("""COMPUTED_VALUE"""),"Jornada Completa")</f>
        <v>Jornada Completa</v>
      </c>
      <c r="J280" s="33" t="str">
        <f>IFERROR(__xludf.DUMMYFUNCTION("""COMPUTED_VALUE"""),"A CONTRATA")</f>
        <v>A CONTRATA</v>
      </c>
      <c r="K280" s="33" t="str">
        <f>IFERROR(__xludf.DUMMYFUNCTION("""COMPUTED_VALUE"""),"PROFESIONAL")</f>
        <v>PROFESIONAL</v>
      </c>
      <c r="L280" s="34" t="str">
        <f>IFERROR(__xludf.DUMMYFUNCTION("""COMPUTED_VALUE"""),"INTERNO")</f>
        <v>INTERNO</v>
      </c>
      <c r="M280" s="34">
        <f>IFERROR(__xludf.DUMMYFUNCTION("""COMPUTED_VALUE"""),1.0)</f>
        <v>1</v>
      </c>
      <c r="N280" s="34" t="str">
        <f>IFERROR(__xludf.DUMMYFUNCTION("""COMPUTED_VALUE"""),"EXTERNO")</f>
        <v>EXTERNO</v>
      </c>
      <c r="O280">
        <f>IFERROR(__xludf.DUMMYFUNCTION("""COMPUTED_VALUE"""),23.0)</f>
        <v>23</v>
      </c>
      <c r="P280">
        <f>IFERROR(__xludf.DUMMYFUNCTION("""COMPUTED_VALUE"""),3.0)</f>
        <v>3</v>
      </c>
      <c r="Q280" s="35">
        <f>IFERROR(__xludf.DUMMYFUNCTION("""COMPUTED_VALUE"""),1.0)</f>
        <v>1</v>
      </c>
      <c r="R280" s="36" t="str">
        <f>IFERROR(__xludf.DUMMYFUNCTION("""COMPUTED_VALUE"""),"SELECCIONADO")</f>
        <v>SELECCIONADO</v>
      </c>
      <c r="S280" s="37">
        <f>IFERROR(__xludf.DUMMYFUNCTION("""COMPUTED_VALUE"""),43033.0)</f>
        <v>43033</v>
      </c>
      <c r="T280" s="34"/>
      <c r="U280" t="str">
        <f>IFERROR(__xludf.DUMMYFUNCTION("""COMPUTED_VALUE"""),"SEBASTIAN LABRA DIAZ")</f>
        <v>SEBASTIAN LABRA DIAZ</v>
      </c>
      <c r="V280" t="str">
        <f>IFERROR(__xludf.DUMMYFUNCTION("""COMPUTED_VALUE"""),"12783339-7")</f>
        <v>12783339-7</v>
      </c>
      <c r="W280" t="str">
        <f>IFERROR(__xludf.DUMMYFUNCTION("""COMPUTED_VALUE"""),"NO")</f>
        <v>NO</v>
      </c>
      <c r="AA280" s="38">
        <f>IFERROR(__xludf.DUMMYFUNCTION("""COMPUTED_VALUE"""),42947.0)</f>
        <v>42947</v>
      </c>
      <c r="AB280" s="38">
        <f>IFERROR(__xludf.DUMMYFUNCTION("""COMPUTED_VALUE"""),42954.0)</f>
        <v>42954</v>
      </c>
      <c r="AF280" s="39"/>
      <c r="AG280" s="39"/>
      <c r="AH280" s="34" t="str">
        <f>IFERROR(__xludf.DUMMYFUNCTION("""COMPUTED_VALUE"""),"PROCESO DE SELECCIÓN")</f>
        <v>PROCESO DE SELECCIÓN</v>
      </c>
      <c r="AI280" s="34" t="str">
        <f>IFERROR(__xludf.DUMMYFUNCTION("""COMPUTED_VALUE"""),"BUSCAR")</f>
        <v>BUSCAR</v>
      </c>
      <c r="AJ280" s="34"/>
      <c r="AK280" s="34"/>
      <c r="AL280">
        <f>IFERROR(__xludf.DUMMYFUNCTION("""COMPUTED_VALUE"""),58.0)</f>
        <v>58</v>
      </c>
      <c r="AM280">
        <f>IFERROR(__xludf.DUMMYFUNCTION("""COMPUTED_VALUE"""),2017.0)</f>
        <v>2017</v>
      </c>
      <c r="AN280" t="str">
        <f t="shared" si="1"/>
        <v>12783339-7</v>
      </c>
    </row>
    <row r="281">
      <c r="A281" s="33">
        <f>IFERROR(__xludf.DUMMYFUNCTION("""COMPUTED_VALUE"""),1.5320897E7)</f>
        <v>15320897</v>
      </c>
      <c r="B281" s="33">
        <f>IFERROR(__xludf.DUMMYFUNCTION("""COMPUTED_VALUE"""),56.0)</f>
        <v>56</v>
      </c>
      <c r="C281" s="33"/>
      <c r="D281" s="34" t="str">
        <f>IFERROR(__xludf.DUMMYFUNCTION("""COMPUTED_VALUE"""),"INGRESAR CENTRO DE COSTO A LA DERECHA")</f>
        <v>INGRESAR CENTRO DE COSTO A LA DERECHA</v>
      </c>
      <c r="E281" s="34" t="str">
        <f>IFERROR(__xludf.DUMMYFUNCTION("""COMPUTED_VALUE"""),"DPTO. DE FINANZAS Y TESORERIA")</f>
        <v>DPTO. DE FINANZAS Y TESORERIA</v>
      </c>
      <c r="F281" s="34" t="str">
        <f>IFERROR(__xludf.DUMMYFUNCTION("""COMPUTED_VALUE"""),"Jefe(a) de Sección")</f>
        <v>Jefe(a) de Sección</v>
      </c>
      <c r="G281" s="33" t="str">
        <f>IFERROR(__xludf.DUMMYFUNCTION("""COMPUTED_VALUE"""),"JEFE DE SECCION ( INGRESOS)")</f>
        <v>JEFE DE SECCION ( INGRESOS)</v>
      </c>
      <c r="H281">
        <f>IFERROR(__xludf.DUMMYFUNCTION("""COMPUTED_VALUE"""),9.0)</f>
        <v>9</v>
      </c>
      <c r="I281" s="34" t="str">
        <f>IFERROR(__xludf.DUMMYFUNCTION("""COMPUTED_VALUE"""),"Jornada Completa")</f>
        <v>Jornada Completa</v>
      </c>
      <c r="J281" s="33" t="str">
        <f>IFERROR(__xludf.DUMMYFUNCTION("""COMPUTED_VALUE"""),"A CONTRATA")</f>
        <v>A CONTRATA</v>
      </c>
      <c r="K281" s="33" t="str">
        <f>IFERROR(__xludf.DUMMYFUNCTION("""COMPUTED_VALUE"""),"PROFESIONAL")</f>
        <v>PROFESIONAL</v>
      </c>
      <c r="L281" s="34" t="str">
        <f>IFERROR(__xludf.DUMMYFUNCTION("""COMPUTED_VALUE"""),"INTERNO")</f>
        <v>INTERNO</v>
      </c>
      <c r="M281" s="34">
        <f>IFERROR(__xludf.DUMMYFUNCTION("""COMPUTED_VALUE"""),1.0)</f>
        <v>1</v>
      </c>
      <c r="N281" s="34" t="str">
        <f>IFERROR(__xludf.DUMMYFUNCTION("""COMPUTED_VALUE"""),"EXTERNO")</f>
        <v>EXTERNO</v>
      </c>
      <c r="O281">
        <f>IFERROR(__xludf.DUMMYFUNCTION("""COMPUTED_VALUE"""),13.0)</f>
        <v>13</v>
      </c>
      <c r="P281">
        <f>IFERROR(__xludf.DUMMYFUNCTION("""COMPUTED_VALUE"""),1.0)</f>
        <v>1</v>
      </c>
      <c r="Q281" s="35">
        <f>IFERROR(__xludf.DUMMYFUNCTION("""COMPUTED_VALUE"""),1.0)</f>
        <v>1</v>
      </c>
      <c r="R281" s="36" t="str">
        <f>IFERROR(__xludf.DUMMYFUNCTION("""COMPUTED_VALUE"""),"SELECCIONADA")</f>
        <v>SELECCIONADA</v>
      </c>
      <c r="S281" s="37">
        <f>IFERROR(__xludf.DUMMYFUNCTION("""COMPUTED_VALUE"""),43024.0)</f>
        <v>43024</v>
      </c>
      <c r="T281" s="34"/>
      <c r="U281" t="str">
        <f>IFERROR(__xludf.DUMMYFUNCTION("""COMPUTED_VALUE"""),"ANDREA ROJAS CANDIA")</f>
        <v>ANDREA ROJAS CANDIA</v>
      </c>
      <c r="V281" t="str">
        <f>IFERROR(__xludf.DUMMYFUNCTION("""COMPUTED_VALUE"""),"15320897-2")</f>
        <v>15320897-2</v>
      </c>
      <c r="W281" t="str">
        <f>IFERROR(__xludf.DUMMYFUNCTION("""COMPUTED_VALUE"""),"SI")</f>
        <v>SI</v>
      </c>
      <c r="X281" t="str">
        <f>IFERROR(__xludf.DUMMYFUNCTION("""COMPUTED_VALUE"""),"TRABAJO EN EQUIPO")</f>
        <v>TRABAJO EN EQUIPO</v>
      </c>
      <c r="AA281" s="38">
        <f>IFERROR(__xludf.DUMMYFUNCTION("""COMPUTED_VALUE"""),42941.0)</f>
        <v>42941</v>
      </c>
      <c r="AB281" s="38">
        <f>IFERROR(__xludf.DUMMYFUNCTION("""COMPUTED_VALUE"""),42948.0)</f>
        <v>42948</v>
      </c>
      <c r="AF281" s="39"/>
      <c r="AG281" s="39"/>
      <c r="AH281" s="34" t="str">
        <f>IFERROR(__xludf.DUMMYFUNCTION("""COMPUTED_VALUE"""),"PROCESO DE SELECCIÓN")</f>
        <v>PROCESO DE SELECCIÓN</v>
      </c>
      <c r="AI281" s="34" t="str">
        <f>IFERROR(__xludf.DUMMYFUNCTION("""COMPUTED_VALUE"""),"BUSCAR")</f>
        <v>BUSCAR</v>
      </c>
      <c r="AJ281" s="34"/>
      <c r="AK281" s="34"/>
      <c r="AL281">
        <f>IFERROR(__xludf.DUMMYFUNCTION("""COMPUTED_VALUE"""),55.0)</f>
        <v>55</v>
      </c>
      <c r="AM281">
        <f>IFERROR(__xludf.DUMMYFUNCTION("""COMPUTED_VALUE"""),2017.0)</f>
        <v>2017</v>
      </c>
      <c r="AN281" t="str">
        <f t="shared" si="1"/>
        <v>15320897-2</v>
      </c>
    </row>
    <row r="282">
      <c r="A282" s="33">
        <f>IFERROR(__xludf.DUMMYFUNCTION("""COMPUTED_VALUE"""),1.7803186E7)</f>
        <v>17803186</v>
      </c>
      <c r="B282" s="33">
        <f>IFERROR(__xludf.DUMMYFUNCTION("""COMPUTED_VALUE"""),57.0)</f>
        <v>57</v>
      </c>
      <c r="C282" s="33"/>
      <c r="D282" s="34" t="str">
        <f>IFERROR(__xludf.DUMMYFUNCTION("""COMPUTED_VALUE"""),"INGRESAR CENTRO DE COSTO A LA DERECHA")</f>
        <v>INGRESAR CENTRO DE COSTO A LA DERECHA</v>
      </c>
      <c r="E282" s="34" t="str">
        <f>IFERROR(__xludf.DUMMYFUNCTION("""COMPUTED_VALUE"""),"DPTO. DE FINANZAS Y TESORERIA")</f>
        <v>DPTO. DE FINANZAS Y TESORERIA</v>
      </c>
      <c r="F282" s="34" t="str">
        <f>IFERROR(__xludf.DUMMYFUNCTION("""COMPUTED_VALUE"""),"Analista Contable II")</f>
        <v>Analista Contable II</v>
      </c>
      <c r="G282" s="33" t="str">
        <f>IFERROR(__xludf.DUMMYFUNCTION("""COMPUTED_VALUE"""),"ANALISTA CONTABLE II ( ANALISTA PROFESIONAL DE CONCILIACIONES BANCARIAS)")</f>
        <v>ANALISTA CONTABLE II ( ANALISTA PROFESIONAL DE CONCILIACIONES BANCARIAS)</v>
      </c>
      <c r="H282">
        <f>IFERROR(__xludf.DUMMYFUNCTION("""COMPUTED_VALUE"""),13.0)</f>
        <v>13</v>
      </c>
      <c r="I282" s="34" t="str">
        <f>IFERROR(__xludf.DUMMYFUNCTION("""COMPUTED_VALUE"""),"Jornada Completa")</f>
        <v>Jornada Completa</v>
      </c>
      <c r="J282" s="33" t="str">
        <f>IFERROR(__xludf.DUMMYFUNCTION("""COMPUTED_VALUE"""),"A CONTRATA")</f>
        <v>A CONTRATA</v>
      </c>
      <c r="K282" s="33" t="str">
        <f>IFERROR(__xludf.DUMMYFUNCTION("""COMPUTED_VALUE"""),"PROFESIONAL")</f>
        <v>PROFESIONAL</v>
      </c>
      <c r="L282" s="34" t="str">
        <f>IFERROR(__xludf.DUMMYFUNCTION("""COMPUTED_VALUE"""),"INTERNO")</f>
        <v>INTERNO</v>
      </c>
      <c r="M282" s="34">
        <f>IFERROR(__xludf.DUMMYFUNCTION("""COMPUTED_VALUE"""),0.0)</f>
        <v>0</v>
      </c>
      <c r="N282" s="34" t="str">
        <f>IFERROR(__xludf.DUMMYFUNCTION("""COMPUTED_VALUE"""),"EXTERNO")</f>
        <v>EXTERNO</v>
      </c>
      <c r="O282">
        <f>IFERROR(__xludf.DUMMYFUNCTION("""COMPUTED_VALUE"""),17.0)</f>
        <v>17</v>
      </c>
      <c r="P282">
        <f>IFERROR(__xludf.DUMMYFUNCTION("""COMPUTED_VALUE"""),1.0)</f>
        <v>1</v>
      </c>
      <c r="Q282" s="35">
        <f>IFERROR(__xludf.DUMMYFUNCTION("""COMPUTED_VALUE"""),1.0)</f>
        <v>1</v>
      </c>
      <c r="R282" s="36" t="str">
        <f>IFERROR(__xludf.DUMMYFUNCTION("""COMPUTED_VALUE"""),"SELECCIONADA")</f>
        <v>SELECCIONADA</v>
      </c>
      <c r="S282" s="37">
        <f>IFERROR(__xludf.DUMMYFUNCTION("""COMPUTED_VALUE"""),42979.0)</f>
        <v>42979</v>
      </c>
      <c r="T282" s="34"/>
      <c r="U282" t="str">
        <f>IFERROR(__xludf.DUMMYFUNCTION("""COMPUTED_VALUE"""),"KARLA TORO FLORES")</f>
        <v>KARLA TORO FLORES</v>
      </c>
      <c r="V282" t="str">
        <f>IFERROR(__xludf.DUMMYFUNCTION("""COMPUTED_VALUE"""),"17803186-4")</f>
        <v>17803186-4</v>
      </c>
      <c r="W282" t="str">
        <f>IFERROR(__xludf.DUMMYFUNCTION("""COMPUTED_VALUE"""),"SI")</f>
        <v>SI</v>
      </c>
      <c r="X282" t="str">
        <f>IFERROR(__xludf.DUMMYFUNCTION("""COMPUTED_VALUE"""),"CAPACIDAD DE PLANIFICACION Y ORGANIZACION")</f>
        <v>CAPACIDAD DE PLANIFICACION Y ORGANIZACION</v>
      </c>
      <c r="AA282" s="38">
        <f>IFERROR(__xludf.DUMMYFUNCTION("""COMPUTED_VALUE"""),42941.0)</f>
        <v>42941</v>
      </c>
      <c r="AB282" s="38">
        <f>IFERROR(__xludf.DUMMYFUNCTION("""COMPUTED_VALUE"""),42948.0)</f>
        <v>42948</v>
      </c>
      <c r="AF282" s="39"/>
      <c r="AG282" s="39"/>
      <c r="AH282" s="34" t="str">
        <f>IFERROR(__xludf.DUMMYFUNCTION("""COMPUTED_VALUE"""),"PROCESO DE SELECCIÓN")</f>
        <v>PROCESO DE SELECCIÓN</v>
      </c>
      <c r="AI282" s="34" t="str">
        <f>IFERROR(__xludf.DUMMYFUNCTION("""COMPUTED_VALUE"""),"BUSCAR")</f>
        <v>BUSCAR</v>
      </c>
      <c r="AJ282" s="34"/>
      <c r="AK282" s="34"/>
      <c r="AL282">
        <f>IFERROR(__xludf.DUMMYFUNCTION("""COMPUTED_VALUE"""),24.0)</f>
        <v>24</v>
      </c>
      <c r="AM282">
        <f>IFERROR(__xludf.DUMMYFUNCTION("""COMPUTED_VALUE"""),2017.0)</f>
        <v>2017</v>
      </c>
      <c r="AN282" t="str">
        <f t="shared" si="1"/>
        <v>17803186-4</v>
      </c>
    </row>
    <row r="283">
      <c r="A283" s="33">
        <f>IFERROR(__xludf.DUMMYFUNCTION("""COMPUTED_VALUE"""),1.3265762E7)</f>
        <v>13265762</v>
      </c>
      <c r="B283" s="33">
        <f>IFERROR(__xludf.DUMMYFUNCTION("""COMPUTED_VALUE"""),58.0)</f>
        <v>58</v>
      </c>
      <c r="C283" s="33"/>
      <c r="D283" s="34" t="str">
        <f>IFERROR(__xludf.DUMMYFUNCTION("""COMPUTED_VALUE"""),"INGRESAR CENTRO DE COSTO A LA DERECHA")</f>
        <v>INGRESAR CENTRO DE COSTO A LA DERECHA</v>
      </c>
      <c r="E283" s="34" t="str">
        <f>IFERROR(__xludf.DUMMYFUNCTION("""COMPUTED_VALUE"""),"DPTO. DE FINANZAS Y TESORERIA")</f>
        <v>DPTO. DE FINANZAS Y TESORERIA</v>
      </c>
      <c r="F283" s="34" t="str">
        <f>IFERROR(__xludf.DUMMYFUNCTION("""COMPUTED_VALUE"""),"Administrativo(a) Contable")</f>
        <v>Administrativo(a) Contable</v>
      </c>
      <c r="G283" s="33" t="str">
        <f>IFERROR(__xludf.DUMMYFUNCTION("""COMPUTED_VALUE"""),"ADMINISTRATIVO CONTABLE ( EJECUTIVO ATENCION RECAUDACION MATRICULAS)")</f>
        <v>ADMINISTRATIVO CONTABLE ( EJECUTIVO ATENCION RECAUDACION MATRICULAS)</v>
      </c>
      <c r="H283">
        <f>IFERROR(__xludf.DUMMYFUNCTION("""COMPUTED_VALUE"""),15.0)</f>
        <v>15</v>
      </c>
      <c r="I283" s="34" t="str">
        <f>IFERROR(__xludf.DUMMYFUNCTION("""COMPUTED_VALUE"""),"Jornada Completa")</f>
        <v>Jornada Completa</v>
      </c>
      <c r="J283" s="33" t="str">
        <f>IFERROR(__xludf.DUMMYFUNCTION("""COMPUTED_VALUE"""),"A CONTRATA")</f>
        <v>A CONTRATA</v>
      </c>
      <c r="K283" s="33" t="str">
        <f>IFERROR(__xludf.DUMMYFUNCTION("""COMPUTED_VALUE"""),"ADMINISTRATIVO")</f>
        <v>ADMINISTRATIVO</v>
      </c>
      <c r="L283" s="34" t="str">
        <f>IFERROR(__xludf.DUMMYFUNCTION("""COMPUTED_VALUE"""),"INTERNO")</f>
        <v>INTERNO</v>
      </c>
      <c r="M283" s="34">
        <f>IFERROR(__xludf.DUMMYFUNCTION("""COMPUTED_VALUE"""),0.0)</f>
        <v>0</v>
      </c>
      <c r="N283" s="34" t="str">
        <f>IFERROR(__xludf.DUMMYFUNCTION("""COMPUTED_VALUE"""),"EXTERNO")</f>
        <v>EXTERNO</v>
      </c>
      <c r="O283">
        <f>IFERROR(__xludf.DUMMYFUNCTION("""COMPUTED_VALUE"""),6.0)</f>
        <v>6</v>
      </c>
      <c r="P283">
        <f>IFERROR(__xludf.DUMMYFUNCTION("""COMPUTED_VALUE"""),1.0)</f>
        <v>1</v>
      </c>
      <c r="Q283" s="35">
        <f>IFERROR(__xludf.DUMMYFUNCTION("""COMPUTED_VALUE"""),1.0)</f>
        <v>1</v>
      </c>
      <c r="R283" s="36" t="str">
        <f>IFERROR(__xludf.DUMMYFUNCTION("""COMPUTED_VALUE"""),"SELECCIONADA")</f>
        <v>SELECCIONADA</v>
      </c>
      <c r="S283" s="37">
        <f>IFERROR(__xludf.DUMMYFUNCTION("""COMPUTED_VALUE"""),42982.0)</f>
        <v>42982</v>
      </c>
      <c r="T283" s="34"/>
      <c r="U283" t="str">
        <f>IFERROR(__xludf.DUMMYFUNCTION("""COMPUTED_VALUE"""),"GUISELLA BEECHER PARRA")</f>
        <v>GUISELLA BEECHER PARRA</v>
      </c>
      <c r="V283" t="str">
        <f>IFERROR(__xludf.DUMMYFUNCTION("""COMPUTED_VALUE"""),"13265762-9")</f>
        <v>13265762-9</v>
      </c>
      <c r="W283" t="str">
        <f>IFERROR(__xludf.DUMMYFUNCTION("""COMPUTED_VALUE"""),"SI")</f>
        <v>SI</v>
      </c>
      <c r="X283" t="str">
        <f>IFERROR(__xludf.DUMMYFUNCTION("""COMPUTED_VALUE"""),"TRABAJO EN EQUIPO")</f>
        <v>TRABAJO EN EQUIPO</v>
      </c>
      <c r="Y283" t="str">
        <f>IFERROR(__xludf.DUMMYFUNCTION("""COMPUTED_VALUE"""),"PREOCUPACION POR EL ORDEN Y LA CLARIDAD")</f>
        <v>PREOCUPACION POR EL ORDEN Y LA CLARIDAD</v>
      </c>
      <c r="AA283" s="38">
        <f>IFERROR(__xludf.DUMMYFUNCTION("""COMPUTED_VALUE"""),42941.0)</f>
        <v>42941</v>
      </c>
      <c r="AB283" s="38">
        <f>IFERROR(__xludf.DUMMYFUNCTION("""COMPUTED_VALUE"""),42948.0)</f>
        <v>42948</v>
      </c>
      <c r="AF283" s="39"/>
      <c r="AG283" s="39"/>
      <c r="AH283" s="34" t="str">
        <f>IFERROR(__xludf.DUMMYFUNCTION("""COMPUTED_VALUE"""),"PROCESO DE SELECCIÓN")</f>
        <v>PROCESO DE SELECCIÓN</v>
      </c>
      <c r="AI283" s="34" t="str">
        <f>IFERROR(__xludf.DUMMYFUNCTION("""COMPUTED_VALUE"""),"BUSCAR")</f>
        <v>BUSCAR</v>
      </c>
      <c r="AJ283" s="34"/>
      <c r="AK283" s="34"/>
      <c r="AL283">
        <f>IFERROR(__xludf.DUMMYFUNCTION("""COMPUTED_VALUE"""),25.0)</f>
        <v>25</v>
      </c>
      <c r="AM283">
        <f>IFERROR(__xludf.DUMMYFUNCTION("""COMPUTED_VALUE"""),2017.0)</f>
        <v>2017</v>
      </c>
      <c r="AN283" t="str">
        <f t="shared" si="1"/>
        <v>13265762-9</v>
      </c>
    </row>
    <row r="284">
      <c r="A284" s="33">
        <f>IFERROR(__xludf.DUMMYFUNCTION("""COMPUTED_VALUE"""),1.7050761E7)</f>
        <v>17050761</v>
      </c>
      <c r="B284" s="33">
        <f>IFERROR(__xludf.DUMMYFUNCTION("""COMPUTED_VALUE"""),59.0)</f>
        <v>59</v>
      </c>
      <c r="C284" s="33"/>
      <c r="D284" s="34" t="str">
        <f>IFERROR(__xludf.DUMMYFUNCTION("""COMPUTED_VALUE"""),"INGRESAR CENTRO DE COSTO A LA DERECHA")</f>
        <v>INGRESAR CENTRO DE COSTO A LA DERECHA</v>
      </c>
      <c r="E284" s="34" t="str">
        <f>IFERROR(__xludf.DUMMYFUNCTION("""COMPUTED_VALUE"""),"DPTO. DE INGENIERIA ELECTRICA")</f>
        <v>DPTO. DE INGENIERIA ELECTRICA</v>
      </c>
      <c r="F284" s="34" t="str">
        <f>IFERROR(__xludf.DUMMYFUNCTION("""COMPUTED_VALUE"""),"Analista de Apoyo a la Docencia")</f>
        <v>Analista de Apoyo a la Docencia</v>
      </c>
      <c r="G284" s="33" t="str">
        <f>IFERROR(__xludf.DUMMYFUNCTION("""COMPUTED_VALUE"""),"ANALISTA DE APOYO A LA DOCENCIA")</f>
        <v>ANALISTA DE APOYO A LA DOCENCIA</v>
      </c>
      <c r="H284">
        <f>IFERROR(__xludf.DUMMYFUNCTION("""COMPUTED_VALUE"""),13.0)</f>
        <v>13</v>
      </c>
      <c r="I284" s="34" t="str">
        <f>IFERROR(__xludf.DUMMYFUNCTION("""COMPUTED_VALUE"""),"Jornada Completa")</f>
        <v>Jornada Completa</v>
      </c>
      <c r="J284" s="33" t="str">
        <f>IFERROR(__xludf.DUMMYFUNCTION("""COMPUTED_VALUE"""),"A CONTRATA")</f>
        <v>A CONTRATA</v>
      </c>
      <c r="K284" s="33" t="str">
        <f>IFERROR(__xludf.DUMMYFUNCTION("""COMPUTED_VALUE"""),"PROFESIONAL")</f>
        <v>PROFESIONAL</v>
      </c>
      <c r="L284" s="34" t="str">
        <f>IFERROR(__xludf.DUMMYFUNCTION("""COMPUTED_VALUE"""),"INTERNO")</f>
        <v>INTERNO</v>
      </c>
      <c r="M284" s="34">
        <f>IFERROR(__xludf.DUMMYFUNCTION("""COMPUTED_VALUE"""),7.0)</f>
        <v>7</v>
      </c>
      <c r="N284" s="34" t="str">
        <f>IFERROR(__xludf.DUMMYFUNCTION("""COMPUTED_VALUE"""),"EXTERNO")</f>
        <v>EXTERNO</v>
      </c>
      <c r="O284">
        <f>IFERROR(__xludf.DUMMYFUNCTION("""COMPUTED_VALUE"""),36.0)</f>
        <v>36</v>
      </c>
      <c r="P284">
        <f>IFERROR(__xludf.DUMMYFUNCTION("""COMPUTED_VALUE"""),1.0)</f>
        <v>1</v>
      </c>
      <c r="Q284" s="35">
        <f>IFERROR(__xludf.DUMMYFUNCTION("""COMPUTED_VALUE"""),1.0)</f>
        <v>1</v>
      </c>
      <c r="R284" s="36" t="str">
        <f>IFERROR(__xludf.DUMMYFUNCTION("""COMPUTED_VALUE"""),"SELECCIONADO")</f>
        <v>SELECCIONADO</v>
      </c>
      <c r="S284" s="37">
        <f>IFERROR(__xludf.DUMMYFUNCTION("""COMPUTED_VALUE"""),42979.0)</f>
        <v>42979</v>
      </c>
      <c r="T284" s="34"/>
      <c r="U284" t="str">
        <f>IFERROR(__xludf.DUMMYFUNCTION("""COMPUTED_VALUE"""),"SEBASTIAN SALAMANCA ARANDA")</f>
        <v>SEBASTIAN SALAMANCA ARANDA</v>
      </c>
      <c r="V284" t="str">
        <f>IFERROR(__xludf.DUMMYFUNCTION("""COMPUTED_VALUE"""),"17050761-4")</f>
        <v>17050761-4</v>
      </c>
      <c r="W284" t="str">
        <f>IFERROR(__xludf.DUMMYFUNCTION("""COMPUTED_VALUE"""),"NO")</f>
        <v>NO</v>
      </c>
      <c r="AA284" s="38">
        <f>IFERROR(__xludf.DUMMYFUNCTION("""COMPUTED_VALUE"""),42910.0)</f>
        <v>42910</v>
      </c>
      <c r="AB284" s="38">
        <f>IFERROR(__xludf.DUMMYFUNCTION("""COMPUTED_VALUE"""),42947.0)</f>
        <v>42947</v>
      </c>
      <c r="AF284" s="39"/>
      <c r="AG284" s="39"/>
      <c r="AH284" s="34" t="str">
        <f>IFERROR(__xludf.DUMMYFUNCTION("""COMPUTED_VALUE"""),"PROCESO DE SELECCIÓN")</f>
        <v>PROCESO DE SELECCIÓN</v>
      </c>
      <c r="AI284" s="34" t="str">
        <f>IFERROR(__xludf.DUMMYFUNCTION("""COMPUTED_VALUE"""),"BUSCAR")</f>
        <v>BUSCAR</v>
      </c>
      <c r="AJ284" s="34"/>
      <c r="AK284" s="34"/>
      <c r="AL284">
        <f>IFERROR(__xludf.DUMMYFUNCTION("""COMPUTED_VALUE"""),25.0)</f>
        <v>25</v>
      </c>
      <c r="AM284">
        <f>IFERROR(__xludf.DUMMYFUNCTION("""COMPUTED_VALUE"""),2017.0)</f>
        <v>2017</v>
      </c>
      <c r="AN284" t="str">
        <f t="shared" si="1"/>
        <v>17050761-4</v>
      </c>
    </row>
    <row r="285">
      <c r="A285" s="33">
        <f>IFERROR(__xludf.DUMMYFUNCTION("""COMPUTED_VALUE"""),1.6588861E7)</f>
        <v>16588861</v>
      </c>
      <c r="B285" s="33">
        <f>IFERROR(__xludf.DUMMYFUNCTION("""COMPUTED_VALUE"""),60.0)</f>
        <v>60</v>
      </c>
      <c r="C285" s="33"/>
      <c r="D285" s="34" t="str">
        <f>IFERROR(__xludf.DUMMYFUNCTION("""COMPUTED_VALUE"""),"INGRESAR CENTRO DE COSTO A LA DERECHA")</f>
        <v>INGRESAR CENTRO DE COSTO A LA DERECHA</v>
      </c>
      <c r="E285" s="34" t="str">
        <f>IFERROR(__xludf.DUMMYFUNCTION("""COMPUTED_VALUE"""),"DIR. DE ASISTENCIA JURIDICA")</f>
        <v>DIR. DE ASISTENCIA JURIDICA</v>
      </c>
      <c r="F285" s="34" t="str">
        <f>IFERROR(__xludf.DUMMYFUNCTION("""COMPUTED_VALUE"""),"Abogado(a) Dirección Juridica")</f>
        <v>Abogado(a) Dirección Juridica</v>
      </c>
      <c r="G285" s="33" t="str">
        <f>IFERROR(__xludf.DUMMYFUNCTION("""COMPUTED_VALUE"""),"ABOGADO")</f>
        <v>ABOGADO</v>
      </c>
      <c r="H285">
        <f>IFERROR(__xludf.DUMMYFUNCTION("""COMPUTED_VALUE"""),6.0)</f>
        <v>6</v>
      </c>
      <c r="I285" s="34" t="str">
        <f>IFERROR(__xludf.DUMMYFUNCTION("""COMPUTED_VALUE"""),"Jornada Completa")</f>
        <v>Jornada Completa</v>
      </c>
      <c r="J285" s="33" t="str">
        <f>IFERROR(__xludf.DUMMYFUNCTION("""COMPUTED_VALUE"""),"A CONTRATA")</f>
        <v>A CONTRATA</v>
      </c>
      <c r="K285" s="33" t="str">
        <f>IFERROR(__xludf.DUMMYFUNCTION("""COMPUTED_VALUE"""),"PROFESIONAL")</f>
        <v>PROFESIONAL</v>
      </c>
      <c r="L285" s="34" t="str">
        <f>IFERROR(__xludf.DUMMYFUNCTION("""COMPUTED_VALUE"""),"NO")</f>
        <v>NO</v>
      </c>
      <c r="M285" s="34">
        <f>IFERROR(__xludf.DUMMYFUNCTION("""COMPUTED_VALUE"""),0.0)</f>
        <v>0</v>
      </c>
      <c r="N285" s="34" t="str">
        <f>IFERROR(__xludf.DUMMYFUNCTION("""COMPUTED_VALUE"""),"EXTERNO")</f>
        <v>EXTERNO</v>
      </c>
      <c r="O285">
        <f>IFERROR(__xludf.DUMMYFUNCTION("""COMPUTED_VALUE"""),87.0)</f>
        <v>87</v>
      </c>
      <c r="P285">
        <f>IFERROR(__xludf.DUMMYFUNCTION("""COMPUTED_VALUE"""),6.0)</f>
        <v>6</v>
      </c>
      <c r="Q285" s="35">
        <f>IFERROR(__xludf.DUMMYFUNCTION("""COMPUTED_VALUE"""),1.0)</f>
        <v>1</v>
      </c>
      <c r="R285" s="36" t="str">
        <f>IFERROR(__xludf.DUMMYFUNCTION("""COMPUTED_VALUE"""),"SELECCIONADA")</f>
        <v>SELECCIONADA</v>
      </c>
      <c r="S285" s="37">
        <f>IFERROR(__xludf.DUMMYFUNCTION("""COMPUTED_VALUE"""),43010.0)</f>
        <v>43010</v>
      </c>
      <c r="T285" s="34"/>
      <c r="U285" t="str">
        <f>IFERROR(__xludf.DUMMYFUNCTION("""COMPUTED_VALUE"""),"ROSA MARIN TOLEDO")</f>
        <v>ROSA MARIN TOLEDO</v>
      </c>
      <c r="V285" t="str">
        <f>IFERROR(__xludf.DUMMYFUNCTION("""COMPUTED_VALUE"""),"16588861-8")</f>
        <v>16588861-8</v>
      </c>
      <c r="W285" t="str">
        <f>IFERROR(__xludf.DUMMYFUNCTION("""COMPUTED_VALUE"""),"SI")</f>
        <v>SI</v>
      </c>
      <c r="X285" t="str">
        <f>IFERROR(__xludf.DUMMYFUNCTION("""COMPUTED_VALUE"""),"PENSAMIENTO ANALITICO")</f>
        <v>PENSAMIENTO ANALITICO</v>
      </c>
      <c r="Y285" t="str">
        <f>IFERROR(__xludf.DUMMYFUNCTION("""COMPUTED_VALUE"""),"ORIENTACION A LOS RESULTADOS")</f>
        <v>ORIENTACION A LOS RESULTADOS</v>
      </c>
      <c r="AA285" s="38">
        <f>IFERROR(__xludf.DUMMYFUNCTION("""COMPUTED_VALUE"""),42937.0)</f>
        <v>42937</v>
      </c>
      <c r="AB285" s="38">
        <f>IFERROR(__xludf.DUMMYFUNCTION("""COMPUTED_VALUE"""),42978.0)</f>
        <v>42978</v>
      </c>
      <c r="AF285" s="39"/>
      <c r="AG285" s="39"/>
      <c r="AH285" s="34" t="str">
        <f>IFERROR(__xludf.DUMMYFUNCTION("""COMPUTED_VALUE"""),"PROCESO DE SELECCIÓN")</f>
        <v>PROCESO DE SELECCIÓN</v>
      </c>
      <c r="AI285" s="34" t="str">
        <f>IFERROR(__xludf.DUMMYFUNCTION("""COMPUTED_VALUE"""),"MARIA MALDONADO IBACETA")</f>
        <v>MARIA MALDONADO IBACETA</v>
      </c>
      <c r="AJ285" s="34"/>
      <c r="AK285" s="34"/>
      <c r="AL285">
        <f>IFERROR(__xludf.DUMMYFUNCTION("""COMPUTED_VALUE"""),23.0)</f>
        <v>23</v>
      </c>
      <c r="AM285">
        <f>IFERROR(__xludf.DUMMYFUNCTION("""COMPUTED_VALUE"""),2017.0)</f>
        <v>2017</v>
      </c>
      <c r="AN285" t="str">
        <f t="shared" si="1"/>
        <v>16588861-8</v>
      </c>
    </row>
    <row r="286">
      <c r="A286" s="33">
        <f>IFERROR(__xludf.DUMMYFUNCTION("""COMPUTED_VALUE"""),1.6808508E7)</f>
        <v>16808508</v>
      </c>
      <c r="B286" s="33">
        <f>IFERROR(__xludf.DUMMYFUNCTION("""COMPUTED_VALUE"""),61.0)</f>
        <v>61</v>
      </c>
      <c r="C286" s="33"/>
      <c r="D286" s="34" t="str">
        <f>IFERROR(__xludf.DUMMYFUNCTION("""COMPUTED_VALUE"""),"INGRESAR CENTRO DE COSTO A LA DERECHA")</f>
        <v>INGRESAR CENTRO DE COSTO A LA DERECHA</v>
      </c>
      <c r="E286" s="34" t="str">
        <f>IFERROR(__xludf.DUMMYFUNCTION("""COMPUTED_VALUE"""),"DIR. DE ASISTENCIA JURIDICA")</f>
        <v>DIR. DE ASISTENCIA JURIDICA</v>
      </c>
      <c r="F286" s="34" t="str">
        <f>IFERROR(__xludf.DUMMYFUNCTION("""COMPUTED_VALUE"""),"Abogado(a) Control de Contratos")</f>
        <v>Abogado(a) Control de Contratos</v>
      </c>
      <c r="G286" s="33" t="str">
        <f>IFERROR(__xludf.DUMMYFUNCTION("""COMPUTED_VALUE"""),"ABOGADO")</f>
        <v>ABOGADO</v>
      </c>
      <c r="H286">
        <f>IFERROR(__xludf.DUMMYFUNCTION("""COMPUTED_VALUE"""),6.0)</f>
        <v>6</v>
      </c>
      <c r="I286" s="34" t="str">
        <f>IFERROR(__xludf.DUMMYFUNCTION("""COMPUTED_VALUE"""),"Jornada Completa")</f>
        <v>Jornada Completa</v>
      </c>
      <c r="J286" s="33" t="str">
        <f>IFERROR(__xludf.DUMMYFUNCTION("""COMPUTED_VALUE"""),"A CONTRATA")</f>
        <v>A CONTRATA</v>
      </c>
      <c r="K286" s="33" t="str">
        <f>IFERROR(__xludf.DUMMYFUNCTION("""COMPUTED_VALUE"""),"PROFESIONAL")</f>
        <v>PROFESIONAL</v>
      </c>
      <c r="L286" s="34" t="str">
        <f>IFERROR(__xludf.DUMMYFUNCTION("""COMPUTED_VALUE"""),"NO")</f>
        <v>NO</v>
      </c>
      <c r="M286" s="34">
        <f>IFERROR(__xludf.DUMMYFUNCTION("""COMPUTED_VALUE"""),0.0)</f>
        <v>0</v>
      </c>
      <c r="N286" s="34" t="str">
        <f>IFERROR(__xludf.DUMMYFUNCTION("""COMPUTED_VALUE"""),"EXTERNO")</f>
        <v>EXTERNO</v>
      </c>
      <c r="O286">
        <f>IFERROR(__xludf.DUMMYFUNCTION("""COMPUTED_VALUE"""),87.0)</f>
        <v>87</v>
      </c>
      <c r="P286">
        <f>IFERROR(__xludf.DUMMYFUNCTION("""COMPUTED_VALUE"""),6.0)</f>
        <v>6</v>
      </c>
      <c r="Q286" s="35">
        <f>IFERROR(__xludf.DUMMYFUNCTION("""COMPUTED_VALUE"""),1.0)</f>
        <v>1</v>
      </c>
      <c r="R286" s="36" t="str">
        <f>IFERROR(__xludf.DUMMYFUNCTION("""COMPUTED_VALUE"""),"SELECCIONADA")</f>
        <v>SELECCIONADA</v>
      </c>
      <c r="S286" s="37">
        <f>IFERROR(__xludf.DUMMYFUNCTION("""COMPUTED_VALUE"""),43010.0)</f>
        <v>43010</v>
      </c>
      <c r="T286" s="34"/>
      <c r="U286" t="str">
        <f>IFERROR(__xludf.DUMMYFUNCTION("""COMPUTED_VALUE"""),"MELISSA OSSES VELASQUEZ")</f>
        <v>MELISSA OSSES VELASQUEZ</v>
      </c>
      <c r="V286" t="str">
        <f>IFERROR(__xludf.DUMMYFUNCTION("""COMPUTED_VALUE"""),"16808508-7")</f>
        <v>16808508-7</v>
      </c>
      <c r="W286" t="str">
        <f>IFERROR(__xludf.DUMMYFUNCTION("""COMPUTED_VALUE"""),"NO")</f>
        <v>NO</v>
      </c>
      <c r="AA286" s="38">
        <f>IFERROR(__xludf.DUMMYFUNCTION("""COMPUTED_VALUE"""),42937.0)</f>
        <v>42937</v>
      </c>
      <c r="AB286" s="38">
        <f>IFERROR(__xludf.DUMMYFUNCTION("""COMPUTED_VALUE"""),42978.0)</f>
        <v>42978</v>
      </c>
      <c r="AF286" s="39"/>
      <c r="AG286" s="39"/>
      <c r="AH286" s="34" t="str">
        <f>IFERROR(__xludf.DUMMYFUNCTION("""COMPUTED_VALUE"""),"PROCESO DE SELECCIÓN")</f>
        <v>PROCESO DE SELECCIÓN</v>
      </c>
      <c r="AI286" s="34" t="str">
        <f>IFERROR(__xludf.DUMMYFUNCTION("""COMPUTED_VALUE"""),"AUTORIZADO 2017")</f>
        <v>AUTORIZADO 2017</v>
      </c>
      <c r="AJ286" s="34"/>
      <c r="AK286" s="34"/>
      <c r="AL286">
        <f>IFERROR(__xludf.DUMMYFUNCTION("""COMPUTED_VALUE"""),23.0)</f>
        <v>23</v>
      </c>
      <c r="AM286">
        <f>IFERROR(__xludf.DUMMYFUNCTION("""COMPUTED_VALUE"""),2017.0)</f>
        <v>2017</v>
      </c>
      <c r="AN286" t="str">
        <f t="shared" si="1"/>
        <v>16808508-7</v>
      </c>
    </row>
    <row r="287">
      <c r="A287" s="33">
        <f>IFERROR(__xludf.DUMMYFUNCTION("""COMPUTED_VALUE"""),1.6277161E7)</f>
        <v>16277161</v>
      </c>
      <c r="B287" s="33">
        <f>IFERROR(__xludf.DUMMYFUNCTION("""COMPUTED_VALUE"""),62.0)</f>
        <v>62</v>
      </c>
      <c r="C287" s="33"/>
      <c r="D287" s="34" t="str">
        <f>IFERROR(__xludf.DUMMYFUNCTION("""COMPUTED_VALUE"""),"INGRESAR CENTRO DE COSTO A LA DERECHA")</f>
        <v>INGRESAR CENTRO DE COSTO A LA DERECHA</v>
      </c>
      <c r="E287" s="34" t="str">
        <f>IFERROR(__xludf.DUMMYFUNCTION("""COMPUTED_VALUE"""),"DIR. DE ASISTENCIA JURIDICA")</f>
        <v>DIR. DE ASISTENCIA JURIDICA</v>
      </c>
      <c r="F287" s="34" t="str">
        <f>IFERROR(__xludf.DUMMYFUNCTION("""COMPUTED_VALUE"""),"Abogado(a) Dirección Juridica")</f>
        <v>Abogado(a) Dirección Juridica</v>
      </c>
      <c r="G287" s="33" t="str">
        <f>IFERROR(__xludf.DUMMYFUNCTION("""COMPUTED_VALUE"""),"ABOGADO")</f>
        <v>ABOGADO</v>
      </c>
      <c r="H287">
        <f>IFERROR(__xludf.DUMMYFUNCTION("""COMPUTED_VALUE"""),6.0)</f>
        <v>6</v>
      </c>
      <c r="I287" s="34" t="str">
        <f>IFERROR(__xludf.DUMMYFUNCTION("""COMPUTED_VALUE"""),"Jornada Completa")</f>
        <v>Jornada Completa</v>
      </c>
      <c r="J287" s="33" t="str">
        <f>IFERROR(__xludf.DUMMYFUNCTION("""COMPUTED_VALUE"""),"A CONTRATA")</f>
        <v>A CONTRATA</v>
      </c>
      <c r="K287" s="33" t="str">
        <f>IFERROR(__xludf.DUMMYFUNCTION("""COMPUTED_VALUE"""),"PROFESIONAL")</f>
        <v>PROFESIONAL</v>
      </c>
      <c r="L287" s="34" t="str">
        <f>IFERROR(__xludf.DUMMYFUNCTION("""COMPUTED_VALUE"""),"NO")</f>
        <v>NO</v>
      </c>
      <c r="M287" s="34">
        <f>IFERROR(__xludf.DUMMYFUNCTION("""COMPUTED_VALUE"""),0.0)</f>
        <v>0</v>
      </c>
      <c r="N287" s="34" t="str">
        <f>IFERROR(__xludf.DUMMYFUNCTION("""COMPUTED_VALUE"""),"EXTERNO")</f>
        <v>EXTERNO</v>
      </c>
      <c r="O287">
        <f>IFERROR(__xludf.DUMMYFUNCTION("""COMPUTED_VALUE"""),87.0)</f>
        <v>87</v>
      </c>
      <c r="P287">
        <f>IFERROR(__xludf.DUMMYFUNCTION("""COMPUTED_VALUE"""),6.0)</f>
        <v>6</v>
      </c>
      <c r="Q287" s="35">
        <f>IFERROR(__xludf.DUMMYFUNCTION("""COMPUTED_VALUE"""),1.0)</f>
        <v>1</v>
      </c>
      <c r="R287" s="36" t="str">
        <f>IFERROR(__xludf.DUMMYFUNCTION("""COMPUTED_VALUE"""),"SELECCIONADO")</f>
        <v>SELECCIONADO</v>
      </c>
      <c r="S287" s="37">
        <f>IFERROR(__xludf.DUMMYFUNCTION("""COMPUTED_VALUE"""),43010.0)</f>
        <v>43010</v>
      </c>
      <c r="T287" s="34"/>
      <c r="U287" t="str">
        <f>IFERROR(__xludf.DUMMYFUNCTION("""COMPUTED_VALUE"""),"JOSE GUTIERREZ FERNANDEZ")</f>
        <v>JOSE GUTIERREZ FERNANDEZ</v>
      </c>
      <c r="V287" t="str">
        <f>IFERROR(__xludf.DUMMYFUNCTION("""COMPUTED_VALUE"""),"16277161-2")</f>
        <v>16277161-2</v>
      </c>
      <c r="W287" t="str">
        <f>IFERROR(__xludf.DUMMYFUNCTION("""COMPUTED_VALUE"""),"NO")</f>
        <v>NO</v>
      </c>
      <c r="AA287" s="38">
        <f>IFERROR(__xludf.DUMMYFUNCTION("""COMPUTED_VALUE"""),42937.0)</f>
        <v>42937</v>
      </c>
      <c r="AB287" s="38">
        <f>IFERROR(__xludf.DUMMYFUNCTION("""COMPUTED_VALUE"""),42978.0)</f>
        <v>42978</v>
      </c>
      <c r="AF287" s="39"/>
      <c r="AG287" s="39"/>
      <c r="AH287" s="34" t="str">
        <f>IFERROR(__xludf.DUMMYFUNCTION("""COMPUTED_VALUE"""),"PROCESO DE SELECCIÓN")</f>
        <v>PROCESO DE SELECCIÓN</v>
      </c>
      <c r="AI287" s="34" t="str">
        <f>IFERROR(__xludf.DUMMYFUNCTION("""COMPUTED_VALUE"""),"AUTORIZADO 2017")</f>
        <v>AUTORIZADO 2017</v>
      </c>
      <c r="AJ287" s="34"/>
      <c r="AK287" s="34"/>
      <c r="AL287">
        <f>IFERROR(__xludf.DUMMYFUNCTION("""COMPUTED_VALUE"""),23.0)</f>
        <v>23</v>
      </c>
      <c r="AM287">
        <f>IFERROR(__xludf.DUMMYFUNCTION("""COMPUTED_VALUE"""),2017.0)</f>
        <v>2017</v>
      </c>
      <c r="AN287" t="str">
        <f t="shared" si="1"/>
        <v>16277161-2</v>
      </c>
    </row>
    <row r="288">
      <c r="A288" s="33">
        <f>IFERROR(__xludf.DUMMYFUNCTION("""COMPUTED_VALUE"""),1.6428238E7)</f>
        <v>16428238</v>
      </c>
      <c r="B288" s="33">
        <f>IFERROR(__xludf.DUMMYFUNCTION("""COMPUTED_VALUE"""),63.0)</f>
        <v>63</v>
      </c>
      <c r="C288" s="33"/>
      <c r="D288" s="34" t="str">
        <f>IFERROR(__xludf.DUMMYFUNCTION("""COMPUTED_VALUE"""),"INGRESAR CENTRO DE COSTO A LA DERECHA")</f>
        <v>INGRESAR CENTRO DE COSTO A LA DERECHA</v>
      </c>
      <c r="E288" s="34" t="str">
        <f>IFERROR(__xludf.DUMMYFUNCTION("""COMPUTED_VALUE"""),"DIR. DE ASISTENCIA JURIDICA")</f>
        <v>DIR. DE ASISTENCIA JURIDICA</v>
      </c>
      <c r="F288" s="34" t="str">
        <f>IFERROR(__xludf.DUMMYFUNCTION("""COMPUTED_VALUE"""),"Abogado(a) Dirección Juridica")</f>
        <v>Abogado(a) Dirección Juridica</v>
      </c>
      <c r="G288" s="33" t="str">
        <f>IFERROR(__xludf.DUMMYFUNCTION("""COMPUTED_VALUE"""),"ABOGADO")</f>
        <v>ABOGADO</v>
      </c>
      <c r="H288">
        <f>IFERROR(__xludf.DUMMYFUNCTION("""COMPUTED_VALUE"""),6.0)</f>
        <v>6</v>
      </c>
      <c r="I288" s="34" t="str">
        <f>IFERROR(__xludf.DUMMYFUNCTION("""COMPUTED_VALUE"""),"Jornada Completa")</f>
        <v>Jornada Completa</v>
      </c>
      <c r="J288" s="33" t="str">
        <f>IFERROR(__xludf.DUMMYFUNCTION("""COMPUTED_VALUE"""),"A CONTRATA")</f>
        <v>A CONTRATA</v>
      </c>
      <c r="K288" s="33" t="str">
        <f>IFERROR(__xludf.DUMMYFUNCTION("""COMPUTED_VALUE"""),"PROFESIONAL")</f>
        <v>PROFESIONAL</v>
      </c>
      <c r="L288" s="34" t="str">
        <f>IFERROR(__xludf.DUMMYFUNCTION("""COMPUTED_VALUE"""),"NO")</f>
        <v>NO</v>
      </c>
      <c r="M288" s="34">
        <f>IFERROR(__xludf.DUMMYFUNCTION("""COMPUTED_VALUE"""),0.0)</f>
        <v>0</v>
      </c>
      <c r="N288" s="34" t="str">
        <f>IFERROR(__xludf.DUMMYFUNCTION("""COMPUTED_VALUE"""),"EXTERNO")</f>
        <v>EXTERNO</v>
      </c>
      <c r="O288">
        <f>IFERROR(__xludf.DUMMYFUNCTION("""COMPUTED_VALUE"""),87.0)</f>
        <v>87</v>
      </c>
      <c r="P288">
        <f>IFERROR(__xludf.DUMMYFUNCTION("""COMPUTED_VALUE"""),6.0)</f>
        <v>6</v>
      </c>
      <c r="Q288" s="35">
        <f>IFERROR(__xludf.DUMMYFUNCTION("""COMPUTED_VALUE"""),1.0)</f>
        <v>1</v>
      </c>
      <c r="R288" s="36" t="str">
        <f>IFERROR(__xludf.DUMMYFUNCTION("""COMPUTED_VALUE"""),"SELECCIONADA")</f>
        <v>SELECCIONADA</v>
      </c>
      <c r="S288" s="37">
        <f>IFERROR(__xludf.DUMMYFUNCTION("""COMPUTED_VALUE"""),42983.0)</f>
        <v>42983</v>
      </c>
      <c r="T288" s="34"/>
      <c r="U288" t="str">
        <f>IFERROR(__xludf.DUMMYFUNCTION("""COMPUTED_VALUE"""),"ELISA ARAUS SALAZAR")</f>
        <v>ELISA ARAUS SALAZAR</v>
      </c>
      <c r="V288" t="str">
        <f>IFERROR(__xludf.DUMMYFUNCTION("""COMPUTED_VALUE"""),"16428238-4")</f>
        <v>16428238-4</v>
      </c>
      <c r="W288" t="str">
        <f>IFERROR(__xludf.DUMMYFUNCTION("""COMPUTED_VALUE"""),"NO")</f>
        <v>NO</v>
      </c>
      <c r="AA288" s="38">
        <f>IFERROR(__xludf.DUMMYFUNCTION("""COMPUTED_VALUE"""),42937.0)</f>
        <v>42937</v>
      </c>
      <c r="AB288" s="38">
        <f>IFERROR(__xludf.DUMMYFUNCTION("""COMPUTED_VALUE"""),42978.0)</f>
        <v>42978</v>
      </c>
      <c r="AF288" s="39"/>
      <c r="AG288" s="39"/>
      <c r="AH288" s="34" t="str">
        <f>IFERROR(__xludf.DUMMYFUNCTION("""COMPUTED_VALUE"""),"PROCESO DE SELECCIÓN")</f>
        <v>PROCESO DE SELECCIÓN</v>
      </c>
      <c r="AI288" s="34" t="str">
        <f>IFERROR(__xludf.DUMMYFUNCTION("""COMPUTED_VALUE"""),"AUTORIZADO 2017")</f>
        <v>AUTORIZADO 2017</v>
      </c>
      <c r="AJ288" s="34"/>
      <c r="AK288" s="34"/>
      <c r="AL288">
        <f>IFERROR(__xludf.DUMMYFUNCTION("""COMPUTED_VALUE"""),4.0)</f>
        <v>4</v>
      </c>
      <c r="AM288">
        <f>IFERROR(__xludf.DUMMYFUNCTION("""COMPUTED_VALUE"""),2017.0)</f>
        <v>2017</v>
      </c>
      <c r="AN288" t="str">
        <f t="shared" si="1"/>
        <v>16428238-4</v>
      </c>
    </row>
    <row r="289">
      <c r="A289" s="33">
        <f>IFERROR(__xludf.DUMMYFUNCTION("""COMPUTED_VALUE"""),1.3683206E7)</f>
        <v>13683206</v>
      </c>
      <c r="B289" s="33">
        <f>IFERROR(__xludf.DUMMYFUNCTION("""COMPUTED_VALUE"""),64.0)</f>
        <v>64</v>
      </c>
      <c r="C289" s="33"/>
      <c r="D289" s="34" t="str">
        <f>IFERROR(__xludf.DUMMYFUNCTION("""COMPUTED_VALUE"""),"INGRESAR CENTRO DE COSTO A LA DERECHA")</f>
        <v>INGRESAR CENTRO DE COSTO A LA DERECHA</v>
      </c>
      <c r="E289" s="34" t="str">
        <f>IFERROR(__xludf.DUMMYFUNCTION("""COMPUTED_VALUE"""),"DIR. DE ASISTENCIA JURIDICA")</f>
        <v>DIR. DE ASISTENCIA JURIDICA</v>
      </c>
      <c r="F289" s="34" t="str">
        <f>IFERROR(__xludf.DUMMYFUNCTION("""COMPUTED_VALUE"""),"Abogado(a) Dirección Juridica")</f>
        <v>Abogado(a) Dirección Juridica</v>
      </c>
      <c r="G289" s="33" t="str">
        <f>IFERROR(__xludf.DUMMYFUNCTION("""COMPUTED_VALUE"""),"ABOGADO")</f>
        <v>ABOGADO</v>
      </c>
      <c r="H289">
        <f>IFERROR(__xludf.DUMMYFUNCTION("""COMPUTED_VALUE"""),6.0)</f>
        <v>6</v>
      </c>
      <c r="I289" s="34" t="str">
        <f>IFERROR(__xludf.DUMMYFUNCTION("""COMPUTED_VALUE"""),"Jornada Completa")</f>
        <v>Jornada Completa</v>
      </c>
      <c r="J289" s="33" t="str">
        <f>IFERROR(__xludf.DUMMYFUNCTION("""COMPUTED_VALUE"""),"A CONTRATA")</f>
        <v>A CONTRATA</v>
      </c>
      <c r="K289" s="33" t="str">
        <f>IFERROR(__xludf.DUMMYFUNCTION("""COMPUTED_VALUE"""),"PROFESIONAL")</f>
        <v>PROFESIONAL</v>
      </c>
      <c r="L289" s="34" t="str">
        <f>IFERROR(__xludf.DUMMYFUNCTION("""COMPUTED_VALUE"""),"NO")</f>
        <v>NO</v>
      </c>
      <c r="M289" s="34">
        <f>IFERROR(__xludf.DUMMYFUNCTION("""COMPUTED_VALUE"""),0.0)</f>
        <v>0</v>
      </c>
      <c r="N289" s="34" t="str">
        <f>IFERROR(__xludf.DUMMYFUNCTION("""COMPUTED_VALUE"""),"EXTERNO")</f>
        <v>EXTERNO</v>
      </c>
      <c r="O289">
        <f>IFERROR(__xludf.DUMMYFUNCTION("""COMPUTED_VALUE"""),87.0)</f>
        <v>87</v>
      </c>
      <c r="P289">
        <f>IFERROR(__xludf.DUMMYFUNCTION("""COMPUTED_VALUE"""),6.0)</f>
        <v>6</v>
      </c>
      <c r="Q289" s="35">
        <f>IFERROR(__xludf.DUMMYFUNCTION("""COMPUTED_VALUE"""),1.0)</f>
        <v>1</v>
      </c>
      <c r="R289" s="36" t="str">
        <f>IFERROR(__xludf.DUMMYFUNCTION("""COMPUTED_VALUE"""),"SELECCIONADO")</f>
        <v>SELECCIONADO</v>
      </c>
      <c r="S289" s="37">
        <f>IFERROR(__xludf.DUMMYFUNCTION("""COMPUTED_VALUE"""),42983.0)</f>
        <v>42983</v>
      </c>
      <c r="T289" s="34"/>
      <c r="U289" t="str">
        <f>IFERROR(__xludf.DUMMYFUNCTION("""COMPUTED_VALUE"""),"CARLOS GUAZZINI YAÑEZ")</f>
        <v>CARLOS GUAZZINI YAÑEZ</v>
      </c>
      <c r="V289" t="str">
        <f>IFERROR(__xludf.DUMMYFUNCTION("""COMPUTED_VALUE"""),"13683206-9")</f>
        <v>13683206-9</v>
      </c>
      <c r="W289" t="str">
        <f>IFERROR(__xludf.DUMMYFUNCTION("""COMPUTED_VALUE"""),"SI")</f>
        <v>SI</v>
      </c>
      <c r="X289" t="str">
        <f>IFERROR(__xludf.DUMMYFUNCTION("""COMPUTED_VALUE"""),"PENSAMIENTO ANALITICO")</f>
        <v>PENSAMIENTO ANALITICO</v>
      </c>
      <c r="AA289" s="38">
        <f>IFERROR(__xludf.DUMMYFUNCTION("""COMPUTED_VALUE"""),42937.0)</f>
        <v>42937</v>
      </c>
      <c r="AB289" s="38">
        <f>IFERROR(__xludf.DUMMYFUNCTION("""COMPUTED_VALUE"""),42978.0)</f>
        <v>42978</v>
      </c>
      <c r="AF289" s="39"/>
      <c r="AG289" s="39"/>
      <c r="AH289" s="34" t="str">
        <f>IFERROR(__xludf.DUMMYFUNCTION("""COMPUTED_VALUE"""),"PROCESO DE SELECCIÓN")</f>
        <v>PROCESO DE SELECCIÓN</v>
      </c>
      <c r="AI289" s="34" t="str">
        <f>IFERROR(__xludf.DUMMYFUNCTION("""COMPUTED_VALUE"""),"AUTORIZADO 2017")</f>
        <v>AUTORIZADO 2017</v>
      </c>
      <c r="AJ289" s="34"/>
      <c r="AK289" s="34"/>
      <c r="AL289">
        <f>IFERROR(__xludf.DUMMYFUNCTION("""COMPUTED_VALUE"""),4.0)</f>
        <v>4</v>
      </c>
      <c r="AM289">
        <f>IFERROR(__xludf.DUMMYFUNCTION("""COMPUTED_VALUE"""),2017.0)</f>
        <v>2017</v>
      </c>
      <c r="AN289" t="str">
        <f t="shared" si="1"/>
        <v>13683206-9</v>
      </c>
    </row>
    <row r="290">
      <c r="A290" s="33">
        <f>IFERROR(__xludf.DUMMYFUNCTION("""COMPUTED_VALUE"""),1.1434305E7)</f>
        <v>11434305</v>
      </c>
      <c r="B290" s="33">
        <f>IFERROR(__xludf.DUMMYFUNCTION("""COMPUTED_VALUE"""),65.0)</f>
        <v>65</v>
      </c>
      <c r="C290" s="33"/>
      <c r="D290" s="34" t="str">
        <f>IFERROR(__xludf.DUMMYFUNCTION("""COMPUTED_VALUE"""),"INGRESAR CENTRO DE COSTO A LA DERECHA")</f>
        <v>INGRESAR CENTRO DE COSTO A LA DERECHA</v>
      </c>
      <c r="E290" s="34" t="str">
        <f>IFERROR(__xludf.DUMMYFUNCTION("""COMPUTED_VALUE"""),"FACULTAD DE CIENCIAS MEDICAS")</f>
        <v>FACULTAD DE CIENCIAS MEDICAS</v>
      </c>
      <c r="F290" s="34" t="str">
        <f>IFERROR(__xludf.DUMMYFUNCTION("""COMPUTED_VALUE"""),"Secretario(a) de Apoyo Docente")</f>
        <v>Secretario(a) de Apoyo Docente</v>
      </c>
      <c r="G290" s="33" t="str">
        <f>IFERROR(__xludf.DUMMYFUNCTION("""COMPUTED_VALUE"""),"SECRETARIA DE APOYO DOCENTE ( HOSPITAL EL CARMEN)")</f>
        <v>SECRETARIA DE APOYO DOCENTE ( HOSPITAL EL CARMEN)</v>
      </c>
      <c r="H290">
        <f>IFERROR(__xludf.DUMMYFUNCTION("""COMPUTED_VALUE"""),17.0)</f>
        <v>17</v>
      </c>
      <c r="I290" s="34" t="str">
        <f>IFERROR(__xludf.DUMMYFUNCTION("""COMPUTED_VALUE"""),"Jornada Completa")</f>
        <v>Jornada Completa</v>
      </c>
      <c r="J290" s="33" t="str">
        <f>IFERROR(__xludf.DUMMYFUNCTION("""COMPUTED_VALUE"""),"A CONTRATA")</f>
        <v>A CONTRATA</v>
      </c>
      <c r="K290" s="33" t="str">
        <f>IFERROR(__xludf.DUMMYFUNCTION("""COMPUTED_VALUE"""),"ADMINISTRATIVO")</f>
        <v>ADMINISTRATIVO</v>
      </c>
      <c r="L290" s="34" t="str">
        <f>IFERROR(__xludf.DUMMYFUNCTION("""COMPUTED_VALUE"""),"INTERNO")</f>
        <v>INTERNO</v>
      </c>
      <c r="M290" s="34">
        <f>IFERROR(__xludf.DUMMYFUNCTION("""COMPUTED_VALUE"""),0.0)</f>
        <v>0</v>
      </c>
      <c r="N290" s="34" t="str">
        <f>IFERROR(__xludf.DUMMYFUNCTION("""COMPUTED_VALUE"""),"EXTERNO")</f>
        <v>EXTERNO</v>
      </c>
      <c r="O290">
        <f>IFERROR(__xludf.DUMMYFUNCTION("""COMPUTED_VALUE"""),23.0)</f>
        <v>23</v>
      </c>
      <c r="P290">
        <f>IFERROR(__xludf.DUMMYFUNCTION("""COMPUTED_VALUE"""),1.0)</f>
        <v>1</v>
      </c>
      <c r="Q290" s="35">
        <f>IFERROR(__xludf.DUMMYFUNCTION("""COMPUTED_VALUE"""),1.0)</f>
        <v>1</v>
      </c>
      <c r="R290" s="36" t="str">
        <f>IFERROR(__xludf.DUMMYFUNCTION("""COMPUTED_VALUE"""),"SELECCIONADA")</f>
        <v>SELECCIONADA</v>
      </c>
      <c r="S290" s="37">
        <f>IFERROR(__xludf.DUMMYFUNCTION("""COMPUTED_VALUE"""),42983.0)</f>
        <v>42983</v>
      </c>
      <c r="T290" s="34"/>
      <c r="U290" t="str">
        <f>IFERROR(__xludf.DUMMYFUNCTION("""COMPUTED_VALUE"""),"YOLANDA LEON PARDO")</f>
        <v>YOLANDA LEON PARDO</v>
      </c>
      <c r="V290" t="str">
        <f>IFERROR(__xludf.DUMMYFUNCTION("""COMPUTED_VALUE"""),"11434305-6")</f>
        <v>11434305-6</v>
      </c>
      <c r="W290" t="str">
        <f>IFERROR(__xludf.DUMMYFUNCTION("""COMPUTED_VALUE"""),"NO")</f>
        <v>NO</v>
      </c>
      <c r="AA290" s="38">
        <f>IFERROR(__xludf.DUMMYFUNCTION("""COMPUTED_VALUE"""),42936.0)</f>
        <v>42936</v>
      </c>
      <c r="AB290" s="38">
        <f>IFERROR(__xludf.DUMMYFUNCTION("""COMPUTED_VALUE"""),42943.0)</f>
        <v>42943</v>
      </c>
      <c r="AF290" s="39"/>
      <c r="AG290" s="39"/>
      <c r="AH290" s="34" t="str">
        <f>IFERROR(__xludf.DUMMYFUNCTION("""COMPUTED_VALUE"""),"PROCESO DE SELECCIÓN")</f>
        <v>PROCESO DE SELECCIÓN</v>
      </c>
      <c r="AI290" s="34" t="str">
        <f>IFERROR(__xludf.DUMMYFUNCTION("""COMPUTED_VALUE"""),"BUSCAR")</f>
        <v>BUSCAR</v>
      </c>
      <c r="AJ290" s="34"/>
      <c r="AK290" s="34"/>
      <c r="AL290">
        <f>IFERROR(__xludf.DUMMYFUNCTION("""COMPUTED_VALUE"""),29.0)</f>
        <v>29</v>
      </c>
      <c r="AM290">
        <f>IFERROR(__xludf.DUMMYFUNCTION("""COMPUTED_VALUE"""),2017.0)</f>
        <v>2017</v>
      </c>
      <c r="AN290" t="str">
        <f t="shared" si="1"/>
        <v>11434305-6</v>
      </c>
    </row>
    <row r="291">
      <c r="A291" s="33">
        <f>IFERROR(__xludf.DUMMYFUNCTION("""COMPUTED_VALUE"""),1.112364E7)</f>
        <v>11123640</v>
      </c>
      <c r="B291" s="33">
        <f>IFERROR(__xludf.DUMMYFUNCTION("""COMPUTED_VALUE"""),66.0)</f>
        <v>66</v>
      </c>
      <c r="C291" s="33"/>
      <c r="D291" s="34" t="str">
        <f>IFERROR(__xludf.DUMMYFUNCTION("""COMPUTED_VALUE"""),"INGRESAR CENTRO DE COSTO A LA DERECHA")</f>
        <v>INGRESAR CENTRO DE COSTO A LA DERECHA</v>
      </c>
      <c r="E291" s="34" t="str">
        <f>IFERROR(__xludf.DUMMYFUNCTION("""COMPUTED_VALUE"""),"DPTO. DE INGENIERIA OBRAS CIVILES")</f>
        <v>DPTO. DE INGENIERIA OBRAS CIVILES</v>
      </c>
      <c r="F291" s="34" t="str">
        <f>IFERROR(__xludf.DUMMYFUNCTION("""COMPUTED_VALUE"""),"Mayordomo(a)")</f>
        <v>Mayordomo(a)</v>
      </c>
      <c r="G291" s="33" t="str">
        <f>IFERROR(__xludf.DUMMYFUNCTION("""COMPUTED_VALUE"""),"MAYORDOMO")</f>
        <v>MAYORDOMO</v>
      </c>
      <c r="H291">
        <f>IFERROR(__xludf.DUMMYFUNCTION("""COMPUTED_VALUE"""),21.0)</f>
        <v>21</v>
      </c>
      <c r="I291" s="34" t="str">
        <f>IFERROR(__xludf.DUMMYFUNCTION("""COMPUTED_VALUE"""),"Jornada Completa")</f>
        <v>Jornada Completa</v>
      </c>
      <c r="J291" s="33" t="str">
        <f>IFERROR(__xludf.DUMMYFUNCTION("""COMPUTED_VALUE"""),"A CONTRATA")</f>
        <v>A CONTRATA</v>
      </c>
      <c r="K291" s="33" t="str">
        <f>IFERROR(__xludf.DUMMYFUNCTION("""COMPUTED_VALUE"""),"AUXILIAR")</f>
        <v>AUXILIAR</v>
      </c>
      <c r="L291" s="34" t="str">
        <f>IFERROR(__xludf.DUMMYFUNCTION("""COMPUTED_VALUE"""),"INTERNO")</f>
        <v>INTERNO</v>
      </c>
      <c r="M291" s="34">
        <f>IFERROR(__xludf.DUMMYFUNCTION("""COMPUTED_VALUE"""),0.0)</f>
        <v>0</v>
      </c>
      <c r="N291" s="34" t="str">
        <f>IFERROR(__xludf.DUMMYFUNCTION("""COMPUTED_VALUE"""),"EXTERNO")</f>
        <v>EXTERNO</v>
      </c>
      <c r="O291">
        <f>IFERROR(__xludf.DUMMYFUNCTION("""COMPUTED_VALUE"""),3.0)</f>
        <v>3</v>
      </c>
      <c r="P291">
        <f>IFERROR(__xludf.DUMMYFUNCTION("""COMPUTED_VALUE"""),1.0)</f>
        <v>1</v>
      </c>
      <c r="Q291" s="35">
        <f>IFERROR(__xludf.DUMMYFUNCTION("""COMPUTED_VALUE"""),1.0)</f>
        <v>1</v>
      </c>
      <c r="R291" s="36" t="str">
        <f>IFERROR(__xludf.DUMMYFUNCTION("""COMPUTED_VALUE"""),"SELECCIONADO")</f>
        <v>SELECCIONADO</v>
      </c>
      <c r="S291" s="37">
        <f>IFERROR(__xludf.DUMMYFUNCTION("""COMPUTED_VALUE"""),43009.0)</f>
        <v>43009</v>
      </c>
      <c r="T291" s="34"/>
      <c r="U291" t="str">
        <f>IFERROR(__xludf.DUMMYFUNCTION("""COMPUTED_VALUE"""),"MARCO FUENTES SAEZ")</f>
        <v>MARCO FUENTES SAEZ</v>
      </c>
      <c r="V291" t="str">
        <f>IFERROR(__xludf.DUMMYFUNCTION("""COMPUTED_VALUE"""),"11123640-2")</f>
        <v>11123640-2</v>
      </c>
      <c r="W291" t="str">
        <f>IFERROR(__xludf.DUMMYFUNCTION("""COMPUTED_VALUE"""),"NO")</f>
        <v>NO</v>
      </c>
      <c r="AA291" s="38">
        <f>IFERROR(__xludf.DUMMYFUNCTION("""COMPUTED_VALUE"""),42936.0)</f>
        <v>42936</v>
      </c>
      <c r="AB291" s="38">
        <f>IFERROR(__xludf.DUMMYFUNCTION("""COMPUTED_VALUE"""),42943.0)</f>
        <v>42943</v>
      </c>
      <c r="AF291" s="39"/>
      <c r="AG291" s="39"/>
      <c r="AH291" s="34" t="str">
        <f>IFERROR(__xludf.DUMMYFUNCTION("""COMPUTED_VALUE"""),"PROCESO DE SELECCIÓN")</f>
        <v>PROCESO DE SELECCIÓN</v>
      </c>
      <c r="AI291" s="34" t="str">
        <f>IFERROR(__xludf.DUMMYFUNCTION("""COMPUTED_VALUE"""),"JUAN CARLOS TRONCOSO ESCARATE")</f>
        <v>JUAN CARLOS TRONCOSO ESCARATE</v>
      </c>
      <c r="AJ291" s="34"/>
      <c r="AK291" s="34"/>
      <c r="AL291">
        <f>IFERROR(__xludf.DUMMYFUNCTION("""COMPUTED_VALUE"""),47.0)</f>
        <v>47</v>
      </c>
      <c r="AM291">
        <f>IFERROR(__xludf.DUMMYFUNCTION("""COMPUTED_VALUE"""),2017.0)</f>
        <v>2017</v>
      </c>
      <c r="AN291" t="str">
        <f t="shared" si="1"/>
        <v>11123640-2</v>
      </c>
    </row>
    <row r="292">
      <c r="A292" s="33">
        <f>IFERROR(__xludf.DUMMYFUNCTION("""COMPUTED_VALUE"""),1.8534953E7)</f>
        <v>18534953</v>
      </c>
      <c r="B292" s="33">
        <f>IFERROR(__xludf.DUMMYFUNCTION("""COMPUTED_VALUE"""),67.0)</f>
        <v>67</v>
      </c>
      <c r="C292" s="33"/>
      <c r="D292" s="34" t="str">
        <f>IFERROR(__xludf.DUMMYFUNCTION("""COMPUTED_VALUE"""),"INGRESAR CENTRO DE COSTO A LA DERECHA")</f>
        <v>INGRESAR CENTRO DE COSTO A LA DERECHA</v>
      </c>
      <c r="E292" s="34" t="str">
        <f>IFERROR(__xludf.DUMMYFUNCTION("""COMPUTED_VALUE"""),"DPTO. DE INGENIERIA OBRAS CIVILES")</f>
        <v>DPTO. DE INGENIERIA OBRAS CIVILES</v>
      </c>
      <c r="F292" s="34" t="str">
        <f>IFERROR(__xludf.DUMMYFUNCTION("""COMPUTED_VALUE"""),"Encargado(a) Técnico(a) de Laboratorio")</f>
        <v>Encargado(a) Técnico(a) de Laboratorio</v>
      </c>
      <c r="G292" s="33" t="str">
        <f>IFERROR(__xludf.DUMMYFUNCTION("""COMPUTED_VALUE"""),"ENCARGADO TECNICO DE LABORATORIO")</f>
        <v>ENCARGADO TECNICO DE LABORATORIO</v>
      </c>
      <c r="H292">
        <f>IFERROR(__xludf.DUMMYFUNCTION("""COMPUTED_VALUE"""),14.0)</f>
        <v>14</v>
      </c>
      <c r="I292" s="34" t="str">
        <f>IFERROR(__xludf.DUMMYFUNCTION("""COMPUTED_VALUE"""),"Jornada Completa")</f>
        <v>Jornada Completa</v>
      </c>
      <c r="J292" s="33" t="str">
        <f>IFERROR(__xludf.DUMMYFUNCTION("""COMPUTED_VALUE"""),"A CONTRATA")</f>
        <v>A CONTRATA</v>
      </c>
      <c r="K292" s="33" t="str">
        <f>IFERROR(__xludf.DUMMYFUNCTION("""COMPUTED_VALUE"""),"TECNICO")</f>
        <v>TECNICO</v>
      </c>
      <c r="L292" s="34" t="str">
        <f>IFERROR(__xludf.DUMMYFUNCTION("""COMPUTED_VALUE"""),"NO")</f>
        <v>NO</v>
      </c>
      <c r="M292" s="34">
        <f>IFERROR(__xludf.DUMMYFUNCTION("""COMPUTED_VALUE"""),0.0)</f>
        <v>0</v>
      </c>
      <c r="N292" s="34" t="str">
        <f>IFERROR(__xludf.DUMMYFUNCTION("""COMPUTED_VALUE"""),"EXTERNO")</f>
        <v>EXTERNO</v>
      </c>
      <c r="O292">
        <f>IFERROR(__xludf.DUMMYFUNCTION("""COMPUTED_VALUE"""),6.0)</f>
        <v>6</v>
      </c>
      <c r="P292">
        <f>IFERROR(__xludf.DUMMYFUNCTION("""COMPUTED_VALUE"""),1.0)</f>
        <v>1</v>
      </c>
      <c r="Q292" s="35">
        <f>IFERROR(__xludf.DUMMYFUNCTION("""COMPUTED_VALUE"""),1.0)</f>
        <v>1</v>
      </c>
      <c r="R292" s="36" t="str">
        <f>IFERROR(__xludf.DUMMYFUNCTION("""COMPUTED_VALUE"""),"SELECCIONADO")</f>
        <v>SELECCIONADO</v>
      </c>
      <c r="S292" s="37">
        <f>IFERROR(__xludf.DUMMYFUNCTION("""COMPUTED_VALUE"""),43009.0)</f>
        <v>43009</v>
      </c>
      <c r="T292" s="34"/>
      <c r="U292" t="str">
        <f>IFERROR(__xludf.DUMMYFUNCTION("""COMPUTED_VALUE"""),"DOUGLAS SUAREZ ZAMORANO")</f>
        <v>DOUGLAS SUAREZ ZAMORANO</v>
      </c>
      <c r="V292" t="str">
        <f>IFERROR(__xludf.DUMMYFUNCTION("""COMPUTED_VALUE"""),"18534953-5")</f>
        <v>18534953-5</v>
      </c>
      <c r="W292" t="str">
        <f>IFERROR(__xludf.DUMMYFUNCTION("""COMPUTED_VALUE"""),"SI")</f>
        <v>SI</v>
      </c>
      <c r="X292" t="str">
        <f>IFERROR(__xludf.DUMMYFUNCTION("""COMPUTED_VALUE"""),"CAPACIDAD DE PLANIFICACION Y ORGANIZACION")</f>
        <v>CAPACIDAD DE PLANIFICACION Y ORGANIZACION</v>
      </c>
      <c r="AA292" s="38">
        <f>IFERROR(__xludf.DUMMYFUNCTION("""COMPUTED_VALUE"""),42912.0)</f>
        <v>42912</v>
      </c>
      <c r="AB292" s="38">
        <f>IFERROR(__xludf.DUMMYFUNCTION("""COMPUTED_VALUE"""),42923.0)</f>
        <v>42923</v>
      </c>
      <c r="AF292" s="39"/>
      <c r="AG292" s="39"/>
      <c r="AH292" s="34" t="str">
        <f>IFERROR(__xludf.DUMMYFUNCTION("""COMPUTED_VALUE"""),"PROCESO DE SELECCIÓN")</f>
        <v>PROCESO DE SELECCIÓN</v>
      </c>
      <c r="AI292" s="34" t="str">
        <f>IFERROR(__xludf.DUMMYFUNCTION("""COMPUTED_VALUE"""),"AUTORIZADO 2017")</f>
        <v>AUTORIZADO 2017</v>
      </c>
      <c r="AJ292" s="34"/>
      <c r="AK292" s="34"/>
      <c r="AL292">
        <f>IFERROR(__xludf.DUMMYFUNCTION("""COMPUTED_VALUE"""),61.0)</f>
        <v>61</v>
      </c>
      <c r="AM292">
        <f>IFERROR(__xludf.DUMMYFUNCTION("""COMPUTED_VALUE"""),2017.0)</f>
        <v>2017</v>
      </c>
      <c r="AN292" t="str">
        <f t="shared" si="1"/>
        <v>18534953-5</v>
      </c>
    </row>
    <row r="293">
      <c r="A293" s="33">
        <f>IFERROR(__xludf.DUMMYFUNCTION("""COMPUTED_VALUE"""),1.8380085E7)</f>
        <v>18380085</v>
      </c>
      <c r="B293" s="33">
        <f>IFERROR(__xludf.DUMMYFUNCTION("""COMPUTED_VALUE"""),68.0)</f>
        <v>68</v>
      </c>
      <c r="C293" s="33"/>
      <c r="D293" s="34" t="str">
        <f>IFERROR(__xludf.DUMMYFUNCTION("""COMPUTED_VALUE"""),"INGRESAR CENTRO DE COSTO A LA DERECHA")</f>
        <v>INGRESAR CENTRO DE COSTO A LA DERECHA</v>
      </c>
      <c r="E293" s="34" t="str">
        <f>IFERROR(__xludf.DUMMYFUNCTION("""COMPUTED_VALUE"""),"CONTRALORIA UNIVERSITARIA")</f>
        <v>CONTRALORIA UNIVERSITARIA</v>
      </c>
      <c r="F293" s="34" t="str">
        <f>IFERROR(__xludf.DUMMYFUNCTION("""COMPUTED_VALUE"""),"Administrativo(a) de Apoyo")</f>
        <v>Administrativo(a) de Apoyo</v>
      </c>
      <c r="G293" s="33" t="str">
        <f>IFERROR(__xludf.DUMMYFUNCTION("""COMPUTED_VALUE"""),"ADMINISTRATIVO DE APOYO")</f>
        <v>ADMINISTRATIVO DE APOYO</v>
      </c>
      <c r="H293">
        <f>IFERROR(__xludf.DUMMYFUNCTION("""COMPUTED_VALUE"""),20.0)</f>
        <v>20</v>
      </c>
      <c r="I293" s="34" t="str">
        <f>IFERROR(__xludf.DUMMYFUNCTION("""COMPUTED_VALUE"""),"Jornada Completa")</f>
        <v>Jornada Completa</v>
      </c>
      <c r="J293" s="33" t="str">
        <f>IFERROR(__xludf.DUMMYFUNCTION("""COMPUTED_VALUE"""),"A CONTRATA")</f>
        <v>A CONTRATA</v>
      </c>
      <c r="K293" s="33" t="str">
        <f>IFERROR(__xludf.DUMMYFUNCTION("""COMPUTED_VALUE"""),"ADMINISTRATIVO")</f>
        <v>ADMINISTRATIVO</v>
      </c>
      <c r="L293" s="34" t="str">
        <f>IFERROR(__xludf.DUMMYFUNCTION("""COMPUTED_VALUE"""),"INTERNO")</f>
        <v>INTERNO</v>
      </c>
      <c r="M293" s="34">
        <f>IFERROR(__xludf.DUMMYFUNCTION("""COMPUTED_VALUE"""),0.0)</f>
        <v>0</v>
      </c>
      <c r="N293" s="34" t="str">
        <f>IFERROR(__xludf.DUMMYFUNCTION("""COMPUTED_VALUE"""),"EXTERNO")</f>
        <v>EXTERNO</v>
      </c>
      <c r="O293">
        <f>IFERROR(__xludf.DUMMYFUNCTION("""COMPUTED_VALUE"""),8.0)</f>
        <v>8</v>
      </c>
      <c r="P293">
        <f>IFERROR(__xludf.DUMMYFUNCTION("""COMPUTED_VALUE"""),3.0)</f>
        <v>3</v>
      </c>
      <c r="Q293" s="35">
        <f>IFERROR(__xludf.DUMMYFUNCTION("""COMPUTED_VALUE"""),1.0)</f>
        <v>1</v>
      </c>
      <c r="R293" s="36" t="str">
        <f>IFERROR(__xludf.DUMMYFUNCTION("""COMPUTED_VALUE"""),"SELECCIONADO")</f>
        <v>SELECCIONADO</v>
      </c>
      <c r="S293" s="37">
        <f>IFERROR(__xludf.DUMMYFUNCTION("""COMPUTED_VALUE"""),42979.0)</f>
        <v>42979</v>
      </c>
      <c r="T293" s="34"/>
      <c r="U293" t="str">
        <f>IFERROR(__xludf.DUMMYFUNCTION("""COMPUTED_VALUE"""),"ANTONIO VICENT CORTES")</f>
        <v>ANTONIO VICENT CORTES</v>
      </c>
      <c r="V293" t="str">
        <f>IFERROR(__xludf.DUMMYFUNCTION("""COMPUTED_VALUE"""),"18380085-K")</f>
        <v>18380085-K</v>
      </c>
      <c r="W293" t="str">
        <f>IFERROR(__xludf.DUMMYFUNCTION("""COMPUTED_VALUE"""),"NO")</f>
        <v>NO</v>
      </c>
      <c r="AA293" s="38">
        <f>IFERROR(__xludf.DUMMYFUNCTION("""COMPUTED_VALUE"""),42906.0)</f>
        <v>42906</v>
      </c>
      <c r="AB293" s="38">
        <f>IFERROR(__xludf.DUMMYFUNCTION("""COMPUTED_VALUE"""),42913.0)</f>
        <v>42913</v>
      </c>
      <c r="AF293" s="39"/>
      <c r="AG293" s="39"/>
      <c r="AH293" s="34" t="str">
        <f>IFERROR(__xludf.DUMMYFUNCTION("""COMPUTED_VALUE"""),"PROCESO DE SELECCIÓN")</f>
        <v>PROCESO DE SELECCIÓN</v>
      </c>
      <c r="AI293" s="34" t="str">
        <f>IFERROR(__xludf.DUMMYFUNCTION("""COMPUTED_VALUE"""),"RAUL ORTEGA ARANCIBIA")</f>
        <v>RAUL ORTEGA ARANCIBIA</v>
      </c>
      <c r="AJ293" s="34"/>
      <c r="AK293" s="34"/>
      <c r="AL293">
        <f>IFERROR(__xludf.DUMMYFUNCTION("""COMPUTED_VALUE"""),49.0)</f>
        <v>49</v>
      </c>
      <c r="AM293">
        <f>IFERROR(__xludf.DUMMYFUNCTION("""COMPUTED_VALUE"""),2017.0)</f>
        <v>2017</v>
      </c>
      <c r="AN293" t="str">
        <f t="shared" si="1"/>
        <v>18380085-K</v>
      </c>
    </row>
    <row r="294">
      <c r="A294" s="33">
        <f>IFERROR(__xludf.DUMMYFUNCTION("""COMPUTED_VALUE"""),1.8274489E7)</f>
        <v>18274489</v>
      </c>
      <c r="B294" s="33">
        <f>IFERROR(__xludf.DUMMYFUNCTION("""COMPUTED_VALUE"""),70.0)</f>
        <v>70</v>
      </c>
      <c r="C294" s="33"/>
      <c r="D294" s="34" t="str">
        <f>IFERROR(__xludf.DUMMYFUNCTION("""COMPUTED_VALUE"""),"INGRESAR CENTRO DE COSTO A LA DERECHA")</f>
        <v>INGRESAR CENTRO DE COSTO A LA DERECHA</v>
      </c>
      <c r="E294" s="34" t="str">
        <f>IFERROR(__xludf.DUMMYFUNCTION("""COMPUTED_VALUE"""),"DPTO. DE INGENIERIA QUIMICA")</f>
        <v>DPTO. DE INGENIERIA QUIMICA</v>
      </c>
      <c r="F294" s="34" t="str">
        <f>IFERROR(__xludf.DUMMYFUNCTION("""COMPUTED_VALUE"""),"Encargado(a) Técnico(a) de Laboratorio")</f>
        <v>Encargado(a) Técnico(a) de Laboratorio</v>
      </c>
      <c r="G294" s="33" t="str">
        <f>IFERROR(__xludf.DUMMYFUNCTION("""COMPUTED_VALUE"""),"ENCARGADO TECNICO DE LABORATORIO")</f>
        <v>ENCARGADO TECNICO DE LABORATORIO</v>
      </c>
      <c r="H294">
        <f>IFERROR(__xludf.DUMMYFUNCTION("""COMPUTED_VALUE"""),14.0)</f>
        <v>14</v>
      </c>
      <c r="I294" s="34" t="str">
        <f>IFERROR(__xludf.DUMMYFUNCTION("""COMPUTED_VALUE"""),"Jornada Completa")</f>
        <v>Jornada Completa</v>
      </c>
      <c r="J294" s="33" t="str">
        <f>IFERROR(__xludf.DUMMYFUNCTION("""COMPUTED_VALUE"""),"A CONTRATA")</f>
        <v>A CONTRATA</v>
      </c>
      <c r="K294" s="33" t="str">
        <f>IFERROR(__xludf.DUMMYFUNCTION("""COMPUTED_VALUE"""),"TECNICO")</f>
        <v>TECNICO</v>
      </c>
      <c r="L294" s="34" t="str">
        <f>IFERROR(__xludf.DUMMYFUNCTION("""COMPUTED_VALUE"""),"INTERNO")</f>
        <v>INTERNO</v>
      </c>
      <c r="M294" s="34">
        <f>IFERROR(__xludf.DUMMYFUNCTION("""COMPUTED_VALUE"""),0.0)</f>
        <v>0</v>
      </c>
      <c r="N294" s="34" t="str">
        <f>IFERROR(__xludf.DUMMYFUNCTION("""COMPUTED_VALUE"""),"EXTERNO")</f>
        <v>EXTERNO</v>
      </c>
      <c r="O294">
        <f>IFERROR(__xludf.DUMMYFUNCTION("""COMPUTED_VALUE"""),7.0)</f>
        <v>7</v>
      </c>
      <c r="P294">
        <f>IFERROR(__xludf.DUMMYFUNCTION("""COMPUTED_VALUE"""),2.0)</f>
        <v>2</v>
      </c>
      <c r="Q294" s="35">
        <f>IFERROR(__xludf.DUMMYFUNCTION("""COMPUTED_VALUE"""),2.0)</f>
        <v>2</v>
      </c>
      <c r="R294" s="36" t="str">
        <f>IFERROR(__xludf.DUMMYFUNCTION("""COMPUTED_VALUE"""),"SELECCIONADA")</f>
        <v>SELECCIONADA</v>
      </c>
      <c r="S294" s="37">
        <f>IFERROR(__xludf.DUMMYFUNCTION("""COMPUTED_VALUE"""),42970.0)</f>
        <v>42970</v>
      </c>
      <c r="T294" s="34"/>
      <c r="U294" t="str">
        <f>IFERROR(__xludf.DUMMYFUNCTION("""COMPUTED_VALUE"""),"JAVIERA OSORIO BRAVO")</f>
        <v>JAVIERA OSORIO BRAVO</v>
      </c>
      <c r="V294" t="str">
        <f>IFERROR(__xludf.DUMMYFUNCTION("""COMPUTED_VALUE"""),"18274489-1")</f>
        <v>18274489-1</v>
      </c>
      <c r="W294" t="str">
        <f>IFERROR(__xludf.DUMMYFUNCTION("""COMPUTED_VALUE"""),"SI")</f>
        <v>SI</v>
      </c>
      <c r="X294" t="str">
        <f>IFERROR(__xludf.DUMMYFUNCTION("""COMPUTED_VALUE"""),"CAPACIDAD DE PLANIFICACION Y ORGANIZACION")</f>
        <v>CAPACIDAD DE PLANIFICACION Y ORGANIZACION</v>
      </c>
      <c r="Y294" t="str">
        <f>IFERROR(__xludf.DUMMYFUNCTION("""COMPUTED_VALUE"""),"INICIATIVA")</f>
        <v>INICIATIVA</v>
      </c>
      <c r="Z294" t="str">
        <f>IFERROR(__xludf.DUMMYFUNCTION("""COMPUTED_VALUE"""),"ORIENTACION A LOS RESULTADOS")</f>
        <v>ORIENTACION A LOS RESULTADOS</v>
      </c>
      <c r="AA294" s="38">
        <f>IFERROR(__xludf.DUMMYFUNCTION("""COMPUTED_VALUE"""),42874.0)</f>
        <v>42874</v>
      </c>
      <c r="AB294" s="38">
        <f>IFERROR(__xludf.DUMMYFUNCTION("""COMPUTED_VALUE"""),42881.0)</f>
        <v>42881</v>
      </c>
      <c r="AF294" s="39"/>
      <c r="AG294" s="39"/>
      <c r="AH294" s="34" t="str">
        <f>IFERROR(__xludf.DUMMYFUNCTION("""COMPUTED_VALUE"""),"PROCESO DE SELECCIÓN")</f>
        <v>PROCESO DE SELECCIÓN</v>
      </c>
      <c r="AI294" s="34" t="str">
        <f>IFERROR(__xludf.DUMMYFUNCTION("""COMPUTED_VALUE"""),"BUSCAR")</f>
        <v>BUSCAR</v>
      </c>
      <c r="AJ294" s="34"/>
      <c r="AK294" s="34"/>
      <c r="AL294">
        <f>IFERROR(__xludf.DUMMYFUNCTION("""COMPUTED_VALUE"""),64.0)</f>
        <v>64</v>
      </c>
      <c r="AM294">
        <f>IFERROR(__xludf.DUMMYFUNCTION("""COMPUTED_VALUE"""),2017.0)</f>
        <v>2017</v>
      </c>
      <c r="AN294" t="str">
        <f t="shared" si="1"/>
        <v>18274489-1</v>
      </c>
    </row>
    <row r="295">
      <c r="A295" s="33">
        <f>IFERROR(__xludf.DUMMYFUNCTION("""COMPUTED_VALUE"""),1.0228277E7)</f>
        <v>10228277</v>
      </c>
      <c r="B295" s="33">
        <f>IFERROR(__xludf.DUMMYFUNCTION("""COMPUTED_VALUE"""),71.0)</f>
        <v>71</v>
      </c>
      <c r="C295" s="33"/>
      <c r="D295" s="34" t="str">
        <f>IFERROR(__xludf.DUMMYFUNCTION("""COMPUTED_VALUE"""),"INGRESAR CENTRO DE COSTO A LA DERECHA")</f>
        <v>INGRESAR CENTRO DE COSTO A LA DERECHA</v>
      </c>
      <c r="E295" s="34" t="str">
        <f>IFERROR(__xludf.DUMMYFUNCTION("""COMPUTED_VALUE"""),"FACULTAD DE INGENIERIA")</f>
        <v>FACULTAD DE INGENIERIA</v>
      </c>
      <c r="F295" s="34" t="str">
        <f>IFERROR(__xludf.DUMMYFUNCTION("""COMPUTED_VALUE"""),"Administrativo(a) de Apoyo")</f>
        <v>Administrativo(a) de Apoyo</v>
      </c>
      <c r="G295" s="33" t="str">
        <f>IFERROR(__xludf.DUMMYFUNCTION("""COMPUTED_VALUE"""),"ADMINISTRATIVO DE APOYO")</f>
        <v>ADMINISTRATIVO DE APOYO</v>
      </c>
      <c r="H295">
        <f>IFERROR(__xludf.DUMMYFUNCTION("""COMPUTED_VALUE"""),20.0)</f>
        <v>20</v>
      </c>
      <c r="I295" s="34" t="str">
        <f>IFERROR(__xludf.DUMMYFUNCTION("""COMPUTED_VALUE"""),"Jornada Completa")</f>
        <v>Jornada Completa</v>
      </c>
      <c r="J295" s="33" t="str">
        <f>IFERROR(__xludf.DUMMYFUNCTION("""COMPUTED_VALUE"""),"A CONTRATA")</f>
        <v>A CONTRATA</v>
      </c>
      <c r="K295" s="33" t="str">
        <f>IFERROR(__xludf.DUMMYFUNCTION("""COMPUTED_VALUE"""),"ADMINISTRATIVO")</f>
        <v>ADMINISTRATIVO</v>
      </c>
      <c r="L295" s="34" t="str">
        <f>IFERROR(__xludf.DUMMYFUNCTION("""COMPUTED_VALUE"""),"INTERNO")</f>
        <v>INTERNO</v>
      </c>
      <c r="M295" s="34">
        <f>IFERROR(__xludf.DUMMYFUNCTION("""COMPUTED_VALUE"""),0.0)</f>
        <v>0</v>
      </c>
      <c r="N295" s="34" t="str">
        <f>IFERROR(__xludf.DUMMYFUNCTION("""COMPUTED_VALUE"""),"EXTERNO")</f>
        <v>EXTERNO</v>
      </c>
      <c r="O295">
        <f>IFERROR(__xludf.DUMMYFUNCTION("""COMPUTED_VALUE"""),19.0)</f>
        <v>19</v>
      </c>
      <c r="P295">
        <f>IFERROR(__xludf.DUMMYFUNCTION("""COMPUTED_VALUE"""),1.0)</f>
        <v>1</v>
      </c>
      <c r="Q295" s="35">
        <f>IFERROR(__xludf.DUMMYFUNCTION("""COMPUTED_VALUE"""),1.0)</f>
        <v>1</v>
      </c>
      <c r="R295" s="36" t="str">
        <f>IFERROR(__xludf.DUMMYFUNCTION("""COMPUTED_VALUE"""),"SELECCIONADO")</f>
        <v>SELECCIONADO</v>
      </c>
      <c r="S295" s="37">
        <f>IFERROR(__xludf.DUMMYFUNCTION("""COMPUTED_VALUE"""),42979.0)</f>
        <v>42979</v>
      </c>
      <c r="T295" s="34"/>
      <c r="U295" t="str">
        <f>IFERROR(__xludf.DUMMYFUNCTION("""COMPUTED_VALUE"""),"CLAUDIO PIZARRO MUÑOZ")</f>
        <v>CLAUDIO PIZARRO MUÑOZ</v>
      </c>
      <c r="V295" t="str">
        <f>IFERROR(__xludf.DUMMYFUNCTION("""COMPUTED_VALUE"""),"10228277-9")</f>
        <v>10228277-9</v>
      </c>
      <c r="W295" t="str">
        <f>IFERROR(__xludf.DUMMYFUNCTION("""COMPUTED_VALUE"""),"NO")</f>
        <v>NO</v>
      </c>
      <c r="AA295" s="38">
        <f>IFERROR(__xludf.DUMMYFUNCTION("""COMPUTED_VALUE"""),42874.0)</f>
        <v>42874</v>
      </c>
      <c r="AB295" s="38">
        <f>IFERROR(__xludf.DUMMYFUNCTION("""COMPUTED_VALUE"""),42881.0)</f>
        <v>42881</v>
      </c>
      <c r="AF295" s="39"/>
      <c r="AG295" s="39"/>
      <c r="AH295" s="34" t="str">
        <f>IFERROR(__xludf.DUMMYFUNCTION("""COMPUTED_VALUE"""),"PROCESO DE SELECCIÓN")</f>
        <v>PROCESO DE SELECCIÓN</v>
      </c>
      <c r="AI295" s="34" t="str">
        <f>IFERROR(__xludf.DUMMYFUNCTION("""COMPUTED_VALUE"""),"CARLOS VALENZUELA SALAZAR")</f>
        <v>CARLOS VALENZUELA SALAZAR</v>
      </c>
      <c r="AJ295" s="34"/>
      <c r="AK295" s="34"/>
      <c r="AL295">
        <f>IFERROR(__xludf.DUMMYFUNCTION("""COMPUTED_VALUE"""),71.0)</f>
        <v>71</v>
      </c>
      <c r="AM295">
        <f>IFERROR(__xludf.DUMMYFUNCTION("""COMPUTED_VALUE"""),2017.0)</f>
        <v>2017</v>
      </c>
      <c r="AN295" t="str">
        <f t="shared" si="1"/>
        <v>10228277-9</v>
      </c>
    </row>
    <row r="296">
      <c r="A296" s="33">
        <f>IFERROR(__xludf.DUMMYFUNCTION("""COMPUTED_VALUE"""),1.5632197E7)</f>
        <v>15632197</v>
      </c>
      <c r="B296" s="33">
        <f>IFERROR(__xludf.DUMMYFUNCTION("""COMPUTED_VALUE"""),72.0)</f>
        <v>72</v>
      </c>
      <c r="C296" s="33"/>
      <c r="D296" s="34" t="str">
        <f>IFERROR(__xludf.DUMMYFUNCTION("""COMPUTED_VALUE"""),"INGRESAR CENTRO DE COSTO A LA DERECHA")</f>
        <v>INGRESAR CENTRO DE COSTO A LA DERECHA</v>
      </c>
      <c r="E296" s="34" t="str">
        <f>IFERROR(__xludf.DUMMYFUNCTION("""COMPUTED_VALUE"""),"DPTO. DE CALIDAD Y ACREDITACION")</f>
        <v>DPTO. DE CALIDAD Y ACREDITACION</v>
      </c>
      <c r="F296" s="34" t="str">
        <f>IFERROR(__xludf.DUMMYFUNCTION("""COMPUTED_VALUE"""),"Jefe(a) de Área")</f>
        <v>Jefe(a) de Área</v>
      </c>
      <c r="G296" s="33" t="str">
        <f>IFERROR(__xludf.DUMMYFUNCTION("""COMPUTED_VALUE"""),"JEFE DE AREA ( ACREDITACION)")</f>
        <v>JEFE DE AREA ( ACREDITACION)</v>
      </c>
      <c r="H296">
        <f>IFERROR(__xludf.DUMMYFUNCTION("""COMPUTED_VALUE"""),6.0)</f>
        <v>6</v>
      </c>
      <c r="I296" s="34" t="str">
        <f>IFERROR(__xludf.DUMMYFUNCTION("""COMPUTED_VALUE"""),"Jornada Completa")</f>
        <v>Jornada Completa</v>
      </c>
      <c r="J296" s="33" t="str">
        <f>IFERROR(__xludf.DUMMYFUNCTION("""COMPUTED_VALUE"""),"A CONTRATA")</f>
        <v>A CONTRATA</v>
      </c>
      <c r="K296" s="33" t="str">
        <f>IFERROR(__xludf.DUMMYFUNCTION("""COMPUTED_VALUE"""),"PROFESIONAL")</f>
        <v>PROFESIONAL</v>
      </c>
      <c r="L296" s="34" t="str">
        <f>IFERROR(__xludf.DUMMYFUNCTION("""COMPUTED_VALUE"""),"INTERNO")</f>
        <v>INTERNO</v>
      </c>
      <c r="M296" s="34">
        <f>IFERROR(__xludf.DUMMYFUNCTION("""COMPUTED_VALUE"""),4.0)</f>
        <v>4</v>
      </c>
      <c r="N296" s="34" t="str">
        <f>IFERROR(__xludf.DUMMYFUNCTION("""COMPUTED_VALUE"""),"EXTERNO")</f>
        <v>EXTERNO</v>
      </c>
      <c r="O296">
        <f>IFERROR(__xludf.DUMMYFUNCTION("""COMPUTED_VALUE"""),12.0)</f>
        <v>12</v>
      </c>
      <c r="P296">
        <f>IFERROR(__xludf.DUMMYFUNCTION("""COMPUTED_VALUE"""),1.0)</f>
        <v>1</v>
      </c>
      <c r="Q296" s="35">
        <f>IFERROR(__xludf.DUMMYFUNCTION("""COMPUTED_VALUE"""),1.0)</f>
        <v>1</v>
      </c>
      <c r="R296" s="36" t="str">
        <f>IFERROR(__xludf.DUMMYFUNCTION("""COMPUTED_VALUE"""),"SELECCIONADA")</f>
        <v>SELECCIONADA</v>
      </c>
      <c r="S296" s="37">
        <f>IFERROR(__xludf.DUMMYFUNCTION("""COMPUTED_VALUE"""),42948.0)</f>
        <v>42948</v>
      </c>
      <c r="T296" s="34"/>
      <c r="U296" t="str">
        <f>IFERROR(__xludf.DUMMYFUNCTION("""COMPUTED_VALUE"""),"PAULA MUÑOZ VASQUEZ")</f>
        <v>PAULA MUÑOZ VASQUEZ</v>
      </c>
      <c r="V296" t="str">
        <f>IFERROR(__xludf.DUMMYFUNCTION("""COMPUTED_VALUE"""),"15632197-4")</f>
        <v>15632197-4</v>
      </c>
      <c r="W296" t="str">
        <f>IFERROR(__xludf.DUMMYFUNCTION("""COMPUTED_VALUE"""),"NO")</f>
        <v>NO</v>
      </c>
      <c r="AA296" s="38">
        <f>IFERROR(__xludf.DUMMYFUNCTION("""COMPUTED_VALUE"""),42920.0)</f>
        <v>42920</v>
      </c>
      <c r="AB296" s="38">
        <f>IFERROR(__xludf.DUMMYFUNCTION("""COMPUTED_VALUE"""),42923.0)</f>
        <v>42923</v>
      </c>
      <c r="AF296" s="39"/>
      <c r="AG296" s="39"/>
      <c r="AH296" s="34" t="str">
        <f>IFERROR(__xludf.DUMMYFUNCTION("""COMPUTED_VALUE"""),"PROCESO DE SELECCIÓN")</f>
        <v>PROCESO DE SELECCIÓN</v>
      </c>
      <c r="AI296" s="34" t="str">
        <f>IFERROR(__xludf.DUMMYFUNCTION("""COMPUTED_VALUE"""),"DORIS RODES")</f>
        <v>DORIS RODES</v>
      </c>
      <c r="AJ296" s="34"/>
      <c r="AK296" s="34"/>
      <c r="AL296">
        <f>IFERROR(__xludf.DUMMYFUNCTION("""COMPUTED_VALUE"""),18.0)</f>
        <v>18</v>
      </c>
      <c r="AM296">
        <f>IFERROR(__xludf.DUMMYFUNCTION("""COMPUTED_VALUE"""),2017.0)</f>
        <v>2017</v>
      </c>
      <c r="AN296" t="str">
        <f t="shared" si="1"/>
        <v>15632197-4</v>
      </c>
    </row>
    <row r="297">
      <c r="A297" s="33">
        <f>IFERROR(__xludf.DUMMYFUNCTION("""COMPUTED_VALUE"""),1.8114911E7)</f>
        <v>18114911</v>
      </c>
      <c r="B297" s="33">
        <f>IFERROR(__xludf.DUMMYFUNCTION("""COMPUTED_VALUE"""),73.0)</f>
        <v>73</v>
      </c>
      <c r="C297" s="33"/>
      <c r="D297" s="34" t="str">
        <f>IFERROR(__xludf.DUMMYFUNCTION("""COMPUTED_VALUE"""),"INGRESAR CENTRO DE COSTO A LA DERECHA")</f>
        <v>INGRESAR CENTRO DE COSTO A LA DERECHA</v>
      </c>
      <c r="E297" s="34" t="str">
        <f>IFERROR(__xludf.DUMMYFUNCTION("""COMPUTED_VALUE"""),"DPTO. DE CALIDAD Y ACREDITACION")</f>
        <v>DPTO. DE CALIDAD Y ACREDITACION</v>
      </c>
      <c r="F297" s="34" t="str">
        <f>IFERROR(__xludf.DUMMYFUNCTION("""COMPUTED_VALUE"""),"Analista de Acreditación")</f>
        <v>Analista de Acreditación</v>
      </c>
      <c r="G297" s="33" t="str">
        <f>IFERROR(__xludf.DUMMYFUNCTION("""COMPUTED_VALUE"""),"ANALISTA DE ACREDITACIÓN")</f>
        <v>ANALISTA DE ACREDITACIÓN</v>
      </c>
      <c r="H297">
        <f>IFERROR(__xludf.DUMMYFUNCTION("""COMPUTED_VALUE"""),8.0)</f>
        <v>8</v>
      </c>
      <c r="I297" s="34" t="str">
        <f>IFERROR(__xludf.DUMMYFUNCTION("""COMPUTED_VALUE"""),"Jornada Completa")</f>
        <v>Jornada Completa</v>
      </c>
      <c r="J297" s="33" t="str">
        <f>IFERROR(__xludf.DUMMYFUNCTION("""COMPUTED_VALUE"""),"A CONTRATA")</f>
        <v>A CONTRATA</v>
      </c>
      <c r="K297" s="33" t="str">
        <f>IFERROR(__xludf.DUMMYFUNCTION("""COMPUTED_VALUE"""),"PROFESIONAL")</f>
        <v>PROFESIONAL</v>
      </c>
      <c r="L297" s="34" t="str">
        <f>IFERROR(__xludf.DUMMYFUNCTION("""COMPUTED_VALUE"""),"INTERNO")</f>
        <v>INTERNO</v>
      </c>
      <c r="M297" s="34">
        <f>IFERROR(__xludf.DUMMYFUNCTION("""COMPUTED_VALUE"""),0.0)</f>
        <v>0</v>
      </c>
      <c r="N297" s="34" t="str">
        <f>IFERROR(__xludf.DUMMYFUNCTION("""COMPUTED_VALUE"""),"EXTERNO")</f>
        <v>EXTERNO</v>
      </c>
      <c r="O297">
        <f>IFERROR(__xludf.DUMMYFUNCTION("""COMPUTED_VALUE"""),9.0)</f>
        <v>9</v>
      </c>
      <c r="P297">
        <f>IFERROR(__xludf.DUMMYFUNCTION("""COMPUTED_VALUE"""),3.0)</f>
        <v>3</v>
      </c>
      <c r="Q297" s="35">
        <f>IFERROR(__xludf.DUMMYFUNCTION("""COMPUTED_VALUE"""),2.0)</f>
        <v>2</v>
      </c>
      <c r="R297" s="36" t="str">
        <f>IFERROR(__xludf.DUMMYFUNCTION("""COMPUTED_VALUE"""),"SELECCIONADA")</f>
        <v>SELECCIONADA</v>
      </c>
      <c r="S297" s="37">
        <f>IFERROR(__xludf.DUMMYFUNCTION("""COMPUTED_VALUE"""),42979.0)</f>
        <v>42979</v>
      </c>
      <c r="T297" s="34"/>
      <c r="U297" t="str">
        <f>IFERROR(__xludf.DUMMYFUNCTION("""COMPUTED_VALUE"""),"ROCIO JEREZ NUÑEZ")</f>
        <v>ROCIO JEREZ NUÑEZ</v>
      </c>
      <c r="V297" t="str">
        <f>IFERROR(__xludf.DUMMYFUNCTION("""COMPUTED_VALUE"""),"18114911-6")</f>
        <v>18114911-6</v>
      </c>
      <c r="W297" t="str">
        <f>IFERROR(__xludf.DUMMYFUNCTION("""COMPUTED_VALUE"""),"NO")</f>
        <v>NO</v>
      </c>
      <c r="AA297" s="38">
        <f>IFERROR(__xludf.DUMMYFUNCTION("""COMPUTED_VALUE"""),42929.0)</f>
        <v>42929</v>
      </c>
      <c r="AB297" s="38">
        <f>IFERROR(__xludf.DUMMYFUNCTION("""COMPUTED_VALUE"""),42934.0)</f>
        <v>42934</v>
      </c>
      <c r="AF297" s="39"/>
      <c r="AG297" s="39"/>
      <c r="AH297" s="34" t="str">
        <f>IFERROR(__xludf.DUMMYFUNCTION("""COMPUTED_VALUE"""),"PROCESO DE SELECCIÓN")</f>
        <v>PROCESO DE SELECCIÓN</v>
      </c>
      <c r="AI297" s="34" t="str">
        <f>IFERROR(__xludf.DUMMYFUNCTION("""COMPUTED_VALUE"""),"VICTOR SOTO VALDIVIA")</f>
        <v>VICTOR SOTO VALDIVIA</v>
      </c>
      <c r="AJ297" s="34"/>
      <c r="AK297" s="34"/>
      <c r="AL297">
        <f>IFERROR(__xludf.DUMMYFUNCTION("""COMPUTED_VALUE"""),34.0)</f>
        <v>34</v>
      </c>
      <c r="AM297">
        <f>IFERROR(__xludf.DUMMYFUNCTION("""COMPUTED_VALUE"""),2017.0)</f>
        <v>2017</v>
      </c>
      <c r="AN297" t="str">
        <f t="shared" si="1"/>
        <v>18114911-6</v>
      </c>
    </row>
    <row r="298">
      <c r="A298" s="33">
        <f>IFERROR(__xludf.DUMMYFUNCTION("""COMPUTED_VALUE"""),1.6331696E7)</f>
        <v>16331696</v>
      </c>
      <c r="B298" s="33">
        <f>IFERROR(__xludf.DUMMYFUNCTION("""COMPUTED_VALUE"""),74.0)</f>
        <v>74</v>
      </c>
      <c r="C298" s="33"/>
      <c r="D298" s="34" t="str">
        <f>IFERROR(__xludf.DUMMYFUNCTION("""COMPUTED_VALUE"""),"INGRESAR CENTRO DE COSTO A LA DERECHA")</f>
        <v>INGRESAR CENTRO DE COSTO A LA DERECHA</v>
      </c>
      <c r="E298" s="34" t="str">
        <f>IFERROR(__xludf.DUMMYFUNCTION("""COMPUTED_VALUE"""),"ESCUELA DE ARQUITECTURA")</f>
        <v>ESCUELA DE ARQUITECTURA</v>
      </c>
      <c r="F298" s="34" t="str">
        <f>IFERROR(__xludf.DUMMYFUNCTION("""COMPUTED_VALUE"""),"Bibliotecario(a)")</f>
        <v>Bibliotecario(a)</v>
      </c>
      <c r="G298" s="33" t="str">
        <f>IFERROR(__xludf.DUMMYFUNCTION("""COMPUTED_VALUE"""),"BIBLIOTECARIO")</f>
        <v>BIBLIOTECARIO</v>
      </c>
      <c r="H298">
        <f>IFERROR(__xludf.DUMMYFUNCTION("""COMPUTED_VALUE"""),14.0)</f>
        <v>14</v>
      </c>
      <c r="I298" s="34" t="str">
        <f>IFERROR(__xludf.DUMMYFUNCTION("""COMPUTED_VALUE"""),"Jornada Completa")</f>
        <v>Jornada Completa</v>
      </c>
      <c r="J298" s="33" t="str">
        <f>IFERROR(__xludf.DUMMYFUNCTION("""COMPUTED_VALUE"""),"A CONTRATA")</f>
        <v>A CONTRATA</v>
      </c>
      <c r="K298" s="33" t="str">
        <f>IFERROR(__xludf.DUMMYFUNCTION("""COMPUTED_VALUE"""),"PROFESIONAL")</f>
        <v>PROFESIONAL</v>
      </c>
      <c r="L298" s="34" t="str">
        <f>IFERROR(__xludf.DUMMYFUNCTION("""COMPUTED_VALUE"""),"INTERNO")</f>
        <v>INTERNO</v>
      </c>
      <c r="M298" s="34">
        <f>IFERROR(__xludf.DUMMYFUNCTION("""COMPUTED_VALUE"""),0.0)</f>
        <v>0</v>
      </c>
      <c r="N298" s="34" t="str">
        <f>IFERROR(__xludf.DUMMYFUNCTION("""COMPUTED_VALUE"""),"EXTERNO")</f>
        <v>EXTERNO</v>
      </c>
      <c r="O298">
        <f>IFERROR(__xludf.DUMMYFUNCTION("""COMPUTED_VALUE"""),40.0)</f>
        <v>40</v>
      </c>
      <c r="P298">
        <f>IFERROR(__xludf.DUMMYFUNCTION("""COMPUTED_VALUE"""),3.0)</f>
        <v>3</v>
      </c>
      <c r="Q298" s="35">
        <f>IFERROR(__xludf.DUMMYFUNCTION("""COMPUTED_VALUE"""),1.0)</f>
        <v>1</v>
      </c>
      <c r="R298" s="36" t="str">
        <f>IFERROR(__xludf.DUMMYFUNCTION("""COMPUTED_VALUE"""),"SELECCIONADO")</f>
        <v>SELECCIONADO</v>
      </c>
      <c r="S298" s="37">
        <f>IFERROR(__xludf.DUMMYFUNCTION("""COMPUTED_VALUE"""),43038.0)</f>
        <v>43038</v>
      </c>
      <c r="T298" s="34"/>
      <c r="U298" t="str">
        <f>IFERROR(__xludf.DUMMYFUNCTION("""COMPUTED_VALUE"""),"DANILO LARENAS FARIAS")</f>
        <v>DANILO LARENAS FARIAS</v>
      </c>
      <c r="V298" t="str">
        <f>IFERROR(__xludf.DUMMYFUNCTION("""COMPUTED_VALUE"""),"16331696-K")</f>
        <v>16331696-K</v>
      </c>
      <c r="W298" t="str">
        <f>IFERROR(__xludf.DUMMYFUNCTION("""COMPUTED_VALUE"""),"SI")</f>
        <v>SI</v>
      </c>
      <c r="X298" t="str">
        <f>IFERROR(__xludf.DUMMYFUNCTION("""COMPUTED_VALUE"""),"TRABAJO EN EQUIPO")</f>
        <v>TRABAJO EN EQUIPO</v>
      </c>
      <c r="Y298" t="str">
        <f>IFERROR(__xludf.DUMMYFUNCTION("""COMPUTED_VALUE"""),"COMUNICACION")</f>
        <v>COMUNICACION</v>
      </c>
      <c r="AA298" s="38">
        <f>IFERROR(__xludf.DUMMYFUNCTION("""COMPUTED_VALUE"""),42954.0)</f>
        <v>42954</v>
      </c>
      <c r="AB298" s="38">
        <f>IFERROR(__xludf.DUMMYFUNCTION("""COMPUTED_VALUE"""),42961.0)</f>
        <v>42961</v>
      </c>
      <c r="AF298" s="39"/>
      <c r="AG298" s="39"/>
      <c r="AH298" s="34" t="str">
        <f>IFERROR(__xludf.DUMMYFUNCTION("""COMPUTED_VALUE"""),"PROCESO DE SELECCIÓN")</f>
        <v>PROCESO DE SELECCIÓN</v>
      </c>
      <c r="AI298" s="34" t="str">
        <f>IFERROR(__xludf.DUMMYFUNCTION("""COMPUTED_VALUE"""),"MABEL MATSUMOTO JIMENEZ")</f>
        <v>MABEL MATSUMOTO JIMENEZ</v>
      </c>
      <c r="AJ298" s="34"/>
      <c r="AK298" s="34"/>
      <c r="AL298">
        <f>IFERROR(__xludf.DUMMYFUNCTION("""COMPUTED_VALUE"""),56.0)</f>
        <v>56</v>
      </c>
      <c r="AM298">
        <f>IFERROR(__xludf.DUMMYFUNCTION("""COMPUTED_VALUE"""),2017.0)</f>
        <v>2017</v>
      </c>
      <c r="AN298" t="str">
        <f t="shared" si="1"/>
        <v>16331696-K</v>
      </c>
    </row>
    <row r="299">
      <c r="A299" s="33">
        <f>IFERROR(__xludf.DUMMYFUNCTION("""COMPUTED_VALUE"""),1.9270779E7)</f>
        <v>19270779</v>
      </c>
      <c r="B299" s="33">
        <f>IFERROR(__xludf.DUMMYFUNCTION("""COMPUTED_VALUE"""),75.0)</f>
        <v>75</v>
      </c>
      <c r="C299" s="33"/>
      <c r="D299" s="34" t="str">
        <f>IFERROR(__xludf.DUMMYFUNCTION("""COMPUTED_VALUE"""),"INGRESAR CENTRO DE COSTO A LA DERECHA")</f>
        <v>INGRESAR CENTRO DE COSTO A LA DERECHA</v>
      </c>
      <c r="E299" s="34" t="str">
        <f>IFERROR(__xludf.DUMMYFUNCTION("""COMPUTED_VALUE"""),"SECRETARIA GENERAL")</f>
        <v>SECRETARIA GENERAL</v>
      </c>
      <c r="F299" s="34" t="str">
        <f>IFERROR(__xludf.DUMMYFUNCTION("""COMPUTED_VALUE"""),"Administrativo(a) de Apoyo")</f>
        <v>Administrativo(a) de Apoyo</v>
      </c>
      <c r="G299" s="33" t="str">
        <f>IFERROR(__xludf.DUMMYFUNCTION("""COMPUTED_VALUE"""),"ADMINISTRATIVO APOYO DE OFICINA DE PARTES CENTRAL")</f>
        <v>ADMINISTRATIVO APOYO DE OFICINA DE PARTES CENTRAL</v>
      </c>
      <c r="H299">
        <f>IFERROR(__xludf.DUMMYFUNCTION("""COMPUTED_VALUE"""),20.0)</f>
        <v>20</v>
      </c>
      <c r="I299" s="34" t="str">
        <f>IFERROR(__xludf.DUMMYFUNCTION("""COMPUTED_VALUE"""),"Jornada Completa")</f>
        <v>Jornada Completa</v>
      </c>
      <c r="J299" s="33" t="str">
        <f>IFERROR(__xludf.DUMMYFUNCTION("""COMPUTED_VALUE"""),"A CONTRATA")</f>
        <v>A CONTRATA</v>
      </c>
      <c r="K299" s="33" t="str">
        <f>IFERROR(__xludf.DUMMYFUNCTION("""COMPUTED_VALUE"""),"ADMINISTRATIVO")</f>
        <v>ADMINISTRATIVO</v>
      </c>
      <c r="L299" s="34" t="str">
        <f>IFERROR(__xludf.DUMMYFUNCTION("""COMPUTED_VALUE"""),"NO")</f>
        <v>NO</v>
      </c>
      <c r="M299" s="34">
        <f>IFERROR(__xludf.DUMMYFUNCTION("""COMPUTED_VALUE"""),0.0)</f>
        <v>0</v>
      </c>
      <c r="N299" s="34" t="str">
        <f>IFERROR(__xludf.DUMMYFUNCTION("""COMPUTED_VALUE"""),"EXTERNO")</f>
        <v>EXTERNO</v>
      </c>
      <c r="O299">
        <f>IFERROR(__xludf.DUMMYFUNCTION("""COMPUTED_VALUE"""),10.0)</f>
        <v>10</v>
      </c>
      <c r="P299">
        <f>IFERROR(__xludf.DUMMYFUNCTION("""COMPUTED_VALUE"""),1.0)</f>
        <v>1</v>
      </c>
      <c r="Q299" s="35">
        <f>IFERROR(__xludf.DUMMYFUNCTION("""COMPUTED_VALUE"""),1.0)</f>
        <v>1</v>
      </c>
      <c r="R299" s="36" t="str">
        <f>IFERROR(__xludf.DUMMYFUNCTION("""COMPUTED_VALUE"""),"SELECCIONADA")</f>
        <v>SELECCIONADA</v>
      </c>
      <c r="S299" s="37">
        <f>IFERROR(__xludf.DUMMYFUNCTION("""COMPUTED_VALUE"""),43031.0)</f>
        <v>43031</v>
      </c>
      <c r="T299" s="34"/>
      <c r="U299" t="str">
        <f>IFERROR(__xludf.DUMMYFUNCTION("""COMPUTED_VALUE"""),"ISABEL SAEZ SALAS")</f>
        <v>ISABEL SAEZ SALAS</v>
      </c>
      <c r="V299" t="str">
        <f>IFERROR(__xludf.DUMMYFUNCTION("""COMPUTED_VALUE"""),"19270779-K")</f>
        <v>19270779-K</v>
      </c>
      <c r="W299" t="str">
        <f>IFERROR(__xludf.DUMMYFUNCTION("""COMPUTED_VALUE"""),"NO")</f>
        <v>NO</v>
      </c>
      <c r="AA299" s="38">
        <f>IFERROR(__xludf.DUMMYFUNCTION("""COMPUTED_VALUE"""),42972.0)</f>
        <v>42972</v>
      </c>
      <c r="AB299" s="38">
        <f>IFERROR(__xludf.DUMMYFUNCTION("""COMPUTED_VALUE"""),42979.0)</f>
        <v>42979</v>
      </c>
      <c r="AF299" s="39"/>
      <c r="AG299" s="39"/>
      <c r="AH299" s="34" t="str">
        <f>IFERROR(__xludf.DUMMYFUNCTION("""COMPUTED_VALUE"""),"PROCESO DE SELECCIÓN")</f>
        <v>PROCESO DE SELECCIÓN</v>
      </c>
      <c r="AI299" s="34" t="str">
        <f>IFERROR(__xludf.DUMMYFUNCTION("""COMPUTED_VALUE"""),"RENE ESTAY ZORRICUETA")</f>
        <v>RENE ESTAY ZORRICUETA</v>
      </c>
      <c r="AJ299" s="34"/>
      <c r="AK299" s="34"/>
      <c r="AL299">
        <f>IFERROR(__xludf.DUMMYFUNCTION("""COMPUTED_VALUE"""),37.0)</f>
        <v>37</v>
      </c>
      <c r="AM299">
        <f>IFERROR(__xludf.DUMMYFUNCTION("""COMPUTED_VALUE"""),2017.0)</f>
        <v>2017</v>
      </c>
      <c r="AN299" t="str">
        <f t="shared" si="1"/>
        <v>19270779-K</v>
      </c>
    </row>
    <row r="300">
      <c r="A300" s="33">
        <f>IFERROR(__xludf.DUMMYFUNCTION("""COMPUTED_VALUE"""),1.2471794E7)</f>
        <v>12471794</v>
      </c>
      <c r="B300" s="33">
        <f>IFERROR(__xludf.DUMMYFUNCTION("""COMPUTED_VALUE"""),76.0)</f>
        <v>76</v>
      </c>
      <c r="C300" s="33"/>
      <c r="D300" s="34" t="str">
        <f>IFERROR(__xludf.DUMMYFUNCTION("""COMPUTED_VALUE"""),"INGRESAR CENTRO DE COSTO A LA DERECHA")</f>
        <v>INGRESAR CENTRO DE COSTO A LA DERECHA</v>
      </c>
      <c r="E300" s="34" t="str">
        <f>IFERROR(__xludf.DUMMYFUNCTION("""COMPUTED_VALUE"""),"DPTO. DE RECURSOS HUMANOS")</f>
        <v>DPTO. DE RECURSOS HUMANOS</v>
      </c>
      <c r="F300" s="34" t="str">
        <f>IFERROR(__xludf.DUMMYFUNCTION("""COMPUTED_VALUE"""),"Administrativo(a) de Recursos Humanos")</f>
        <v>Administrativo(a) de Recursos Humanos</v>
      </c>
      <c r="G300" s="33" t="str">
        <f>IFERROR(__xludf.DUMMYFUNCTION("""COMPUTED_VALUE"""),"ADMINISTRATIVO DE RECURSOS HUMANOS")</f>
        <v>ADMINISTRATIVO DE RECURSOS HUMANOS</v>
      </c>
      <c r="H300">
        <f>IFERROR(__xludf.DUMMYFUNCTION("""COMPUTED_VALUE"""),17.0)</f>
        <v>17</v>
      </c>
      <c r="I300" s="34" t="str">
        <f>IFERROR(__xludf.DUMMYFUNCTION("""COMPUTED_VALUE"""),"Jornada Completa")</f>
        <v>Jornada Completa</v>
      </c>
      <c r="J300" s="33" t="str">
        <f>IFERROR(__xludf.DUMMYFUNCTION("""COMPUTED_VALUE"""),"A CONTRATA")</f>
        <v>A CONTRATA</v>
      </c>
      <c r="K300" s="33" t="str">
        <f>IFERROR(__xludf.DUMMYFUNCTION("""COMPUTED_VALUE"""),"ADMINISTRATIVO")</f>
        <v>ADMINISTRATIVO</v>
      </c>
      <c r="L300" s="34" t="str">
        <f>IFERROR(__xludf.DUMMYFUNCTION("""COMPUTED_VALUE"""),"INTERNO")</f>
        <v>INTERNO</v>
      </c>
      <c r="M300" s="34">
        <f>IFERROR(__xludf.DUMMYFUNCTION("""COMPUTED_VALUE"""),1.0)</f>
        <v>1</v>
      </c>
      <c r="N300" s="34" t="str">
        <f>IFERROR(__xludf.DUMMYFUNCTION("""COMPUTED_VALUE"""),"EXTERNO")</f>
        <v>EXTERNO</v>
      </c>
      <c r="O300">
        <f>IFERROR(__xludf.DUMMYFUNCTION("""COMPUTED_VALUE"""),17.0)</f>
        <v>17</v>
      </c>
      <c r="P300">
        <f>IFERROR(__xludf.DUMMYFUNCTION("""COMPUTED_VALUE"""),3.0)</f>
        <v>3</v>
      </c>
      <c r="Q300" s="35">
        <f>IFERROR(__xludf.DUMMYFUNCTION("""COMPUTED_VALUE"""),1.0)</f>
        <v>1</v>
      </c>
      <c r="R300" s="36" t="str">
        <f>IFERROR(__xludf.DUMMYFUNCTION("""COMPUTED_VALUE"""),"SELECCIONADO")</f>
        <v>SELECCIONADO</v>
      </c>
      <c r="S300" s="37">
        <f>IFERROR(__xludf.DUMMYFUNCTION("""COMPUTED_VALUE"""),43010.0)</f>
        <v>43010</v>
      </c>
      <c r="T300" s="34"/>
      <c r="U300" t="str">
        <f>IFERROR(__xludf.DUMMYFUNCTION("""COMPUTED_VALUE"""),"RODRIGO AGUILAR AVENDAÑO")</f>
        <v>RODRIGO AGUILAR AVENDAÑO</v>
      </c>
      <c r="V300" t="str">
        <f>IFERROR(__xludf.DUMMYFUNCTION("""COMPUTED_VALUE"""),"12471794-9")</f>
        <v>12471794-9</v>
      </c>
      <c r="W300" t="str">
        <f>IFERROR(__xludf.DUMMYFUNCTION("""COMPUTED_VALUE"""),"NO")</f>
        <v>NO</v>
      </c>
      <c r="AA300" s="38">
        <f>IFERROR(__xludf.DUMMYFUNCTION("""COMPUTED_VALUE"""),42934.0)</f>
        <v>42934</v>
      </c>
      <c r="AB300" s="38">
        <f>IFERROR(__xludf.DUMMYFUNCTION("""COMPUTED_VALUE"""),42941.0)</f>
        <v>42941</v>
      </c>
      <c r="AF300" s="39"/>
      <c r="AG300" s="39"/>
      <c r="AH300" s="34" t="str">
        <f>IFERROR(__xludf.DUMMYFUNCTION("""COMPUTED_VALUE"""),"PROCESO DE SELECCIÓN")</f>
        <v>PROCESO DE SELECCIÓN</v>
      </c>
      <c r="AI300" s="34" t="str">
        <f>IFERROR(__xludf.DUMMYFUNCTION("""COMPUTED_VALUE"""),"BUSCAR")</f>
        <v>BUSCAR</v>
      </c>
      <c r="AJ300" s="34"/>
      <c r="AK300" s="34"/>
      <c r="AL300">
        <f>IFERROR(__xludf.DUMMYFUNCTION("""COMPUTED_VALUE"""),50.0)</f>
        <v>50</v>
      </c>
      <c r="AM300">
        <f>IFERROR(__xludf.DUMMYFUNCTION("""COMPUTED_VALUE"""),2017.0)</f>
        <v>2017</v>
      </c>
      <c r="AN300" t="str">
        <f t="shared" si="1"/>
        <v>12471794-9</v>
      </c>
    </row>
    <row r="301">
      <c r="A301" s="33">
        <f>IFERROR(__xludf.DUMMYFUNCTION("""COMPUTED_VALUE"""),1.5932149E7)</f>
        <v>15932149</v>
      </c>
      <c r="B301" s="33">
        <f>IFERROR(__xludf.DUMMYFUNCTION("""COMPUTED_VALUE"""),77.0)</f>
        <v>77</v>
      </c>
      <c r="C301" s="33"/>
      <c r="D301" s="34" t="str">
        <f>IFERROR(__xludf.DUMMYFUNCTION("""COMPUTED_VALUE"""),"INGRESAR CENTRO DE COSTO A LA DERECHA")</f>
        <v>INGRESAR CENTRO DE COSTO A LA DERECHA</v>
      </c>
      <c r="E301" s="34" t="str">
        <f>IFERROR(__xludf.DUMMYFUNCTION("""COMPUTED_VALUE"""),"DPTO. DE RECURSOS HUMANOS")</f>
        <v>DPTO. DE RECURSOS HUMANOS</v>
      </c>
      <c r="F301" s="34" t="str">
        <f>IFERROR(__xludf.DUMMYFUNCTION("""COMPUTED_VALUE"""),"Administrativo(a) de Recursos Humanos")</f>
        <v>Administrativo(a) de Recursos Humanos</v>
      </c>
      <c r="G301" s="33" t="str">
        <f>IFERROR(__xludf.DUMMYFUNCTION("""COMPUTED_VALUE"""),"ADMINISTRATIVO DE RECURSOS HUMANOS")</f>
        <v>ADMINISTRATIVO DE RECURSOS HUMANOS</v>
      </c>
      <c r="H301">
        <f>IFERROR(__xludf.DUMMYFUNCTION("""COMPUTED_VALUE"""),17.0)</f>
        <v>17</v>
      </c>
      <c r="I301" s="34" t="str">
        <f>IFERROR(__xludf.DUMMYFUNCTION("""COMPUTED_VALUE"""),"Jornada Completa")</f>
        <v>Jornada Completa</v>
      </c>
      <c r="J301" s="33" t="str">
        <f>IFERROR(__xludf.DUMMYFUNCTION("""COMPUTED_VALUE"""),"A CONTRATA")</f>
        <v>A CONTRATA</v>
      </c>
      <c r="K301" s="33" t="str">
        <f>IFERROR(__xludf.DUMMYFUNCTION("""COMPUTED_VALUE"""),"ADMINISTRATIVO")</f>
        <v>ADMINISTRATIVO</v>
      </c>
      <c r="L301" s="34" t="str">
        <f>IFERROR(__xludf.DUMMYFUNCTION("""COMPUTED_VALUE"""),"INTERNO")</f>
        <v>INTERNO</v>
      </c>
      <c r="M301" s="34">
        <f>IFERROR(__xludf.DUMMYFUNCTION("""COMPUTED_VALUE"""),1.0)</f>
        <v>1</v>
      </c>
      <c r="N301" s="34" t="str">
        <f>IFERROR(__xludf.DUMMYFUNCTION("""COMPUTED_VALUE"""),"EXTERNO")</f>
        <v>EXTERNO</v>
      </c>
      <c r="O301">
        <f>IFERROR(__xludf.DUMMYFUNCTION("""COMPUTED_VALUE"""),17.0)</f>
        <v>17</v>
      </c>
      <c r="P301">
        <f>IFERROR(__xludf.DUMMYFUNCTION("""COMPUTED_VALUE"""),3.0)</f>
        <v>3</v>
      </c>
      <c r="Q301" s="35">
        <f>IFERROR(__xludf.DUMMYFUNCTION("""COMPUTED_VALUE"""),1.0)</f>
        <v>1</v>
      </c>
      <c r="R301" s="36" t="str">
        <f>IFERROR(__xludf.DUMMYFUNCTION("""COMPUTED_VALUE"""),"SELECCIONADO")</f>
        <v>SELECCIONADO</v>
      </c>
      <c r="S301" s="37">
        <f>IFERROR(__xludf.DUMMYFUNCTION("""COMPUTED_VALUE"""),43010.0)</f>
        <v>43010</v>
      </c>
      <c r="T301" s="34"/>
      <c r="U301" t="str">
        <f>IFERROR(__xludf.DUMMYFUNCTION("""COMPUTED_VALUE"""),"RAMON CARVAJAL NANJARI")</f>
        <v>RAMON CARVAJAL NANJARI</v>
      </c>
      <c r="V301" t="str">
        <f>IFERROR(__xludf.DUMMYFUNCTION("""COMPUTED_VALUE"""),"15932149-5")</f>
        <v>15932149-5</v>
      </c>
      <c r="W301" t="str">
        <f>IFERROR(__xludf.DUMMYFUNCTION("""COMPUTED_VALUE"""),"SI")</f>
        <v>SI</v>
      </c>
      <c r="X301" t="str">
        <f>IFERROR(__xludf.DUMMYFUNCTION("""COMPUTED_VALUE"""),"TRABAJO EN EQUIPO")</f>
        <v>TRABAJO EN EQUIPO</v>
      </c>
      <c r="AA301" s="38">
        <f>IFERROR(__xludf.DUMMYFUNCTION("""COMPUTED_VALUE"""),42934.0)</f>
        <v>42934</v>
      </c>
      <c r="AB301" s="38">
        <f>IFERROR(__xludf.DUMMYFUNCTION("""COMPUTED_VALUE"""),42941.0)</f>
        <v>42941</v>
      </c>
      <c r="AF301" s="39"/>
      <c r="AG301" s="39"/>
      <c r="AH301" s="34" t="str">
        <f>IFERROR(__xludf.DUMMYFUNCTION("""COMPUTED_VALUE"""),"PROCESO DE SELECCIÓN")</f>
        <v>PROCESO DE SELECCIÓN</v>
      </c>
      <c r="AI301" s="34" t="str">
        <f>IFERROR(__xludf.DUMMYFUNCTION("""COMPUTED_VALUE"""),"BUSCAR")</f>
        <v>BUSCAR</v>
      </c>
      <c r="AJ301" s="34"/>
      <c r="AK301" s="34"/>
      <c r="AL301">
        <f>IFERROR(__xludf.DUMMYFUNCTION("""COMPUTED_VALUE"""),50.0)</f>
        <v>50</v>
      </c>
      <c r="AM301">
        <f>IFERROR(__xludf.DUMMYFUNCTION("""COMPUTED_VALUE"""),2017.0)</f>
        <v>2017</v>
      </c>
      <c r="AN301" t="str">
        <f t="shared" si="1"/>
        <v>15932149-5</v>
      </c>
    </row>
    <row r="302">
      <c r="A302" s="33">
        <f>IFERROR(__xludf.DUMMYFUNCTION("""COMPUTED_VALUE"""),1.3438545E7)</f>
        <v>13438545</v>
      </c>
      <c r="B302" s="33">
        <f>IFERROR(__xludf.DUMMYFUNCTION("""COMPUTED_VALUE"""),78.0)</f>
        <v>78</v>
      </c>
      <c r="C302" s="33"/>
      <c r="D302" s="34" t="str">
        <f>IFERROR(__xludf.DUMMYFUNCTION("""COMPUTED_VALUE"""),"INGRESAR CENTRO DE COSTO A LA DERECHA")</f>
        <v>INGRESAR CENTRO DE COSTO A LA DERECHA</v>
      </c>
      <c r="E302" s="34" t="str">
        <f>IFERROR(__xludf.DUMMYFUNCTION("""COMPUTED_VALUE"""),"DPTO. DE INGENIERIA METALURGICA")</f>
        <v>DPTO. DE INGENIERIA METALURGICA</v>
      </c>
      <c r="F302" s="34" t="str">
        <f>IFERROR(__xludf.DUMMYFUNCTION("""COMPUTED_VALUE"""),"Secretario(a) B")</f>
        <v>Secretario(a) B</v>
      </c>
      <c r="G302" s="33" t="str">
        <f>IFERROR(__xludf.DUMMYFUNCTION("""COMPUTED_VALUE"""),"SECRETARIA (B) DE DIRECCION")</f>
        <v>SECRETARIA (B) DE DIRECCION</v>
      </c>
      <c r="H302">
        <f>IFERROR(__xludf.DUMMYFUNCTION("""COMPUTED_VALUE"""),17.0)</f>
        <v>17</v>
      </c>
      <c r="I302" s="34" t="str">
        <f>IFERROR(__xludf.DUMMYFUNCTION("""COMPUTED_VALUE"""),"Jornada Completa")</f>
        <v>Jornada Completa</v>
      </c>
      <c r="J302" s="33" t="str">
        <f>IFERROR(__xludf.DUMMYFUNCTION("""COMPUTED_VALUE"""),"A CONTRATA")</f>
        <v>A CONTRATA</v>
      </c>
      <c r="K302" s="33" t="str">
        <f>IFERROR(__xludf.DUMMYFUNCTION("""COMPUTED_VALUE"""),"ADMINISTRATIVO")</f>
        <v>ADMINISTRATIVO</v>
      </c>
      <c r="L302" s="34" t="str">
        <f>IFERROR(__xludf.DUMMYFUNCTION("""COMPUTED_VALUE"""),"INTERNO")</f>
        <v>INTERNO</v>
      </c>
      <c r="M302" s="34">
        <f>IFERROR(__xludf.DUMMYFUNCTION("""COMPUTED_VALUE"""),1.0)</f>
        <v>1</v>
      </c>
      <c r="N302" s="34" t="str">
        <f>IFERROR(__xludf.DUMMYFUNCTION("""COMPUTED_VALUE"""),"EXTERNO")</f>
        <v>EXTERNO</v>
      </c>
      <c r="O302">
        <f>IFERROR(__xludf.DUMMYFUNCTION("""COMPUTED_VALUE"""),12.0)</f>
        <v>12</v>
      </c>
      <c r="P302">
        <f>IFERROR(__xludf.DUMMYFUNCTION("""COMPUTED_VALUE"""),1.0)</f>
        <v>1</v>
      </c>
      <c r="Q302" s="35">
        <f>IFERROR(__xludf.DUMMYFUNCTION("""COMPUTED_VALUE"""),1.0)</f>
        <v>1</v>
      </c>
      <c r="R302" s="36" t="str">
        <f>IFERROR(__xludf.DUMMYFUNCTION("""COMPUTED_VALUE"""),"SELECCIONADA")</f>
        <v>SELECCIONADA</v>
      </c>
      <c r="S302" s="37">
        <f>IFERROR(__xludf.DUMMYFUNCTION("""COMPUTED_VALUE"""),42917.0)</f>
        <v>42917</v>
      </c>
      <c r="T302" s="34"/>
      <c r="U302" t="str">
        <f>IFERROR(__xludf.DUMMYFUNCTION("""COMPUTED_VALUE"""),"VALESKA ARELLANO ARELLANO")</f>
        <v>VALESKA ARELLANO ARELLANO</v>
      </c>
      <c r="V302" t="str">
        <f>IFERROR(__xludf.DUMMYFUNCTION("""COMPUTED_VALUE"""),"13438545-6")</f>
        <v>13438545-6</v>
      </c>
      <c r="W302" t="str">
        <f>IFERROR(__xludf.DUMMYFUNCTION("""COMPUTED_VALUE"""),"NO")</f>
        <v>NO</v>
      </c>
      <c r="AA302" s="38">
        <f>IFERROR(__xludf.DUMMYFUNCTION("""COMPUTED_VALUE"""),42843.0)</f>
        <v>42843</v>
      </c>
      <c r="AB302" s="38">
        <f>IFERROR(__xludf.DUMMYFUNCTION("""COMPUTED_VALUE"""),42850.0)</f>
        <v>42850</v>
      </c>
      <c r="AF302" s="39"/>
      <c r="AG302" s="39"/>
      <c r="AH302" s="34" t="str">
        <f>IFERROR(__xludf.DUMMYFUNCTION("""COMPUTED_VALUE"""),"PROCESO DE SELECCIÓN")</f>
        <v>PROCESO DE SELECCIÓN</v>
      </c>
      <c r="AI302" s="34" t="str">
        <f>IFERROR(__xludf.DUMMYFUNCTION("""COMPUTED_VALUE"""),"FLOR REYES CARO")</f>
        <v>FLOR REYES CARO</v>
      </c>
      <c r="AJ302" s="34"/>
      <c r="AK302" s="34"/>
      <c r="AL302">
        <f>IFERROR(__xludf.DUMMYFUNCTION("""COMPUTED_VALUE"""),49.0)</f>
        <v>49</v>
      </c>
      <c r="AM302">
        <f>IFERROR(__xludf.DUMMYFUNCTION("""COMPUTED_VALUE"""),2017.0)</f>
        <v>2017</v>
      </c>
      <c r="AN302" t="str">
        <f t="shared" si="1"/>
        <v>13438545-6</v>
      </c>
    </row>
    <row r="303">
      <c r="A303" s="33">
        <f>IFERROR(__xludf.DUMMYFUNCTION("""COMPUTED_VALUE"""),8540708.0)</f>
        <v>8540708</v>
      </c>
      <c r="B303" s="33">
        <f>IFERROR(__xludf.DUMMYFUNCTION("""COMPUTED_VALUE"""),79.0)</f>
        <v>79</v>
      </c>
      <c r="C303" s="33"/>
      <c r="D303" s="34" t="str">
        <f>IFERROR(__xludf.DUMMYFUNCTION("""COMPUTED_VALUE"""),"INGRESAR CENTRO DE COSTO A LA DERECHA")</f>
        <v>INGRESAR CENTRO DE COSTO A LA DERECHA</v>
      </c>
      <c r="E303" s="34" t="str">
        <f>IFERROR(__xludf.DUMMYFUNCTION("""COMPUTED_VALUE"""),"UNIDAD DE ATENCION DE SALUD")</f>
        <v>UNIDAD DE ATENCION DE SALUD</v>
      </c>
      <c r="F303" s="34" t="str">
        <f>IFERROR(__xludf.DUMMYFUNCTION("""COMPUTED_VALUE"""),"Médicos(as) y Dentistas")</f>
        <v>Médicos(as) y Dentistas</v>
      </c>
      <c r="G303" s="33" t="str">
        <f>IFERROR(__xludf.DUMMYFUNCTION("""COMPUTED_VALUE"""),"MEDICO CIRUJANO")</f>
        <v>MEDICO CIRUJANO</v>
      </c>
      <c r="I303" s="34" t="str">
        <f>IFERROR(__xludf.DUMMYFUNCTION("""COMPUTED_VALUE"""),"1/2 Jornada")</f>
        <v>1/2 Jornada</v>
      </c>
      <c r="J303" s="33" t="str">
        <f>IFERROR(__xludf.DUMMYFUNCTION("""COMPUTED_VALUE"""),"Por 22 hrs. Ley 15.076")</f>
        <v>Por 22 hrs. Ley 15.076</v>
      </c>
      <c r="K303" s="33"/>
      <c r="L303" s="34" t="str">
        <f>IFERROR(__xludf.DUMMYFUNCTION("""COMPUTED_VALUE"""),"NO")</f>
        <v>NO</v>
      </c>
      <c r="M303" s="34">
        <f>IFERROR(__xludf.DUMMYFUNCTION("""COMPUTED_VALUE"""),0.0)</f>
        <v>0</v>
      </c>
      <c r="N303" s="34" t="str">
        <f>IFERROR(__xludf.DUMMYFUNCTION("""COMPUTED_VALUE"""),"EXTERNO")</f>
        <v>EXTERNO</v>
      </c>
      <c r="O303">
        <f>IFERROR(__xludf.DUMMYFUNCTION("""COMPUTED_VALUE"""),2.0)</f>
        <v>2</v>
      </c>
      <c r="P303">
        <f>IFERROR(__xludf.DUMMYFUNCTION("""COMPUTED_VALUE"""),2.0)</f>
        <v>2</v>
      </c>
      <c r="Q303" s="35">
        <f>IFERROR(__xludf.DUMMYFUNCTION("""COMPUTED_VALUE"""),3.0)</f>
        <v>3</v>
      </c>
      <c r="R303" s="36" t="str">
        <f>IFERROR(__xludf.DUMMYFUNCTION("""COMPUTED_VALUE"""),"SELECCIONADA")</f>
        <v>SELECCIONADA</v>
      </c>
      <c r="S303" s="37">
        <f>IFERROR(__xludf.DUMMYFUNCTION("""COMPUTED_VALUE"""),43041.0)</f>
        <v>43041</v>
      </c>
      <c r="T303" s="34"/>
      <c r="U303" t="str">
        <f>IFERROR(__xludf.DUMMYFUNCTION("""COMPUTED_VALUE"""),"CECILIA LISBOA BANDA")</f>
        <v>CECILIA LISBOA BANDA</v>
      </c>
      <c r="V303" t="str">
        <f>IFERROR(__xludf.DUMMYFUNCTION("""COMPUTED_VALUE"""),"8540708-2")</f>
        <v>8540708-2</v>
      </c>
      <c r="W303" t="str">
        <f>IFERROR(__xludf.DUMMYFUNCTION("""COMPUTED_VALUE"""),"NO")</f>
        <v>NO</v>
      </c>
      <c r="AA303" s="38">
        <f>IFERROR(__xludf.DUMMYFUNCTION("""COMPUTED_VALUE"""),42853.0)</f>
        <v>42853</v>
      </c>
      <c r="AB303" s="38">
        <f>IFERROR(__xludf.DUMMYFUNCTION("""COMPUTED_VALUE"""),43007.0)</f>
        <v>43007</v>
      </c>
      <c r="AF303" s="39"/>
      <c r="AG303" s="39"/>
      <c r="AH303" s="34" t="str">
        <f>IFERROR(__xludf.DUMMYFUNCTION("""COMPUTED_VALUE"""),"PROCESO DE SELECCIÓN")</f>
        <v>PROCESO DE SELECCIÓN</v>
      </c>
      <c r="AI303" s="34" t="str">
        <f>IFERROR(__xludf.DUMMYFUNCTION("""COMPUTED_VALUE"""),"JOSE EGAÑA RODRIGUEZ")</f>
        <v>JOSE EGAÑA RODRIGUEZ</v>
      </c>
      <c r="AJ303" s="34"/>
      <c r="AK303" s="34"/>
      <c r="AL303">
        <f>IFERROR(__xludf.DUMMYFUNCTION("""COMPUTED_VALUE"""),25.0)</f>
        <v>25</v>
      </c>
      <c r="AM303">
        <f>IFERROR(__xludf.DUMMYFUNCTION("""COMPUTED_VALUE"""),2017.0)</f>
        <v>2017</v>
      </c>
      <c r="AN303" t="str">
        <f t="shared" si="1"/>
        <v>08540708-2</v>
      </c>
    </row>
    <row r="304">
      <c r="A304" s="33">
        <f>IFERROR(__xludf.DUMMYFUNCTION("""COMPUTED_VALUE"""),1.3951491E7)</f>
        <v>13951491</v>
      </c>
      <c r="B304" s="33">
        <f>IFERROR(__xludf.DUMMYFUNCTION("""COMPUTED_VALUE"""),80.0)</f>
        <v>80</v>
      </c>
      <c r="C304" s="33"/>
      <c r="D304" s="34" t="str">
        <f>IFERROR(__xludf.DUMMYFUNCTION("""COMPUTED_VALUE"""),"INGRESAR CENTRO DE COSTO A LA DERECHA")</f>
        <v>INGRESAR CENTRO DE COSTO A LA DERECHA</v>
      </c>
      <c r="E304" s="34" t="str">
        <f>IFERROR(__xludf.DUMMYFUNCTION("""COMPUTED_VALUE"""),"UNIDAD DE ATENCION DE SALUD")</f>
        <v>UNIDAD DE ATENCION DE SALUD</v>
      </c>
      <c r="F304" s="34" t="str">
        <f>IFERROR(__xludf.DUMMYFUNCTION("""COMPUTED_VALUE"""),"Médicos(as) y Dentistas")</f>
        <v>Médicos(as) y Dentistas</v>
      </c>
      <c r="G304" s="33" t="str">
        <f>IFERROR(__xludf.DUMMYFUNCTION("""COMPUTED_VALUE"""),"MEDICO CIRUJANO")</f>
        <v>MEDICO CIRUJANO</v>
      </c>
      <c r="I304" s="34" t="str">
        <f>IFERROR(__xludf.DUMMYFUNCTION("""COMPUTED_VALUE"""),"1/2 Jornada")</f>
        <v>1/2 Jornada</v>
      </c>
      <c r="J304" s="33" t="str">
        <f>IFERROR(__xludf.DUMMYFUNCTION("""COMPUTED_VALUE"""),"Por 22 hrs. Ley 15.076")</f>
        <v>Por 22 hrs. Ley 15.076</v>
      </c>
      <c r="K304" s="33"/>
      <c r="L304" s="34" t="str">
        <f>IFERROR(__xludf.DUMMYFUNCTION("""COMPUTED_VALUE"""),"NO")</f>
        <v>NO</v>
      </c>
      <c r="M304" s="34">
        <f>IFERROR(__xludf.DUMMYFUNCTION("""COMPUTED_VALUE"""),0.0)</f>
        <v>0</v>
      </c>
      <c r="N304" s="34" t="str">
        <f>IFERROR(__xludf.DUMMYFUNCTION("""COMPUTED_VALUE"""),"EXTERNO")</f>
        <v>EXTERNO</v>
      </c>
      <c r="O304">
        <f>IFERROR(__xludf.DUMMYFUNCTION("""COMPUTED_VALUE"""),2.0)</f>
        <v>2</v>
      </c>
      <c r="P304">
        <f>IFERROR(__xludf.DUMMYFUNCTION("""COMPUTED_VALUE"""),2.0)</f>
        <v>2</v>
      </c>
      <c r="Q304" s="35">
        <f>IFERROR(__xludf.DUMMYFUNCTION("""COMPUTED_VALUE"""),2.0)</f>
        <v>2</v>
      </c>
      <c r="R304" s="36" t="str">
        <f>IFERROR(__xludf.DUMMYFUNCTION("""COMPUTED_VALUE"""),"SELECCIONADA")</f>
        <v>SELECCIONADA</v>
      </c>
      <c r="S304" s="37">
        <f>IFERROR(__xludf.DUMMYFUNCTION("""COMPUTED_VALUE"""),43039.0)</f>
        <v>43039</v>
      </c>
      <c r="T304" s="34"/>
      <c r="U304" t="str">
        <f>IFERROR(__xludf.DUMMYFUNCTION("""COMPUTED_VALUE"""),"PAULINA GUTIERREZ PEÑAILILLO")</f>
        <v>PAULINA GUTIERREZ PEÑAILILLO</v>
      </c>
      <c r="V304" t="str">
        <f>IFERROR(__xludf.DUMMYFUNCTION("""COMPUTED_VALUE"""),"13951491-2")</f>
        <v>13951491-2</v>
      </c>
      <c r="W304" t="str">
        <f>IFERROR(__xludf.DUMMYFUNCTION("""COMPUTED_VALUE"""),"NO")</f>
        <v>NO</v>
      </c>
      <c r="AA304" s="38">
        <f>IFERROR(__xludf.DUMMYFUNCTION("""COMPUTED_VALUE"""),42853.0)</f>
        <v>42853</v>
      </c>
      <c r="AB304" s="38">
        <f>IFERROR(__xludf.DUMMYFUNCTION("""COMPUTED_VALUE"""),43007.0)</f>
        <v>43007</v>
      </c>
      <c r="AF304" s="39"/>
      <c r="AG304" s="39"/>
      <c r="AH304" s="34" t="str">
        <f>IFERROR(__xludf.DUMMYFUNCTION("""COMPUTED_VALUE"""),"PROCESO DE SELECCIÓN")</f>
        <v>PROCESO DE SELECCIÓN</v>
      </c>
      <c r="AI304" s="34" t="str">
        <f>IFERROR(__xludf.DUMMYFUNCTION("""COMPUTED_VALUE"""),"JOSE EGAÑA RODRIGUEZ")</f>
        <v>JOSE EGAÑA RODRIGUEZ</v>
      </c>
      <c r="AJ304" s="34"/>
      <c r="AK304" s="34"/>
      <c r="AL304">
        <f>IFERROR(__xludf.DUMMYFUNCTION("""COMPUTED_VALUE"""),23.0)</f>
        <v>23</v>
      </c>
      <c r="AM304">
        <f>IFERROR(__xludf.DUMMYFUNCTION("""COMPUTED_VALUE"""),2017.0)</f>
        <v>2017</v>
      </c>
      <c r="AN304" t="str">
        <f t="shared" si="1"/>
        <v>13951491-2</v>
      </c>
    </row>
    <row r="305">
      <c r="A305" s="33">
        <f>IFERROR(__xludf.DUMMYFUNCTION("""COMPUTED_VALUE"""),1.3048402E7)</f>
        <v>13048402</v>
      </c>
      <c r="B305" s="33">
        <f>IFERROR(__xludf.DUMMYFUNCTION("""COMPUTED_VALUE"""),81.0)</f>
        <v>81</v>
      </c>
      <c r="C305" s="33"/>
      <c r="D305" s="34" t="str">
        <f>IFERROR(__xludf.DUMMYFUNCTION("""COMPUTED_VALUE"""),"INGRESAR CENTRO DE COSTO A LA DERECHA")</f>
        <v>INGRESAR CENTRO DE COSTO A LA DERECHA</v>
      </c>
      <c r="E305" s="34" t="str">
        <f>IFERROR(__xludf.DUMMYFUNCTION("""COMPUTED_VALUE"""),"FACULTAD DE HUMANIDADES")</f>
        <v>FACULTAD DE HUMANIDADES</v>
      </c>
      <c r="F305" s="34" t="str">
        <f>IFERROR(__xludf.DUMMYFUNCTION("""COMPUTED_VALUE"""),"Encargado(a) de Vinculación con el Medio")</f>
        <v>Encargado(a) de Vinculación con el Medio</v>
      </c>
      <c r="G305" s="33" t="str">
        <f>IFERROR(__xludf.DUMMYFUNCTION("""COMPUTED_VALUE"""),"ENCARGADO DE VINCULACION CON EL MEDIO")</f>
        <v>ENCARGADO DE VINCULACION CON EL MEDIO</v>
      </c>
      <c r="H305">
        <f>IFERROR(__xludf.DUMMYFUNCTION("""COMPUTED_VALUE"""),13.0)</f>
        <v>13</v>
      </c>
      <c r="I305" s="34" t="str">
        <f>IFERROR(__xludf.DUMMYFUNCTION("""COMPUTED_VALUE"""),"Jornada Completa")</f>
        <v>Jornada Completa</v>
      </c>
      <c r="J305" s="33" t="str">
        <f>IFERROR(__xludf.DUMMYFUNCTION("""COMPUTED_VALUE"""),"A CONTRATA")</f>
        <v>A CONTRATA</v>
      </c>
      <c r="K305" s="33" t="str">
        <f>IFERROR(__xludf.DUMMYFUNCTION("""COMPUTED_VALUE"""),"PROFESIONAL")</f>
        <v>PROFESIONAL</v>
      </c>
      <c r="L305" s="34" t="str">
        <f>IFERROR(__xludf.DUMMYFUNCTION("""COMPUTED_VALUE"""),"INTERNO")</f>
        <v>INTERNO</v>
      </c>
      <c r="M305" s="34">
        <f>IFERROR(__xludf.DUMMYFUNCTION("""COMPUTED_VALUE"""),0.0)</f>
        <v>0</v>
      </c>
      <c r="N305" s="34" t="str">
        <f>IFERROR(__xludf.DUMMYFUNCTION("""COMPUTED_VALUE"""),"EXTERNO")</f>
        <v>EXTERNO</v>
      </c>
      <c r="O305">
        <f>IFERROR(__xludf.DUMMYFUNCTION("""COMPUTED_VALUE"""),38.0)</f>
        <v>38</v>
      </c>
      <c r="P305">
        <f>IFERROR(__xludf.DUMMYFUNCTION("""COMPUTED_VALUE"""),3.0)</f>
        <v>3</v>
      </c>
      <c r="Q305" s="35">
        <f>IFERROR(__xludf.DUMMYFUNCTION("""COMPUTED_VALUE"""),2.0)</f>
        <v>2</v>
      </c>
      <c r="R305" s="36" t="str">
        <f>IFERROR(__xludf.DUMMYFUNCTION("""COMPUTED_VALUE"""),"SELECCIONADO")</f>
        <v>SELECCIONADO</v>
      </c>
      <c r="S305" s="37">
        <f>IFERROR(__xludf.DUMMYFUNCTION("""COMPUTED_VALUE"""),43010.0)</f>
        <v>43010</v>
      </c>
      <c r="T305" s="34"/>
      <c r="U305" t="str">
        <f>IFERROR(__xludf.DUMMYFUNCTION("""COMPUTED_VALUE"""),"ENZO BORRONI RICARDI")</f>
        <v>ENZO BORRONI RICARDI</v>
      </c>
      <c r="V305" t="str">
        <f>IFERROR(__xludf.DUMMYFUNCTION("""COMPUTED_VALUE"""),"13048402-6")</f>
        <v>13048402-6</v>
      </c>
      <c r="W305" t="str">
        <f>IFERROR(__xludf.DUMMYFUNCTION("""COMPUTED_VALUE"""),"SI")</f>
        <v>SI</v>
      </c>
      <c r="X305" t="str">
        <f>IFERROR(__xludf.DUMMYFUNCTION("""COMPUTED_VALUE"""),"CAPACIDAD DE PLANIFICACION Y ORGANIZACION")</f>
        <v>CAPACIDAD DE PLANIFICACION Y ORGANIZACION</v>
      </c>
      <c r="AA305" s="38">
        <f>IFERROR(__xludf.DUMMYFUNCTION("""COMPUTED_VALUE"""),42943.0)</f>
        <v>42943</v>
      </c>
      <c r="AB305" s="38">
        <f>IFERROR(__xludf.DUMMYFUNCTION("""COMPUTED_VALUE"""),42950.0)</f>
        <v>42950</v>
      </c>
      <c r="AF305" s="39"/>
      <c r="AG305" s="39"/>
      <c r="AH305" s="34" t="str">
        <f>IFERROR(__xludf.DUMMYFUNCTION("""COMPUTED_VALUE"""),"PROCESO DE SELECCIÓN")</f>
        <v>PROCESO DE SELECCIÓN</v>
      </c>
      <c r="AI305" s="34" t="str">
        <f>IFERROR(__xludf.DUMMYFUNCTION("""COMPUTED_VALUE"""),"ALEX ARAYA")</f>
        <v>ALEX ARAYA</v>
      </c>
      <c r="AJ305" s="34"/>
      <c r="AK305" s="34"/>
      <c r="AL305">
        <f>IFERROR(__xludf.DUMMYFUNCTION("""COMPUTED_VALUE"""),43.0)</f>
        <v>43</v>
      </c>
      <c r="AM305">
        <f>IFERROR(__xludf.DUMMYFUNCTION("""COMPUTED_VALUE"""),2017.0)</f>
        <v>2017</v>
      </c>
      <c r="AN305" t="str">
        <f t="shared" si="1"/>
        <v>13048402-6</v>
      </c>
    </row>
    <row r="306">
      <c r="A306" s="33">
        <f>IFERROR(__xludf.DUMMYFUNCTION("""COMPUTED_VALUE"""),1.6648725E7)</f>
        <v>16648725</v>
      </c>
      <c r="B306" s="33">
        <f>IFERROR(__xludf.DUMMYFUNCTION("""COMPUTED_VALUE"""),82.0)</f>
        <v>82</v>
      </c>
      <c r="C306" s="33"/>
      <c r="D306" s="34" t="str">
        <f>IFERROR(__xludf.DUMMYFUNCTION("""COMPUTED_VALUE"""),"INGRESAR CENTRO DE COSTO A LA DERECHA")</f>
        <v>INGRESAR CENTRO DE COSTO A LA DERECHA</v>
      </c>
      <c r="E306" s="34" t="str">
        <f>IFERROR(__xludf.DUMMYFUNCTION("""COMPUTED_VALUE"""),"SECRETARIA GENERAL")</f>
        <v>SECRETARIA GENERAL</v>
      </c>
      <c r="F306" s="34" t="str">
        <f>IFERROR(__xludf.DUMMYFUNCTION("""COMPUTED_VALUE"""),"Administrativo(a) de Apoyo")</f>
        <v>Administrativo(a) de Apoyo</v>
      </c>
      <c r="G306" s="33" t="str">
        <f>IFERROR(__xludf.DUMMYFUNCTION("""COMPUTED_VALUE"""),"ADMINISTRATIVO DE APOYO ( ARCHIVO CENTRAL)")</f>
        <v>ADMINISTRATIVO DE APOYO ( ARCHIVO CENTRAL)</v>
      </c>
      <c r="H306">
        <f>IFERROR(__xludf.DUMMYFUNCTION("""COMPUTED_VALUE"""),20.0)</f>
        <v>20</v>
      </c>
      <c r="I306" s="34" t="str">
        <f>IFERROR(__xludf.DUMMYFUNCTION("""COMPUTED_VALUE"""),"Jornada Completa")</f>
        <v>Jornada Completa</v>
      </c>
      <c r="J306" s="33" t="str">
        <f>IFERROR(__xludf.DUMMYFUNCTION("""COMPUTED_VALUE"""),"A CONTRATA")</f>
        <v>A CONTRATA</v>
      </c>
      <c r="K306" s="33" t="str">
        <f>IFERROR(__xludf.DUMMYFUNCTION("""COMPUTED_VALUE"""),"ADMINISTRATIVO")</f>
        <v>ADMINISTRATIVO</v>
      </c>
      <c r="L306" s="34" t="str">
        <f>IFERROR(__xludf.DUMMYFUNCTION("""COMPUTED_VALUE"""),"INTERNO")</f>
        <v>INTERNO</v>
      </c>
      <c r="M306" s="34">
        <f>IFERROR(__xludf.DUMMYFUNCTION("""COMPUTED_VALUE"""),2.0)</f>
        <v>2</v>
      </c>
      <c r="N306" s="34" t="str">
        <f>IFERROR(__xludf.DUMMYFUNCTION("""COMPUTED_VALUE"""),"EXTERNO")</f>
        <v>EXTERNO</v>
      </c>
      <c r="O306">
        <f>IFERROR(__xludf.DUMMYFUNCTION("""COMPUTED_VALUE"""),8.0)</f>
        <v>8</v>
      </c>
      <c r="P306">
        <f>IFERROR(__xludf.DUMMYFUNCTION("""COMPUTED_VALUE"""),3.0)</f>
        <v>3</v>
      </c>
      <c r="Q306" s="35">
        <f>IFERROR(__xludf.DUMMYFUNCTION("""COMPUTED_VALUE"""),1.0)</f>
        <v>1</v>
      </c>
      <c r="R306" s="36" t="str">
        <f>IFERROR(__xludf.DUMMYFUNCTION("""COMPUTED_VALUE"""),"SELECCIONADA")</f>
        <v>SELECCIONADA</v>
      </c>
      <c r="S306" s="37">
        <f>IFERROR(__xludf.DUMMYFUNCTION("""COMPUTED_VALUE"""),43066.0)</f>
        <v>43066</v>
      </c>
      <c r="T306" s="34"/>
      <c r="U306" t="str">
        <f>IFERROR(__xludf.DUMMYFUNCTION("""COMPUTED_VALUE"""),"DANIELA SEPULVEDA ROJAS")</f>
        <v>DANIELA SEPULVEDA ROJAS</v>
      </c>
      <c r="V306" t="str">
        <f>IFERROR(__xludf.DUMMYFUNCTION("""COMPUTED_VALUE"""),"16648725-0")</f>
        <v>16648725-0</v>
      </c>
      <c r="W306" t="str">
        <f>IFERROR(__xludf.DUMMYFUNCTION("""COMPUTED_VALUE"""),"SI")</f>
        <v>SI</v>
      </c>
      <c r="X306" t="str">
        <f>IFERROR(__xludf.DUMMYFUNCTION("""COMPUTED_VALUE"""),"COMUNICACION")</f>
        <v>COMUNICACION</v>
      </c>
      <c r="AA306" s="38">
        <f>IFERROR(__xludf.DUMMYFUNCTION("""COMPUTED_VALUE"""),43021.0)</f>
        <v>43021</v>
      </c>
      <c r="AB306" s="38">
        <f>IFERROR(__xludf.DUMMYFUNCTION("""COMPUTED_VALUE"""),43028.0)</f>
        <v>43028</v>
      </c>
      <c r="AF306" s="39"/>
      <c r="AG306" s="39"/>
      <c r="AH306" s="34" t="str">
        <f>IFERROR(__xludf.DUMMYFUNCTION("""COMPUTED_VALUE"""),"PROCESO DE SELECCIÓN")</f>
        <v>PROCESO DE SELECCIÓN</v>
      </c>
      <c r="AI306" s="34" t="str">
        <f>IFERROR(__xludf.DUMMYFUNCTION("""COMPUTED_VALUE"""),"BUSCAR")</f>
        <v>BUSCAR</v>
      </c>
      <c r="AJ306" s="34"/>
      <c r="AK306" s="34"/>
      <c r="AL306">
        <f>IFERROR(__xludf.DUMMYFUNCTION("""COMPUTED_VALUE"""),27.0)</f>
        <v>27</v>
      </c>
      <c r="AM306">
        <f>IFERROR(__xludf.DUMMYFUNCTION("""COMPUTED_VALUE"""),2017.0)</f>
        <v>2017</v>
      </c>
      <c r="AN306" t="str">
        <f t="shared" si="1"/>
        <v>16648725-0</v>
      </c>
    </row>
    <row r="307">
      <c r="A307" s="33">
        <f>IFERROR(__xludf.DUMMYFUNCTION("""COMPUTED_VALUE"""),1.1168851E7)</f>
        <v>11168851</v>
      </c>
      <c r="B307" s="33">
        <f>IFERROR(__xludf.DUMMYFUNCTION("""COMPUTED_VALUE"""),83.0)</f>
        <v>83</v>
      </c>
      <c r="C307" s="33"/>
      <c r="D307" s="34" t="str">
        <f>IFERROR(__xludf.DUMMYFUNCTION("""COMPUTED_VALUE"""),"INGRESAR CENTRO DE COSTO A LA DERECHA")</f>
        <v>INGRESAR CENTRO DE COSTO A LA DERECHA</v>
      </c>
      <c r="E307" s="34" t="str">
        <f>IFERROR(__xludf.DUMMYFUNCTION("""COMPUTED_VALUE"""),"FACULTAD DE CIENCIAS MEDICAS")</f>
        <v>FACULTAD DE CIENCIAS MEDICAS</v>
      </c>
      <c r="F307" s="34" t="str">
        <f>IFERROR(__xludf.DUMMYFUNCTION("""COMPUTED_VALUE"""),"Asistente de Biblioteca")</f>
        <v>Asistente de Biblioteca</v>
      </c>
      <c r="G307" s="33" t="str">
        <f>IFERROR(__xludf.DUMMYFUNCTION("""COMPUTED_VALUE"""),"ASISTENTE DE BIBLIOTECA")</f>
        <v>ASISTENTE DE BIBLIOTECA</v>
      </c>
      <c r="H307">
        <f>IFERROR(__xludf.DUMMYFUNCTION("""COMPUTED_VALUE"""),20.0)</f>
        <v>20</v>
      </c>
      <c r="I307" s="34" t="str">
        <f>IFERROR(__xludf.DUMMYFUNCTION("""COMPUTED_VALUE"""),"Jornada Completa")</f>
        <v>Jornada Completa</v>
      </c>
      <c r="J307" s="33" t="str">
        <f>IFERROR(__xludf.DUMMYFUNCTION("""COMPUTED_VALUE"""),"A CONTRATA")</f>
        <v>A CONTRATA</v>
      </c>
      <c r="K307" s="33" t="str">
        <f>IFERROR(__xludf.DUMMYFUNCTION("""COMPUTED_VALUE"""),"ADMINISTRATIVO")</f>
        <v>ADMINISTRATIVO</v>
      </c>
      <c r="L307" s="34" t="str">
        <f>IFERROR(__xludf.DUMMYFUNCTION("""COMPUTED_VALUE"""),"INTERNO")</f>
        <v>INTERNO</v>
      </c>
      <c r="M307" s="34">
        <f>IFERROR(__xludf.DUMMYFUNCTION("""COMPUTED_VALUE"""),1.0)</f>
        <v>1</v>
      </c>
      <c r="N307" s="34" t="str">
        <f>IFERROR(__xludf.DUMMYFUNCTION("""COMPUTED_VALUE"""),"EXTERNO")</f>
        <v>EXTERNO</v>
      </c>
      <c r="O307">
        <f>IFERROR(__xludf.DUMMYFUNCTION("""COMPUTED_VALUE"""),13.0)</f>
        <v>13</v>
      </c>
      <c r="P307">
        <f>IFERROR(__xludf.DUMMYFUNCTION("""COMPUTED_VALUE"""),1.0)</f>
        <v>1</v>
      </c>
      <c r="Q307" s="35">
        <f>IFERROR(__xludf.DUMMYFUNCTION("""COMPUTED_VALUE"""),4.0)</f>
        <v>4</v>
      </c>
      <c r="R307" s="36" t="str">
        <f>IFERROR(__xludf.DUMMYFUNCTION("""COMPUTED_VALUE"""),"SELECCIONADA")</f>
        <v>SELECCIONADA</v>
      </c>
      <c r="S307" s="37">
        <f>IFERROR(__xludf.DUMMYFUNCTION("""COMPUTED_VALUE"""),43066.0)</f>
        <v>43066</v>
      </c>
      <c r="T307" s="34"/>
      <c r="U307" t="str">
        <f>IFERROR(__xludf.DUMMYFUNCTION("""COMPUTED_VALUE"""),"EDITH AGUILERA GONZALEZ")</f>
        <v>EDITH AGUILERA GONZALEZ</v>
      </c>
      <c r="V307" t="str">
        <f>IFERROR(__xludf.DUMMYFUNCTION("""COMPUTED_VALUE"""),"11168851-6")</f>
        <v>11168851-6</v>
      </c>
      <c r="W307" t="str">
        <f>IFERROR(__xludf.DUMMYFUNCTION("""COMPUTED_VALUE"""),"SI")</f>
        <v>SI</v>
      </c>
      <c r="X307" t="str">
        <f>IFERROR(__xludf.DUMMYFUNCTION("""COMPUTED_VALUE"""),"COMUNICACION")</f>
        <v>COMUNICACION</v>
      </c>
      <c r="AA307" s="38">
        <f>IFERROR(__xludf.DUMMYFUNCTION("""COMPUTED_VALUE"""),43025.0)</f>
        <v>43025</v>
      </c>
      <c r="AB307" s="38">
        <f>IFERROR(__xludf.DUMMYFUNCTION("""COMPUTED_VALUE"""),43032.0)</f>
        <v>43032</v>
      </c>
      <c r="AF307" s="39"/>
      <c r="AG307" s="39"/>
      <c r="AH307" s="34" t="str">
        <f>IFERROR(__xludf.DUMMYFUNCTION("""COMPUTED_VALUE"""),"PROCESO DE SELECCIÓN")</f>
        <v>PROCESO DE SELECCIÓN</v>
      </c>
      <c r="AI307" s="34" t="str">
        <f>IFERROR(__xludf.DUMMYFUNCTION("""COMPUTED_VALUE"""),"BUSCAR")</f>
        <v>BUSCAR</v>
      </c>
      <c r="AJ307" s="34"/>
      <c r="AK307" s="34"/>
      <c r="AL307">
        <f>IFERROR(__xludf.DUMMYFUNCTION("""COMPUTED_VALUE"""),25.0)</f>
        <v>25</v>
      </c>
      <c r="AM307">
        <f>IFERROR(__xludf.DUMMYFUNCTION("""COMPUTED_VALUE"""),2017.0)</f>
        <v>2017</v>
      </c>
      <c r="AN307" t="str">
        <f t="shared" si="1"/>
        <v>11168851-6</v>
      </c>
    </row>
    <row r="308">
      <c r="A308" s="33">
        <f>IFERROR(__xludf.DUMMYFUNCTION("""COMPUTED_VALUE"""),1.7387266E7)</f>
        <v>17387266</v>
      </c>
      <c r="B308" s="33">
        <f>IFERROR(__xludf.DUMMYFUNCTION("""COMPUTED_VALUE"""),84.0)</f>
        <v>84</v>
      </c>
      <c r="C308" s="33"/>
      <c r="D308" s="34" t="str">
        <f>IFERROR(__xludf.DUMMYFUNCTION("""COMPUTED_VALUE"""),"INGRESAR CENTRO DE COSTO A LA DERECHA")</f>
        <v>INGRESAR CENTRO DE COSTO A LA DERECHA</v>
      </c>
      <c r="E308" s="34" t="str">
        <f>IFERROR(__xludf.DUMMYFUNCTION("""COMPUTED_VALUE"""),"VR. DE VINCULACION CON EL MEDIO")</f>
        <v>VR. DE VINCULACION CON EL MEDIO</v>
      </c>
      <c r="F308" s="34" t="str">
        <f>IFERROR(__xludf.DUMMYFUNCTION("""COMPUTED_VALUE"""),"Encargado(a) de Laboratorio")</f>
        <v>Encargado(a) de Laboratorio</v>
      </c>
      <c r="G308" s="33" t="str">
        <f>IFERROR(__xludf.DUMMYFUNCTION("""COMPUTED_VALUE"""),"ENCARGADO DE LABORATORIO ( ARCHIVO PATRIMONIAL)")</f>
        <v>ENCARGADO DE LABORATORIO ( ARCHIVO PATRIMONIAL)</v>
      </c>
      <c r="H308">
        <f>IFERROR(__xludf.DUMMYFUNCTION("""COMPUTED_VALUE"""),13.0)</f>
        <v>13</v>
      </c>
      <c r="I308" s="34" t="str">
        <f>IFERROR(__xludf.DUMMYFUNCTION("""COMPUTED_VALUE"""),"Jornada Completa")</f>
        <v>Jornada Completa</v>
      </c>
      <c r="J308" s="33" t="str">
        <f>IFERROR(__xludf.DUMMYFUNCTION("""COMPUTED_VALUE"""),"A CONTRATA")</f>
        <v>A CONTRATA</v>
      </c>
      <c r="K308" s="33" t="str">
        <f>IFERROR(__xludf.DUMMYFUNCTION("""COMPUTED_VALUE"""),"PROFESIONAL")</f>
        <v>PROFESIONAL</v>
      </c>
      <c r="L308" s="34" t="str">
        <f>IFERROR(__xludf.DUMMYFUNCTION("""COMPUTED_VALUE"""),"INTERNO")</f>
        <v>INTERNO</v>
      </c>
      <c r="M308" s="34">
        <f>IFERROR(__xludf.DUMMYFUNCTION("""COMPUTED_VALUE"""),1.0)</f>
        <v>1</v>
      </c>
      <c r="N308" s="34" t="str">
        <f>IFERROR(__xludf.DUMMYFUNCTION("""COMPUTED_VALUE"""),"EXTERNO")</f>
        <v>EXTERNO</v>
      </c>
      <c r="O308">
        <f>IFERROR(__xludf.DUMMYFUNCTION("""COMPUTED_VALUE"""),40.0)</f>
        <v>40</v>
      </c>
      <c r="P308">
        <f>IFERROR(__xludf.DUMMYFUNCTION("""COMPUTED_VALUE"""),2.0)</f>
        <v>2</v>
      </c>
      <c r="Q308" s="35">
        <f>IFERROR(__xludf.DUMMYFUNCTION("""COMPUTED_VALUE"""),2.0)</f>
        <v>2</v>
      </c>
      <c r="R308" s="36" t="str">
        <f>IFERROR(__xludf.DUMMYFUNCTION("""COMPUTED_VALUE"""),"SELECCIONADA")</f>
        <v>SELECCIONADA</v>
      </c>
      <c r="S308" s="37">
        <f>IFERROR(__xludf.DUMMYFUNCTION("""COMPUTED_VALUE"""),43070.0)</f>
        <v>43070</v>
      </c>
      <c r="T308" s="34"/>
      <c r="U308" t="str">
        <f>IFERROR(__xludf.DUMMYFUNCTION("""COMPUTED_VALUE"""),"MICHELLE RIBAUT KOMPATZKI")</f>
        <v>MICHELLE RIBAUT KOMPATZKI</v>
      </c>
      <c r="V308" t="str">
        <f>IFERROR(__xludf.DUMMYFUNCTION("""COMPUTED_VALUE"""),"17387266-6")</f>
        <v>17387266-6</v>
      </c>
      <c r="W308" t="str">
        <f>IFERROR(__xludf.DUMMYFUNCTION("""COMPUTED_VALUE"""),"NO")</f>
        <v>NO</v>
      </c>
      <c r="AA308" s="38">
        <f>IFERROR(__xludf.DUMMYFUNCTION("""COMPUTED_VALUE"""),43020.0)</f>
        <v>43020</v>
      </c>
      <c r="AB308" s="38">
        <f>IFERROR(__xludf.DUMMYFUNCTION("""COMPUTED_VALUE"""),43027.0)</f>
        <v>43027</v>
      </c>
      <c r="AF308" s="39"/>
      <c r="AG308" s="39"/>
      <c r="AH308" s="34" t="str">
        <f>IFERROR(__xludf.DUMMYFUNCTION("""COMPUTED_VALUE"""),"PROCESO DE SELECCIÓN")</f>
        <v>PROCESO DE SELECCIÓN</v>
      </c>
      <c r="AI308" s="34" t="str">
        <f>IFERROR(__xludf.DUMMYFUNCTION("""COMPUTED_VALUE"""),"ANDRES ZUÑIGA MELLA")</f>
        <v>ANDRES ZUÑIGA MELLA</v>
      </c>
      <c r="AJ308" s="34"/>
      <c r="AK308" s="34"/>
      <c r="AL308">
        <f>IFERROR(__xludf.DUMMYFUNCTION("""COMPUTED_VALUE"""),32.0)</f>
        <v>32</v>
      </c>
      <c r="AM308">
        <f>IFERROR(__xludf.DUMMYFUNCTION("""COMPUTED_VALUE"""),2017.0)</f>
        <v>2017</v>
      </c>
      <c r="AN308" t="str">
        <f t="shared" si="1"/>
        <v>17387266-6</v>
      </c>
    </row>
    <row r="309">
      <c r="A309" s="33">
        <f>IFERROR(__xludf.DUMMYFUNCTION("""COMPUTED_VALUE"""),1.8456224E7)</f>
        <v>18456224</v>
      </c>
      <c r="B309" s="33">
        <f>IFERROR(__xludf.DUMMYFUNCTION("""COMPUTED_VALUE"""),85.0)</f>
        <v>85</v>
      </c>
      <c r="C309" s="33"/>
      <c r="D309" s="34" t="str">
        <f>IFERROR(__xludf.DUMMYFUNCTION("""COMPUTED_VALUE"""),"INGRESAR CENTRO DE COSTO A LA DERECHA")</f>
        <v>INGRESAR CENTRO DE COSTO A LA DERECHA</v>
      </c>
      <c r="E309" s="34" t="str">
        <f>IFERROR(__xludf.DUMMYFUNCTION("""COMPUTED_VALUE"""),"FACULTAD DE ADMINIST Y ECONOMI")</f>
        <v>FACULTAD DE ADMINIST Y ECONOMI</v>
      </c>
      <c r="F309" s="34" t="str">
        <f>IFERROR(__xludf.DUMMYFUNCTION("""COMPUTED_VALUE"""),"Secretario(a) B")</f>
        <v>Secretario(a) B</v>
      </c>
      <c r="G309" s="33" t="str">
        <f>IFERROR(__xludf.DUMMYFUNCTION("""COMPUTED_VALUE"""),"SECRETARIA (B) ")</f>
        <v>SECRETARIA (B) </v>
      </c>
      <c r="H309">
        <f>IFERROR(__xludf.DUMMYFUNCTION("""COMPUTED_VALUE"""),17.0)</f>
        <v>17</v>
      </c>
      <c r="I309" s="34" t="str">
        <f>IFERROR(__xludf.DUMMYFUNCTION("""COMPUTED_VALUE"""),"Jornada Completa")</f>
        <v>Jornada Completa</v>
      </c>
      <c r="J309" s="33" t="str">
        <f>IFERROR(__xludf.DUMMYFUNCTION("""COMPUTED_VALUE"""),"A CONTRATA")</f>
        <v>A CONTRATA</v>
      </c>
      <c r="K309" s="33" t="str">
        <f>IFERROR(__xludf.DUMMYFUNCTION("""COMPUTED_VALUE"""),"ADMINISTRATIVO")</f>
        <v>ADMINISTRATIVO</v>
      </c>
      <c r="L309" s="34" t="str">
        <f>IFERROR(__xludf.DUMMYFUNCTION("""COMPUTED_VALUE"""),"INTERNO")</f>
        <v>INTERNO</v>
      </c>
      <c r="M309" s="34">
        <f>IFERROR(__xludf.DUMMYFUNCTION("""COMPUTED_VALUE"""),1.0)</f>
        <v>1</v>
      </c>
      <c r="N309" s="34" t="str">
        <f>IFERROR(__xludf.DUMMYFUNCTION("""COMPUTED_VALUE"""),"EXTERNO")</f>
        <v>EXTERNO</v>
      </c>
      <c r="O309">
        <f>IFERROR(__xludf.DUMMYFUNCTION("""COMPUTED_VALUE"""),8.0)</f>
        <v>8</v>
      </c>
      <c r="P309">
        <f>IFERROR(__xludf.DUMMYFUNCTION("""COMPUTED_VALUE"""),1.0)</f>
        <v>1</v>
      </c>
      <c r="Q309" s="35">
        <f>IFERROR(__xludf.DUMMYFUNCTION("""COMPUTED_VALUE"""),1.0)</f>
        <v>1</v>
      </c>
      <c r="R309" s="36" t="str">
        <f>IFERROR(__xludf.DUMMYFUNCTION("""COMPUTED_VALUE"""),"SELECCIONADA")</f>
        <v>SELECCIONADA</v>
      </c>
      <c r="S309" s="37">
        <f>IFERROR(__xludf.DUMMYFUNCTION("""COMPUTED_VALUE"""),43061.0)</f>
        <v>43061</v>
      </c>
      <c r="T309" s="34"/>
      <c r="U309" t="str">
        <f>IFERROR(__xludf.DUMMYFUNCTION("""COMPUTED_VALUE"""),"CLAUDIA CANALES MUÑOZ")</f>
        <v>CLAUDIA CANALES MUÑOZ</v>
      </c>
      <c r="V309" t="str">
        <f>IFERROR(__xludf.DUMMYFUNCTION("""COMPUTED_VALUE"""),"18456224-3")</f>
        <v>18456224-3</v>
      </c>
      <c r="W309" t="str">
        <f>IFERROR(__xludf.DUMMYFUNCTION("""COMPUTED_VALUE"""),"NO")</f>
        <v>NO</v>
      </c>
      <c r="AA309" s="38">
        <f>IFERROR(__xludf.DUMMYFUNCTION("""COMPUTED_VALUE"""),43021.0)</f>
        <v>43021</v>
      </c>
      <c r="AB309" s="38">
        <f>IFERROR(__xludf.DUMMYFUNCTION("""COMPUTED_VALUE"""),43028.0)</f>
        <v>43028</v>
      </c>
      <c r="AF309" s="39"/>
      <c r="AG309" s="39"/>
      <c r="AH309" s="34" t="str">
        <f>IFERROR(__xludf.DUMMYFUNCTION("""COMPUTED_VALUE"""),"PROCESO DE SELECCIÓN")</f>
        <v>PROCESO DE SELECCIÓN</v>
      </c>
      <c r="AI309" s="34" t="str">
        <f>IFERROR(__xludf.DUMMYFUNCTION("""COMPUTED_VALUE"""),"JESUS VALDEBENITO GINART")</f>
        <v>JESUS VALDEBENITO GINART</v>
      </c>
      <c r="AJ309" s="34"/>
      <c r="AK309" s="34"/>
      <c r="AL309">
        <f>IFERROR(__xludf.DUMMYFUNCTION("""COMPUTED_VALUE"""),24.0)</f>
        <v>24</v>
      </c>
      <c r="AM309">
        <f>IFERROR(__xludf.DUMMYFUNCTION("""COMPUTED_VALUE"""),2017.0)</f>
        <v>2017</v>
      </c>
      <c r="AN309" t="str">
        <f t="shared" si="1"/>
        <v>18456224-3</v>
      </c>
    </row>
    <row r="310">
      <c r="A310" s="33">
        <f>IFERROR(__xludf.DUMMYFUNCTION("""COMPUTED_VALUE"""),1.5401585E7)</f>
        <v>15401585</v>
      </c>
      <c r="B310" s="33">
        <f>IFERROR(__xludf.DUMMYFUNCTION("""COMPUTED_VALUE"""),87.0)</f>
        <v>87</v>
      </c>
      <c r="C310" s="33"/>
      <c r="D310" s="34" t="str">
        <f>IFERROR(__xludf.DUMMYFUNCTION("""COMPUTED_VALUE"""),"INGRESAR CENTRO DE COSTO A LA DERECHA")</f>
        <v>INGRESAR CENTRO DE COSTO A LA DERECHA</v>
      </c>
      <c r="E310" s="34" t="str">
        <f>IFERROR(__xludf.DUMMYFUNCTION("""COMPUTED_VALUE"""),"UNIDAD DE BIBLIOTECAS")</f>
        <v>UNIDAD DE BIBLIOTECAS</v>
      </c>
      <c r="F310" s="34" t="str">
        <f>IFERROR(__xludf.DUMMYFUNCTION("""COMPUTED_VALUE"""),"Encargado(a) de Sala")</f>
        <v>Encargado(a) de Sala</v>
      </c>
      <c r="G310" s="33" t="str">
        <f>IFERROR(__xludf.DUMMYFUNCTION("""COMPUTED_VALUE"""),"ENCARGADO DE SALA")</f>
        <v>ENCARGADO DE SALA</v>
      </c>
      <c r="H310">
        <f>IFERROR(__xludf.DUMMYFUNCTION("""COMPUTED_VALUE"""),23.0)</f>
        <v>23</v>
      </c>
      <c r="I310" s="34" t="str">
        <f>IFERROR(__xludf.DUMMYFUNCTION("""COMPUTED_VALUE"""),"Jornada Completa")</f>
        <v>Jornada Completa</v>
      </c>
      <c r="J310" s="33" t="str">
        <f>IFERROR(__xludf.DUMMYFUNCTION("""COMPUTED_VALUE"""),"A CONTRATA")</f>
        <v>A CONTRATA</v>
      </c>
      <c r="K310" s="33" t="str">
        <f>IFERROR(__xludf.DUMMYFUNCTION("""COMPUTED_VALUE"""),"AUXILIAR")</f>
        <v>AUXILIAR</v>
      </c>
      <c r="L310" s="34" t="str">
        <f>IFERROR(__xludf.DUMMYFUNCTION("""COMPUTED_VALUE"""),"INTERNO")</f>
        <v>INTERNO</v>
      </c>
      <c r="M310" s="34">
        <f>IFERROR(__xludf.DUMMYFUNCTION("""COMPUTED_VALUE"""),0.0)</f>
        <v>0</v>
      </c>
      <c r="N310" s="34" t="str">
        <f>IFERROR(__xludf.DUMMYFUNCTION("""COMPUTED_VALUE"""),"EXTERNO")</f>
        <v>EXTERNO</v>
      </c>
      <c r="O310">
        <f>IFERROR(__xludf.DUMMYFUNCTION("""COMPUTED_VALUE"""),21.0)</f>
        <v>21</v>
      </c>
      <c r="P310">
        <f>IFERROR(__xludf.DUMMYFUNCTION("""COMPUTED_VALUE"""),1.0)</f>
        <v>1</v>
      </c>
      <c r="Q310" s="35">
        <f>IFERROR(__xludf.DUMMYFUNCTION("""COMPUTED_VALUE"""),6.0)</f>
        <v>6</v>
      </c>
      <c r="R310" s="36" t="str">
        <f>IFERROR(__xludf.DUMMYFUNCTION("""COMPUTED_VALUE"""),"SELECCIONADO")</f>
        <v>SELECCIONADO</v>
      </c>
      <c r="S310" s="37">
        <f>IFERROR(__xludf.DUMMYFUNCTION("""COMPUTED_VALUE"""),43080.0)</f>
        <v>43080</v>
      </c>
      <c r="T310" s="34"/>
      <c r="U310" t="str">
        <f>IFERROR(__xludf.DUMMYFUNCTION("""COMPUTED_VALUE"""),"DANIEL ROJAS ARANEDA")</f>
        <v>DANIEL ROJAS ARANEDA</v>
      </c>
      <c r="V310" t="str">
        <f>IFERROR(__xludf.DUMMYFUNCTION("""COMPUTED_VALUE"""),"15401585-K")</f>
        <v>15401585-K</v>
      </c>
      <c r="W310" t="str">
        <f>IFERROR(__xludf.DUMMYFUNCTION("""COMPUTED_VALUE"""),"SI")</f>
        <v>SI</v>
      </c>
      <c r="X310" t="str">
        <f>IFERROR(__xludf.DUMMYFUNCTION("""COMPUTED_VALUE"""),"COMUNICACION")</f>
        <v>COMUNICACION</v>
      </c>
      <c r="AA310" s="38">
        <f>IFERROR(__xludf.DUMMYFUNCTION("""COMPUTED_VALUE"""),43045.0)</f>
        <v>43045</v>
      </c>
      <c r="AB310" s="38">
        <f>IFERROR(__xludf.DUMMYFUNCTION("""COMPUTED_VALUE"""),43052.0)</f>
        <v>43052</v>
      </c>
      <c r="AF310" s="39"/>
      <c r="AG310" s="39"/>
      <c r="AH310" s="34" t="str">
        <f>IFERROR(__xludf.DUMMYFUNCTION("""COMPUTED_VALUE"""),"PROCESO DE SELECCIÓN")</f>
        <v>PROCESO DE SELECCIÓN</v>
      </c>
      <c r="AI310" s="34" t="str">
        <f>IFERROR(__xludf.DUMMYFUNCTION("""COMPUTED_VALUE"""),"CARLOS MARTINEZ HERRERA")</f>
        <v>CARLOS MARTINEZ HERRERA</v>
      </c>
      <c r="AJ310" s="34"/>
      <c r="AK310" s="34"/>
      <c r="AL310">
        <f>IFERROR(__xludf.DUMMYFUNCTION("""COMPUTED_VALUE"""),21.0)</f>
        <v>21</v>
      </c>
      <c r="AM310">
        <f>IFERROR(__xludf.DUMMYFUNCTION("""COMPUTED_VALUE"""),2017.0)</f>
        <v>2017</v>
      </c>
      <c r="AN310" t="str">
        <f t="shared" si="1"/>
        <v>15401585-K</v>
      </c>
    </row>
    <row r="311">
      <c r="A311" s="33">
        <f>IFERROR(__xludf.DUMMYFUNCTION("""COMPUTED_VALUE"""),1.3887751E7)</f>
        <v>13887751</v>
      </c>
      <c r="B311" s="33">
        <f>IFERROR(__xludf.DUMMYFUNCTION("""COMPUTED_VALUE"""),88.0)</f>
        <v>88</v>
      </c>
      <c r="C311" s="33"/>
      <c r="D311" s="34" t="str">
        <f>IFERROR(__xludf.DUMMYFUNCTION("""COMPUTED_VALUE"""),"INGRESAR CENTRO DE COSTO A LA DERECHA")</f>
        <v>INGRESAR CENTRO DE COSTO A LA DERECHA</v>
      </c>
      <c r="E311" s="34" t="str">
        <f>IFERROR(__xludf.DUMMYFUNCTION("""COMPUTED_VALUE"""),"DPTO. DE FINANZAS Y TESORERIA")</f>
        <v>DPTO. DE FINANZAS Y TESORERIA</v>
      </c>
      <c r="F311" s="34" t="str">
        <f>IFERROR(__xludf.DUMMYFUNCTION("""COMPUTED_VALUE"""),"Administrativo(a) Contable")</f>
        <v>Administrativo(a) Contable</v>
      </c>
      <c r="G311" s="33" t="str">
        <f>IFERROR(__xludf.DUMMYFUNCTION("""COMPUTED_VALUE"""),"ADMINISTRATIVO CONTABLE ( EJECUTIVO DE COBRANZA)")</f>
        <v>ADMINISTRATIVO CONTABLE ( EJECUTIVO DE COBRANZA)</v>
      </c>
      <c r="H311">
        <f>IFERROR(__xludf.DUMMYFUNCTION("""COMPUTED_VALUE"""),17.0)</f>
        <v>17</v>
      </c>
      <c r="I311" s="34" t="str">
        <f>IFERROR(__xludf.DUMMYFUNCTION("""COMPUTED_VALUE"""),"Jornada Completa")</f>
        <v>Jornada Completa</v>
      </c>
      <c r="J311" s="33" t="str">
        <f>IFERROR(__xludf.DUMMYFUNCTION("""COMPUTED_VALUE"""),"A CONTRATA")</f>
        <v>A CONTRATA</v>
      </c>
      <c r="K311" s="33" t="str">
        <f>IFERROR(__xludf.DUMMYFUNCTION("""COMPUTED_VALUE"""),"TECNICO")</f>
        <v>TECNICO</v>
      </c>
      <c r="L311" s="34" t="str">
        <f>IFERROR(__xludf.DUMMYFUNCTION("""COMPUTED_VALUE"""),"INTERNO")</f>
        <v>INTERNO</v>
      </c>
      <c r="M311" s="34">
        <f>IFERROR(__xludf.DUMMYFUNCTION("""COMPUTED_VALUE"""),0.0)</f>
        <v>0</v>
      </c>
      <c r="N311" s="34" t="str">
        <f>IFERROR(__xludf.DUMMYFUNCTION("""COMPUTED_VALUE"""),"EXTERNO")</f>
        <v>EXTERNO</v>
      </c>
      <c r="O311">
        <f>IFERROR(__xludf.DUMMYFUNCTION("""COMPUTED_VALUE"""),5.0)</f>
        <v>5</v>
      </c>
      <c r="P311">
        <f>IFERROR(__xludf.DUMMYFUNCTION("""COMPUTED_VALUE"""),1.0)</f>
        <v>1</v>
      </c>
      <c r="Q311" s="35">
        <f>IFERROR(__xludf.DUMMYFUNCTION("""COMPUTED_VALUE"""),2.0)</f>
        <v>2</v>
      </c>
      <c r="R311" s="36" t="str">
        <f>IFERROR(__xludf.DUMMYFUNCTION("""COMPUTED_VALUE"""),"SELECCIONADA")</f>
        <v>SELECCIONADA</v>
      </c>
      <c r="S311" s="37">
        <f>IFERROR(__xludf.DUMMYFUNCTION("""COMPUTED_VALUE"""),43087.0)</f>
        <v>43087</v>
      </c>
      <c r="T311" s="34"/>
      <c r="U311" t="str">
        <f>IFERROR(__xludf.DUMMYFUNCTION("""COMPUTED_VALUE"""),"EVELYN SOTO AID")</f>
        <v>EVELYN SOTO AID</v>
      </c>
      <c r="V311" t="str">
        <f>IFERROR(__xludf.DUMMYFUNCTION("""COMPUTED_VALUE"""),"13887751-5")</f>
        <v>13887751-5</v>
      </c>
      <c r="W311" t="str">
        <f>IFERROR(__xludf.DUMMYFUNCTION("""COMPUTED_VALUE"""),"SI")</f>
        <v>SI</v>
      </c>
      <c r="X311" t="str">
        <f>IFERROR(__xludf.DUMMYFUNCTION("""COMPUTED_VALUE"""),"PREOCUPACION POR EL ORDEN Y LA CLARIDAD")</f>
        <v>PREOCUPACION POR EL ORDEN Y LA CLARIDAD</v>
      </c>
      <c r="Y311" t="str">
        <f>IFERROR(__xludf.DUMMYFUNCTION("""COMPUTED_VALUE"""),"ORIENTACION A LOS RESULTADOS")</f>
        <v>ORIENTACION A LOS RESULTADOS</v>
      </c>
      <c r="AA311" s="38">
        <f>IFERROR(__xludf.DUMMYFUNCTION("""COMPUTED_VALUE"""),43025.0)</f>
        <v>43025</v>
      </c>
      <c r="AB311" s="38">
        <f>IFERROR(__xludf.DUMMYFUNCTION("""COMPUTED_VALUE"""),43041.0)</f>
        <v>43041</v>
      </c>
      <c r="AF311" s="39"/>
      <c r="AG311" s="39"/>
      <c r="AH311" s="34" t="str">
        <f>IFERROR(__xludf.DUMMYFUNCTION("""COMPUTED_VALUE"""),"PROCESO DE SELECCIÓN")</f>
        <v>PROCESO DE SELECCIÓN</v>
      </c>
      <c r="AI311" s="34" t="str">
        <f>IFERROR(__xludf.DUMMYFUNCTION("""COMPUTED_VALUE"""),"XIMENA ACEVEDO")</f>
        <v>XIMENA ACEVEDO</v>
      </c>
      <c r="AJ311" s="34"/>
      <c r="AK311" s="34"/>
      <c r="AL311">
        <f>IFERROR(__xludf.DUMMYFUNCTION("""COMPUTED_VALUE"""),33.0)</f>
        <v>33</v>
      </c>
      <c r="AM311">
        <f>IFERROR(__xludf.DUMMYFUNCTION("""COMPUTED_VALUE"""),2017.0)</f>
        <v>2017</v>
      </c>
      <c r="AN311" t="str">
        <f t="shared" si="1"/>
        <v>13887751-5</v>
      </c>
    </row>
    <row r="312">
      <c r="A312" s="33">
        <f>IFERROR(__xludf.DUMMYFUNCTION("""COMPUTED_VALUE"""),1.1884683E7)</f>
        <v>11884683</v>
      </c>
      <c r="B312" s="33">
        <f>IFERROR(__xludf.DUMMYFUNCTION("""COMPUTED_VALUE"""),89.0)</f>
        <v>89</v>
      </c>
      <c r="C312" s="33"/>
      <c r="D312" s="34" t="str">
        <f>IFERROR(__xludf.DUMMYFUNCTION("""COMPUTED_VALUE"""),"INGRESAR CENTRO DE COSTO A LA DERECHA")</f>
        <v>INGRESAR CENTRO DE COSTO A LA DERECHA</v>
      </c>
      <c r="E312" s="34" t="str">
        <f>IFERROR(__xludf.DUMMYFUNCTION("""COMPUTED_VALUE"""),"DPTO. DE FINANZAS Y TESORERIA")</f>
        <v>DPTO. DE FINANZAS Y TESORERIA</v>
      </c>
      <c r="F312" s="34" t="str">
        <f>IFERROR(__xludf.DUMMYFUNCTION("""COMPUTED_VALUE"""),"Analista Contable II")</f>
        <v>Analista Contable II</v>
      </c>
      <c r="G312" s="33" t="str">
        <f>IFERROR(__xludf.DUMMYFUNCTION("""COMPUTED_VALUE"""),"ANALISTA CONTABLE II ")</f>
        <v>ANALISTA CONTABLE II </v>
      </c>
      <c r="H312">
        <f>IFERROR(__xludf.DUMMYFUNCTION("""COMPUTED_VALUE"""),13.0)</f>
        <v>13</v>
      </c>
      <c r="I312" s="34" t="str">
        <f>IFERROR(__xludf.DUMMYFUNCTION("""COMPUTED_VALUE"""),"Jornada Completa")</f>
        <v>Jornada Completa</v>
      </c>
      <c r="J312" s="33" t="str">
        <f>IFERROR(__xludf.DUMMYFUNCTION("""COMPUTED_VALUE"""),"A CONTRATA")</f>
        <v>A CONTRATA</v>
      </c>
      <c r="K312" s="33" t="str">
        <f>IFERROR(__xludf.DUMMYFUNCTION("""COMPUTED_VALUE"""),"PROFESIONAL")</f>
        <v>PROFESIONAL</v>
      </c>
      <c r="L312" s="34" t="str">
        <f>IFERROR(__xludf.DUMMYFUNCTION("""COMPUTED_VALUE"""),"INTERNO")</f>
        <v>INTERNO</v>
      </c>
      <c r="M312" s="34">
        <f>IFERROR(__xludf.DUMMYFUNCTION("""COMPUTED_VALUE"""),0.0)</f>
        <v>0</v>
      </c>
      <c r="N312" s="34" t="str">
        <f>IFERROR(__xludf.DUMMYFUNCTION("""COMPUTED_VALUE"""),"EXTERNO")</f>
        <v>EXTERNO</v>
      </c>
      <c r="O312">
        <f>IFERROR(__xludf.DUMMYFUNCTION("""COMPUTED_VALUE"""),10.0)</f>
        <v>10</v>
      </c>
      <c r="P312">
        <f>IFERROR(__xludf.DUMMYFUNCTION("""COMPUTED_VALUE"""),3.0)</f>
        <v>3</v>
      </c>
      <c r="Q312" s="35">
        <f>IFERROR(__xludf.DUMMYFUNCTION("""COMPUTED_VALUE"""),0.0)</f>
        <v>0</v>
      </c>
      <c r="R312" s="36" t="str">
        <f>IFERROR(__xludf.DUMMYFUNCTION("""COMPUTED_VALUE"""),"SELECCIONADO")</f>
        <v>SELECCIONADO</v>
      </c>
      <c r="S312" s="37">
        <f>IFERROR(__xludf.DUMMYFUNCTION("""COMPUTED_VALUE"""),43059.0)</f>
        <v>43059</v>
      </c>
      <c r="T312" s="34"/>
      <c r="U312" t="str">
        <f>IFERROR(__xludf.DUMMYFUNCTION("""COMPUTED_VALUE"""),"DIEGO BUSTAMANTE FLORES")</f>
        <v>DIEGO BUSTAMANTE FLORES</v>
      </c>
      <c r="V312" t="str">
        <f>IFERROR(__xludf.DUMMYFUNCTION("""COMPUTED_VALUE"""),"11884683-4")</f>
        <v>11884683-4</v>
      </c>
      <c r="W312" t="str">
        <f>IFERROR(__xludf.DUMMYFUNCTION("""COMPUTED_VALUE"""),"SI")</f>
        <v>SI</v>
      </c>
      <c r="X312" t="str">
        <f>IFERROR(__xludf.DUMMYFUNCTION("""COMPUTED_VALUE"""),"Capacidad de Planificacion y Organizacion")</f>
        <v>Capacidad de Planificacion y Organizacion</v>
      </c>
      <c r="Y312" t="str">
        <f>IFERROR(__xludf.DUMMYFUNCTION("""COMPUTED_VALUE"""),"Iniciativa")</f>
        <v>Iniciativa</v>
      </c>
      <c r="Z312" t="str">
        <f>IFERROR(__xludf.DUMMYFUNCTION("""COMPUTED_VALUE"""),"Orientacion a los Resultados")</f>
        <v>Orientacion a los Resultados</v>
      </c>
      <c r="AA312" s="38">
        <f>IFERROR(__xludf.DUMMYFUNCTION("""COMPUTED_VALUE"""),43024.0)</f>
        <v>43024</v>
      </c>
      <c r="AB312" s="38">
        <f>IFERROR(__xludf.DUMMYFUNCTION("""COMPUTED_VALUE"""),43031.0)</f>
        <v>43031</v>
      </c>
      <c r="AF312" s="39"/>
      <c r="AG312" s="39"/>
      <c r="AH312" s="34"/>
      <c r="AI312" s="34"/>
      <c r="AJ312" s="34"/>
      <c r="AK312" s="34"/>
      <c r="AL312">
        <f>IFERROR(__xludf.DUMMYFUNCTION("""COMPUTED_VALUE"""),21.0)</f>
        <v>21</v>
      </c>
      <c r="AM312">
        <f>IFERROR(__xludf.DUMMYFUNCTION("""COMPUTED_VALUE"""),2017.0)</f>
        <v>2017</v>
      </c>
      <c r="AN312" t="str">
        <f t="shared" si="1"/>
        <v>11884683-4</v>
      </c>
    </row>
    <row r="313">
      <c r="A313" s="33">
        <f>IFERROR(__xludf.DUMMYFUNCTION("""COMPUTED_VALUE"""),1.5854032E7)</f>
        <v>15854032</v>
      </c>
      <c r="B313" s="33">
        <f>IFERROR(__xludf.DUMMYFUNCTION("""COMPUTED_VALUE"""),90.0)</f>
        <v>90</v>
      </c>
      <c r="C313" s="33"/>
      <c r="D313" s="34" t="str">
        <f>IFERROR(__xludf.DUMMYFUNCTION("""COMPUTED_VALUE"""),"INGRESAR CENTRO DE COSTO A LA DERECHA")</f>
        <v>INGRESAR CENTRO DE COSTO A LA DERECHA</v>
      </c>
      <c r="E313" s="34" t="str">
        <f>IFERROR(__xludf.DUMMYFUNCTION("""COMPUTED_VALUE"""),"DPTO. DE FINANZAS Y TESORERIA")</f>
        <v>DPTO. DE FINANZAS Y TESORERIA</v>
      </c>
      <c r="F313" s="34" t="str">
        <f>IFERROR(__xludf.DUMMYFUNCTION("""COMPUTED_VALUE"""),"Analista Contable II")</f>
        <v>Analista Contable II</v>
      </c>
      <c r="G313" s="33" t="str">
        <f>IFERROR(__xludf.DUMMYFUNCTION("""COMPUTED_VALUE"""),"ANALISTA CONTABLE II")</f>
        <v>ANALISTA CONTABLE II</v>
      </c>
      <c r="H313">
        <f>IFERROR(__xludf.DUMMYFUNCTION("""COMPUTED_VALUE"""),13.0)</f>
        <v>13</v>
      </c>
      <c r="I313" s="34" t="str">
        <f>IFERROR(__xludf.DUMMYFUNCTION("""COMPUTED_VALUE"""),"Jornada Completa")</f>
        <v>Jornada Completa</v>
      </c>
      <c r="J313" s="33" t="str">
        <f>IFERROR(__xludf.DUMMYFUNCTION("""COMPUTED_VALUE"""),"A CONTRATA")</f>
        <v>A CONTRATA</v>
      </c>
      <c r="K313" s="33" t="str">
        <f>IFERROR(__xludf.DUMMYFUNCTION("""COMPUTED_VALUE"""),"PROFESIONAL")</f>
        <v>PROFESIONAL</v>
      </c>
      <c r="L313" s="34" t="str">
        <f>IFERROR(__xludf.DUMMYFUNCTION("""COMPUTED_VALUE"""),"NO")</f>
        <v>NO</v>
      </c>
      <c r="M313" s="34">
        <f>IFERROR(__xludf.DUMMYFUNCTION("""COMPUTED_VALUE"""),0.0)</f>
        <v>0</v>
      </c>
      <c r="N313" s="34" t="str">
        <f>IFERROR(__xludf.DUMMYFUNCTION("""COMPUTED_VALUE"""),"EXTERNO")</f>
        <v>EXTERNO</v>
      </c>
      <c r="O313">
        <f>IFERROR(__xludf.DUMMYFUNCTION("""COMPUTED_VALUE"""),5.0)</f>
        <v>5</v>
      </c>
      <c r="P313">
        <f>IFERROR(__xludf.DUMMYFUNCTION("""COMPUTED_VALUE"""),1.0)</f>
        <v>1</v>
      </c>
      <c r="Q313" s="35">
        <f>IFERROR(__xludf.DUMMYFUNCTION("""COMPUTED_VALUE"""),0.0)</f>
        <v>0</v>
      </c>
      <c r="R313" s="36" t="str">
        <f>IFERROR(__xludf.DUMMYFUNCTION("""COMPUTED_VALUE"""),"SELECCIONADO")</f>
        <v>SELECCIONADO</v>
      </c>
      <c r="S313" s="37">
        <f>IFERROR(__xludf.DUMMYFUNCTION("""COMPUTED_VALUE"""),43088.0)</f>
        <v>43088</v>
      </c>
      <c r="T313" s="34"/>
      <c r="U313" t="str">
        <f>IFERROR(__xludf.DUMMYFUNCTION("""COMPUTED_VALUE"""),"VICTOR GONZALEZ AGUAYO")</f>
        <v>VICTOR GONZALEZ AGUAYO</v>
      </c>
      <c r="V313" t="str">
        <f>IFERROR(__xludf.DUMMYFUNCTION("""COMPUTED_VALUE"""),"15854032-0")</f>
        <v>15854032-0</v>
      </c>
      <c r="W313" t="str">
        <f>IFERROR(__xludf.DUMMYFUNCTION("""COMPUTED_VALUE"""),"NO")</f>
        <v>NO</v>
      </c>
      <c r="AA313" s="38">
        <f>IFERROR(__xludf.DUMMYFUNCTION("""COMPUTED_VALUE"""),43056.0)</f>
        <v>43056</v>
      </c>
      <c r="AB313" s="38">
        <f>IFERROR(__xludf.DUMMYFUNCTION("""COMPUTED_VALUE"""),43063.0)</f>
        <v>43063</v>
      </c>
      <c r="AF313" s="39"/>
      <c r="AG313" s="39"/>
      <c r="AH313" s="34"/>
      <c r="AI313" s="34"/>
      <c r="AJ313" s="34"/>
      <c r="AK313" s="34"/>
      <c r="AL313">
        <f>IFERROR(__xludf.DUMMYFUNCTION("""COMPUTED_VALUE"""),18.0)</f>
        <v>18</v>
      </c>
      <c r="AM313">
        <f>IFERROR(__xludf.DUMMYFUNCTION("""COMPUTED_VALUE"""),2017.0)</f>
        <v>2017</v>
      </c>
      <c r="AN313" t="str">
        <f t="shared" si="1"/>
        <v>15854032-0</v>
      </c>
    </row>
    <row r="314">
      <c r="A314" s="33">
        <f>IFERROR(__xludf.DUMMYFUNCTION("""COMPUTED_VALUE"""),1.5003727E7)</f>
        <v>15003727</v>
      </c>
      <c r="B314" s="33">
        <f>IFERROR(__xludf.DUMMYFUNCTION("""COMPUTED_VALUE"""),91.0)</f>
        <v>91</v>
      </c>
      <c r="C314" s="33"/>
      <c r="D314" s="34" t="str">
        <f>IFERROR(__xludf.DUMMYFUNCTION("""COMPUTED_VALUE"""),"INGRESAR CENTRO DE COSTO A LA DERECHA")</f>
        <v>INGRESAR CENTRO DE COSTO A LA DERECHA</v>
      </c>
      <c r="E314" s="34" t="str">
        <f>IFERROR(__xludf.DUMMYFUNCTION("""COMPUTED_VALUE"""),"CECTA")</f>
        <v>CECTA</v>
      </c>
      <c r="F314" s="34" t="str">
        <f>IFERROR(__xludf.DUMMYFUNCTION("""COMPUTED_VALUE"""),"Profesional de Investigación y Desarrollo")</f>
        <v>Profesional de Investigación y Desarrollo</v>
      </c>
      <c r="G314" s="33" t="str">
        <f>IFERROR(__xludf.DUMMYFUNCTION("""COMPUTED_VALUE"""),"PROFESIONAL DE INVESTIGACION Y DESARROLLO")</f>
        <v>PROFESIONAL DE INVESTIGACION Y DESARROLLO</v>
      </c>
      <c r="H314">
        <f>IFERROR(__xludf.DUMMYFUNCTION("""COMPUTED_VALUE"""),8.0)</f>
        <v>8</v>
      </c>
      <c r="I314" s="34" t="str">
        <f>IFERROR(__xludf.DUMMYFUNCTION("""COMPUTED_VALUE"""),"Jornada Completa")</f>
        <v>Jornada Completa</v>
      </c>
      <c r="J314" s="33" t="str">
        <f>IFERROR(__xludf.DUMMYFUNCTION("""COMPUTED_VALUE"""),"A CONTRATA")</f>
        <v>A CONTRATA</v>
      </c>
      <c r="K314" s="33" t="str">
        <f>IFERROR(__xludf.DUMMYFUNCTION("""COMPUTED_VALUE"""),"PROFESIONAL")</f>
        <v>PROFESIONAL</v>
      </c>
      <c r="L314" s="34" t="str">
        <f>IFERROR(__xludf.DUMMYFUNCTION("""COMPUTED_VALUE"""),"INTERNO")</f>
        <v>INTERNO</v>
      </c>
      <c r="M314" s="34">
        <f>IFERROR(__xludf.DUMMYFUNCTION("""COMPUTED_VALUE"""),2.0)</f>
        <v>2</v>
      </c>
      <c r="N314" s="34" t="str">
        <f>IFERROR(__xludf.DUMMYFUNCTION("""COMPUTED_VALUE"""),"EXTERNO")</f>
        <v>EXTERNO</v>
      </c>
      <c r="O314">
        <f>IFERROR(__xludf.DUMMYFUNCTION("""COMPUTED_VALUE"""),18.0)</f>
        <v>18</v>
      </c>
      <c r="P314">
        <f>IFERROR(__xludf.DUMMYFUNCTION("""COMPUTED_VALUE"""),2.0)</f>
        <v>2</v>
      </c>
      <c r="Q314" s="35">
        <f>IFERROR(__xludf.DUMMYFUNCTION("""COMPUTED_VALUE"""),0.0)</f>
        <v>0</v>
      </c>
      <c r="R314" s="36" t="str">
        <f>IFERROR(__xludf.DUMMYFUNCTION("""COMPUTED_VALUE"""),"SELECCIONADO")</f>
        <v>SELECCIONADO</v>
      </c>
      <c r="S314" s="37">
        <f>IFERROR(__xludf.DUMMYFUNCTION("""COMPUTED_VALUE"""),42887.0)</f>
        <v>42887</v>
      </c>
      <c r="T314" s="34"/>
      <c r="U314" t="str">
        <f>IFERROR(__xludf.DUMMYFUNCTION("""COMPUTED_VALUE"""),"ADENS GONZALEZ CHIA")</f>
        <v>ADENS GONZALEZ CHIA</v>
      </c>
      <c r="V314" t="str">
        <f>IFERROR(__xludf.DUMMYFUNCTION("""COMPUTED_VALUE"""),"15003727-1")</f>
        <v>15003727-1</v>
      </c>
      <c r="W314" t="str">
        <f>IFERROR(__xludf.DUMMYFUNCTION("""COMPUTED_VALUE"""),"SI")</f>
        <v>SI</v>
      </c>
      <c r="X314" t="str">
        <f>IFERROR(__xludf.DUMMYFUNCTION("""COMPUTED_VALUE"""),"Pensamiento Analitico")</f>
        <v>Pensamiento Analitico</v>
      </c>
      <c r="Z314" t="str">
        <f>IFERROR(__xludf.DUMMYFUNCTION("""COMPUTED_VALUE"""),"Capacidad de Planificacion y Organizacion")</f>
        <v>Capacidad de Planificacion y Organizacion</v>
      </c>
      <c r="AA314" s="38">
        <f>IFERROR(__xludf.DUMMYFUNCTION("""COMPUTED_VALUE"""),42802.0)</f>
        <v>42802</v>
      </c>
      <c r="AB314" s="38">
        <f>IFERROR(__xludf.DUMMYFUNCTION("""COMPUTED_VALUE"""),42809.0)</f>
        <v>42809</v>
      </c>
      <c r="AF314" s="39"/>
      <c r="AG314" s="39"/>
      <c r="AH314" s="34" t="str">
        <f>IFERROR(__xludf.DUMMYFUNCTION("""COMPUTED_VALUE"""),"PROCESO DE SELECCIÓN")</f>
        <v>PROCESO DE SELECCIÓN</v>
      </c>
      <c r="AI314" s="34"/>
      <c r="AJ314" s="34"/>
      <c r="AK314" s="34" t="str">
        <f>IFERROR(__xludf.DUMMYFUNCTION("""COMPUTED_VALUE"""),"E")</f>
        <v>E</v>
      </c>
      <c r="AL314">
        <f>IFERROR(__xludf.DUMMYFUNCTION("""COMPUTED_VALUE"""),57.0)</f>
        <v>57</v>
      </c>
      <c r="AM314">
        <f>IFERROR(__xludf.DUMMYFUNCTION("""COMPUTED_VALUE"""),2017.0)</f>
        <v>2017</v>
      </c>
      <c r="AN314" t="str">
        <f t="shared" si="1"/>
        <v>15003727-1</v>
      </c>
    </row>
    <row r="315">
      <c r="A315" s="33">
        <f>IFERROR(__xludf.DUMMYFUNCTION("""COMPUTED_VALUE"""),1.2513253E7)</f>
        <v>12513253</v>
      </c>
      <c r="B315" s="33">
        <f>IFERROR(__xludf.DUMMYFUNCTION("""COMPUTED_VALUE"""),92.0)</f>
        <v>92</v>
      </c>
      <c r="C315" s="33"/>
      <c r="D315" s="34" t="str">
        <f>IFERROR(__xludf.DUMMYFUNCTION("""COMPUTED_VALUE"""),"INGRESAR CENTRO DE COSTO A LA DERECHA")</f>
        <v>INGRESAR CENTRO DE COSTO A LA DERECHA</v>
      </c>
      <c r="E315" s="34" t="str">
        <f>IFERROR(__xludf.DUMMYFUNCTION("""COMPUTED_VALUE"""),"VR. ACADEMICA")</f>
        <v>VR. ACADEMICA</v>
      </c>
      <c r="F315" s="34" t="str">
        <f>IFERROR(__xludf.DUMMYFUNCTION("""COMPUTED_VALUE"""),"Auxiliar de Servicios")</f>
        <v>Auxiliar de Servicios</v>
      </c>
      <c r="G315" s="33" t="str">
        <f>IFERROR(__xludf.DUMMYFUNCTION("""COMPUTED_VALUE"""),"AUXILIAR DE SERVICIOS (EDIFICIO 726)")</f>
        <v>AUXILIAR DE SERVICIOS (EDIFICIO 726)</v>
      </c>
      <c r="H315">
        <f>IFERROR(__xludf.DUMMYFUNCTION("""COMPUTED_VALUE"""),23.0)</f>
        <v>23</v>
      </c>
      <c r="I315" s="34" t="str">
        <f>IFERROR(__xludf.DUMMYFUNCTION("""COMPUTED_VALUE"""),"Jornada Completa")</f>
        <v>Jornada Completa</v>
      </c>
      <c r="J315" s="33" t="str">
        <f>IFERROR(__xludf.DUMMYFUNCTION("""COMPUTED_VALUE"""),"A CONTRATA")</f>
        <v>A CONTRATA</v>
      </c>
      <c r="K315" s="33" t="str">
        <f>IFERROR(__xludf.DUMMYFUNCTION("""COMPUTED_VALUE"""),"AUXILIAR")</f>
        <v>AUXILIAR</v>
      </c>
      <c r="L315" s="34" t="str">
        <f>IFERROR(__xludf.DUMMYFUNCTION("""COMPUTED_VALUE"""),"INTERNO")</f>
        <v>INTERNO</v>
      </c>
      <c r="M315" s="34">
        <f>IFERROR(__xludf.DUMMYFUNCTION("""COMPUTED_VALUE"""),0.0)</f>
        <v>0</v>
      </c>
      <c r="N315" s="34" t="str">
        <f>IFERROR(__xludf.DUMMYFUNCTION("""COMPUTED_VALUE"""),"EXTERNO")</f>
        <v>EXTERNO</v>
      </c>
      <c r="O315">
        <f>IFERROR(__xludf.DUMMYFUNCTION("""COMPUTED_VALUE"""),8.0)</f>
        <v>8</v>
      </c>
      <c r="P315">
        <f>IFERROR(__xludf.DUMMYFUNCTION("""COMPUTED_VALUE"""),1.0)</f>
        <v>1</v>
      </c>
      <c r="Q315" s="35">
        <f>IFERROR(__xludf.DUMMYFUNCTION("""COMPUTED_VALUE"""),7.0)</f>
        <v>7</v>
      </c>
      <c r="R315" s="36" t="str">
        <f>IFERROR(__xludf.DUMMYFUNCTION("""COMPUTED_VALUE"""),"SELECCIONADO")</f>
        <v>SELECCIONADO</v>
      </c>
      <c r="S315" s="37">
        <f>IFERROR(__xludf.DUMMYFUNCTION("""COMPUTED_VALUE"""),42933.0)</f>
        <v>42933</v>
      </c>
      <c r="T315" s="34"/>
      <c r="U315" t="str">
        <f>IFERROR(__xludf.DUMMYFUNCTION("""COMPUTED_VALUE"""),"RICARDO FRANCESCONI ARAVENA")</f>
        <v>RICARDO FRANCESCONI ARAVENA</v>
      </c>
      <c r="V315" t="str">
        <f>IFERROR(__xludf.DUMMYFUNCTION("""COMPUTED_VALUE"""),"12513253-7")</f>
        <v>12513253-7</v>
      </c>
      <c r="W315" t="str">
        <f>IFERROR(__xludf.DUMMYFUNCTION("""COMPUTED_VALUE"""),"SI")</f>
        <v>SI</v>
      </c>
      <c r="X315" t="str">
        <f>IFERROR(__xludf.DUMMYFUNCTION("""COMPUTED_VALUE"""),"Comunicacion")</f>
        <v>Comunicacion</v>
      </c>
      <c r="AA315" s="38">
        <f>IFERROR(__xludf.DUMMYFUNCTION("""COMPUTED_VALUE"""),42853.0)</f>
        <v>42853</v>
      </c>
      <c r="AB315" s="38">
        <f>IFERROR(__xludf.DUMMYFUNCTION("""COMPUTED_VALUE"""),42860.0)</f>
        <v>42860</v>
      </c>
      <c r="AF315" s="39"/>
      <c r="AG315" s="39"/>
      <c r="AH315" s="34" t="str">
        <f>IFERROR(__xludf.DUMMYFUNCTION("""COMPUTED_VALUE"""),"PROCESO DE SELECCIÓN")</f>
        <v>PROCESO DE SELECCIÓN</v>
      </c>
      <c r="AI315" s="34" t="str">
        <f>IFERROR(__xludf.DUMMYFUNCTION("""COMPUTED_VALUE"""),"JUAN HERNÁNDEZ HERNÁNDEZ")</f>
        <v>JUAN HERNÁNDEZ HERNÁNDEZ</v>
      </c>
      <c r="AJ315" s="34"/>
      <c r="AK315" s="34" t="str">
        <f>IFERROR(__xludf.DUMMYFUNCTION("""COMPUTED_VALUE"""),"E")</f>
        <v>E</v>
      </c>
      <c r="AL315">
        <f>IFERROR(__xludf.DUMMYFUNCTION("""COMPUTED_VALUE"""),52.0)</f>
        <v>52</v>
      </c>
      <c r="AM315">
        <f>IFERROR(__xludf.DUMMYFUNCTION("""COMPUTED_VALUE"""),2017.0)</f>
        <v>2017</v>
      </c>
      <c r="AN315" t="str">
        <f t="shared" si="1"/>
        <v>12513253-7</v>
      </c>
    </row>
    <row r="316">
      <c r="A316" s="33">
        <f>IFERROR(__xludf.DUMMYFUNCTION("""COMPUTED_VALUE"""),1.6931062E7)</f>
        <v>16931062</v>
      </c>
      <c r="B316" s="33">
        <f>IFERROR(__xludf.DUMMYFUNCTION("""COMPUTED_VALUE"""),93.0)</f>
        <v>93</v>
      </c>
      <c r="C316" s="33"/>
      <c r="D316" s="34" t="str">
        <f>IFERROR(__xludf.DUMMYFUNCTION("""COMPUTED_VALUE"""),"INGRESAR CENTRO DE COSTO A LA DERECHA")</f>
        <v>INGRESAR CENTRO DE COSTO A LA DERECHA</v>
      </c>
      <c r="E316" s="34" t="str">
        <f>IFERROR(__xludf.DUMMYFUNCTION("""COMPUTED_VALUE"""),"DPTO. DE COMUNICACIONES")</f>
        <v>DPTO. DE COMUNICACIONES</v>
      </c>
      <c r="F316" s="34" t="str">
        <f>IFERROR(__xludf.DUMMYFUNCTION("""COMPUTED_VALUE"""),"Radio Controlador(a)")</f>
        <v>Radio Controlador(a)</v>
      </c>
      <c r="G316" s="33" t="str">
        <f>IFERROR(__xludf.DUMMYFUNCTION("""COMPUTED_VALUE"""),"RADIO CONTROLADOR")</f>
        <v>RADIO CONTROLADOR</v>
      </c>
      <c r="H316">
        <f>IFERROR(__xludf.DUMMYFUNCTION("""COMPUTED_VALUE"""),17.0)</f>
        <v>17</v>
      </c>
      <c r="I316" s="34" t="str">
        <f>IFERROR(__xludf.DUMMYFUNCTION("""COMPUTED_VALUE"""),"Jornada Completa")</f>
        <v>Jornada Completa</v>
      </c>
      <c r="J316" s="33" t="str">
        <f>IFERROR(__xludf.DUMMYFUNCTION("""COMPUTED_VALUE"""),"A CONTRATA")</f>
        <v>A CONTRATA</v>
      </c>
      <c r="K316" s="33" t="str">
        <f>IFERROR(__xludf.DUMMYFUNCTION("""COMPUTED_VALUE"""),"TECNICO")</f>
        <v>TECNICO</v>
      </c>
      <c r="L316" s="34" t="str">
        <f>IFERROR(__xludf.DUMMYFUNCTION("""COMPUTED_VALUE"""),"INTERNO")</f>
        <v>INTERNO</v>
      </c>
      <c r="M316" s="34">
        <f>IFERROR(__xludf.DUMMYFUNCTION("""COMPUTED_VALUE"""),0.0)</f>
        <v>0</v>
      </c>
      <c r="N316" s="34" t="str">
        <f>IFERROR(__xludf.DUMMYFUNCTION("""COMPUTED_VALUE"""),"EXTERNO")</f>
        <v>EXTERNO</v>
      </c>
      <c r="O316">
        <f>IFERROR(__xludf.DUMMYFUNCTION("""COMPUTED_VALUE"""),11.0)</f>
        <v>11</v>
      </c>
      <c r="P316">
        <f>IFERROR(__xludf.DUMMYFUNCTION("""COMPUTED_VALUE"""),2.0)</f>
        <v>2</v>
      </c>
      <c r="Q316" s="35">
        <f>IFERROR(__xludf.DUMMYFUNCTION("""COMPUTED_VALUE"""),0.0)</f>
        <v>0</v>
      </c>
      <c r="R316" s="36" t="str">
        <f>IFERROR(__xludf.DUMMYFUNCTION("""COMPUTED_VALUE"""),"SELECCIONADO")</f>
        <v>SELECCIONADO</v>
      </c>
      <c r="S316" s="37">
        <f>IFERROR(__xludf.DUMMYFUNCTION("""COMPUTED_VALUE"""),42917.0)</f>
        <v>42917</v>
      </c>
      <c r="T316" s="34"/>
      <c r="U316" t="str">
        <f>IFERROR(__xludf.DUMMYFUNCTION("""COMPUTED_VALUE"""),"MARCOS CORNES CARES")</f>
        <v>MARCOS CORNES CARES</v>
      </c>
      <c r="V316" t="str">
        <f>IFERROR(__xludf.DUMMYFUNCTION("""COMPUTED_VALUE"""),"16931062-9")</f>
        <v>16931062-9</v>
      </c>
      <c r="W316" t="str">
        <f>IFERROR(__xludf.DUMMYFUNCTION("""COMPUTED_VALUE"""),"SI")</f>
        <v>SI</v>
      </c>
      <c r="X316" t="str">
        <f>IFERROR(__xludf.DUMMYFUNCTION("""COMPUTED_VALUE"""),"Flexibilidad")</f>
        <v>Flexibilidad</v>
      </c>
      <c r="AA316" s="38">
        <f>IFERROR(__xludf.DUMMYFUNCTION("""COMPUTED_VALUE"""),42871.0)</f>
        <v>42871</v>
      </c>
      <c r="AB316" s="38">
        <f>IFERROR(__xludf.DUMMYFUNCTION("""COMPUTED_VALUE"""),42878.0)</f>
        <v>42878</v>
      </c>
      <c r="AF316" s="39"/>
      <c r="AG316" s="39"/>
      <c r="AH316" s="34" t="str">
        <f>IFERROR(__xludf.DUMMYFUNCTION("""COMPUTED_VALUE"""),"PROCESO DE SELECCIÓN")</f>
        <v>PROCESO DE SELECCIÓN</v>
      </c>
      <c r="AI316" s="34" t="str">
        <f>IFERROR(__xludf.DUMMYFUNCTION("""COMPUTED_VALUE"""),"ALEXIS ARMIJO HUERTA")</f>
        <v>ALEXIS ARMIJO HUERTA</v>
      </c>
      <c r="AJ316" s="34"/>
      <c r="AK316" s="34" t="str">
        <f>IFERROR(__xludf.DUMMYFUNCTION("""COMPUTED_VALUE"""),"E")</f>
        <v>E</v>
      </c>
      <c r="AL316">
        <f>IFERROR(__xludf.DUMMYFUNCTION("""COMPUTED_VALUE"""),29.0)</f>
        <v>29</v>
      </c>
      <c r="AM316">
        <f>IFERROR(__xludf.DUMMYFUNCTION("""COMPUTED_VALUE"""),2017.0)</f>
        <v>2017</v>
      </c>
      <c r="AN316" t="str">
        <f t="shared" si="1"/>
        <v>16931062-9</v>
      </c>
    </row>
    <row r="317">
      <c r="A317" s="33">
        <f>IFERROR(__xludf.DUMMYFUNCTION("""COMPUTED_VALUE"""),1.7706868E7)</f>
        <v>17706868</v>
      </c>
      <c r="B317" s="33">
        <f>IFERROR(__xludf.DUMMYFUNCTION("""COMPUTED_VALUE"""),94.0)</f>
        <v>94</v>
      </c>
      <c r="C317" s="33"/>
      <c r="D317" s="34" t="str">
        <f>IFERROR(__xludf.DUMMYFUNCTION("""COMPUTED_VALUE"""),"INGRESAR CENTRO DE COSTO A LA DERECHA")</f>
        <v>INGRESAR CENTRO DE COSTO A LA DERECHA</v>
      </c>
      <c r="E317" s="34" t="str">
        <f>IFERROR(__xludf.DUMMYFUNCTION("""COMPUTED_VALUE"""),"DPTO. DE COMUNICACIONES")</f>
        <v>DPTO. DE COMUNICACIONES</v>
      </c>
      <c r="F317" s="34" t="str">
        <f>IFERROR(__xludf.DUMMYFUNCTION("""COMPUTED_VALUE"""),"Radio Controlador(a)")</f>
        <v>Radio Controlador(a)</v>
      </c>
      <c r="G317" s="33" t="str">
        <f>IFERROR(__xludf.DUMMYFUNCTION("""COMPUTED_VALUE"""),"RADIO CONTROLADOR")</f>
        <v>RADIO CONTROLADOR</v>
      </c>
      <c r="H317">
        <f>IFERROR(__xludf.DUMMYFUNCTION("""COMPUTED_VALUE"""),17.0)</f>
        <v>17</v>
      </c>
      <c r="I317" s="34" t="str">
        <f>IFERROR(__xludf.DUMMYFUNCTION("""COMPUTED_VALUE"""),"Jornada Completa")</f>
        <v>Jornada Completa</v>
      </c>
      <c r="J317" s="33" t="str">
        <f>IFERROR(__xludf.DUMMYFUNCTION("""COMPUTED_VALUE"""),"A CONTRATA")</f>
        <v>A CONTRATA</v>
      </c>
      <c r="K317" s="33" t="str">
        <f>IFERROR(__xludf.DUMMYFUNCTION("""COMPUTED_VALUE"""),"TECNICO")</f>
        <v>TECNICO</v>
      </c>
      <c r="L317" s="34" t="str">
        <f>IFERROR(__xludf.DUMMYFUNCTION("""COMPUTED_VALUE"""),"INTERNO")</f>
        <v>INTERNO</v>
      </c>
      <c r="M317" s="34">
        <f>IFERROR(__xludf.DUMMYFUNCTION("""COMPUTED_VALUE"""),0.0)</f>
        <v>0</v>
      </c>
      <c r="N317" s="34" t="str">
        <f>IFERROR(__xludf.DUMMYFUNCTION("""COMPUTED_VALUE"""),"EXTERNO")</f>
        <v>EXTERNO</v>
      </c>
      <c r="O317">
        <f>IFERROR(__xludf.DUMMYFUNCTION("""COMPUTED_VALUE"""),11.0)</f>
        <v>11</v>
      </c>
      <c r="P317">
        <f>IFERROR(__xludf.DUMMYFUNCTION("""COMPUTED_VALUE"""),2.0)</f>
        <v>2</v>
      </c>
      <c r="Q317" s="35">
        <f>IFERROR(__xludf.DUMMYFUNCTION("""COMPUTED_VALUE"""),0.0)</f>
        <v>0</v>
      </c>
      <c r="R317" s="36" t="str">
        <f>IFERROR(__xludf.DUMMYFUNCTION("""COMPUTED_VALUE"""),"SELECCIONADO")</f>
        <v>SELECCIONADO</v>
      </c>
      <c r="S317" s="37">
        <f>IFERROR(__xludf.DUMMYFUNCTION("""COMPUTED_VALUE"""),42917.0)</f>
        <v>42917</v>
      </c>
      <c r="T317" s="34"/>
      <c r="U317" t="str">
        <f>IFERROR(__xludf.DUMMYFUNCTION("""COMPUTED_VALUE"""),"DANIEL CUEVAS MIRANDA")</f>
        <v>DANIEL CUEVAS MIRANDA</v>
      </c>
      <c r="V317" t="str">
        <f>IFERROR(__xludf.DUMMYFUNCTION("""COMPUTED_VALUE"""),"17706868-3")</f>
        <v>17706868-3</v>
      </c>
      <c r="W317" t="str">
        <f>IFERROR(__xludf.DUMMYFUNCTION("""COMPUTED_VALUE"""),"SI")</f>
        <v>SI</v>
      </c>
      <c r="X317" t="str">
        <f>IFERROR(__xludf.DUMMYFUNCTION("""COMPUTED_VALUE"""),"Flexibilidad")</f>
        <v>Flexibilidad</v>
      </c>
      <c r="AA317" s="38">
        <f>IFERROR(__xludf.DUMMYFUNCTION("""COMPUTED_VALUE"""),42871.0)</f>
        <v>42871</v>
      </c>
      <c r="AB317" s="38">
        <f>IFERROR(__xludf.DUMMYFUNCTION("""COMPUTED_VALUE"""),42878.0)</f>
        <v>42878</v>
      </c>
      <c r="AF317" s="39"/>
      <c r="AG317" s="39"/>
      <c r="AH317" s="34" t="str">
        <f>IFERROR(__xludf.DUMMYFUNCTION("""COMPUTED_VALUE"""),"PROCESO DE SELECCIÓN")</f>
        <v>PROCESO DE SELECCIÓN</v>
      </c>
      <c r="AI317" s="34" t="str">
        <f>IFERROR(__xludf.DUMMYFUNCTION("""COMPUTED_VALUE"""),"NICOLAS ORDENES FUENTES")</f>
        <v>NICOLAS ORDENES FUENTES</v>
      </c>
      <c r="AJ317" s="34"/>
      <c r="AK317" s="34" t="str">
        <f>IFERROR(__xludf.DUMMYFUNCTION("""COMPUTED_VALUE"""),"E")</f>
        <v>E</v>
      </c>
      <c r="AL317">
        <f>IFERROR(__xludf.DUMMYFUNCTION("""COMPUTED_VALUE"""),29.0)</f>
        <v>29</v>
      </c>
      <c r="AM317">
        <f>IFERROR(__xludf.DUMMYFUNCTION("""COMPUTED_VALUE"""),2017.0)</f>
        <v>2017</v>
      </c>
      <c r="AN317" t="str">
        <f t="shared" si="1"/>
        <v>17706868-3</v>
      </c>
    </row>
    <row r="318">
      <c r="A318" s="33">
        <f>IFERROR(__xludf.DUMMYFUNCTION("""COMPUTED_VALUE"""),1.7941217E7)</f>
        <v>17941217</v>
      </c>
      <c r="B318" s="33">
        <f>IFERROR(__xludf.DUMMYFUNCTION("""COMPUTED_VALUE"""),95.0)</f>
        <v>95</v>
      </c>
      <c r="C318" s="33"/>
      <c r="D318" s="34" t="str">
        <f>IFERROR(__xludf.DUMMYFUNCTION("""COMPUTED_VALUE"""),"INGRESAR CENTRO DE COSTO A LA DERECHA")</f>
        <v>INGRESAR CENTRO DE COSTO A LA DERECHA</v>
      </c>
      <c r="E318" s="34" t="str">
        <f>IFERROR(__xludf.DUMMYFUNCTION("""COMPUTED_VALUE"""),"FACULTAD DE HUMANIDADES")</f>
        <v>FACULTAD DE HUMANIDADES</v>
      </c>
      <c r="F318" s="34" t="str">
        <f>IFERROR(__xludf.DUMMYFUNCTION("""COMPUTED_VALUE"""),"Secretario(a) C")</f>
        <v>Secretario(a) C</v>
      </c>
      <c r="G318" s="33" t="str">
        <f>IFERROR(__xludf.DUMMYFUNCTION("""COMPUTED_VALUE"""),"SECRETARIO C")</f>
        <v>SECRETARIO C</v>
      </c>
      <c r="H318">
        <f>IFERROR(__xludf.DUMMYFUNCTION("""COMPUTED_VALUE"""),20.0)</f>
        <v>20</v>
      </c>
      <c r="I318" s="34" t="str">
        <f>IFERROR(__xludf.DUMMYFUNCTION("""COMPUTED_VALUE"""),"Jornada Completa")</f>
        <v>Jornada Completa</v>
      </c>
      <c r="J318" s="33" t="str">
        <f>IFERROR(__xludf.DUMMYFUNCTION("""COMPUTED_VALUE"""),"A CONTRATA")</f>
        <v>A CONTRATA</v>
      </c>
      <c r="K318" s="33" t="str">
        <f>IFERROR(__xludf.DUMMYFUNCTION("""COMPUTED_VALUE"""),"ADMINISTRATIVO")</f>
        <v>ADMINISTRATIVO</v>
      </c>
      <c r="L318" s="34" t="str">
        <f>IFERROR(__xludf.DUMMYFUNCTION("""COMPUTED_VALUE"""),"INTERNO")</f>
        <v>INTERNO</v>
      </c>
      <c r="M318" s="34">
        <f>IFERROR(__xludf.DUMMYFUNCTION("""COMPUTED_VALUE"""),0.0)</f>
        <v>0</v>
      </c>
      <c r="N318" s="34" t="str">
        <f>IFERROR(__xludf.DUMMYFUNCTION("""COMPUTED_VALUE"""),"EXTERNO")</f>
        <v>EXTERNO</v>
      </c>
      <c r="O318">
        <f>IFERROR(__xludf.DUMMYFUNCTION("""COMPUTED_VALUE"""),14.0)</f>
        <v>14</v>
      </c>
      <c r="P318">
        <f>IFERROR(__xludf.DUMMYFUNCTION("""COMPUTED_VALUE"""),3.0)</f>
        <v>3</v>
      </c>
      <c r="Q318" s="35">
        <f>IFERROR(__xludf.DUMMYFUNCTION("""COMPUTED_VALUE"""),0.0)</f>
        <v>0</v>
      </c>
      <c r="R318" s="36" t="str">
        <f>IFERROR(__xludf.DUMMYFUNCTION("""COMPUTED_VALUE"""),"SELECCIONADA")</f>
        <v>SELECCIONADA</v>
      </c>
      <c r="S318" s="37">
        <f>IFERROR(__xludf.DUMMYFUNCTION("""COMPUTED_VALUE"""),43164.0)</f>
        <v>43164</v>
      </c>
      <c r="T318" s="34"/>
      <c r="U318" t="str">
        <f>IFERROR(__xludf.DUMMYFUNCTION("""COMPUTED_VALUE"""),"SARA ALBORNOZ BOSICH")</f>
        <v>SARA ALBORNOZ BOSICH</v>
      </c>
      <c r="V318" t="str">
        <f>IFERROR(__xludf.DUMMYFUNCTION("""COMPUTED_VALUE"""),"17941217-9")</f>
        <v>17941217-9</v>
      </c>
      <c r="W318" t="str">
        <f>IFERROR(__xludf.DUMMYFUNCTION("""COMPUTED_VALUE"""),"SI")</f>
        <v>SI</v>
      </c>
      <c r="X318" t="str">
        <f>IFERROR(__xludf.DUMMYFUNCTION("""COMPUTED_VALUE"""),"Trabajo en Equipo")</f>
        <v>Trabajo en Equipo</v>
      </c>
      <c r="Y318" t="str">
        <f>IFERROR(__xludf.DUMMYFUNCTION("""COMPUTED_VALUE"""),"Iniciativa")</f>
        <v>Iniciativa</v>
      </c>
      <c r="Z318" t="str">
        <f>IFERROR(__xludf.DUMMYFUNCTION("""COMPUTED_VALUE"""),"Franqueza- Confiabilidad- Integridad")</f>
        <v>Franqueza- Confiabilidad- Integridad</v>
      </c>
      <c r="AA318" s="38">
        <f>IFERROR(__xludf.DUMMYFUNCTION("""COMPUTED_VALUE"""),43055.0)</f>
        <v>43055</v>
      </c>
      <c r="AB318" s="38">
        <f>IFERROR(__xludf.DUMMYFUNCTION("""COMPUTED_VALUE"""),43062.0)</f>
        <v>43062</v>
      </c>
      <c r="AF318" s="39"/>
      <c r="AG318" s="39"/>
      <c r="AH318" s="34" t="str">
        <f>IFERROR(__xludf.DUMMYFUNCTION("""COMPUTED_VALUE"""),"PROCESO DE SELECCIÓN")</f>
        <v>PROCESO DE SELECCIÓN</v>
      </c>
      <c r="AI318" s="34" t="str">
        <f>IFERROR(__xludf.DUMMYFUNCTION("""COMPUTED_VALUE"""),"SOLEDAD VELOSO GARCIA")</f>
        <v>SOLEDAD VELOSO GARCIA</v>
      </c>
      <c r="AJ318" s="34"/>
      <c r="AK318" s="34"/>
      <c r="AL318">
        <f>IFERROR(__xludf.DUMMYFUNCTION("""COMPUTED_VALUE"""),73.0)</f>
        <v>73</v>
      </c>
      <c r="AM318">
        <f>IFERROR(__xludf.DUMMYFUNCTION("""COMPUTED_VALUE"""),2017.0)</f>
        <v>2017</v>
      </c>
      <c r="AN318" t="str">
        <f t="shared" si="1"/>
        <v>17941217-9</v>
      </c>
    </row>
    <row r="319">
      <c r="A319" s="33">
        <f>IFERROR(__xludf.DUMMYFUNCTION("""COMPUTED_VALUE"""),1.3064375E7)</f>
        <v>13064375</v>
      </c>
      <c r="B319" s="33">
        <f>IFERROR(__xludf.DUMMYFUNCTION("""COMPUTED_VALUE"""),96.0)</f>
        <v>96</v>
      </c>
      <c r="C319" s="33"/>
      <c r="D319" s="34" t="str">
        <f>IFERROR(__xludf.DUMMYFUNCTION("""COMPUTED_VALUE"""),"INGRESAR CENTRO DE COSTO A LA DERECHA")</f>
        <v>INGRESAR CENTRO DE COSTO A LA DERECHA</v>
      </c>
      <c r="E319" s="34" t="str">
        <f>IFERROR(__xludf.DUMMYFUNCTION("""COMPUTED_VALUE"""),"FACULTAD DE QUIMICA Y BIOLOGIA")</f>
        <v>FACULTAD DE QUIMICA Y BIOLOGIA</v>
      </c>
      <c r="F319" s="34" t="str">
        <f>IFERROR(__xludf.DUMMYFUNCTION("""COMPUTED_VALUE"""),"Jefe(a) de Sección")</f>
        <v>Jefe(a) de Sección</v>
      </c>
      <c r="G319" s="33" t="str">
        <f>IFERROR(__xludf.DUMMYFUNCTION("""COMPUTED_VALUE"""),"JEFE DE SECCION ( INSTALACIONES)")</f>
        <v>JEFE DE SECCION ( INSTALACIONES)</v>
      </c>
      <c r="H319">
        <f>IFERROR(__xludf.DUMMYFUNCTION("""COMPUTED_VALUE"""),10.0)</f>
        <v>10</v>
      </c>
      <c r="I319" s="34" t="str">
        <f>IFERROR(__xludf.DUMMYFUNCTION("""COMPUTED_VALUE"""),"Jornada Completa")</f>
        <v>Jornada Completa</v>
      </c>
      <c r="J319" s="33" t="str">
        <f>IFERROR(__xludf.DUMMYFUNCTION("""COMPUTED_VALUE"""),"A CONTRATA")</f>
        <v>A CONTRATA</v>
      </c>
      <c r="K319" s="33" t="str">
        <f>IFERROR(__xludf.DUMMYFUNCTION("""COMPUTED_VALUE"""),"PROFESIONAL")</f>
        <v>PROFESIONAL</v>
      </c>
      <c r="L319" s="34" t="str">
        <f>IFERROR(__xludf.DUMMYFUNCTION("""COMPUTED_VALUE"""),"INTERNO")</f>
        <v>INTERNO</v>
      </c>
      <c r="M319" s="34">
        <f>IFERROR(__xludf.DUMMYFUNCTION("""COMPUTED_VALUE"""),1.0)</f>
        <v>1</v>
      </c>
      <c r="N319" s="34" t="str">
        <f>IFERROR(__xludf.DUMMYFUNCTION("""COMPUTED_VALUE"""),"EXTERNO")</f>
        <v>EXTERNO</v>
      </c>
      <c r="O319">
        <f>IFERROR(__xludf.DUMMYFUNCTION("""COMPUTED_VALUE"""),15.0)</f>
        <v>15</v>
      </c>
      <c r="P319">
        <f>IFERROR(__xludf.DUMMYFUNCTION("""COMPUTED_VALUE"""),3.0)</f>
        <v>3</v>
      </c>
      <c r="Q319" s="35">
        <f>IFERROR(__xludf.DUMMYFUNCTION("""COMPUTED_VALUE"""),0.0)</f>
        <v>0</v>
      </c>
      <c r="R319" s="36" t="str">
        <f>IFERROR(__xludf.DUMMYFUNCTION("""COMPUTED_VALUE"""),"SELECCIONADO")</f>
        <v>SELECCIONADO</v>
      </c>
      <c r="S319" s="37">
        <f>IFERROR(__xludf.DUMMYFUNCTION("""COMPUTED_VALUE"""),43164.0)</f>
        <v>43164</v>
      </c>
      <c r="T319" s="34"/>
      <c r="U319" t="str">
        <f>IFERROR(__xludf.DUMMYFUNCTION("""COMPUTED_VALUE"""),"JUAN MADRID CORTES")</f>
        <v>JUAN MADRID CORTES</v>
      </c>
      <c r="V319" t="str">
        <f>IFERROR(__xludf.DUMMYFUNCTION("""COMPUTED_VALUE"""),"13064375-2")</f>
        <v>13064375-2</v>
      </c>
      <c r="W319" t="str">
        <f>IFERROR(__xludf.DUMMYFUNCTION("""COMPUTED_VALUE"""),"SI")</f>
        <v>SI</v>
      </c>
      <c r="X319" t="str">
        <f>IFERROR(__xludf.DUMMYFUNCTION("""COMPUTED_VALUE"""),"Trabajo en Equipo")</f>
        <v>Trabajo en Equipo</v>
      </c>
      <c r="AA319" s="38">
        <f>IFERROR(__xludf.DUMMYFUNCTION("""COMPUTED_VALUE"""),43073.0)</f>
        <v>43073</v>
      </c>
      <c r="AB319" s="38">
        <f>IFERROR(__xludf.DUMMYFUNCTION("""COMPUTED_VALUE"""),43080.0)</f>
        <v>43080</v>
      </c>
      <c r="AF319" s="39"/>
      <c r="AG319" s="39"/>
      <c r="AH319" s="34" t="str">
        <f>IFERROR(__xludf.DUMMYFUNCTION("""COMPUTED_VALUE"""),"PROCESO DE SELECCIÓN")</f>
        <v>PROCESO DE SELECCIÓN</v>
      </c>
      <c r="AI319" s="34" t="str">
        <f>IFERROR(__xludf.DUMMYFUNCTION("""COMPUTED_VALUE"""),"DANIEL VALDES HENRIQUEZ")</f>
        <v>DANIEL VALDES HENRIQUEZ</v>
      </c>
      <c r="AJ319" s="34"/>
      <c r="AK319" s="34"/>
      <c r="AL319">
        <f>IFERROR(__xludf.DUMMYFUNCTION("""COMPUTED_VALUE"""),61.0)</f>
        <v>61</v>
      </c>
      <c r="AM319">
        <f>IFERROR(__xludf.DUMMYFUNCTION("""COMPUTED_VALUE"""),2017.0)</f>
        <v>2017</v>
      </c>
      <c r="AN319" t="str">
        <f t="shared" si="1"/>
        <v>13064375-2</v>
      </c>
    </row>
    <row r="320">
      <c r="A320" s="33">
        <f>IFERROR(__xludf.DUMMYFUNCTION("""COMPUTED_VALUE"""),1.2578312E7)</f>
        <v>12578312</v>
      </c>
      <c r="B320" s="33">
        <f>IFERROR(__xludf.DUMMYFUNCTION("""COMPUTED_VALUE"""),97.0)</f>
        <v>97</v>
      </c>
      <c r="C320" s="33"/>
      <c r="D320" s="34" t="str">
        <f>IFERROR(__xludf.DUMMYFUNCTION("""COMPUTED_VALUE"""),"INGRESAR CENTRO DE COSTO A LA DERECHA")</f>
        <v>INGRESAR CENTRO DE COSTO A LA DERECHA</v>
      </c>
      <c r="E320" s="34" t="str">
        <f>IFERROR(__xludf.DUMMYFUNCTION("""COMPUTED_VALUE"""),"DPTO. DE FINANZAS Y TESORERIA")</f>
        <v>DPTO. DE FINANZAS Y TESORERIA</v>
      </c>
      <c r="F320" s="34" t="str">
        <f>IFERROR(__xludf.DUMMYFUNCTION("""COMPUTED_VALUE"""),"Analista Contable II")</f>
        <v>Analista Contable II</v>
      </c>
      <c r="G320" s="33" t="str">
        <f>IFERROR(__xludf.DUMMYFUNCTION("""COMPUTED_VALUE"""),"ANALISTA CONTABLE II")</f>
        <v>ANALISTA CONTABLE II</v>
      </c>
      <c r="H320">
        <f>IFERROR(__xludf.DUMMYFUNCTION("""COMPUTED_VALUE"""),13.0)</f>
        <v>13</v>
      </c>
      <c r="I320" s="34" t="str">
        <f>IFERROR(__xludf.DUMMYFUNCTION("""COMPUTED_VALUE"""),"Jornada Completa")</f>
        <v>Jornada Completa</v>
      </c>
      <c r="J320" s="33" t="str">
        <f>IFERROR(__xludf.DUMMYFUNCTION("""COMPUTED_VALUE"""),"A CONTRATA")</f>
        <v>A CONTRATA</v>
      </c>
      <c r="K320" s="33" t="str">
        <f>IFERROR(__xludf.DUMMYFUNCTION("""COMPUTED_VALUE"""),"PROFESIONAL")</f>
        <v>PROFESIONAL</v>
      </c>
      <c r="L320" s="34" t="str">
        <f>IFERROR(__xludf.DUMMYFUNCTION("""COMPUTED_VALUE"""),"INTERNO")</f>
        <v>INTERNO</v>
      </c>
      <c r="M320" s="34">
        <f>IFERROR(__xludf.DUMMYFUNCTION("""COMPUTED_VALUE"""),0.0)</f>
        <v>0</v>
      </c>
      <c r="N320" s="34" t="str">
        <f>IFERROR(__xludf.DUMMYFUNCTION("""COMPUTED_VALUE"""),"EXTERNO")</f>
        <v>EXTERNO</v>
      </c>
      <c r="O320">
        <f>IFERROR(__xludf.DUMMYFUNCTION("""COMPUTED_VALUE"""),1.0)</f>
        <v>1</v>
      </c>
      <c r="P320">
        <f>IFERROR(__xludf.DUMMYFUNCTION("""COMPUTED_VALUE"""),1.0)</f>
        <v>1</v>
      </c>
      <c r="Q320" s="35">
        <f>IFERROR(__xludf.DUMMYFUNCTION("""COMPUTED_VALUE"""),1.0)</f>
        <v>1</v>
      </c>
      <c r="R320" s="36" t="str">
        <f>IFERROR(__xludf.DUMMYFUNCTION("""COMPUTED_VALUE"""),"SELECCIONADO")</f>
        <v>SELECCIONADO</v>
      </c>
      <c r="S320" s="37">
        <f>IFERROR(__xludf.DUMMYFUNCTION("""COMPUTED_VALUE"""),43129.0)</f>
        <v>43129</v>
      </c>
      <c r="T320" s="34"/>
      <c r="U320" t="str">
        <f>IFERROR(__xludf.DUMMYFUNCTION("""COMPUTED_VALUE"""),"CRISTIAN SAAVEDRA DONOSO")</f>
        <v>CRISTIAN SAAVEDRA DONOSO</v>
      </c>
      <c r="V320" t="str">
        <f>IFERROR(__xludf.DUMMYFUNCTION("""COMPUTED_VALUE"""),"12578312-0")</f>
        <v>12578312-0</v>
      </c>
      <c r="W320" t="str">
        <f>IFERROR(__xludf.DUMMYFUNCTION("""COMPUTED_VALUE"""),"SI")</f>
        <v>SI</v>
      </c>
      <c r="X320" t="str">
        <f>IFERROR(__xludf.DUMMYFUNCTION("""COMPUTED_VALUE"""),"Capacidad de Planificacion y Organizacion")</f>
        <v>Capacidad de Planificacion y Organizacion</v>
      </c>
      <c r="AA320" s="38">
        <f>IFERROR(__xludf.DUMMYFUNCTION("""COMPUTED_VALUE"""),43102.0)</f>
        <v>43102</v>
      </c>
      <c r="AB320" s="38">
        <f>IFERROR(__xludf.DUMMYFUNCTION("""COMPUTED_VALUE"""),43109.0)</f>
        <v>43109</v>
      </c>
      <c r="AF320" s="39"/>
      <c r="AG320" s="39"/>
      <c r="AH320" s="34"/>
      <c r="AI320" s="34"/>
      <c r="AJ320" s="34"/>
      <c r="AK320" s="34"/>
      <c r="AL320">
        <f>IFERROR(__xludf.DUMMYFUNCTION("""COMPUTED_VALUE"""),15.0)</f>
        <v>15</v>
      </c>
      <c r="AM320">
        <f>IFERROR(__xludf.DUMMYFUNCTION("""COMPUTED_VALUE"""),2017.0)</f>
        <v>2017</v>
      </c>
      <c r="AN320" t="str">
        <f t="shared" si="1"/>
        <v>12578312-0</v>
      </c>
    </row>
    <row r="321">
      <c r="A321" s="33">
        <f>IFERROR(__xludf.DUMMYFUNCTION("""COMPUTED_VALUE"""),1.7203105E7)</f>
        <v>17203105</v>
      </c>
      <c r="B321" s="33">
        <f>IFERROR(__xludf.DUMMYFUNCTION("""COMPUTED_VALUE"""),98.0)</f>
        <v>98</v>
      </c>
      <c r="C321" s="33"/>
      <c r="D321" s="34" t="str">
        <f>IFERROR(__xludf.DUMMYFUNCTION("""COMPUTED_VALUE"""),"INGRESAR CENTRO DE COSTO A LA DERECHA")</f>
        <v>INGRESAR CENTRO DE COSTO A LA DERECHA</v>
      </c>
      <c r="E321" s="34" t="str">
        <f>IFERROR(__xludf.DUMMYFUNCTION("""COMPUTED_VALUE"""),"DPTO. DE FINANZAS Y TESORERIA")</f>
        <v>DPTO. DE FINANZAS Y TESORERIA</v>
      </c>
      <c r="F321" s="34" t="str">
        <f>IFERROR(__xludf.DUMMYFUNCTION("""COMPUTED_VALUE"""),"Administrativo(a) Especializado")</f>
        <v>Administrativo(a) Especializado</v>
      </c>
      <c r="G321" s="33" t="str">
        <f>IFERROR(__xludf.DUMMYFUNCTION("""COMPUTED_VALUE"""),"ADMINISTRATIVO ESPECIALIZADO ( CONTROL FACTURACION PROVEEDORES Y CUENTAS POR PAGAR)")</f>
        <v>ADMINISTRATIVO ESPECIALIZADO ( CONTROL FACTURACION PROVEEDORES Y CUENTAS POR PAGAR)</v>
      </c>
      <c r="H321">
        <f>IFERROR(__xludf.DUMMYFUNCTION("""COMPUTED_VALUE"""),12.0)</f>
        <v>12</v>
      </c>
      <c r="I321" s="34" t="str">
        <f>IFERROR(__xludf.DUMMYFUNCTION("""COMPUTED_VALUE"""),"Jornada Completa")</f>
        <v>Jornada Completa</v>
      </c>
      <c r="J321" s="33" t="str">
        <f>IFERROR(__xludf.DUMMYFUNCTION("""COMPUTED_VALUE"""),"A CONTRATA")</f>
        <v>A CONTRATA</v>
      </c>
      <c r="K321" s="33" t="str">
        <f>IFERROR(__xludf.DUMMYFUNCTION("""COMPUTED_VALUE"""),"ADMINISTRATIVO")</f>
        <v>ADMINISTRATIVO</v>
      </c>
      <c r="L321" s="34" t="str">
        <f>IFERROR(__xludf.DUMMYFUNCTION("""COMPUTED_VALUE"""),"INTERNO")</f>
        <v>INTERNO</v>
      </c>
      <c r="M321" s="34">
        <f>IFERROR(__xludf.DUMMYFUNCTION("""COMPUTED_VALUE"""),4.0)</f>
        <v>4</v>
      </c>
      <c r="N321" s="34" t="str">
        <f>IFERROR(__xludf.DUMMYFUNCTION("""COMPUTED_VALUE"""),"EXTERNO")</f>
        <v>EXTERNO</v>
      </c>
      <c r="O321">
        <f>IFERROR(__xludf.DUMMYFUNCTION("""COMPUTED_VALUE"""),4.0)</f>
        <v>4</v>
      </c>
      <c r="P321">
        <f>IFERROR(__xludf.DUMMYFUNCTION("""COMPUTED_VALUE"""),1.0)</f>
        <v>1</v>
      </c>
      <c r="Q321" s="35">
        <f>IFERROR(__xludf.DUMMYFUNCTION("""COMPUTED_VALUE"""),2.0)</f>
        <v>2</v>
      </c>
      <c r="R321" s="36" t="str">
        <f>IFERROR(__xludf.DUMMYFUNCTION("""COMPUTED_VALUE"""),"SELECCIONADA")</f>
        <v>SELECCIONADA</v>
      </c>
      <c r="S321" s="37">
        <f>IFERROR(__xludf.DUMMYFUNCTION("""COMPUTED_VALUE"""),43174.0)</f>
        <v>43174</v>
      </c>
      <c r="T321" s="34"/>
      <c r="U321" t="str">
        <f>IFERROR(__xludf.DUMMYFUNCTION("""COMPUTED_VALUE"""),"FRANCISCA GONZALEZ AVILES")</f>
        <v>FRANCISCA GONZALEZ AVILES</v>
      </c>
      <c r="V321" t="str">
        <f>IFERROR(__xludf.DUMMYFUNCTION("""COMPUTED_VALUE"""),"17203105-6")</f>
        <v>17203105-6</v>
      </c>
      <c r="W321" t="str">
        <f>IFERROR(__xludf.DUMMYFUNCTION("""COMPUTED_VALUE"""),"SI")</f>
        <v>SI</v>
      </c>
      <c r="X321" t="str">
        <f>IFERROR(__xludf.DUMMYFUNCTION("""COMPUTED_VALUE"""),"Busqueda de Informacion")</f>
        <v>Busqueda de Informacion</v>
      </c>
      <c r="AA321" s="38">
        <f>IFERROR(__xludf.DUMMYFUNCTION("""COMPUTED_VALUE"""),43102.0)</f>
        <v>43102</v>
      </c>
      <c r="AB321" s="38">
        <f>IFERROR(__xludf.DUMMYFUNCTION("""COMPUTED_VALUE"""),43109.0)</f>
        <v>43109</v>
      </c>
      <c r="AF321" s="39"/>
      <c r="AG321" s="39"/>
      <c r="AH321" s="34"/>
      <c r="AI321" s="34"/>
      <c r="AJ321" s="34"/>
      <c r="AK321" s="34"/>
      <c r="AL321">
        <f>IFERROR(__xludf.DUMMYFUNCTION("""COMPUTED_VALUE"""),48.0)</f>
        <v>48</v>
      </c>
      <c r="AM321">
        <f>IFERROR(__xludf.DUMMYFUNCTION("""COMPUTED_VALUE"""),2017.0)</f>
        <v>2017</v>
      </c>
      <c r="AN321" t="str">
        <f t="shared" si="1"/>
        <v>17203105-6</v>
      </c>
    </row>
    <row r="322">
      <c r="A322" s="33">
        <f>IFERROR(__xludf.DUMMYFUNCTION("""COMPUTED_VALUE"""),1.2270826E7)</f>
        <v>12270826</v>
      </c>
      <c r="B322" s="33">
        <f>IFERROR(__xludf.DUMMYFUNCTION("""COMPUTED_VALUE"""),99.0)</f>
        <v>99</v>
      </c>
      <c r="C322" s="33"/>
      <c r="D322" s="34" t="str">
        <f>IFERROR(__xludf.DUMMYFUNCTION("""COMPUTED_VALUE"""),"INGRESAR CENTRO DE COSTO A LA DERECHA")</f>
        <v>INGRESAR CENTRO DE COSTO A LA DERECHA</v>
      </c>
      <c r="E322" s="34" t="str">
        <f>IFERROR(__xludf.DUMMYFUNCTION("""COMPUTED_VALUE"""),"FACULTAD DE ADMINIST Y ECONOMI")</f>
        <v>FACULTAD DE ADMINIST Y ECONOMI</v>
      </c>
      <c r="F322" s="34" t="str">
        <f>IFERROR(__xludf.DUMMYFUNCTION("""COMPUTED_VALUE"""),"Mayordomo(a)")</f>
        <v>Mayordomo(a)</v>
      </c>
      <c r="G322" s="33" t="str">
        <f>IFERROR(__xludf.DUMMYFUNCTION("""COMPUTED_VALUE"""),"MAYORDOMO")</f>
        <v>MAYORDOMO</v>
      </c>
      <c r="H322">
        <f>IFERROR(__xludf.DUMMYFUNCTION("""COMPUTED_VALUE"""),21.0)</f>
        <v>21</v>
      </c>
      <c r="I322" s="34" t="str">
        <f>IFERROR(__xludf.DUMMYFUNCTION("""COMPUTED_VALUE"""),"Jornada Completa")</f>
        <v>Jornada Completa</v>
      </c>
      <c r="J322" s="33" t="str">
        <f>IFERROR(__xludf.DUMMYFUNCTION("""COMPUTED_VALUE"""),"A CONTRATA")</f>
        <v>A CONTRATA</v>
      </c>
      <c r="K322" s="33" t="str">
        <f>IFERROR(__xludf.DUMMYFUNCTION("""COMPUTED_VALUE"""),"AUXILIAR")</f>
        <v>AUXILIAR</v>
      </c>
      <c r="L322" s="34" t="str">
        <f>IFERROR(__xludf.DUMMYFUNCTION("""COMPUTED_VALUE"""),"INTERNO")</f>
        <v>INTERNO</v>
      </c>
      <c r="M322" s="34">
        <f>IFERROR(__xludf.DUMMYFUNCTION("""COMPUTED_VALUE"""),0.0)</f>
        <v>0</v>
      </c>
      <c r="N322" s="34" t="str">
        <f>IFERROR(__xludf.DUMMYFUNCTION("""COMPUTED_VALUE"""),"EXTERNO")</f>
        <v>EXTERNO</v>
      </c>
      <c r="O322">
        <f>IFERROR(__xludf.DUMMYFUNCTION("""COMPUTED_VALUE"""),5.0)</f>
        <v>5</v>
      </c>
      <c r="P322">
        <f>IFERROR(__xludf.DUMMYFUNCTION("""COMPUTED_VALUE"""),1.0)</f>
        <v>1</v>
      </c>
      <c r="Q322" s="35">
        <f>IFERROR(__xludf.DUMMYFUNCTION("""COMPUTED_VALUE"""),0.0)</f>
        <v>0</v>
      </c>
      <c r="R322" s="36" t="str">
        <f>IFERROR(__xludf.DUMMYFUNCTION("""COMPUTED_VALUE"""),"SELECCIONADO")</f>
        <v>SELECCIONADO</v>
      </c>
      <c r="S322" s="37">
        <f>IFERROR(__xludf.DUMMYFUNCTION("""COMPUTED_VALUE"""),43166.0)</f>
        <v>43166</v>
      </c>
      <c r="T322" s="34"/>
      <c r="U322" t="str">
        <f>IFERROR(__xludf.DUMMYFUNCTION("""COMPUTED_VALUE"""),"GUIDO PARADA QUILALEO")</f>
        <v>GUIDO PARADA QUILALEO</v>
      </c>
      <c r="V322" t="str">
        <f>IFERROR(__xludf.DUMMYFUNCTION("""COMPUTED_VALUE"""),"12270826-8")</f>
        <v>12270826-8</v>
      </c>
      <c r="W322" t="str">
        <f>IFERROR(__xludf.DUMMYFUNCTION("""COMPUTED_VALUE"""),"NO")</f>
        <v>NO</v>
      </c>
      <c r="AA322" s="38">
        <f>IFERROR(__xludf.DUMMYFUNCTION("""COMPUTED_VALUE"""),43105.0)</f>
        <v>43105</v>
      </c>
      <c r="AB322" s="38">
        <f>IFERROR(__xludf.DUMMYFUNCTION("""COMPUTED_VALUE"""),43112.0)</f>
        <v>43112</v>
      </c>
      <c r="AF322" s="39"/>
      <c r="AG322" s="39"/>
      <c r="AH322" s="34" t="str">
        <f>IFERROR(__xludf.DUMMYFUNCTION("""COMPUTED_VALUE"""),"PROCESO DE SELECCIÓN")</f>
        <v>PROCESO DE SELECCIÓN</v>
      </c>
      <c r="AI322" s="34" t="str">
        <f>IFERROR(__xludf.DUMMYFUNCTION("""COMPUTED_VALUE"""),"HERNAN VENEGAS PEÑALOZA")</f>
        <v>HERNAN VENEGAS PEÑALOZA</v>
      </c>
      <c r="AJ322" s="34"/>
      <c r="AK322" s="34"/>
      <c r="AL322">
        <f>IFERROR(__xludf.DUMMYFUNCTION("""COMPUTED_VALUE"""),39.0)</f>
        <v>39</v>
      </c>
      <c r="AM322">
        <f>IFERROR(__xludf.DUMMYFUNCTION("""COMPUTED_VALUE"""),2017.0)</f>
        <v>2017</v>
      </c>
      <c r="AN322" t="str">
        <f t="shared" si="1"/>
        <v>12270826-8</v>
      </c>
    </row>
    <row r="323">
      <c r="A323" s="33">
        <f>IFERROR(__xludf.DUMMYFUNCTION("""COMPUTED_VALUE"""),1.7467477E7)</f>
        <v>17467477</v>
      </c>
      <c r="B323" s="33">
        <f>IFERROR(__xludf.DUMMYFUNCTION("""COMPUTED_VALUE"""),100.0)</f>
        <v>100</v>
      </c>
      <c r="C323" s="33"/>
      <c r="D323" s="34" t="str">
        <f>IFERROR(__xludf.DUMMYFUNCTION("""COMPUTED_VALUE"""),"INGRESAR CENTRO DE COSTO A LA DERECHA")</f>
        <v>INGRESAR CENTRO DE COSTO A LA DERECHA</v>
      </c>
      <c r="E323" s="34" t="str">
        <f>IFERROR(__xludf.DUMMYFUNCTION("""COMPUTED_VALUE"""),"CONTRALORIA UNIVERSITARIA")</f>
        <v>CONTRALORIA UNIVERSITARIA</v>
      </c>
      <c r="F323" s="34" t="str">
        <f>IFERROR(__xludf.DUMMYFUNCTION("""COMPUTED_VALUE"""),"Abogado(a) Contraloria Universitaria")</f>
        <v>Abogado(a) Contraloria Universitaria</v>
      </c>
      <c r="G323" s="33" t="str">
        <f>IFERROR(__xludf.DUMMYFUNCTION("""COMPUTED_VALUE"""),"ABOGADO CONTRALORIA UNIVERSITARIA")</f>
        <v>ABOGADO CONTRALORIA UNIVERSITARIA</v>
      </c>
      <c r="H323">
        <f>IFERROR(__xludf.DUMMYFUNCTION("""COMPUTED_VALUE"""),6.0)</f>
        <v>6</v>
      </c>
      <c r="I323" s="34" t="str">
        <f>IFERROR(__xludf.DUMMYFUNCTION("""COMPUTED_VALUE"""),"Jornada Completa")</f>
        <v>Jornada Completa</v>
      </c>
      <c r="J323" s="33" t="str">
        <f>IFERROR(__xludf.DUMMYFUNCTION("""COMPUTED_VALUE"""),"A CONTRATA")</f>
        <v>A CONTRATA</v>
      </c>
      <c r="K323" s="33" t="str">
        <f>IFERROR(__xludf.DUMMYFUNCTION("""COMPUTED_VALUE"""),"PROFESIONAL")</f>
        <v>PROFESIONAL</v>
      </c>
      <c r="L323" s="34" t="str">
        <f>IFERROR(__xludf.DUMMYFUNCTION("""COMPUTED_VALUE"""),"NO")</f>
        <v>NO</v>
      </c>
      <c r="M323" s="34">
        <f>IFERROR(__xludf.DUMMYFUNCTION("""COMPUTED_VALUE"""),0.0)</f>
        <v>0</v>
      </c>
      <c r="N323" s="34" t="str">
        <f>IFERROR(__xludf.DUMMYFUNCTION("""COMPUTED_VALUE"""),"EXTERNO")</f>
        <v>EXTERNO</v>
      </c>
      <c r="O323">
        <f>IFERROR(__xludf.DUMMYFUNCTION("""COMPUTED_VALUE"""),27.0)</f>
        <v>27</v>
      </c>
      <c r="P323">
        <f>IFERROR(__xludf.DUMMYFUNCTION("""COMPUTED_VALUE"""),2.0)</f>
        <v>2</v>
      </c>
      <c r="Q323" s="35">
        <f>IFERROR(__xludf.DUMMYFUNCTION("""COMPUTED_VALUE"""),0.0)</f>
        <v>0</v>
      </c>
      <c r="R323" s="36" t="str">
        <f>IFERROR(__xludf.DUMMYFUNCTION("""COMPUTED_VALUE"""),"SELECCIONADA")</f>
        <v>SELECCIONADA</v>
      </c>
      <c r="S323" s="37">
        <f>IFERROR(__xludf.DUMMYFUNCTION("""COMPUTED_VALUE"""),43174.0)</f>
        <v>43174</v>
      </c>
      <c r="T323" s="34"/>
      <c r="U323" t="str">
        <f>IFERROR(__xludf.DUMMYFUNCTION("""COMPUTED_VALUE"""),"CAROLINA PINCHEIRA SEPULVEDA")</f>
        <v>CAROLINA PINCHEIRA SEPULVEDA</v>
      </c>
      <c r="V323" t="str">
        <f>IFERROR(__xludf.DUMMYFUNCTION("""COMPUTED_VALUE"""),"17467477-9")</f>
        <v>17467477-9</v>
      </c>
      <c r="W323" t="str">
        <f>IFERROR(__xludf.DUMMYFUNCTION("""COMPUTED_VALUE"""),"NO")</f>
        <v>NO</v>
      </c>
      <c r="AA323" s="38">
        <f>IFERROR(__xludf.DUMMYFUNCTION("""COMPUTED_VALUE"""),43110.0)</f>
        <v>43110</v>
      </c>
      <c r="AB323" s="38">
        <f>IFERROR(__xludf.DUMMYFUNCTION("""COMPUTED_VALUE"""),43117.0)</f>
        <v>43117</v>
      </c>
      <c r="AF323" s="39"/>
      <c r="AG323" s="39"/>
      <c r="AH323" s="34" t="str">
        <f>IFERROR(__xludf.DUMMYFUNCTION("""COMPUTED_VALUE"""),"PROCESO DE SELECCIÓN")</f>
        <v>PROCESO DE SELECCIÓN</v>
      </c>
      <c r="AI323" s="34" t="str">
        <f>IFERROR(__xludf.DUMMYFUNCTION("""COMPUTED_VALUE"""),"PIERO VITERI ")</f>
        <v>PIERO VITERI </v>
      </c>
      <c r="AJ323" s="34"/>
      <c r="AK323" s="34"/>
      <c r="AL323">
        <f>IFERROR(__xludf.DUMMYFUNCTION("""COMPUTED_VALUE"""),42.0)</f>
        <v>42</v>
      </c>
      <c r="AM323">
        <f>IFERROR(__xludf.DUMMYFUNCTION("""COMPUTED_VALUE"""),2017.0)</f>
        <v>2017</v>
      </c>
      <c r="AN323" t="str">
        <f t="shared" si="1"/>
        <v>17467477-9</v>
      </c>
    </row>
    <row r="324">
      <c r="A324" s="33">
        <f>IFERROR(__xludf.DUMMYFUNCTION("""COMPUTED_VALUE"""),1.7819019E7)</f>
        <v>17819019</v>
      </c>
      <c r="B324" s="33">
        <f>IFERROR(__xludf.DUMMYFUNCTION("""COMPUTED_VALUE"""),101.0)</f>
        <v>101</v>
      </c>
      <c r="C324" s="33"/>
      <c r="D324" s="34" t="str">
        <f>IFERROR(__xludf.DUMMYFUNCTION("""COMPUTED_VALUE"""),"INGRESAR CENTRO DE COSTO A LA DERECHA")</f>
        <v>INGRESAR CENTRO DE COSTO A LA DERECHA</v>
      </c>
      <c r="E324" s="34" t="str">
        <f>IFERROR(__xludf.DUMMYFUNCTION("""COMPUTED_VALUE"""),"CONTRALORIA UNIVERSITARIA")</f>
        <v>CONTRALORIA UNIVERSITARIA</v>
      </c>
      <c r="F324" s="34" t="str">
        <f>IFERROR(__xludf.DUMMYFUNCTION("""COMPUTED_VALUE"""),"Auditor(a) I")</f>
        <v>Auditor(a) I</v>
      </c>
      <c r="G324" s="33" t="str">
        <f>IFERROR(__xludf.DUMMYFUNCTION("""COMPUTED_VALUE"""),"AUDITOR I")</f>
        <v>AUDITOR I</v>
      </c>
      <c r="H324">
        <f>IFERROR(__xludf.DUMMYFUNCTION("""COMPUTED_VALUE"""),9.0)</f>
        <v>9</v>
      </c>
      <c r="I324" s="34" t="str">
        <f>IFERROR(__xludf.DUMMYFUNCTION("""COMPUTED_VALUE"""),"Jornada Completa")</f>
        <v>Jornada Completa</v>
      </c>
      <c r="J324" s="33" t="str">
        <f>IFERROR(__xludf.DUMMYFUNCTION("""COMPUTED_VALUE"""),"A CONTRATA")</f>
        <v>A CONTRATA</v>
      </c>
      <c r="K324" s="33" t="str">
        <f>IFERROR(__xludf.DUMMYFUNCTION("""COMPUTED_VALUE"""),"PROFESIONAL")</f>
        <v>PROFESIONAL</v>
      </c>
      <c r="L324" s="34" t="str">
        <f>IFERROR(__xludf.DUMMYFUNCTION("""COMPUTED_VALUE"""),"INTERNO")</f>
        <v>INTERNO</v>
      </c>
      <c r="M324" s="34">
        <f>IFERROR(__xludf.DUMMYFUNCTION("""COMPUTED_VALUE"""),0.0)</f>
        <v>0</v>
      </c>
      <c r="N324" s="34" t="str">
        <f>IFERROR(__xludf.DUMMYFUNCTION("""COMPUTED_VALUE"""),"EXTERNO")</f>
        <v>EXTERNO</v>
      </c>
      <c r="O324">
        <f>IFERROR(__xludf.DUMMYFUNCTION("""COMPUTED_VALUE"""),1.0)</f>
        <v>1</v>
      </c>
      <c r="P324">
        <f>IFERROR(__xludf.DUMMYFUNCTION("""COMPUTED_VALUE"""),1.0)</f>
        <v>1</v>
      </c>
      <c r="Q324" s="35">
        <f>IFERROR(__xludf.DUMMYFUNCTION("""COMPUTED_VALUE"""),0.0)</f>
        <v>0</v>
      </c>
      <c r="R324" s="36" t="str">
        <f>IFERROR(__xludf.DUMMYFUNCTION("""COMPUTED_VALUE"""),"SELECCIONADO")</f>
        <v>SELECCIONADO</v>
      </c>
      <c r="S324" s="37">
        <f>IFERROR(__xludf.DUMMYFUNCTION("""COMPUTED_VALUE"""),43164.0)</f>
        <v>43164</v>
      </c>
      <c r="T324" s="34"/>
      <c r="U324" t="str">
        <f>IFERROR(__xludf.DUMMYFUNCTION("""COMPUTED_VALUE"""),"MARCO FERNANDEZ ASTORGA")</f>
        <v>MARCO FERNANDEZ ASTORGA</v>
      </c>
      <c r="V324" t="str">
        <f>IFERROR(__xludf.DUMMYFUNCTION("""COMPUTED_VALUE"""),"17819019-9")</f>
        <v>17819019-9</v>
      </c>
      <c r="W324" t="str">
        <f>IFERROR(__xludf.DUMMYFUNCTION("""COMPUTED_VALUE"""),"SI")</f>
        <v>SI</v>
      </c>
      <c r="X324" t="str">
        <f>IFERROR(__xludf.DUMMYFUNCTION("""COMPUTED_VALUE"""),"Capacidad de Planificacion y Organizacion")</f>
        <v>Capacidad de Planificacion y Organizacion</v>
      </c>
      <c r="Y324" t="str">
        <f>IFERROR(__xludf.DUMMYFUNCTION("""COMPUTED_VALUE"""),"Pensamiento Analitico")</f>
        <v>Pensamiento Analitico</v>
      </c>
      <c r="AA324" s="38">
        <f>IFERROR(__xludf.DUMMYFUNCTION("""COMPUTED_VALUE"""),43118.0)</f>
        <v>43118</v>
      </c>
      <c r="AB324" s="38">
        <f>IFERROR(__xludf.DUMMYFUNCTION("""COMPUTED_VALUE"""),43121.0)</f>
        <v>43121</v>
      </c>
      <c r="AF324" s="39"/>
      <c r="AG324" s="39"/>
      <c r="AH324" s="34" t="str">
        <f>IFERROR(__xludf.DUMMYFUNCTION("""COMPUTED_VALUE"""),"PROCESO DE SELECCIÓN")</f>
        <v>PROCESO DE SELECCIÓN</v>
      </c>
      <c r="AI324" s="34" t="str">
        <f>IFERROR(__xludf.DUMMYFUNCTION("""COMPUTED_VALUE"""),"CONSTANZA POBLETE CORNEJO")</f>
        <v>CONSTANZA POBLETE CORNEJO</v>
      </c>
      <c r="AJ324" s="34"/>
      <c r="AK324" s="34"/>
      <c r="AL324">
        <f>IFERROR(__xludf.DUMMYFUNCTION("""COMPUTED_VALUE"""),31.0)</f>
        <v>31</v>
      </c>
      <c r="AM324">
        <f>IFERROR(__xludf.DUMMYFUNCTION("""COMPUTED_VALUE"""),2017.0)</f>
        <v>2017</v>
      </c>
      <c r="AN324" t="str">
        <f t="shared" si="1"/>
        <v>17819019-9</v>
      </c>
    </row>
    <row r="325">
      <c r="A325" s="33">
        <f>IFERROR(__xludf.DUMMYFUNCTION("""COMPUTED_VALUE"""),7810002.0)</f>
        <v>7810002</v>
      </c>
      <c r="B325" s="33">
        <f>IFERROR(__xludf.DUMMYFUNCTION("""COMPUTED_VALUE"""),102.0)</f>
        <v>102</v>
      </c>
      <c r="C325" s="33"/>
      <c r="D325" s="34" t="str">
        <f>IFERROR(__xludf.DUMMYFUNCTION("""COMPUTED_VALUE"""),"INGRESAR CENTRO DE COSTO A LA DERECHA")</f>
        <v>INGRESAR CENTRO DE COSTO A LA DERECHA</v>
      </c>
      <c r="E325" s="34" t="str">
        <f>IFERROR(__xludf.DUMMYFUNCTION("""COMPUTED_VALUE"""),"UNIDAD DE ATENCION DE SALUD")</f>
        <v>UNIDAD DE ATENCION DE SALUD</v>
      </c>
      <c r="F325" s="34" t="str">
        <f>IFERROR(__xludf.DUMMYFUNCTION("""COMPUTED_VALUE"""),"Médicos(as) y Dentistas")</f>
        <v>Médicos(as) y Dentistas</v>
      </c>
      <c r="G325" s="33" t="str">
        <f>IFERROR(__xludf.DUMMYFUNCTION("""COMPUTED_VALUE"""),"MEDICO PSIQUIATRA")</f>
        <v>MEDICO PSIQUIATRA</v>
      </c>
      <c r="I325" s="34" t="str">
        <f>IFERROR(__xludf.DUMMYFUNCTION("""COMPUTED_VALUE"""),"1/4 Jornada")</f>
        <v>1/4 Jornada</v>
      </c>
      <c r="J325" s="33" t="str">
        <f>IFERROR(__xludf.DUMMYFUNCTION("""COMPUTED_VALUE"""),"Por 11 hrs. Ley 15.076")</f>
        <v>Por 11 hrs. Ley 15.076</v>
      </c>
      <c r="K325" s="33"/>
      <c r="L325" s="34" t="str">
        <f>IFERROR(__xludf.DUMMYFUNCTION("""COMPUTED_VALUE"""),"NO")</f>
        <v>NO</v>
      </c>
      <c r="M325" s="34">
        <f>IFERROR(__xludf.DUMMYFUNCTION("""COMPUTED_VALUE"""),0.0)</f>
        <v>0</v>
      </c>
      <c r="N325" s="34" t="str">
        <f>IFERROR(__xludf.DUMMYFUNCTION("""COMPUTED_VALUE"""),"EXTERNO")</f>
        <v>EXTERNO</v>
      </c>
      <c r="O325">
        <f>IFERROR(__xludf.DUMMYFUNCTION("""COMPUTED_VALUE"""),2.0)</f>
        <v>2</v>
      </c>
      <c r="P325">
        <f>IFERROR(__xludf.DUMMYFUNCTION("""COMPUTED_VALUE"""),1.0)</f>
        <v>1</v>
      </c>
      <c r="Q325" s="35">
        <f>IFERROR(__xludf.DUMMYFUNCTION("""COMPUTED_VALUE"""),1.0)</f>
        <v>1</v>
      </c>
      <c r="R325" s="36" t="str">
        <f>IFERROR(__xludf.DUMMYFUNCTION("""COMPUTED_VALUE"""),"SELECCIONADA")</f>
        <v>SELECCIONADA</v>
      </c>
      <c r="S325" s="37">
        <f>IFERROR(__xludf.DUMMYFUNCTION("""COMPUTED_VALUE"""),43164.0)</f>
        <v>43164</v>
      </c>
      <c r="T325" s="34"/>
      <c r="U325" t="str">
        <f>IFERROR(__xludf.DUMMYFUNCTION("""COMPUTED_VALUE"""),"LISETTE GARCIA MESINA")</f>
        <v>LISETTE GARCIA MESINA</v>
      </c>
      <c r="V325" t="str">
        <f>IFERROR(__xludf.DUMMYFUNCTION("""COMPUTED_VALUE"""),"7810002-8")</f>
        <v>7810002-8</v>
      </c>
      <c r="W325" t="str">
        <f>IFERROR(__xludf.DUMMYFUNCTION("""COMPUTED_VALUE"""),"NO")</f>
        <v>NO</v>
      </c>
      <c r="AA325" s="38">
        <f>IFERROR(__xludf.DUMMYFUNCTION("""COMPUTED_VALUE"""),42863.0)</f>
        <v>42863</v>
      </c>
      <c r="AB325" s="38">
        <f>IFERROR(__xludf.DUMMYFUNCTION("""COMPUTED_VALUE"""),43007.0)</f>
        <v>43007</v>
      </c>
      <c r="AF325" s="39"/>
      <c r="AG325" s="39"/>
      <c r="AH325" s="34" t="str">
        <f>IFERROR(__xludf.DUMMYFUNCTION("""COMPUTED_VALUE"""),"PROCESO DE SELECCIÓN")</f>
        <v>PROCESO DE SELECCIÓN</v>
      </c>
      <c r="AI325" s="34"/>
      <c r="AJ325" s="34"/>
      <c r="AK325" s="34"/>
      <c r="AL325">
        <f>IFERROR(__xludf.DUMMYFUNCTION("""COMPUTED_VALUE"""),112.0)</f>
        <v>112</v>
      </c>
      <c r="AM325">
        <f>IFERROR(__xludf.DUMMYFUNCTION("""COMPUTED_VALUE"""),2017.0)</f>
        <v>2017</v>
      </c>
      <c r="AN325" t="str">
        <f t="shared" si="1"/>
        <v>07810002-8</v>
      </c>
    </row>
    <row r="326">
      <c r="A326" s="33">
        <f>IFERROR(__xludf.DUMMYFUNCTION("""COMPUTED_VALUE"""),1.8079595E7)</f>
        <v>18079595</v>
      </c>
      <c r="B326" s="33">
        <f>IFERROR(__xludf.DUMMYFUNCTION("""COMPUTED_VALUE"""),103.0)</f>
        <v>103</v>
      </c>
      <c r="C326" s="33"/>
      <c r="D326" s="34" t="str">
        <f>IFERROR(__xludf.DUMMYFUNCTION("""COMPUTED_VALUE"""),"INGRESAR CENTRO DE COSTO A LA DERECHA")</f>
        <v>INGRESAR CENTRO DE COSTO A LA DERECHA</v>
      </c>
      <c r="E326" s="34" t="str">
        <f>IFERROR(__xludf.DUMMYFUNCTION("""COMPUTED_VALUE"""),"DPTO. DE INGENIERIA GEOGRAFICA")</f>
        <v>DPTO. DE INGENIERIA GEOGRAFICA</v>
      </c>
      <c r="F326" s="34" t="str">
        <f>IFERROR(__xludf.DUMMYFUNCTION("""COMPUTED_VALUE"""),"Secretario(a) de Apoyo Docente")</f>
        <v>Secretario(a) de Apoyo Docente</v>
      </c>
      <c r="G326" s="33" t="str">
        <f>IFERROR(__xludf.DUMMYFUNCTION("""COMPUTED_VALUE"""),"SECRETARIO DE APOYO DOCENTE")</f>
        <v>SECRETARIO DE APOYO DOCENTE</v>
      </c>
      <c r="H326">
        <f>IFERROR(__xludf.DUMMYFUNCTION("""COMPUTED_VALUE"""),17.0)</f>
        <v>17</v>
      </c>
      <c r="I326" s="34" t="str">
        <f>IFERROR(__xludf.DUMMYFUNCTION("""COMPUTED_VALUE"""),"Jornada Completa")</f>
        <v>Jornada Completa</v>
      </c>
      <c r="J326" s="33" t="str">
        <f>IFERROR(__xludf.DUMMYFUNCTION("""COMPUTED_VALUE"""),"A CONTRATA")</f>
        <v>A CONTRATA</v>
      </c>
      <c r="K326" s="33" t="str">
        <f>IFERROR(__xludf.DUMMYFUNCTION("""COMPUTED_VALUE"""),"ADMINISTRATIVO")</f>
        <v>ADMINISTRATIVO</v>
      </c>
      <c r="L326" s="34" t="str">
        <f>IFERROR(__xludf.DUMMYFUNCTION("""COMPUTED_VALUE"""),"INTERNO")</f>
        <v>INTERNO</v>
      </c>
      <c r="M326" s="34">
        <f>IFERROR(__xludf.DUMMYFUNCTION("""COMPUTED_VALUE"""),1.0)</f>
        <v>1</v>
      </c>
      <c r="N326" s="34" t="str">
        <f>IFERROR(__xludf.DUMMYFUNCTION("""COMPUTED_VALUE"""),"NO")</f>
        <v>NO</v>
      </c>
      <c r="O326">
        <f>IFERROR(__xludf.DUMMYFUNCTION("""COMPUTED_VALUE"""),0.0)</f>
        <v>0</v>
      </c>
      <c r="P326">
        <f>IFERROR(__xludf.DUMMYFUNCTION("""COMPUTED_VALUE"""),1.0)</f>
        <v>1</v>
      </c>
      <c r="Q326" s="35">
        <f>IFERROR(__xludf.DUMMYFUNCTION("""COMPUTED_VALUE"""),0.0)</f>
        <v>0</v>
      </c>
      <c r="R326" s="36" t="str">
        <f>IFERROR(__xludf.DUMMYFUNCTION("""COMPUTED_VALUE"""),"SELECCIONADA")</f>
        <v>SELECCIONADA</v>
      </c>
      <c r="S326" s="37">
        <f>IFERROR(__xludf.DUMMYFUNCTION("""COMPUTED_VALUE"""),43164.0)</f>
        <v>43164</v>
      </c>
      <c r="T326" s="34" t="str">
        <f>IFERROR(__xludf.DUMMYFUNCTION("""COMPUTED_VALUE"""),"OLGUIN FERNANDEZ VERONICA ELENA")</f>
        <v>OLGUIN FERNANDEZ VERONICA ELENA</v>
      </c>
      <c r="V326" t="str">
        <f>IFERROR(__xludf.DUMMYFUNCTION("""COMPUTED_VALUE"""),"18079595-2")</f>
        <v>18079595-2</v>
      </c>
      <c r="W326" t="str">
        <f>IFERROR(__xludf.DUMMYFUNCTION("""COMPUTED_VALUE"""),"SI")</f>
        <v>SI</v>
      </c>
      <c r="X326" t="str">
        <f>IFERROR(__xludf.DUMMYFUNCTION("""COMPUTED_VALUE"""),"Trabajo en Equipo")</f>
        <v>Trabajo en Equipo</v>
      </c>
      <c r="Y326" t="str">
        <f>IFERROR(__xludf.DUMMYFUNCTION("""COMPUTED_VALUE"""),"Franqueza- Confiabilidad- Integridad")</f>
        <v>Franqueza- Confiabilidad- Integridad</v>
      </c>
      <c r="AA326" s="38">
        <f>IFERROR(__xludf.DUMMYFUNCTION("""COMPUTED_VALUE"""),43039.0)</f>
        <v>43039</v>
      </c>
      <c r="AB326" s="38">
        <f>IFERROR(__xludf.DUMMYFUNCTION("""COMPUTED_VALUE"""),43046.0)</f>
        <v>43046</v>
      </c>
      <c r="AC326">
        <f>IFERROR(__xludf.DUMMYFUNCTION("""COMPUTED_VALUE"""),17.0)</f>
        <v>17</v>
      </c>
      <c r="AD326" t="str">
        <f>IFERROR(__xludf.DUMMYFUNCTION("""COMPUTED_VALUE"""),"ADMINISTRATIVO")</f>
        <v>ADMINISTRATIVO</v>
      </c>
      <c r="AE326" t="str">
        <f>IFERROR(__xludf.DUMMYFUNCTION("""COMPUTED_VALUE"""),"ADM COMPRAS MERCADO PUBLICO")</f>
        <v>ADM COMPRAS MERCADO PUBLICO</v>
      </c>
      <c r="AF326" s="39" t="str">
        <f>IFERROR(__xludf.DUMMYFUNCTION("""COMPUTED_VALUE"""),"DICYT")</f>
        <v>DICYT</v>
      </c>
      <c r="AG326" s="39"/>
      <c r="AH326" s="34" t="str">
        <f>IFERROR(__xludf.DUMMYFUNCTION("""COMPUTED_VALUE"""),"PROCESO DE SELECCIÓN")</f>
        <v>PROCESO DE SELECCIÓN</v>
      </c>
      <c r="AI326" s="34" t="str">
        <f>IFERROR(__xludf.DUMMYFUNCTION("""COMPUTED_VALUE"""),"SABINA HUERTA SERRANO")</f>
        <v>SABINA HUERTA SERRANO</v>
      </c>
      <c r="AJ326" s="34"/>
      <c r="AK326" s="34" t="str">
        <f>IFERROR(__xludf.DUMMYFUNCTION("""COMPUTED_VALUE"""),"C")</f>
        <v>C</v>
      </c>
      <c r="AL326">
        <f>IFERROR(__xludf.DUMMYFUNCTION("""COMPUTED_VALUE"""),85.0)</f>
        <v>85</v>
      </c>
      <c r="AM326">
        <f>IFERROR(__xludf.DUMMYFUNCTION("""COMPUTED_VALUE"""),2017.0)</f>
        <v>2017</v>
      </c>
      <c r="AN326" t="str">
        <f t="shared" si="1"/>
        <v>18079595-2</v>
      </c>
    </row>
    <row r="327">
      <c r="A327" s="33">
        <f>IFERROR(__xludf.DUMMYFUNCTION("""COMPUTED_VALUE"""),1.3465223E7)</f>
        <v>13465223</v>
      </c>
      <c r="B327" s="33">
        <f>IFERROR(__xludf.DUMMYFUNCTION("""COMPUTED_VALUE"""),104.0)</f>
        <v>104</v>
      </c>
      <c r="C327" s="33"/>
      <c r="D327" s="34" t="str">
        <f>IFERROR(__xludf.DUMMYFUNCTION("""COMPUTED_VALUE"""),"INGRESAR CENTRO DE COSTO A LA DERECHA")</f>
        <v>INGRESAR CENTRO DE COSTO A LA DERECHA</v>
      </c>
      <c r="E327" s="34" t="str">
        <f>IFERROR(__xludf.DUMMYFUNCTION("""COMPUTED_VALUE"""),"EDIFICIO DOCENTE APOQUINDO")</f>
        <v>EDIFICIO DOCENTE APOQUINDO</v>
      </c>
      <c r="F327" s="34" t="str">
        <f>IFERROR(__xludf.DUMMYFUNCTION("""COMPUTED_VALUE"""),"Secretario(a) B")</f>
        <v>Secretario(a) B</v>
      </c>
      <c r="G327" s="33" t="str">
        <f>IFERROR(__xludf.DUMMYFUNCTION("""COMPUTED_VALUE"""),"SECRETARIA B ")</f>
        <v>SECRETARIA B </v>
      </c>
      <c r="H327">
        <f>IFERROR(__xludf.DUMMYFUNCTION("""COMPUTED_VALUE"""),17.0)</f>
        <v>17</v>
      </c>
      <c r="I327" s="34" t="str">
        <f>IFERROR(__xludf.DUMMYFUNCTION("""COMPUTED_VALUE"""),"Jornada Completa")</f>
        <v>Jornada Completa</v>
      </c>
      <c r="J327" s="33" t="str">
        <f>IFERROR(__xludf.DUMMYFUNCTION("""COMPUTED_VALUE"""),"A CONTRATA")</f>
        <v>A CONTRATA</v>
      </c>
      <c r="K327" s="33" t="str">
        <f>IFERROR(__xludf.DUMMYFUNCTION("""COMPUTED_VALUE"""),"ADMINISTRATIVO")</f>
        <v>ADMINISTRATIVO</v>
      </c>
      <c r="L327" s="34" t="str">
        <f>IFERROR(__xludf.DUMMYFUNCTION("""COMPUTED_VALUE"""),"INTERNO")</f>
        <v>INTERNO</v>
      </c>
      <c r="M327" s="34">
        <f>IFERROR(__xludf.DUMMYFUNCTION("""COMPUTED_VALUE"""),1.0)</f>
        <v>1</v>
      </c>
      <c r="N327" s="34" t="str">
        <f>IFERROR(__xludf.DUMMYFUNCTION("""COMPUTED_VALUE"""),"NO")</f>
        <v>NO</v>
      </c>
      <c r="O327">
        <f>IFERROR(__xludf.DUMMYFUNCTION("""COMPUTED_VALUE"""),0.0)</f>
        <v>0</v>
      </c>
      <c r="P327">
        <f>IFERROR(__xludf.DUMMYFUNCTION("""COMPUTED_VALUE"""),1.0)</f>
        <v>1</v>
      </c>
      <c r="Q327" s="35">
        <f>IFERROR(__xludf.DUMMYFUNCTION("""COMPUTED_VALUE"""),0.0)</f>
        <v>0</v>
      </c>
      <c r="R327" s="36" t="str">
        <f>IFERROR(__xludf.DUMMYFUNCTION("""COMPUTED_VALUE"""),"SELECCIONADA")</f>
        <v>SELECCIONADA</v>
      </c>
      <c r="S327" s="37">
        <f>IFERROR(__xludf.DUMMYFUNCTION("""COMPUTED_VALUE"""),43031.0)</f>
        <v>43031</v>
      </c>
      <c r="T327" s="34" t="str">
        <f>IFERROR(__xludf.DUMMYFUNCTION("""COMPUTED_VALUE"""),"HUERTA SERRANO SABINA KARINA")</f>
        <v>HUERTA SERRANO SABINA KARINA</v>
      </c>
      <c r="V327" t="str">
        <f>IFERROR(__xludf.DUMMYFUNCTION("""COMPUTED_VALUE"""),"13465223-3")</f>
        <v>13465223-3</v>
      </c>
      <c r="W327" t="str">
        <f>IFERROR(__xludf.DUMMYFUNCTION("""COMPUTED_VALUE"""),"NO")</f>
        <v>NO</v>
      </c>
      <c r="AA327" s="38">
        <f>IFERROR(__xludf.DUMMYFUNCTION("""COMPUTED_VALUE"""),42968.0)</f>
        <v>42968</v>
      </c>
      <c r="AB327" s="38">
        <f>IFERROR(__xludf.DUMMYFUNCTION("""COMPUTED_VALUE"""),42975.0)</f>
        <v>42975</v>
      </c>
      <c r="AC327">
        <f>IFERROR(__xludf.DUMMYFUNCTION("""COMPUTED_VALUE"""),17.0)</f>
        <v>17</v>
      </c>
      <c r="AD327" t="str">
        <f>IFERROR(__xludf.DUMMYFUNCTION("""COMPUTED_VALUE"""),"ADMINISTRATIVO")</f>
        <v>ADMINISTRATIVO</v>
      </c>
      <c r="AE327" t="str">
        <f>IFERROR(__xludf.DUMMYFUNCTION("""COMPUTED_VALUE"""),"SECRETARIA APOYO DOCENTE")</f>
        <v>SECRETARIA APOYO DOCENTE</v>
      </c>
      <c r="AF327" s="39" t="str">
        <f>IFERROR(__xludf.DUMMYFUNCTION("""COMPUTED_VALUE"""),"DPTO. DE INGENIERIA GEOGRAFICA")</f>
        <v>DPTO. DE INGENIERIA GEOGRAFICA</v>
      </c>
      <c r="AG327" s="39"/>
      <c r="AH327" s="34" t="str">
        <f>IFERROR(__xludf.DUMMYFUNCTION("""COMPUTED_VALUE"""),"PROCESO DE SELECCIÓN")</f>
        <v>PROCESO DE SELECCIÓN</v>
      </c>
      <c r="AI327" s="34" t="str">
        <f>IFERROR(__xludf.DUMMYFUNCTION("""COMPUTED_VALUE"""),"-")</f>
        <v>-</v>
      </c>
      <c r="AJ327" s="34"/>
      <c r="AK327" s="34"/>
      <c r="AL327">
        <f>IFERROR(__xludf.DUMMYFUNCTION("""COMPUTED_VALUE"""),41.0)</f>
        <v>41</v>
      </c>
      <c r="AM327">
        <f>IFERROR(__xludf.DUMMYFUNCTION("""COMPUTED_VALUE"""),2017.0)</f>
        <v>2017</v>
      </c>
      <c r="AN327" t="str">
        <f t="shared" si="1"/>
        <v>13465223-3</v>
      </c>
    </row>
    <row r="328">
      <c r="A328" s="33">
        <f>IFERROR(__xludf.DUMMYFUNCTION("""COMPUTED_VALUE"""),1.400322E7)</f>
        <v>14003220</v>
      </c>
      <c r="B328" s="33">
        <f>IFERROR(__xludf.DUMMYFUNCTION("""COMPUTED_VALUE"""),105.0)</f>
        <v>105</v>
      </c>
      <c r="C328" s="33"/>
      <c r="D328" s="34" t="str">
        <f>IFERROR(__xludf.DUMMYFUNCTION("""COMPUTED_VALUE"""),"INGRESAR CENTRO DE COSTO A LA DERECHA")</f>
        <v>INGRESAR CENTRO DE COSTO A LA DERECHA</v>
      </c>
      <c r="E328" s="34" t="str">
        <f>IFERROR(__xludf.DUMMYFUNCTION("""COMPUTED_VALUE"""),"UNIDAD DE BIBLIOTECAS")</f>
        <v>UNIDAD DE BIBLIOTECAS</v>
      </c>
      <c r="F328" s="34" t="str">
        <f>IFERROR(__xludf.DUMMYFUNCTION("""COMPUTED_VALUE"""),"Bibliotecario(a)")</f>
        <v>Bibliotecario(a)</v>
      </c>
      <c r="G328" s="33" t="str">
        <f>IFERROR(__xludf.DUMMYFUNCTION("""COMPUTED_VALUE"""),"BIBLIOTECARIO")</f>
        <v>BIBLIOTECARIO</v>
      </c>
      <c r="H328">
        <f>IFERROR(__xludf.DUMMYFUNCTION("""COMPUTED_VALUE"""),14.0)</f>
        <v>14</v>
      </c>
      <c r="I328" s="34" t="str">
        <f>IFERROR(__xludf.DUMMYFUNCTION("""COMPUTED_VALUE"""),"Jornada Completa")</f>
        <v>Jornada Completa</v>
      </c>
      <c r="J328" s="33" t="str">
        <f>IFERROR(__xludf.DUMMYFUNCTION("""COMPUTED_VALUE"""),"A CONTRATA")</f>
        <v>A CONTRATA</v>
      </c>
      <c r="K328" s="33" t="str">
        <f>IFERROR(__xludf.DUMMYFUNCTION("""COMPUTED_VALUE"""),"PROFESIONAL")</f>
        <v>PROFESIONAL</v>
      </c>
      <c r="L328" s="34" t="str">
        <f>IFERROR(__xludf.DUMMYFUNCTION("""COMPUTED_VALUE"""),"INTERNO")</f>
        <v>INTERNO</v>
      </c>
      <c r="M328" s="34">
        <f>IFERROR(__xludf.DUMMYFUNCTION("""COMPUTED_VALUE"""),1.0)</f>
        <v>1</v>
      </c>
      <c r="N328" s="34" t="str">
        <f>IFERROR(__xludf.DUMMYFUNCTION("""COMPUTED_VALUE"""),"NO")</f>
        <v>NO</v>
      </c>
      <c r="O328">
        <f>IFERROR(__xludf.DUMMYFUNCTION("""COMPUTED_VALUE"""),0.0)</f>
        <v>0</v>
      </c>
      <c r="P328">
        <f>IFERROR(__xludf.DUMMYFUNCTION("""COMPUTED_VALUE"""),1.0)</f>
        <v>1</v>
      </c>
      <c r="Q328" s="35">
        <f>IFERROR(__xludf.DUMMYFUNCTION("""COMPUTED_VALUE"""),0.0)</f>
        <v>0</v>
      </c>
      <c r="R328" s="36" t="str">
        <f>IFERROR(__xludf.DUMMYFUNCTION("""COMPUTED_VALUE"""),"SELECCIONADA")</f>
        <v>SELECCIONADA</v>
      </c>
      <c r="S328" s="37">
        <f>IFERROR(__xludf.DUMMYFUNCTION("""COMPUTED_VALUE"""),43038.0)</f>
        <v>43038</v>
      </c>
      <c r="T328" s="34" t="str">
        <f>IFERROR(__xludf.DUMMYFUNCTION("""COMPUTED_VALUE"""),"MATSUMOTO JIMENEZ MABEL DEL CARMEN")</f>
        <v>MATSUMOTO JIMENEZ MABEL DEL CARMEN</v>
      </c>
      <c r="V328" t="str">
        <f>IFERROR(__xludf.DUMMYFUNCTION("""COMPUTED_VALUE"""),"14.003.220-4")</f>
        <v>14.003.220-4</v>
      </c>
      <c r="W328" t="str">
        <f>IFERROR(__xludf.DUMMYFUNCTION("""COMPUTED_VALUE"""),"SI")</f>
        <v>SI</v>
      </c>
      <c r="X328" t="str">
        <f>IFERROR(__xludf.DUMMYFUNCTION("""COMPUTED_VALUE"""),"Trabajo en Equipo")</f>
        <v>Trabajo en Equipo</v>
      </c>
      <c r="AA328" s="38">
        <f>IFERROR(__xludf.DUMMYFUNCTION("""COMPUTED_VALUE"""),42859.0)</f>
        <v>42859</v>
      </c>
      <c r="AB328" s="38">
        <f>IFERROR(__xludf.DUMMYFUNCTION("""COMPUTED_VALUE"""),42866.0)</f>
        <v>42866</v>
      </c>
      <c r="AC328">
        <f>IFERROR(__xludf.DUMMYFUNCTION("""COMPUTED_VALUE"""),14.0)</f>
        <v>14</v>
      </c>
      <c r="AD328" t="str">
        <f>IFERROR(__xludf.DUMMYFUNCTION("""COMPUTED_VALUE"""),"PROFESIONAL")</f>
        <v>PROFESIONAL</v>
      </c>
      <c r="AE328" t="str">
        <f>IFERROR(__xludf.DUMMYFUNCTION("""COMPUTED_VALUE"""),"ENCARGADA DE BIBLIOTECA")</f>
        <v>ENCARGADA DE BIBLIOTECA</v>
      </c>
      <c r="AF328" s="39" t="str">
        <f>IFERROR(__xludf.DUMMYFUNCTION("""COMPUTED_VALUE"""),"ESCUELA DE ARQUITECTURA")</f>
        <v>ESCUELA DE ARQUITECTURA</v>
      </c>
      <c r="AG328" s="39"/>
      <c r="AH328" s="34" t="str">
        <f>IFERROR(__xludf.DUMMYFUNCTION("""COMPUTED_VALUE"""),"PROCESO DE SELECCIÓN")</f>
        <v>PROCESO DE SELECCIÓN</v>
      </c>
      <c r="AI328" s="34" t="str">
        <f>IFERROR(__xludf.DUMMYFUNCTION("""COMPUTED_VALUE"""),"PAULINA PICHIHUECHE")</f>
        <v>PAULINA PICHIHUECHE</v>
      </c>
      <c r="AJ328" s="34"/>
      <c r="AK328" s="34" t="str">
        <f>IFERROR(__xludf.DUMMYFUNCTION("""COMPUTED_VALUE"""),"C")</f>
        <v>C</v>
      </c>
      <c r="AL328">
        <f>IFERROR(__xludf.DUMMYFUNCTION("""COMPUTED_VALUE"""),123.0)</f>
        <v>123</v>
      </c>
      <c r="AM328">
        <f>IFERROR(__xludf.DUMMYFUNCTION("""COMPUTED_VALUE"""),2017.0)</f>
        <v>2017</v>
      </c>
      <c r="AN328" t="str">
        <f t="shared" si="1"/>
        <v>14.003.220-4</v>
      </c>
    </row>
    <row r="329">
      <c r="A329" s="33">
        <f>IFERROR(__xludf.DUMMYFUNCTION("""COMPUTED_VALUE"""),1.3207216E7)</f>
        <v>13207216</v>
      </c>
      <c r="B329" s="33">
        <f>IFERROR(__xludf.DUMMYFUNCTION("""COMPUTED_VALUE"""),106.0)</f>
        <v>106</v>
      </c>
      <c r="C329" s="33"/>
      <c r="D329" s="34" t="str">
        <f>IFERROR(__xludf.DUMMYFUNCTION("""COMPUTED_VALUE"""),"INGRESAR CENTRO DE COSTO A LA DERECHA")</f>
        <v>INGRESAR CENTRO DE COSTO A LA DERECHA</v>
      </c>
      <c r="E329" s="34" t="str">
        <f>IFERROR(__xludf.DUMMYFUNCTION("""COMPUTED_VALUE"""),"FACULTAD DE CIENCIA")</f>
        <v>FACULTAD DE CIENCIA</v>
      </c>
      <c r="F329" s="34" t="str">
        <f>IFERROR(__xludf.DUMMYFUNCTION("""COMPUTED_VALUE"""),"Secretario(a) B")</f>
        <v>Secretario(a) B</v>
      </c>
      <c r="G329" s="33" t="str">
        <f>IFERROR(__xludf.DUMMYFUNCTION("""COMPUTED_VALUE"""),"SECRETARIO B")</f>
        <v>SECRETARIO B</v>
      </c>
      <c r="H329">
        <f>IFERROR(__xludf.DUMMYFUNCTION("""COMPUTED_VALUE"""),14.0)</f>
        <v>14</v>
      </c>
      <c r="I329" s="34" t="str">
        <f>IFERROR(__xludf.DUMMYFUNCTION("""COMPUTED_VALUE"""),"Jornada Completa")</f>
        <v>Jornada Completa</v>
      </c>
      <c r="J329" s="33" t="str">
        <f>IFERROR(__xludf.DUMMYFUNCTION("""COMPUTED_VALUE"""),"A CONTRATA")</f>
        <v>A CONTRATA</v>
      </c>
      <c r="K329" s="33" t="str">
        <f>IFERROR(__xludf.DUMMYFUNCTION("""COMPUTED_VALUE"""),"ADMINISTRATIVO")</f>
        <v>ADMINISTRATIVO</v>
      </c>
      <c r="L329" s="34" t="str">
        <f>IFERROR(__xludf.DUMMYFUNCTION("""COMPUTED_VALUE"""),"INTERNO")</f>
        <v>INTERNO</v>
      </c>
      <c r="M329" s="34">
        <f>IFERROR(__xludf.DUMMYFUNCTION("""COMPUTED_VALUE"""),2.0)</f>
        <v>2</v>
      </c>
      <c r="N329" s="34" t="str">
        <f>IFERROR(__xludf.DUMMYFUNCTION("""COMPUTED_VALUE"""),"NO")</f>
        <v>NO</v>
      </c>
      <c r="O329">
        <f>IFERROR(__xludf.DUMMYFUNCTION("""COMPUTED_VALUE"""),0.0)</f>
        <v>0</v>
      </c>
      <c r="P329">
        <f>IFERROR(__xludf.DUMMYFUNCTION("""COMPUTED_VALUE"""),1.0)</f>
        <v>1</v>
      </c>
      <c r="Q329" s="35">
        <f>IFERROR(__xludf.DUMMYFUNCTION("""COMPUTED_VALUE"""),0.0)</f>
        <v>0</v>
      </c>
      <c r="R329" s="36" t="str">
        <f>IFERROR(__xludf.DUMMYFUNCTION("""COMPUTED_VALUE"""),"SELECCIONADA")</f>
        <v>SELECCIONADA</v>
      </c>
      <c r="S329" s="37">
        <f>IFERROR(__xludf.DUMMYFUNCTION("""COMPUTED_VALUE"""),43027.0)</f>
        <v>43027</v>
      </c>
      <c r="T329" s="34" t="str">
        <f>IFERROR(__xludf.DUMMYFUNCTION("""COMPUTED_VALUE"""),"VELOSO GARCIA SOLEDAD DEL PILAR")</f>
        <v>VELOSO GARCIA SOLEDAD DEL PILAR</v>
      </c>
      <c r="V329" t="str">
        <f>IFERROR(__xludf.DUMMYFUNCTION("""COMPUTED_VALUE"""),"13.207.216-7")</f>
        <v>13.207.216-7</v>
      </c>
      <c r="W329" t="str">
        <f>IFERROR(__xludf.DUMMYFUNCTION("""COMPUTED_VALUE"""),"SI")</f>
        <v>SI</v>
      </c>
      <c r="X329" t="str">
        <f>IFERROR(__xludf.DUMMYFUNCTION("""COMPUTED_VALUE"""),"Iniciativa")</f>
        <v>Iniciativa</v>
      </c>
      <c r="Y329" t="str">
        <f>IFERROR(__xludf.DUMMYFUNCTION("""COMPUTED_VALUE"""),"Trabajo en Equipo")</f>
        <v>Trabajo en Equipo</v>
      </c>
      <c r="AA329" s="38">
        <f>IFERROR(__xludf.DUMMYFUNCTION("""COMPUTED_VALUE"""),42954.0)</f>
        <v>42954</v>
      </c>
      <c r="AB329" s="38">
        <f>IFERROR(__xludf.DUMMYFUNCTION("""COMPUTED_VALUE"""),42961.0)</f>
        <v>42961</v>
      </c>
      <c r="AC329">
        <f>IFERROR(__xludf.DUMMYFUNCTION("""COMPUTED_VALUE"""),17.0)</f>
        <v>17</v>
      </c>
      <c r="AD329" t="str">
        <f>IFERROR(__xludf.DUMMYFUNCTION("""COMPUTED_VALUE"""),"ADMINISTRATIVO")</f>
        <v>ADMINISTRATIVO</v>
      </c>
      <c r="AE329" t="str">
        <f>IFERROR(__xludf.DUMMYFUNCTION("""COMPUTED_VALUE"""),"SECRETARIA")</f>
        <v>SECRETARIA</v>
      </c>
      <c r="AF329" s="39" t="str">
        <f>IFERROR(__xludf.DUMMYFUNCTION("""COMPUTED_VALUE"""),"FACULTAD DE HUMANIDADES")</f>
        <v>FACULTAD DE HUMANIDADES</v>
      </c>
      <c r="AG329" s="39"/>
      <c r="AH329" s="34" t="str">
        <f>IFERROR(__xludf.DUMMYFUNCTION("""COMPUTED_VALUE"""),"PROCESO DE SELECCIÓN")</f>
        <v>PROCESO DE SELECCIÓN</v>
      </c>
      <c r="AI329" s="34" t="str">
        <f>IFERROR(__xludf.DUMMYFUNCTION("""COMPUTED_VALUE"""),"PALOMA NUÑEZ ROBLES")</f>
        <v>PALOMA NUÑEZ ROBLES</v>
      </c>
      <c r="AJ329" s="34"/>
      <c r="AK329" s="34" t="str">
        <f>IFERROR(__xludf.DUMMYFUNCTION("""COMPUTED_VALUE"""),"E")</f>
        <v>E</v>
      </c>
      <c r="AL329">
        <f>IFERROR(__xludf.DUMMYFUNCTION("""COMPUTED_VALUE"""),49.0)</f>
        <v>49</v>
      </c>
      <c r="AM329">
        <f>IFERROR(__xludf.DUMMYFUNCTION("""COMPUTED_VALUE"""),2017.0)</f>
        <v>2017</v>
      </c>
      <c r="AN329" t="str">
        <f t="shared" si="1"/>
        <v>13.207.216-7</v>
      </c>
    </row>
    <row r="330">
      <c r="A330" s="33">
        <f>IFERROR(__xludf.DUMMYFUNCTION("""COMPUTED_VALUE"""),1.7738116E7)</f>
        <v>17738116</v>
      </c>
      <c r="B330" s="33">
        <f>IFERROR(__xludf.DUMMYFUNCTION("""COMPUTED_VALUE"""),107.0)</f>
        <v>107</v>
      </c>
      <c r="C330" s="33"/>
      <c r="D330" s="34" t="str">
        <f>IFERROR(__xludf.DUMMYFUNCTION("""COMPUTED_VALUE"""),"INGRESAR CENTRO DE COSTO A LA DERECHA")</f>
        <v>INGRESAR CENTRO DE COSTO A LA DERECHA</v>
      </c>
      <c r="E330" s="34" t="str">
        <f>IFERROR(__xludf.DUMMYFUNCTION("""COMPUTED_VALUE"""),"DPTO. DE RELAC. INTERUNIV E INTERN")</f>
        <v>DPTO. DE RELAC. INTERUNIV E INTERN</v>
      </c>
      <c r="F330" s="34" t="str">
        <f>IFERROR(__xludf.DUMMYFUNCTION("""COMPUTED_VALUE"""),"Secretario(a) B")</f>
        <v>Secretario(a) B</v>
      </c>
      <c r="G330" s="33" t="str">
        <f>IFERROR(__xludf.DUMMYFUNCTION("""COMPUTED_VALUE"""),"SECRETARIO  B")</f>
        <v>SECRETARIO  B</v>
      </c>
      <c r="H330">
        <f>IFERROR(__xludf.DUMMYFUNCTION("""COMPUTED_VALUE"""),17.0)</f>
        <v>17</v>
      </c>
      <c r="I330" s="34" t="str">
        <f>IFERROR(__xludf.DUMMYFUNCTION("""COMPUTED_VALUE"""),"Jornada Completa")</f>
        <v>Jornada Completa</v>
      </c>
      <c r="J330" s="33" t="str">
        <f>IFERROR(__xludf.DUMMYFUNCTION("""COMPUTED_VALUE"""),"A CONTRATA")</f>
        <v>A CONTRATA</v>
      </c>
      <c r="K330" s="33" t="str">
        <f>IFERROR(__xludf.DUMMYFUNCTION("""COMPUTED_VALUE"""),"ADMINISTRATIVO")</f>
        <v>ADMINISTRATIVO</v>
      </c>
      <c r="L330" s="34" t="str">
        <f>IFERROR(__xludf.DUMMYFUNCTION("""COMPUTED_VALUE"""),"INTERNO")</f>
        <v>INTERNO</v>
      </c>
      <c r="M330" s="34">
        <f>IFERROR(__xludf.DUMMYFUNCTION("""COMPUTED_VALUE"""),1.0)</f>
        <v>1</v>
      </c>
      <c r="N330" s="34" t="str">
        <f>IFERROR(__xludf.DUMMYFUNCTION("""COMPUTED_VALUE"""),"NO")</f>
        <v>NO</v>
      </c>
      <c r="O330">
        <f>IFERROR(__xludf.DUMMYFUNCTION("""COMPUTED_VALUE"""),0.0)</f>
        <v>0</v>
      </c>
      <c r="P330">
        <f>IFERROR(__xludf.DUMMYFUNCTION("""COMPUTED_VALUE"""),1.0)</f>
        <v>1</v>
      </c>
      <c r="Q330" s="35">
        <f>IFERROR(__xludf.DUMMYFUNCTION("""COMPUTED_VALUE"""),0.0)</f>
        <v>0</v>
      </c>
      <c r="R330" s="36" t="str">
        <f>IFERROR(__xludf.DUMMYFUNCTION("""COMPUTED_VALUE"""),"SELECCIONADA")</f>
        <v>SELECCIONADA</v>
      </c>
      <c r="S330" s="37">
        <f>IFERROR(__xludf.DUMMYFUNCTION("""COMPUTED_VALUE"""),42979.0)</f>
        <v>42979</v>
      </c>
      <c r="T330" s="34" t="str">
        <f>IFERROR(__xludf.DUMMYFUNCTION("""COMPUTED_VALUE"""),"FLORES HUICHAHUALA MAGALY NATIVIDAD")</f>
        <v>FLORES HUICHAHUALA MAGALY NATIVIDAD</v>
      </c>
      <c r="V330" t="str">
        <f>IFERROR(__xludf.DUMMYFUNCTION("""COMPUTED_VALUE"""),"17738116-0")</f>
        <v>17738116-0</v>
      </c>
      <c r="W330" t="str">
        <f>IFERROR(__xludf.DUMMYFUNCTION("""COMPUTED_VALUE"""),"SI")</f>
        <v>SI</v>
      </c>
      <c r="X330" t="str">
        <f>IFERROR(__xludf.DUMMYFUNCTION("""COMPUTED_VALUE"""),"Franqueza- Confiabilidad- Integridad")</f>
        <v>Franqueza- Confiabilidad- Integridad</v>
      </c>
      <c r="AA330" s="38">
        <f>IFERROR(__xludf.DUMMYFUNCTION("""COMPUTED_VALUE"""),42829.0)</f>
        <v>42829</v>
      </c>
      <c r="AB330" s="38">
        <f>IFERROR(__xludf.DUMMYFUNCTION("""COMPUTED_VALUE"""),42836.0)</f>
        <v>42836</v>
      </c>
      <c r="AC330">
        <f>IFERROR(__xludf.DUMMYFUNCTION("""COMPUTED_VALUE"""),20.0)</f>
        <v>20</v>
      </c>
      <c r="AD330" t="str">
        <f>IFERROR(__xludf.DUMMYFUNCTION("""COMPUTED_VALUE"""),"ADMINISTRATIVO")</f>
        <v>ADMINISTRATIVO</v>
      </c>
      <c r="AE330" t="str">
        <f>IFERROR(__xludf.DUMMYFUNCTION("""COMPUTED_VALUE"""),"SECRETARIA C")</f>
        <v>SECRETARIA C</v>
      </c>
      <c r="AF330" s="39" t="str">
        <f>IFERROR(__xludf.DUMMYFUNCTION("""COMPUTED_VALUE"""),"DPTO. DE RELAC. INTERUNIV E INTERN")</f>
        <v>DPTO. DE RELAC. INTERUNIV E INTERN</v>
      </c>
      <c r="AG330" s="39"/>
      <c r="AH330" s="34" t="str">
        <f>IFERROR(__xludf.DUMMYFUNCTION("""COMPUTED_VALUE"""),"PROCESO DE SELECCIÓN")</f>
        <v>PROCESO DE SELECCIÓN</v>
      </c>
      <c r="AI330" s="34"/>
      <c r="AJ330" s="34"/>
      <c r="AK330" s="34" t="str">
        <f>IFERROR(__xludf.DUMMYFUNCTION("""COMPUTED_VALUE"""),"C")</f>
        <v>C</v>
      </c>
      <c r="AL330">
        <f>IFERROR(__xludf.DUMMYFUNCTION("""COMPUTED_VALUE"""),104.0)</f>
        <v>104</v>
      </c>
      <c r="AM330">
        <f>IFERROR(__xludf.DUMMYFUNCTION("""COMPUTED_VALUE"""),2017.0)</f>
        <v>2017</v>
      </c>
      <c r="AN330" t="str">
        <f t="shared" si="1"/>
        <v>17738116-0</v>
      </c>
    </row>
    <row r="331">
      <c r="A331" s="33">
        <f>IFERROR(__xludf.DUMMYFUNCTION("""COMPUTED_VALUE"""),1.4126884E7)</f>
        <v>14126884</v>
      </c>
      <c r="B331" s="33">
        <f>IFERROR(__xludf.DUMMYFUNCTION("""COMPUTED_VALUE"""),108.0)</f>
        <v>108</v>
      </c>
      <c r="C331" s="33"/>
      <c r="D331" s="34" t="str">
        <f>IFERROR(__xludf.DUMMYFUNCTION("""COMPUTED_VALUE"""),"INGRESAR CENTRO DE COSTO A LA DERECHA")</f>
        <v>INGRESAR CENTRO DE COSTO A LA DERECHA</v>
      </c>
      <c r="E331" s="34" t="str">
        <f>IFERROR(__xludf.DUMMYFUNCTION("""COMPUTED_VALUE"""),"ESCUELA DE PSICOLOGIA")</f>
        <v>ESCUELA DE PSICOLOGIA</v>
      </c>
      <c r="F331" s="34" t="str">
        <f>IFERROR(__xludf.DUMMYFUNCTION("""COMPUTED_VALUE"""),"Secretario(a) B")</f>
        <v>Secretario(a) B</v>
      </c>
      <c r="G331" s="33" t="str">
        <f>IFERROR(__xludf.DUMMYFUNCTION("""COMPUTED_VALUE"""),"SECRETARIO B")</f>
        <v>SECRETARIO B</v>
      </c>
      <c r="H331">
        <f>IFERROR(__xludf.DUMMYFUNCTION("""COMPUTED_VALUE"""),17.0)</f>
        <v>17</v>
      </c>
      <c r="I331" s="34" t="str">
        <f>IFERROR(__xludf.DUMMYFUNCTION("""COMPUTED_VALUE"""),"Jornada Completa")</f>
        <v>Jornada Completa</v>
      </c>
      <c r="J331" s="33" t="str">
        <f>IFERROR(__xludf.DUMMYFUNCTION("""COMPUTED_VALUE"""),"A CONTRATA")</f>
        <v>A CONTRATA</v>
      </c>
      <c r="K331" s="33" t="str">
        <f>IFERROR(__xludf.DUMMYFUNCTION("""COMPUTED_VALUE"""),"ADMINISTRATIVO")</f>
        <v>ADMINISTRATIVO</v>
      </c>
      <c r="L331" s="34" t="str">
        <f>IFERROR(__xludf.DUMMYFUNCTION("""COMPUTED_VALUE"""),"INTERNO")</f>
        <v>INTERNO</v>
      </c>
      <c r="M331" s="34">
        <f>IFERROR(__xludf.DUMMYFUNCTION("""COMPUTED_VALUE"""),0.0)</f>
        <v>0</v>
      </c>
      <c r="N331" s="34" t="str">
        <f>IFERROR(__xludf.DUMMYFUNCTION("""COMPUTED_VALUE"""),"EXTERNO")</f>
        <v>EXTERNO</v>
      </c>
      <c r="O331">
        <f>IFERROR(__xludf.DUMMYFUNCTION("""COMPUTED_VALUE"""),13.0)</f>
        <v>13</v>
      </c>
      <c r="P331">
        <f>IFERROR(__xludf.DUMMYFUNCTION("""COMPUTED_VALUE"""),1.0)</f>
        <v>1</v>
      </c>
      <c r="Q331" s="35">
        <f>IFERROR(__xludf.DUMMYFUNCTION("""COMPUTED_VALUE"""),0.0)</f>
        <v>0</v>
      </c>
      <c r="R331" s="36" t="str">
        <f>IFERROR(__xludf.DUMMYFUNCTION("""COMPUTED_VALUE"""),"SELECCIONADA")</f>
        <v>SELECCIONADA</v>
      </c>
      <c r="S331" s="37">
        <f>IFERROR(__xludf.DUMMYFUNCTION("""COMPUTED_VALUE"""),42979.0)</f>
        <v>42979</v>
      </c>
      <c r="T331" s="34"/>
      <c r="U331" t="str">
        <f>IFERROR(__xludf.DUMMYFUNCTION("""COMPUTED_VALUE"""),"MARITZA DÍAZ GALINDO")</f>
        <v>MARITZA DÍAZ GALINDO</v>
      </c>
      <c r="V331" t="str">
        <f>IFERROR(__xludf.DUMMYFUNCTION("""COMPUTED_VALUE"""),"14126884-8")</f>
        <v>14126884-8</v>
      </c>
      <c r="W331" t="str">
        <f>IFERROR(__xludf.DUMMYFUNCTION("""COMPUTED_VALUE"""),"NO")</f>
        <v>NO</v>
      </c>
      <c r="AA331" s="38">
        <f>IFERROR(__xludf.DUMMYFUNCTION("""COMPUTED_VALUE"""),42929.0)</f>
        <v>42929</v>
      </c>
      <c r="AB331" s="38">
        <f>IFERROR(__xludf.DUMMYFUNCTION("""COMPUTED_VALUE"""),42933.0)</f>
        <v>42933</v>
      </c>
      <c r="AF331" s="39"/>
      <c r="AG331" s="39"/>
      <c r="AH331" s="34" t="str">
        <f>IFERROR(__xludf.DUMMYFUNCTION("""COMPUTED_VALUE"""),"PROCESO DE SELECCIÓN")</f>
        <v>PROCESO DE SELECCIÓN</v>
      </c>
      <c r="AI331" s="34"/>
      <c r="AJ331" s="34"/>
      <c r="AK331" s="34" t="str">
        <f>IFERROR(__xludf.DUMMYFUNCTION("""COMPUTED_VALUE"""),"C")</f>
        <v>C</v>
      </c>
      <c r="AL331">
        <f>IFERROR(__xludf.DUMMYFUNCTION("""COMPUTED_VALUE"""),35.0)</f>
        <v>35</v>
      </c>
      <c r="AM331">
        <f>IFERROR(__xludf.DUMMYFUNCTION("""COMPUTED_VALUE"""),2017.0)</f>
        <v>2017</v>
      </c>
      <c r="AN331" t="str">
        <f t="shared" si="1"/>
        <v>14126884-8</v>
      </c>
    </row>
    <row r="332">
      <c r="A332" s="33">
        <f>IFERROR(__xludf.DUMMYFUNCTION("""COMPUTED_VALUE"""),1.1851134E7)</f>
        <v>11851134</v>
      </c>
      <c r="B332" s="33">
        <f>IFERROR(__xludf.DUMMYFUNCTION("""COMPUTED_VALUE"""),109.0)</f>
        <v>109</v>
      </c>
      <c r="C332" s="33"/>
      <c r="D332" s="34" t="str">
        <f>IFERROR(__xludf.DUMMYFUNCTION("""COMPUTED_VALUE"""),"INGRESAR CENTRO DE COSTO A LA DERECHA")</f>
        <v>INGRESAR CENTRO DE COSTO A LA DERECHA</v>
      </c>
      <c r="E332" s="34" t="str">
        <f>IFERROR(__xludf.DUMMYFUNCTION("""COMPUTED_VALUE"""),"DPTO. DE CIENCIA Y TEC.DE LOS ALIM")</f>
        <v>DPTO. DE CIENCIA Y TEC.DE LOS ALIM</v>
      </c>
      <c r="F332" s="34" t="str">
        <f>IFERROR(__xludf.DUMMYFUNCTION("""COMPUTED_VALUE"""),"Secretario(a) B")</f>
        <v>Secretario(a) B</v>
      </c>
      <c r="G332" s="33" t="str">
        <f>IFERROR(__xludf.DUMMYFUNCTION("""COMPUTED_VALUE"""),"SECRETARIO (B) DE DEPARTAMENTO")</f>
        <v>SECRETARIO (B) DE DEPARTAMENTO</v>
      </c>
      <c r="H332">
        <f>IFERROR(__xludf.DUMMYFUNCTION("""COMPUTED_VALUE"""),17.0)</f>
        <v>17</v>
      </c>
      <c r="I332" s="34" t="str">
        <f>IFERROR(__xludf.DUMMYFUNCTION("""COMPUTED_VALUE"""),"Jornada Completa")</f>
        <v>Jornada Completa</v>
      </c>
      <c r="J332" s="33" t="str">
        <f>IFERROR(__xludf.DUMMYFUNCTION("""COMPUTED_VALUE"""),"A CONTRATA")</f>
        <v>A CONTRATA</v>
      </c>
      <c r="K332" s="33" t="str">
        <f>IFERROR(__xludf.DUMMYFUNCTION("""COMPUTED_VALUE"""),"ADMINISTRATIVO")</f>
        <v>ADMINISTRATIVO</v>
      </c>
      <c r="L332" s="34" t="str">
        <f>IFERROR(__xludf.DUMMYFUNCTION("""COMPUTED_VALUE"""),"INTERNO")</f>
        <v>INTERNO</v>
      </c>
      <c r="M332" s="34">
        <f>IFERROR(__xludf.DUMMYFUNCTION("""COMPUTED_VALUE"""),0.0)</f>
        <v>0</v>
      </c>
      <c r="N332" s="34" t="str">
        <f>IFERROR(__xludf.DUMMYFUNCTION("""COMPUTED_VALUE"""),"EXTERNO")</f>
        <v>EXTERNO</v>
      </c>
      <c r="O332">
        <f>IFERROR(__xludf.DUMMYFUNCTION("""COMPUTED_VALUE"""),15.0)</f>
        <v>15</v>
      </c>
      <c r="P332">
        <f>IFERROR(__xludf.DUMMYFUNCTION("""COMPUTED_VALUE"""),1.0)</f>
        <v>1</v>
      </c>
      <c r="Q332" s="35">
        <f>IFERROR(__xludf.DUMMYFUNCTION("""COMPUTED_VALUE"""),1.0)</f>
        <v>1</v>
      </c>
      <c r="R332" s="36" t="str">
        <f>IFERROR(__xludf.DUMMYFUNCTION("""COMPUTED_VALUE"""),"SELECCIONADA")</f>
        <v>SELECCIONADA</v>
      </c>
      <c r="S332" s="37">
        <f>IFERROR(__xludf.DUMMYFUNCTION("""COMPUTED_VALUE"""),43024.0)</f>
        <v>43024</v>
      </c>
      <c r="T332" s="34"/>
      <c r="U332" t="str">
        <f>IFERROR(__xludf.DUMMYFUNCTION("""COMPUTED_VALUE"""),"TERESA FIGUEROA GONZÁLEZ")</f>
        <v>TERESA FIGUEROA GONZÁLEZ</v>
      </c>
      <c r="V332" t="str">
        <f>IFERROR(__xludf.DUMMYFUNCTION("""COMPUTED_VALUE"""),"11851134-4")</f>
        <v>11851134-4</v>
      </c>
      <c r="W332" t="str">
        <f>IFERROR(__xludf.DUMMYFUNCTION("""COMPUTED_VALUE"""),"NO")</f>
        <v>NO</v>
      </c>
      <c r="AA332" s="38">
        <f>IFERROR(__xludf.DUMMYFUNCTION("""COMPUTED_VALUE"""),42963.0)</f>
        <v>42963</v>
      </c>
      <c r="AB332" s="38">
        <f>IFERROR(__xludf.DUMMYFUNCTION("""COMPUTED_VALUE"""),42968.0)</f>
        <v>42968</v>
      </c>
      <c r="AF332" s="39"/>
      <c r="AG332" s="39"/>
      <c r="AH332" s="34" t="str">
        <f>IFERROR(__xludf.DUMMYFUNCTION("""COMPUTED_VALUE"""),"PROCESO DE SELECCIÓN")</f>
        <v>PROCESO DE SELECCIÓN</v>
      </c>
      <c r="AI332" s="34" t="str">
        <f>IFERROR(__xludf.DUMMYFUNCTION("""COMPUTED_VALUE"""),"ENRIQUETA UMAÑA HERRERA")</f>
        <v>ENRIQUETA UMAÑA HERRERA</v>
      </c>
      <c r="AJ332" s="34"/>
      <c r="AK332" s="34" t="str">
        <f>IFERROR(__xludf.DUMMYFUNCTION("""COMPUTED_VALUE"""),"E")</f>
        <v>E</v>
      </c>
      <c r="AL332">
        <f>IFERROR(__xludf.DUMMYFUNCTION("""COMPUTED_VALUE"""),41.0)</f>
        <v>41</v>
      </c>
      <c r="AM332">
        <f>IFERROR(__xludf.DUMMYFUNCTION("""COMPUTED_VALUE"""),2017.0)</f>
        <v>2017</v>
      </c>
      <c r="AN332" t="str">
        <f t="shared" si="1"/>
        <v>11851134-4</v>
      </c>
    </row>
    <row r="333">
      <c r="A333" s="33">
        <f>IFERROR(__xludf.DUMMYFUNCTION("""COMPUTED_VALUE"""),1.5045222E7)</f>
        <v>15045222</v>
      </c>
      <c r="B333" s="33">
        <f>IFERROR(__xludf.DUMMYFUNCTION("""COMPUTED_VALUE"""),110.0)</f>
        <v>110</v>
      </c>
      <c r="C333" s="33" t="str">
        <f>IFERROR(__xludf.DUMMYFUNCTION("""COMPUTED_VALUE"""),"A179.2")</f>
        <v>A179.2</v>
      </c>
      <c r="D333" s="34" t="str">
        <f>IFERROR(__xludf.DUMMYFUNCTION("""COMPUTED_VALUE"""),"INGRESAR CENTRO DE COSTO A LA DERECHA")</f>
        <v>INGRESAR CENTRO DE COSTO A LA DERECHA</v>
      </c>
      <c r="E333" s="34" t="str">
        <f>IFERROR(__xludf.DUMMYFUNCTION("""COMPUTED_VALUE"""),"VR. DE POSTGRADO")</f>
        <v>VR. DE POSTGRADO</v>
      </c>
      <c r="F333" s="34" t="str">
        <f>IFERROR(__xludf.DUMMYFUNCTION("""COMPUTED_VALUE"""),"Secretario(a) B")</f>
        <v>Secretario(a) B</v>
      </c>
      <c r="G333" s="33" t="str">
        <f>IFERROR(__xludf.DUMMYFUNCTION("""COMPUTED_VALUE"""),"SECRETARIO B DE DIRECCIÓN")</f>
        <v>SECRETARIO B DE DIRECCIÓN</v>
      </c>
      <c r="H333">
        <f>IFERROR(__xludf.DUMMYFUNCTION("""COMPUTED_VALUE"""),17.0)</f>
        <v>17</v>
      </c>
      <c r="I333" s="34" t="str">
        <f>IFERROR(__xludf.DUMMYFUNCTION("""COMPUTED_VALUE"""),"Jornada Completa")</f>
        <v>Jornada Completa</v>
      </c>
      <c r="J333" s="33" t="str">
        <f>IFERROR(__xludf.DUMMYFUNCTION("""COMPUTED_VALUE"""),"A CONTRATA")</f>
        <v>A CONTRATA</v>
      </c>
      <c r="K333" s="33" t="str">
        <f>IFERROR(__xludf.DUMMYFUNCTION("""COMPUTED_VALUE"""),"ADMINISTRATIVO")</f>
        <v>ADMINISTRATIVO</v>
      </c>
      <c r="L333" s="34" t="str">
        <f>IFERROR(__xludf.DUMMYFUNCTION("""COMPUTED_VALUE"""),"INTERNO")</f>
        <v>INTERNO</v>
      </c>
      <c r="M333" s="34">
        <f>IFERROR(__xludf.DUMMYFUNCTION("""COMPUTED_VALUE"""),1.0)</f>
        <v>1</v>
      </c>
      <c r="N333" s="34" t="str">
        <f>IFERROR(__xludf.DUMMYFUNCTION("""COMPUTED_VALUE"""),"NO")</f>
        <v>NO</v>
      </c>
      <c r="O333">
        <f>IFERROR(__xludf.DUMMYFUNCTION("""COMPUTED_VALUE"""),0.0)</f>
        <v>0</v>
      </c>
      <c r="P333">
        <f>IFERROR(__xludf.DUMMYFUNCTION("""COMPUTED_VALUE"""),1.0)</f>
        <v>1</v>
      </c>
      <c r="Q333" s="35">
        <f>IFERROR(__xludf.DUMMYFUNCTION("""COMPUTED_VALUE"""),0.0)</f>
        <v>0</v>
      </c>
      <c r="R333" s="36" t="str">
        <f>IFERROR(__xludf.DUMMYFUNCTION("""COMPUTED_VALUE"""),"SELECCIONADA")</f>
        <v>SELECCIONADA</v>
      </c>
      <c r="S333" s="37">
        <f>IFERROR(__xludf.DUMMYFUNCTION("""COMPUTED_VALUE"""),43222.0)</f>
        <v>43222</v>
      </c>
      <c r="T333" s="34" t="str">
        <f>IFERROR(__xludf.DUMMYFUNCTION("""COMPUTED_VALUE"""),"ARAYA VERGARA FERNANDA DEL CARMEN")</f>
        <v>ARAYA VERGARA FERNANDA DEL CARMEN</v>
      </c>
      <c r="V333" t="str">
        <f>IFERROR(__xludf.DUMMYFUNCTION("""COMPUTED_VALUE"""),"15045222-8")</f>
        <v>15045222-8</v>
      </c>
      <c r="W333" t="str">
        <f>IFERROR(__xludf.DUMMYFUNCTION("""COMPUTED_VALUE"""),"SI")</f>
        <v>SI</v>
      </c>
      <c r="X333" t="str">
        <f>IFERROR(__xludf.DUMMYFUNCTION("""COMPUTED_VALUE"""),"Iniciativa")</f>
        <v>Iniciativa</v>
      </c>
      <c r="Y333" t="str">
        <f>IFERROR(__xludf.DUMMYFUNCTION("""COMPUTED_VALUE"""),"Franqueza- Confiabilidad- Integridad")</f>
        <v>Franqueza- Confiabilidad- Integridad</v>
      </c>
      <c r="AA333" s="38">
        <f>IFERROR(__xludf.DUMMYFUNCTION("""COMPUTED_VALUE"""),43123.0)</f>
        <v>43123</v>
      </c>
      <c r="AB333" s="38">
        <f>IFERROR(__xludf.DUMMYFUNCTION("""COMPUTED_VALUE"""),43125.0)</f>
        <v>43125</v>
      </c>
      <c r="AC333">
        <f>IFERROR(__xludf.DUMMYFUNCTION("""COMPUTED_VALUE"""),20.0)</f>
        <v>20</v>
      </c>
      <c r="AD333" t="str">
        <f>IFERROR(__xludf.DUMMYFUNCTION("""COMPUTED_VALUE"""),"ADMINISTRATIVA")</f>
        <v>ADMINISTRATIVA</v>
      </c>
      <c r="AE333" t="str">
        <f>IFERROR(__xludf.DUMMYFUNCTION("""COMPUTED_VALUE"""),"ADMINISTRATIVO DE APOYO")</f>
        <v>ADMINISTRATIVO DE APOYO</v>
      </c>
      <c r="AF333" s="39" t="str">
        <f>IFERROR(__xludf.DUMMYFUNCTION("""COMPUTED_VALUE"""),"SECRETARIA GENERAL")</f>
        <v>SECRETARIA GENERAL</v>
      </c>
      <c r="AG333" s="39"/>
      <c r="AH333" s="34" t="str">
        <f>IFERROR(__xludf.DUMMYFUNCTION("""COMPUTED_VALUE"""),"PROCESO DE SELECCIÓN")</f>
        <v>PROCESO DE SELECCIÓN</v>
      </c>
      <c r="AI333" s="34"/>
      <c r="AJ333" s="34"/>
      <c r="AK333" s="34" t="str">
        <f>IFERROR(__xludf.DUMMYFUNCTION("""COMPUTED_VALUE"""),"C")</f>
        <v>C</v>
      </c>
      <c r="AL333">
        <f>IFERROR(__xludf.DUMMYFUNCTION("""COMPUTED_VALUE"""),70.0)</f>
        <v>70</v>
      </c>
      <c r="AM333">
        <f>IFERROR(__xludf.DUMMYFUNCTION("""COMPUTED_VALUE"""),2017.0)</f>
        <v>2017</v>
      </c>
      <c r="AN333" t="str">
        <f t="shared" si="1"/>
        <v>15045222-8</v>
      </c>
    </row>
    <row r="334">
      <c r="A334" s="33">
        <f>IFERROR(__xludf.DUMMYFUNCTION("""COMPUTED_VALUE"""),1.674777E7)</f>
        <v>16747770</v>
      </c>
      <c r="B334" s="33">
        <f>IFERROR(__xludf.DUMMYFUNCTION("""COMPUTED_VALUE"""),111.0)</f>
        <v>111</v>
      </c>
      <c r="C334" s="33"/>
      <c r="D334" s="34" t="str">
        <f>IFERROR(__xludf.DUMMYFUNCTION("""COMPUTED_VALUE"""),"INGRESAR CENTRO DE COSTO A LA DERECHA")</f>
        <v>INGRESAR CENTRO DE COSTO A LA DERECHA</v>
      </c>
      <c r="E334" s="34" t="str">
        <f>IFERROR(__xludf.DUMMYFUNCTION("""COMPUTED_VALUE"""),"DPTO. DE FISICA")</f>
        <v>DPTO. DE FISICA</v>
      </c>
      <c r="F334" s="34" t="str">
        <f>IFERROR(__xludf.DUMMYFUNCTION("""COMPUTED_VALUE"""),"Encargado(a) Técnico(a) de Laboratorio")</f>
        <v>Encargado(a) Técnico(a) de Laboratorio</v>
      </c>
      <c r="G334" s="33" t="str">
        <f>IFERROR(__xludf.DUMMYFUNCTION("""COMPUTED_VALUE"""),"ENCARGADO TÉCNICO DE LABORATORIO")</f>
        <v>ENCARGADO TÉCNICO DE LABORATORIO</v>
      </c>
      <c r="H334">
        <f>IFERROR(__xludf.DUMMYFUNCTION("""COMPUTED_VALUE"""),14.0)</f>
        <v>14</v>
      </c>
      <c r="I334" s="34" t="str">
        <f>IFERROR(__xludf.DUMMYFUNCTION("""COMPUTED_VALUE"""),"Jornada Completa")</f>
        <v>Jornada Completa</v>
      </c>
      <c r="J334" s="33" t="str">
        <f>IFERROR(__xludf.DUMMYFUNCTION("""COMPUTED_VALUE"""),"A CONTRATA")</f>
        <v>A CONTRATA</v>
      </c>
      <c r="K334" s="33" t="str">
        <f>IFERROR(__xludf.DUMMYFUNCTION("""COMPUTED_VALUE"""),"TECNICO")</f>
        <v>TECNICO</v>
      </c>
      <c r="L334" s="34" t="str">
        <f>IFERROR(__xludf.DUMMYFUNCTION("""COMPUTED_VALUE"""),"NO")</f>
        <v>NO</v>
      </c>
      <c r="M334" s="34">
        <f>IFERROR(__xludf.DUMMYFUNCTION("""COMPUTED_VALUE"""),0.0)</f>
        <v>0</v>
      </c>
      <c r="N334" s="34" t="str">
        <f>IFERROR(__xludf.DUMMYFUNCTION("""COMPUTED_VALUE"""),"EXTERNO")</f>
        <v>EXTERNO</v>
      </c>
      <c r="O334">
        <f>IFERROR(__xludf.DUMMYFUNCTION("""COMPUTED_VALUE"""),2.0)</f>
        <v>2</v>
      </c>
      <c r="P334">
        <f>IFERROR(__xludf.DUMMYFUNCTION("""COMPUTED_VALUE"""),1.0)</f>
        <v>1</v>
      </c>
      <c r="Q334" s="35">
        <f>IFERROR(__xludf.DUMMYFUNCTION("""COMPUTED_VALUE"""),1.0)</f>
        <v>1</v>
      </c>
      <c r="R334" s="36" t="str">
        <f>IFERROR(__xludf.DUMMYFUNCTION("""COMPUTED_VALUE"""),"SELECCIONADO")</f>
        <v>SELECCIONADO</v>
      </c>
      <c r="S334" s="37">
        <f>IFERROR(__xludf.DUMMYFUNCTION("""COMPUTED_VALUE"""),43080.0)</f>
        <v>43080</v>
      </c>
      <c r="T334" s="34"/>
      <c r="U334" t="str">
        <f>IFERROR(__xludf.DUMMYFUNCTION("""COMPUTED_VALUE"""),"AGUSTÍN FARIAS ORELLANA")</f>
        <v>AGUSTÍN FARIAS ORELLANA</v>
      </c>
      <c r="V334" t="str">
        <f>IFERROR(__xludf.DUMMYFUNCTION("""COMPUTED_VALUE"""),"16747770-4")</f>
        <v>16747770-4</v>
      </c>
      <c r="W334" t="str">
        <f>IFERROR(__xludf.DUMMYFUNCTION("""COMPUTED_VALUE"""),"SI")</f>
        <v>SI</v>
      </c>
      <c r="X334" t="str">
        <f>IFERROR(__xludf.DUMMYFUNCTION("""COMPUTED_VALUE"""),"Capacidad de Planificacion y Organizacion")</f>
        <v>Capacidad de Planificacion y Organizacion</v>
      </c>
      <c r="Y334" t="str">
        <f>IFERROR(__xludf.DUMMYFUNCTION("""COMPUTED_VALUE"""),"Iniciativa")</f>
        <v>Iniciativa</v>
      </c>
      <c r="AA334" s="38">
        <f>IFERROR(__xludf.DUMMYFUNCTION("""COMPUTED_VALUE"""),43024.0)</f>
        <v>43024</v>
      </c>
      <c r="AB334" s="38">
        <f>IFERROR(__xludf.DUMMYFUNCTION("""COMPUTED_VALUE"""),43039.0)</f>
        <v>43039</v>
      </c>
      <c r="AF334" s="39"/>
      <c r="AG334" s="39"/>
      <c r="AH334" s="34" t="str">
        <f>IFERROR(__xludf.DUMMYFUNCTION("""COMPUTED_VALUE"""),"PROCESO DE SELECCIÓN")</f>
        <v>PROCESO DE SELECCIÓN</v>
      </c>
      <c r="AI334" s="34"/>
      <c r="AJ334" s="34"/>
      <c r="AK334" s="34" t="str">
        <f>IFERROR(__xludf.DUMMYFUNCTION("""COMPUTED_VALUE"""),"E")</f>
        <v>E</v>
      </c>
      <c r="AL334">
        <f>IFERROR(__xludf.DUMMYFUNCTION("""COMPUTED_VALUE"""),30.0)</f>
        <v>30</v>
      </c>
      <c r="AM334">
        <f>IFERROR(__xludf.DUMMYFUNCTION("""COMPUTED_VALUE"""),2017.0)</f>
        <v>2017</v>
      </c>
      <c r="AN334" t="str">
        <f t="shared" si="1"/>
        <v>16747770-4</v>
      </c>
    </row>
    <row r="335">
      <c r="A335" s="33">
        <f>IFERROR(__xludf.DUMMYFUNCTION("""COMPUTED_VALUE"""),1.6447409E7)</f>
        <v>16447409</v>
      </c>
      <c r="B335" s="33">
        <f>IFERROR(__xludf.DUMMYFUNCTION("""COMPUTED_VALUE"""),112.0)</f>
        <v>112</v>
      </c>
      <c r="C335" s="33"/>
      <c r="D335" s="34" t="str">
        <f>IFERROR(__xludf.DUMMYFUNCTION("""COMPUTED_VALUE"""),"INGRESAR CENTRO DE COSTO A LA DERECHA")</f>
        <v>INGRESAR CENTRO DE COSTO A LA DERECHA</v>
      </c>
      <c r="E335" s="34" t="str">
        <f>IFERROR(__xludf.DUMMYFUNCTION("""COMPUTED_VALUE"""),"VR. DE INVEST. DESARR E INNOVACION")</f>
        <v>VR. DE INVEST. DESARR E INNOVACION</v>
      </c>
      <c r="F335" s="34" t="str">
        <f>IFERROR(__xludf.DUMMYFUNCTION("""COMPUTED_VALUE"""),"Jefe(a) de Área")</f>
        <v>Jefe(a) de Área</v>
      </c>
      <c r="G335" s="33" t="str">
        <f>IFERROR(__xludf.DUMMYFUNCTION("""COMPUTED_VALUE"""),"JEFE DE AREA")</f>
        <v>JEFE DE AREA</v>
      </c>
      <c r="H335">
        <f>IFERROR(__xludf.DUMMYFUNCTION("""COMPUTED_VALUE"""),8.0)</f>
        <v>8</v>
      </c>
      <c r="I335" s="34" t="str">
        <f>IFERROR(__xludf.DUMMYFUNCTION("""COMPUTED_VALUE"""),"Jornada Completa")</f>
        <v>Jornada Completa</v>
      </c>
      <c r="J335" s="33" t="str">
        <f>IFERROR(__xludf.DUMMYFUNCTION("""COMPUTED_VALUE"""),"A CONTRATA")</f>
        <v>A CONTRATA</v>
      </c>
      <c r="K335" s="33" t="str">
        <f>IFERROR(__xludf.DUMMYFUNCTION("""COMPUTED_VALUE"""),"PROFESIONAL")</f>
        <v>PROFESIONAL</v>
      </c>
      <c r="L335" s="34" t="str">
        <f>IFERROR(__xludf.DUMMYFUNCTION("""COMPUTED_VALUE"""),"INTERNO")</f>
        <v>INTERNO</v>
      </c>
      <c r="M335" s="34">
        <f>IFERROR(__xludf.DUMMYFUNCTION("""COMPUTED_VALUE"""),7.0)</f>
        <v>7</v>
      </c>
      <c r="N335" s="34" t="str">
        <f>IFERROR(__xludf.DUMMYFUNCTION("""COMPUTED_VALUE"""),"NO")</f>
        <v>NO</v>
      </c>
      <c r="P335">
        <f>IFERROR(__xludf.DUMMYFUNCTION("""COMPUTED_VALUE"""),1.0)</f>
        <v>1</v>
      </c>
      <c r="Q335" s="35">
        <f>IFERROR(__xludf.DUMMYFUNCTION("""COMPUTED_VALUE"""),0.0)</f>
        <v>0</v>
      </c>
      <c r="R335" s="36" t="str">
        <f>IFERROR(__xludf.DUMMYFUNCTION("""COMPUTED_VALUE"""),"SELECCIONADA")</f>
        <v>SELECCIONADA</v>
      </c>
      <c r="S335" s="37">
        <f>IFERROR(__xludf.DUMMYFUNCTION("""COMPUTED_VALUE"""),43052.0)</f>
        <v>43052</v>
      </c>
      <c r="T335" s="34" t="str">
        <f>IFERROR(__xludf.DUMMYFUNCTION("""COMPUTED_VALUE"""),"CARRASCO GARRIDO MACARENA BEATRIZ")</f>
        <v>CARRASCO GARRIDO MACARENA BEATRIZ</v>
      </c>
      <c r="V335" t="str">
        <f>IFERROR(__xludf.DUMMYFUNCTION("""COMPUTED_VALUE"""),"16447409-7")</f>
        <v>16447409-7</v>
      </c>
      <c r="W335" t="str">
        <f>IFERROR(__xludf.DUMMYFUNCTION("""COMPUTED_VALUE"""),"SI")</f>
        <v>SI</v>
      </c>
      <c r="X335" t="str">
        <f>IFERROR(__xludf.DUMMYFUNCTION("""COMPUTED_VALUE"""),"Capacidad de Planificacion y Organizacion")</f>
        <v>Capacidad de Planificacion y Organizacion</v>
      </c>
      <c r="Y335" t="str">
        <f>IFERROR(__xludf.DUMMYFUNCTION("""COMPUTED_VALUE"""),"Liderazgo")</f>
        <v>Liderazgo</v>
      </c>
      <c r="Z335" t="str">
        <f>IFERROR(__xludf.DUMMYFUNCTION("""COMPUTED_VALUE"""),"Orientacion a los Resultados")</f>
        <v>Orientacion a los Resultados</v>
      </c>
      <c r="AA335" s="38">
        <f>IFERROR(__xludf.DUMMYFUNCTION("""COMPUTED_VALUE"""),42977.0)</f>
        <v>42977</v>
      </c>
      <c r="AB335" s="38">
        <f>IFERROR(__xludf.DUMMYFUNCTION("""COMPUTED_VALUE"""),42984.0)</f>
        <v>42984</v>
      </c>
      <c r="AC335">
        <f>IFERROR(__xludf.DUMMYFUNCTION("""COMPUTED_VALUE"""),10.0)</f>
        <v>10</v>
      </c>
      <c r="AD335" t="str">
        <f>IFERROR(__xludf.DUMMYFUNCTION("""COMPUTED_VALUE"""),"PROFESIONAL")</f>
        <v>PROFESIONAL</v>
      </c>
      <c r="AE335" t="str">
        <f>IFERROR(__xludf.DUMMYFUNCTION("""COMPUTED_VALUE"""),"ANALISTA DE GESTION")</f>
        <v>ANALISTA DE GESTION</v>
      </c>
      <c r="AF335" s="39" t="str">
        <f>IFERROR(__xludf.DUMMYFUNCTION("""COMPUTED_VALUE"""),"DPTO. DESARROLLO DE PERSONAS")</f>
        <v>DPTO. DESARROLLO DE PERSONAS</v>
      </c>
      <c r="AG335" s="39"/>
      <c r="AH335" s="34" t="str">
        <f>IFERROR(__xludf.DUMMYFUNCTION("""COMPUTED_VALUE"""),"PROCESO DE SELECCIÓN")</f>
        <v>PROCESO DE SELECCIÓN</v>
      </c>
      <c r="AI335" s="34"/>
      <c r="AJ335" s="34"/>
      <c r="AK335" s="34" t="str">
        <f>IFERROR(__xludf.DUMMYFUNCTION("""COMPUTED_VALUE"""),"P")</f>
        <v>P</v>
      </c>
      <c r="AL335">
        <f>IFERROR(__xludf.DUMMYFUNCTION("""COMPUTED_VALUE"""),49.0)</f>
        <v>49</v>
      </c>
      <c r="AM335">
        <f>IFERROR(__xludf.DUMMYFUNCTION("""COMPUTED_VALUE"""),2017.0)</f>
        <v>2017</v>
      </c>
      <c r="AN335" t="str">
        <f t="shared" si="1"/>
        <v>16447409-7</v>
      </c>
    </row>
    <row r="336">
      <c r="A336" s="33">
        <f>IFERROR(__xludf.DUMMYFUNCTION("""COMPUTED_VALUE"""),1.2870862E7)</f>
        <v>12870862</v>
      </c>
      <c r="B336" s="33">
        <f>IFERROR(__xludf.DUMMYFUNCTION("""COMPUTED_VALUE"""),113.0)</f>
        <v>113</v>
      </c>
      <c r="C336" s="33"/>
      <c r="D336" s="34" t="str">
        <f>IFERROR(__xludf.DUMMYFUNCTION("""COMPUTED_VALUE"""),"INGRESAR CENTRO DE COSTO A LA DERECHA")</f>
        <v>INGRESAR CENTRO DE COSTO A LA DERECHA</v>
      </c>
      <c r="E336" s="34" t="str">
        <f>IFERROR(__xludf.DUMMYFUNCTION("""COMPUTED_VALUE"""),"FACULTAD DE CIENCIA")</f>
        <v>FACULTAD DE CIENCIA</v>
      </c>
      <c r="F336" s="34" t="str">
        <f>IFERROR(__xludf.DUMMYFUNCTION("""COMPUTED_VALUE"""),"Secretario(a) A")</f>
        <v>Secretario(a) A</v>
      </c>
      <c r="G336" s="33" t="str">
        <f>IFERROR(__xludf.DUMMYFUNCTION("""COMPUTED_VALUE"""),"SECRETARIO A")</f>
        <v>SECRETARIO A</v>
      </c>
      <c r="H336">
        <f>IFERROR(__xludf.DUMMYFUNCTION("""COMPUTED_VALUE"""),13.0)</f>
        <v>13</v>
      </c>
      <c r="I336" s="34" t="str">
        <f>IFERROR(__xludf.DUMMYFUNCTION("""COMPUTED_VALUE"""),"Jornada Completa")</f>
        <v>Jornada Completa</v>
      </c>
      <c r="J336" s="33" t="str">
        <f>IFERROR(__xludf.DUMMYFUNCTION("""COMPUTED_VALUE"""),"A CONTRATA")</f>
        <v>A CONTRATA</v>
      </c>
      <c r="K336" s="33" t="str">
        <f>IFERROR(__xludf.DUMMYFUNCTION("""COMPUTED_VALUE"""),"ADMINISTRATIVO")</f>
        <v>ADMINISTRATIVO</v>
      </c>
      <c r="L336" s="34" t="str">
        <f>IFERROR(__xludf.DUMMYFUNCTION("""COMPUTED_VALUE"""),"INTERNO")</f>
        <v>INTERNO</v>
      </c>
      <c r="M336" s="34">
        <f>IFERROR(__xludf.DUMMYFUNCTION("""COMPUTED_VALUE"""),3.0)</f>
        <v>3</v>
      </c>
      <c r="N336" s="34" t="str">
        <f>IFERROR(__xludf.DUMMYFUNCTION("""COMPUTED_VALUE"""),"EXTERNO")</f>
        <v>EXTERNO</v>
      </c>
      <c r="O336">
        <f>IFERROR(__xludf.DUMMYFUNCTION("""COMPUTED_VALUE"""),5.0)</f>
        <v>5</v>
      </c>
      <c r="P336">
        <f>IFERROR(__xludf.DUMMYFUNCTION("""COMPUTED_VALUE"""),5.0)</f>
        <v>5</v>
      </c>
      <c r="Q336" s="35">
        <f>IFERROR(__xludf.DUMMYFUNCTION("""COMPUTED_VALUE"""),2.0)</f>
        <v>2</v>
      </c>
      <c r="R336" s="36" t="str">
        <f>IFERROR(__xludf.DUMMYFUNCTION("""COMPUTED_VALUE"""),"SELECCIONADA")</f>
        <v>SELECCIONADA</v>
      </c>
      <c r="S336" s="37">
        <f>IFERROR(__xludf.DUMMYFUNCTION("""COMPUTED_VALUE"""),42954.0)</f>
        <v>42954</v>
      </c>
      <c r="T336" s="34" t="str">
        <f>IFERROR(__xludf.DUMMYFUNCTION("""COMPUTED_VALUE"""),"NUNEZ ROBLES PALOMA ISABEL")</f>
        <v>NUNEZ ROBLES PALOMA ISABEL</v>
      </c>
      <c r="V336" t="str">
        <f>IFERROR(__xludf.DUMMYFUNCTION("""COMPUTED_VALUE"""),"12870862-6")</f>
        <v>12870862-6</v>
      </c>
      <c r="W336" t="str">
        <f>IFERROR(__xludf.DUMMYFUNCTION("""COMPUTED_VALUE"""),"NO")</f>
        <v>NO</v>
      </c>
      <c r="AA336" s="38">
        <f>IFERROR(__xludf.DUMMYFUNCTION("""COMPUTED_VALUE"""),42900.0)</f>
        <v>42900</v>
      </c>
      <c r="AB336" s="38">
        <f>IFERROR(__xludf.DUMMYFUNCTION("""COMPUTED_VALUE"""),42907.0)</f>
        <v>42907</v>
      </c>
      <c r="AC336">
        <f>IFERROR(__xludf.DUMMYFUNCTION("""COMPUTED_VALUE"""),16.0)</f>
        <v>16</v>
      </c>
      <c r="AD336" t="str">
        <f>IFERROR(__xludf.DUMMYFUNCTION("""COMPUTED_VALUE"""),"ADMINISTRATIVO")</f>
        <v>ADMINISTRATIVO</v>
      </c>
      <c r="AE336" t="str">
        <f>IFERROR(__xludf.DUMMYFUNCTION("""COMPUTED_VALUE"""),"SECRETARIO DE FACULTAD")</f>
        <v>SECRETARIO DE FACULTAD</v>
      </c>
      <c r="AF336" s="39" t="str">
        <f>IFERROR(__xludf.DUMMYFUNCTION("""COMPUTED_VALUE"""),"FACULTAD DE CIENCIA")</f>
        <v>FACULTAD DE CIENCIA</v>
      </c>
      <c r="AG336" s="39"/>
      <c r="AH336" s="34" t="str">
        <f>IFERROR(__xludf.DUMMYFUNCTION("""COMPUTED_VALUE"""),"PROCESO DE SELECCIÓN")</f>
        <v>PROCESO DE SELECCIÓN</v>
      </c>
      <c r="AI336" s="34" t="str">
        <f>IFERROR(__xludf.DUMMYFUNCTION("""COMPUTED_VALUE"""),"ENRIQUETA UMAÑA HERRERA")</f>
        <v>ENRIQUETA UMAÑA HERRERA</v>
      </c>
      <c r="AJ336" s="34"/>
      <c r="AK336" s="34"/>
      <c r="AL336">
        <f>IFERROR(__xludf.DUMMYFUNCTION("""COMPUTED_VALUE"""),34.0)</f>
        <v>34</v>
      </c>
      <c r="AM336">
        <f>IFERROR(__xludf.DUMMYFUNCTION("""COMPUTED_VALUE"""),2017.0)</f>
        <v>2017</v>
      </c>
      <c r="AN336" t="str">
        <f t="shared" si="1"/>
        <v>12870862-6</v>
      </c>
    </row>
    <row r="337">
      <c r="A337" s="33">
        <f>IFERROR(__xludf.DUMMYFUNCTION("""COMPUTED_VALUE"""),1.1524154E7)</f>
        <v>11524154</v>
      </c>
      <c r="B337" s="33">
        <f>IFERROR(__xludf.DUMMYFUNCTION("""COMPUTED_VALUE"""),114.0)</f>
        <v>114</v>
      </c>
      <c r="C337" s="33"/>
      <c r="D337" s="34" t="str">
        <f>IFERROR(__xludf.DUMMYFUNCTION("""COMPUTED_VALUE"""),"INGRESAR CENTRO DE COSTO A LA DERECHA")</f>
        <v>INGRESAR CENTRO DE COSTO A LA DERECHA</v>
      </c>
      <c r="E337" s="34" t="str">
        <f>IFERROR(__xludf.DUMMYFUNCTION("""COMPUTED_VALUE"""),"DPTO. DE TECNOLOGIAS INDUSTRIALES")</f>
        <v>DPTO. DE TECNOLOGIAS INDUSTRIALES</v>
      </c>
      <c r="F337" s="34" t="str">
        <f>IFERROR(__xludf.DUMMYFUNCTION("""COMPUTED_VALUE"""),"Secretario(a) B")</f>
        <v>Secretario(a) B</v>
      </c>
      <c r="G337" s="33" t="str">
        <f>IFERROR(__xludf.DUMMYFUNCTION("""COMPUTED_VALUE"""),"SECRETARIO B")</f>
        <v>SECRETARIO B</v>
      </c>
      <c r="H337">
        <f>IFERROR(__xludf.DUMMYFUNCTION("""COMPUTED_VALUE"""),17.0)</f>
        <v>17</v>
      </c>
      <c r="I337" s="34" t="str">
        <f>IFERROR(__xludf.DUMMYFUNCTION("""COMPUTED_VALUE"""),"Jornada Completa")</f>
        <v>Jornada Completa</v>
      </c>
      <c r="J337" s="33" t="str">
        <f>IFERROR(__xludf.DUMMYFUNCTION("""COMPUTED_VALUE"""),"A CONTRATA")</f>
        <v>A CONTRATA</v>
      </c>
      <c r="K337" s="33" t="str">
        <f>IFERROR(__xludf.DUMMYFUNCTION("""COMPUTED_VALUE"""),"ADMINISTRATIVO")</f>
        <v>ADMINISTRATIVO</v>
      </c>
      <c r="L337" s="34" t="str">
        <f>IFERROR(__xludf.DUMMYFUNCTION("""COMPUTED_VALUE"""),"INTERNO")</f>
        <v>INTERNO</v>
      </c>
      <c r="M337" s="34">
        <f>IFERROR(__xludf.DUMMYFUNCTION("""COMPUTED_VALUE"""),2.0)</f>
        <v>2</v>
      </c>
      <c r="N337" s="34" t="str">
        <f>IFERROR(__xludf.DUMMYFUNCTION("""COMPUTED_VALUE"""),"NO")</f>
        <v>NO</v>
      </c>
      <c r="P337">
        <f>IFERROR(__xludf.DUMMYFUNCTION("""COMPUTED_VALUE"""),2.0)</f>
        <v>2</v>
      </c>
      <c r="Q337" s="35">
        <f>IFERROR(__xludf.DUMMYFUNCTION("""COMPUTED_VALUE"""),0.0)</f>
        <v>0</v>
      </c>
      <c r="R337" s="36" t="str">
        <f>IFERROR(__xludf.DUMMYFUNCTION("""COMPUTED_VALUE"""),"SELECCIONADA")</f>
        <v>SELECCIONADA</v>
      </c>
      <c r="S337" s="37">
        <f>IFERROR(__xludf.DUMMYFUNCTION("""COMPUTED_VALUE"""),43222.0)</f>
        <v>43222</v>
      </c>
      <c r="T337" s="34" t="str">
        <f>IFERROR(__xludf.DUMMYFUNCTION("""COMPUTED_VALUE"""),"CEA MUENA MARIA PAMELA")</f>
        <v>CEA MUENA MARIA PAMELA</v>
      </c>
      <c r="V337" t="str">
        <f>IFERROR(__xludf.DUMMYFUNCTION("""COMPUTED_VALUE"""),"11524154-0")</f>
        <v>11524154-0</v>
      </c>
      <c r="W337" t="str">
        <f>IFERROR(__xludf.DUMMYFUNCTION("""COMPUTED_VALUE"""),"SI")</f>
        <v>SI</v>
      </c>
      <c r="X337" t="str">
        <f>IFERROR(__xludf.DUMMYFUNCTION("""COMPUTED_VALUE"""),"Iniciativa")</f>
        <v>Iniciativa</v>
      </c>
      <c r="AA337" s="38">
        <f>IFERROR(__xludf.DUMMYFUNCTION("""COMPUTED_VALUE"""),43111.0)</f>
        <v>43111</v>
      </c>
      <c r="AB337" s="38">
        <f>IFERROR(__xludf.DUMMYFUNCTION("""COMPUTED_VALUE"""),43118.0)</f>
        <v>43118</v>
      </c>
      <c r="AC337">
        <f>IFERROR(__xludf.DUMMYFUNCTION("""COMPUTED_VALUE"""),16.0)</f>
        <v>16</v>
      </c>
      <c r="AD337" t="str">
        <f>IFERROR(__xludf.DUMMYFUNCTION("""COMPUTED_VALUE"""),"ADMINISTRATIVO")</f>
        <v>ADMINISTRATIVO</v>
      </c>
      <c r="AE337" t="str">
        <f>IFERROR(__xludf.DUMMYFUNCTION("""COMPUTED_VALUE"""),"SECRETARIA DE DIRECCIÓN")</f>
        <v>SECRETARIA DE DIRECCIÓN</v>
      </c>
      <c r="AF337" s="39" t="str">
        <f>IFERROR(__xludf.DUMMYFUNCTION("""COMPUTED_VALUE"""),"DPTO. GESTION AGRARIA")</f>
        <v>DPTO. GESTION AGRARIA</v>
      </c>
      <c r="AG337" s="39"/>
      <c r="AH337" s="34" t="str">
        <f>IFERROR(__xludf.DUMMYFUNCTION("""COMPUTED_VALUE"""),"PROCESO DE SELECCIÓN")</f>
        <v>PROCESO DE SELECCIÓN</v>
      </c>
      <c r="AI337" s="34" t="str">
        <f>IFERROR(__xludf.DUMMYFUNCTION("""COMPUTED_VALUE"""),"SANDRA ROSAS")</f>
        <v>SANDRA ROSAS</v>
      </c>
      <c r="AJ337" s="34"/>
      <c r="AK337" s="34" t="str">
        <f>IFERROR(__xludf.DUMMYFUNCTION("""COMPUTED_VALUE"""),"C")</f>
        <v>C</v>
      </c>
      <c r="AL337">
        <f>IFERROR(__xludf.DUMMYFUNCTION("""COMPUTED_VALUE"""),75.0)</f>
        <v>75</v>
      </c>
      <c r="AM337">
        <f>IFERROR(__xludf.DUMMYFUNCTION("""COMPUTED_VALUE"""),2017.0)</f>
        <v>2017</v>
      </c>
      <c r="AN337" t="str">
        <f t="shared" si="1"/>
        <v>11524154-0</v>
      </c>
    </row>
    <row r="338">
      <c r="A338" s="33">
        <f>IFERROR(__xludf.DUMMYFUNCTION("""COMPUTED_VALUE"""),1.3297941E7)</f>
        <v>13297941</v>
      </c>
      <c r="B338" s="33">
        <f>IFERROR(__xludf.DUMMYFUNCTION("""COMPUTED_VALUE"""),115.0)</f>
        <v>115</v>
      </c>
      <c r="C338" s="33"/>
      <c r="D338" s="34" t="str">
        <f>IFERROR(__xludf.DUMMYFUNCTION("""COMPUTED_VALUE"""),"INGRESAR CENTRO DE COSTO A LA DERECHA")</f>
        <v>INGRESAR CENTRO DE COSTO A LA DERECHA</v>
      </c>
      <c r="E338" s="34" t="str">
        <f>IFERROR(__xludf.DUMMYFUNCTION("""COMPUTED_VALUE"""),"VR. DE POSTGRADO")</f>
        <v>VR. DE POSTGRADO</v>
      </c>
      <c r="F338" s="34" t="str">
        <f>IFERROR(__xludf.DUMMYFUNCTION("""COMPUTED_VALUE"""),"Mayordomo(a)")</f>
        <v>Mayordomo(a)</v>
      </c>
      <c r="G338" s="33" t="str">
        <f>IFERROR(__xludf.DUMMYFUNCTION("""COMPUTED_VALUE"""),"MAYORDOMO")</f>
        <v>MAYORDOMO</v>
      </c>
      <c r="H338">
        <f>IFERROR(__xludf.DUMMYFUNCTION("""COMPUTED_VALUE"""),21.0)</f>
        <v>21</v>
      </c>
      <c r="I338" s="34" t="str">
        <f>IFERROR(__xludf.DUMMYFUNCTION("""COMPUTED_VALUE"""),"Jornada Completa")</f>
        <v>Jornada Completa</v>
      </c>
      <c r="J338" s="33" t="str">
        <f>IFERROR(__xludf.DUMMYFUNCTION("""COMPUTED_VALUE"""),"A CONTRATA")</f>
        <v>A CONTRATA</v>
      </c>
      <c r="K338" s="33" t="str">
        <f>IFERROR(__xludf.DUMMYFUNCTION("""COMPUTED_VALUE"""),"AUXILIAR")</f>
        <v>AUXILIAR</v>
      </c>
      <c r="L338" s="34" t="str">
        <f>IFERROR(__xludf.DUMMYFUNCTION("""COMPUTED_VALUE"""),"INTERNO")</f>
        <v>INTERNO</v>
      </c>
      <c r="M338" s="34">
        <f>IFERROR(__xludf.DUMMYFUNCTION("""COMPUTED_VALUE"""),0.0)</f>
        <v>0</v>
      </c>
      <c r="N338" s="34" t="str">
        <f>IFERROR(__xludf.DUMMYFUNCTION("""COMPUTED_VALUE"""),"EXTERNO")</f>
        <v>EXTERNO</v>
      </c>
      <c r="O338">
        <f>IFERROR(__xludf.DUMMYFUNCTION("""COMPUTED_VALUE"""),8.0)</f>
        <v>8</v>
      </c>
      <c r="P338">
        <f>IFERROR(__xludf.DUMMYFUNCTION("""COMPUTED_VALUE"""),1.0)</f>
        <v>1</v>
      </c>
      <c r="Q338" s="35">
        <f>IFERROR(__xludf.DUMMYFUNCTION("""COMPUTED_VALUE"""),0.0)</f>
        <v>0</v>
      </c>
      <c r="R338" s="36" t="str">
        <f>IFERROR(__xludf.DUMMYFUNCTION("""COMPUTED_VALUE"""),"SELECCIONADO")</f>
        <v>SELECCIONADO</v>
      </c>
      <c r="S338" s="37">
        <f>IFERROR(__xludf.DUMMYFUNCTION("""COMPUTED_VALUE"""),43164.0)</f>
        <v>43164</v>
      </c>
      <c r="T338" s="34"/>
      <c r="U338" t="str">
        <f>IFERROR(__xludf.DUMMYFUNCTION("""COMPUTED_VALUE"""),"LUIS CONTRERAS GONZÁLEZ")</f>
        <v>LUIS CONTRERAS GONZÁLEZ</v>
      </c>
      <c r="V338" t="str">
        <f>IFERROR(__xludf.DUMMYFUNCTION("""COMPUTED_VALUE"""),"13297941-3")</f>
        <v>13297941-3</v>
      </c>
      <c r="W338" t="str">
        <f>IFERROR(__xludf.DUMMYFUNCTION("""COMPUTED_VALUE"""),"NO")</f>
        <v>NO</v>
      </c>
      <c r="AA338" s="38">
        <f>IFERROR(__xludf.DUMMYFUNCTION("""COMPUTED_VALUE"""),43039.0)</f>
        <v>43039</v>
      </c>
      <c r="AB338" s="38">
        <f>IFERROR(__xludf.DUMMYFUNCTION("""COMPUTED_VALUE"""),43046.0)</f>
        <v>43046</v>
      </c>
      <c r="AF338" s="39"/>
      <c r="AG338" s="39"/>
      <c r="AH338" s="34" t="str">
        <f>IFERROR(__xludf.DUMMYFUNCTION("""COMPUTED_VALUE"""),"PROCESO DE SELECCIÓN")</f>
        <v>PROCESO DE SELECCIÓN</v>
      </c>
      <c r="AI338" s="34" t="str">
        <f>IFERROR(__xludf.DUMMYFUNCTION("""COMPUTED_VALUE"""),"JUAN MORENO HUICHAPANE")</f>
        <v>JUAN MORENO HUICHAPANE</v>
      </c>
      <c r="AJ338" s="34"/>
      <c r="AK338" s="34" t="str">
        <f>IFERROR(__xludf.DUMMYFUNCTION("""COMPUTED_VALUE"""),"E")</f>
        <v>E</v>
      </c>
      <c r="AL338">
        <f>IFERROR(__xludf.DUMMYFUNCTION("""COMPUTED_VALUE"""),85.0)</f>
        <v>85</v>
      </c>
      <c r="AM338">
        <f>IFERROR(__xludf.DUMMYFUNCTION("""COMPUTED_VALUE"""),2017.0)</f>
        <v>2017</v>
      </c>
      <c r="AN338" t="str">
        <f t="shared" si="1"/>
        <v>13297941-3</v>
      </c>
    </row>
    <row r="339">
      <c r="A339" s="33">
        <f>IFERROR(__xludf.DUMMYFUNCTION("""COMPUTED_VALUE"""),1.2490135E7)</f>
        <v>12490135</v>
      </c>
      <c r="B339" s="33">
        <f>IFERROR(__xludf.DUMMYFUNCTION("""COMPUTED_VALUE"""),116.0)</f>
        <v>116</v>
      </c>
      <c r="C339" s="33"/>
      <c r="D339" s="34" t="str">
        <f>IFERROR(__xludf.DUMMYFUNCTION("""COMPUTED_VALUE"""),"INGRESAR CENTRO DE COSTO A LA DERECHA")</f>
        <v>INGRESAR CENTRO DE COSTO A LA DERECHA</v>
      </c>
      <c r="E339" s="34" t="str">
        <f>IFERROR(__xludf.DUMMYFUNCTION("""COMPUTED_VALUE"""),"VR. ACADEMICA")</f>
        <v>VR. ACADEMICA</v>
      </c>
      <c r="F339" s="34" t="str">
        <f>IFERROR(__xludf.DUMMYFUNCTION("""COMPUTED_VALUE"""),"Jefe(a) de Administración y Finanzas")</f>
        <v>Jefe(a) de Administración y Finanzas</v>
      </c>
      <c r="G339" s="33" t="str">
        <f>IFERROR(__xludf.DUMMYFUNCTION("""COMPUTED_VALUE"""),"JEFE DE ADMINISTRACIÓN Y FINANZAS")</f>
        <v>JEFE DE ADMINISTRACIÓN Y FINANZAS</v>
      </c>
      <c r="H339">
        <f>IFERROR(__xludf.DUMMYFUNCTION("""COMPUTED_VALUE"""),10.0)</f>
        <v>10</v>
      </c>
      <c r="I339" s="34" t="str">
        <f>IFERROR(__xludf.DUMMYFUNCTION("""COMPUTED_VALUE"""),"Jornada Completa")</f>
        <v>Jornada Completa</v>
      </c>
      <c r="J339" s="33" t="str">
        <f>IFERROR(__xludf.DUMMYFUNCTION("""COMPUTED_VALUE"""),"A CONTRATA")</f>
        <v>A CONTRATA</v>
      </c>
      <c r="K339" s="33" t="str">
        <f>IFERROR(__xludf.DUMMYFUNCTION("""COMPUTED_VALUE"""),"PROFESIONAL")</f>
        <v>PROFESIONAL</v>
      </c>
      <c r="L339" s="34" t="str">
        <f>IFERROR(__xludf.DUMMYFUNCTION("""COMPUTED_VALUE"""),"INTERNO")</f>
        <v>INTERNO</v>
      </c>
      <c r="M339" s="34">
        <f>IFERROR(__xludf.DUMMYFUNCTION("""COMPUTED_VALUE"""),12.0)</f>
        <v>12</v>
      </c>
      <c r="N339" s="34" t="str">
        <f>IFERROR(__xludf.DUMMYFUNCTION("""COMPUTED_VALUE"""),"NO")</f>
        <v>NO</v>
      </c>
      <c r="P339">
        <f>IFERROR(__xludf.DUMMYFUNCTION("""COMPUTED_VALUE"""),3.0)</f>
        <v>3</v>
      </c>
      <c r="Q339" s="35">
        <f>IFERROR(__xludf.DUMMYFUNCTION("""COMPUTED_VALUE"""),0.0)</f>
        <v>0</v>
      </c>
      <c r="R339" s="36" t="str">
        <f>IFERROR(__xludf.DUMMYFUNCTION("""COMPUTED_VALUE"""),"SELECCIONADO")</f>
        <v>SELECCIONADO</v>
      </c>
      <c r="S339" s="37">
        <f>IFERROR(__xludf.DUMMYFUNCTION("""COMPUTED_VALUE"""),43164.0)</f>
        <v>43164</v>
      </c>
      <c r="T339" s="34" t="str">
        <f>IFERROR(__xludf.DUMMYFUNCTION("""COMPUTED_VALUE"""),"PARDO GARRIDO ANDRES LEONARDO")</f>
        <v>PARDO GARRIDO ANDRES LEONARDO</v>
      </c>
      <c r="V339" t="str">
        <f>IFERROR(__xludf.DUMMYFUNCTION("""COMPUTED_VALUE"""),"12490135-9")</f>
        <v>12490135-9</v>
      </c>
      <c r="W339" t="str">
        <f>IFERROR(__xludf.DUMMYFUNCTION("""COMPUTED_VALUE"""),"SI")</f>
        <v>SI</v>
      </c>
      <c r="X339" t="str">
        <f>IFERROR(__xludf.DUMMYFUNCTION("""COMPUTED_VALUE"""),"Capacidad de Planificacion y Organizacion")</f>
        <v>Capacidad de Planificacion y Organizacion</v>
      </c>
      <c r="AA339" s="38">
        <f>IFERROR(__xludf.DUMMYFUNCTION("""COMPUTED_VALUE"""),43028.0)</f>
        <v>43028</v>
      </c>
      <c r="AB339" s="38">
        <f>IFERROR(__xludf.DUMMYFUNCTION("""COMPUTED_VALUE"""),43034.0)</f>
        <v>43034</v>
      </c>
      <c r="AC339">
        <f>IFERROR(__xludf.DUMMYFUNCTION("""COMPUTED_VALUE"""),14.0)</f>
        <v>14</v>
      </c>
      <c r="AD339" t="str">
        <f>IFERROR(__xludf.DUMMYFUNCTION("""COMPUTED_VALUE"""),"PROFESIONAL")</f>
        <v>PROFESIONAL</v>
      </c>
      <c r="AE339" t="str">
        <f>IFERROR(__xludf.DUMMYFUNCTION("""COMPUTED_VALUE"""),"ANALISTA GESTION ADMINISTRATIVA")</f>
        <v>ANALISTA GESTION ADMINISTRATIVA</v>
      </c>
      <c r="AF339" s="39" t="str">
        <f>IFERROR(__xludf.DUMMYFUNCTION("""COMPUTED_VALUE"""),"PROGRAMA BACHILLERATO")</f>
        <v>PROGRAMA BACHILLERATO</v>
      </c>
      <c r="AG339" s="39"/>
      <c r="AH339" s="34" t="str">
        <f>IFERROR(__xludf.DUMMYFUNCTION("""COMPUTED_VALUE"""),"PROCESO DE SELECCIÓN")</f>
        <v>PROCESO DE SELECCIÓN</v>
      </c>
      <c r="AI339" s="34" t="str">
        <f>IFERROR(__xludf.DUMMYFUNCTION("""COMPUTED_VALUE"""),"DANIEL CAMPOS RIELOFF")</f>
        <v>DANIEL CAMPOS RIELOFF</v>
      </c>
      <c r="AJ339" s="34"/>
      <c r="AK339" s="34" t="str">
        <f>IFERROR(__xludf.DUMMYFUNCTION("""COMPUTED_VALUE"""),"C")</f>
        <v>C</v>
      </c>
      <c r="AL339">
        <f>IFERROR(__xludf.DUMMYFUNCTION("""COMPUTED_VALUE"""),93.0)</f>
        <v>93</v>
      </c>
      <c r="AM339">
        <f>IFERROR(__xludf.DUMMYFUNCTION("""COMPUTED_VALUE"""),2017.0)</f>
        <v>2017</v>
      </c>
      <c r="AN339" t="str">
        <f t="shared" si="1"/>
        <v>12490135-9</v>
      </c>
    </row>
    <row r="340">
      <c r="A340" s="33">
        <f>IFERROR(__xludf.DUMMYFUNCTION("""COMPUTED_VALUE"""),1.6452017E7)</f>
        <v>16452017</v>
      </c>
      <c r="B340" s="33">
        <f>IFERROR(__xludf.DUMMYFUNCTION("""COMPUTED_VALUE"""),117.0)</f>
        <v>117</v>
      </c>
      <c r="C340" s="33"/>
      <c r="D340" s="34" t="str">
        <f>IFERROR(__xludf.DUMMYFUNCTION("""COMPUTED_VALUE"""),"INGRESAR CENTRO DE COSTO A LA DERECHA")</f>
        <v>INGRESAR CENTRO DE COSTO A LA DERECHA</v>
      </c>
      <c r="E340" s="34" t="str">
        <f>IFERROR(__xludf.DUMMYFUNCTION("""COMPUTED_VALUE"""),"PROGRAMA BACHILLERATO")</f>
        <v>PROGRAMA BACHILLERATO</v>
      </c>
      <c r="F340" s="34" t="str">
        <f>IFERROR(__xludf.DUMMYFUNCTION("""COMPUTED_VALUE"""),"Analista de Gestión Administrativa")</f>
        <v>Analista de Gestión Administrativa</v>
      </c>
      <c r="G340" s="33" t="str">
        <f>IFERROR(__xludf.DUMMYFUNCTION("""COMPUTED_VALUE"""),"ANALISTA  DE GESTION ADMINISTRATIVA")</f>
        <v>ANALISTA  DE GESTION ADMINISTRATIVA</v>
      </c>
      <c r="H340">
        <f>IFERROR(__xludf.DUMMYFUNCTION("""COMPUTED_VALUE"""),14.0)</f>
        <v>14</v>
      </c>
      <c r="I340" s="34" t="str">
        <f>IFERROR(__xludf.DUMMYFUNCTION("""COMPUTED_VALUE"""),"Jornada Completa")</f>
        <v>Jornada Completa</v>
      </c>
      <c r="J340" s="33" t="str">
        <f>IFERROR(__xludf.DUMMYFUNCTION("""COMPUTED_VALUE"""),"A CONTRATA")</f>
        <v>A CONTRATA</v>
      </c>
      <c r="K340" s="33" t="str">
        <f>IFERROR(__xludf.DUMMYFUNCTION("""COMPUTED_VALUE"""),"PROFESIONAL")</f>
        <v>PROFESIONAL</v>
      </c>
      <c r="L340" s="34" t="str">
        <f>IFERROR(__xludf.DUMMYFUNCTION("""COMPUTED_VALUE"""),"INTERNO")</f>
        <v>INTERNO</v>
      </c>
      <c r="M340" s="34">
        <f>IFERROR(__xludf.DUMMYFUNCTION("""COMPUTED_VALUE"""),7.0)</f>
        <v>7</v>
      </c>
      <c r="N340" s="34" t="str">
        <f>IFERROR(__xludf.DUMMYFUNCTION("""COMPUTED_VALUE"""),"NO")</f>
        <v>NO</v>
      </c>
      <c r="Q340" s="35">
        <f>IFERROR(__xludf.DUMMYFUNCTION("""COMPUTED_VALUE"""),0.0)</f>
        <v>0</v>
      </c>
      <c r="R340" s="36" t="str">
        <f>IFERROR(__xludf.DUMMYFUNCTION("""COMPUTED_VALUE"""),"SELECCIONADA")</f>
        <v>SELECCIONADA</v>
      </c>
      <c r="S340" s="37">
        <f>IFERROR(__xludf.DUMMYFUNCTION("""COMPUTED_VALUE"""),43185.0)</f>
        <v>43185</v>
      </c>
      <c r="T340" s="34" t="str">
        <f>IFERROR(__xludf.DUMMYFUNCTION("""COMPUTED_VALUE"""),"MENA AMACHE YANELA MAKARENA")</f>
        <v>MENA AMACHE YANELA MAKARENA</v>
      </c>
      <c r="V340" t="str">
        <f>IFERROR(__xludf.DUMMYFUNCTION("""COMPUTED_VALUE"""),"16452017-K")</f>
        <v>16452017-K</v>
      </c>
      <c r="W340" t="str">
        <f>IFERROR(__xludf.DUMMYFUNCTION("""COMPUTED_VALUE"""),"SI")</f>
        <v>SI</v>
      </c>
      <c r="X340" t="str">
        <f>IFERROR(__xludf.DUMMYFUNCTION("""COMPUTED_VALUE"""),"Capacidad de Planificacion y Organizacion")</f>
        <v>Capacidad de Planificacion y Organizacion</v>
      </c>
      <c r="Y340" t="str">
        <f>IFERROR(__xludf.DUMMYFUNCTION("""COMPUTED_VALUE"""),"Iniciativa")</f>
        <v>Iniciativa</v>
      </c>
      <c r="AA340" s="38">
        <f>IFERROR(__xludf.DUMMYFUNCTION("""COMPUTED_VALUE"""),43111.0)</f>
        <v>43111</v>
      </c>
      <c r="AB340" s="38">
        <f>IFERROR(__xludf.DUMMYFUNCTION("""COMPUTED_VALUE"""),43118.0)</f>
        <v>43118</v>
      </c>
      <c r="AC340">
        <f>IFERROR(__xludf.DUMMYFUNCTION("""COMPUTED_VALUE"""),17.0)</f>
        <v>17</v>
      </c>
      <c r="AD340" t="str">
        <f>IFERROR(__xludf.DUMMYFUNCTION("""COMPUTED_VALUE"""),"ADMINISTRATIVO")</f>
        <v>ADMINISTRATIVO</v>
      </c>
      <c r="AE340" t="str">
        <f>IFERROR(__xludf.DUMMYFUNCTION("""COMPUTED_VALUE"""),"ADMINISTRATIVO DE RECURSOS HUMANOS")</f>
        <v>ADMINISTRATIVO DE RECURSOS HUMANOS</v>
      </c>
      <c r="AF340" s="39" t="str">
        <f>IFERROR(__xludf.DUMMYFUNCTION("""COMPUTED_VALUE"""),"DPTO. DE RECURSOS HUMANOS")</f>
        <v>DPTO. DE RECURSOS HUMANOS</v>
      </c>
      <c r="AG340" s="39"/>
      <c r="AH340" s="34" t="str">
        <f>IFERROR(__xludf.DUMMYFUNCTION("""COMPUTED_VALUE"""),"PROCESO DE SELECCIÓN")</f>
        <v>PROCESO DE SELECCIÓN</v>
      </c>
      <c r="AI340" s="34" t="str">
        <f>IFERROR(__xludf.DUMMYFUNCTION("""COMPUTED_VALUE"""),"ANDRES PARDO GARRIDO")</f>
        <v>ANDRES PARDO GARRIDO</v>
      </c>
      <c r="AJ340" s="34"/>
      <c r="AK340" s="34" t="str">
        <f>IFERROR(__xludf.DUMMYFUNCTION("""COMPUTED_VALUE"""),"C")</f>
        <v>C</v>
      </c>
      <c r="AL340">
        <f>IFERROR(__xludf.DUMMYFUNCTION("""COMPUTED_VALUE"""),48.0)</f>
        <v>48</v>
      </c>
      <c r="AM340">
        <f>IFERROR(__xludf.DUMMYFUNCTION("""COMPUTED_VALUE"""),2017.0)</f>
        <v>2017</v>
      </c>
      <c r="AN340" t="str">
        <f t="shared" si="1"/>
        <v>16452017-K</v>
      </c>
    </row>
    <row r="341">
      <c r="A341" s="33">
        <f>IFERROR(__xludf.DUMMYFUNCTION("""COMPUTED_VALUE"""),6992571.0)</f>
        <v>6992571</v>
      </c>
      <c r="B341" s="33">
        <f>IFERROR(__xludf.DUMMYFUNCTION("""COMPUTED_VALUE"""),118.0)</f>
        <v>118</v>
      </c>
      <c r="C341" s="33" t="str">
        <f>IFERROR(__xludf.DUMMYFUNCTION("""COMPUTED_VALUE"""),"A130.1")</f>
        <v>A130.1</v>
      </c>
      <c r="D341" s="34" t="str">
        <f>IFERROR(__xludf.DUMMYFUNCTION("""COMPUTED_VALUE"""),"INGRESAR CENTRO DE COSTO A LA DERECHA")</f>
        <v>INGRESAR CENTRO DE COSTO A LA DERECHA</v>
      </c>
      <c r="E341" s="34" t="str">
        <f>IFERROR(__xludf.DUMMYFUNCTION("""COMPUTED_VALUE"""),"VR. ACADEMICA")</f>
        <v>VR. ACADEMICA</v>
      </c>
      <c r="F341" s="34" t="str">
        <f>IFERROR(__xludf.DUMMYFUNCTION("""COMPUTED_VALUE"""),"Mayordomo(a)")</f>
        <v>Mayordomo(a)</v>
      </c>
      <c r="G341" s="33" t="str">
        <f>IFERROR(__xludf.DUMMYFUNCTION("""COMPUTED_VALUE"""),"MAYORDOMO")</f>
        <v>MAYORDOMO</v>
      </c>
      <c r="H341">
        <f>IFERROR(__xludf.DUMMYFUNCTION("""COMPUTED_VALUE"""),21.0)</f>
        <v>21</v>
      </c>
      <c r="I341" s="34" t="str">
        <f>IFERROR(__xludf.DUMMYFUNCTION("""COMPUTED_VALUE"""),"Jornada Completa")</f>
        <v>Jornada Completa</v>
      </c>
      <c r="J341" s="33" t="str">
        <f>IFERROR(__xludf.DUMMYFUNCTION("""COMPUTED_VALUE"""),"A CONTRATA")</f>
        <v>A CONTRATA</v>
      </c>
      <c r="K341" s="33" t="str">
        <f>IFERROR(__xludf.DUMMYFUNCTION("""COMPUTED_VALUE"""),"AUXILIAR")</f>
        <v>AUXILIAR</v>
      </c>
      <c r="L341" s="34" t="str">
        <f>IFERROR(__xludf.DUMMYFUNCTION("""COMPUTED_VALUE"""),"INTERNO")</f>
        <v>INTERNO</v>
      </c>
      <c r="M341" s="34">
        <f>IFERROR(__xludf.DUMMYFUNCTION("""COMPUTED_VALUE"""),0.0)</f>
        <v>0</v>
      </c>
      <c r="N341" s="34" t="str">
        <f>IFERROR(__xludf.DUMMYFUNCTION("""COMPUTED_VALUE"""),"EXTERNO")</f>
        <v>EXTERNO</v>
      </c>
      <c r="O341">
        <f>IFERROR(__xludf.DUMMYFUNCTION("""COMPUTED_VALUE"""),12.0)</f>
        <v>12</v>
      </c>
      <c r="P341">
        <f>IFERROR(__xludf.DUMMYFUNCTION("""COMPUTED_VALUE"""),2.0)</f>
        <v>2</v>
      </c>
      <c r="Q341" s="35">
        <f>IFERROR(__xludf.DUMMYFUNCTION("""COMPUTED_VALUE"""),1.0)</f>
        <v>1</v>
      </c>
      <c r="R341" s="36" t="str">
        <f>IFERROR(__xludf.DUMMYFUNCTION("""COMPUTED_VALUE"""),"SELECCIONADO")</f>
        <v>SELECCIONADO</v>
      </c>
      <c r="S341" s="37">
        <f>IFERROR(__xludf.DUMMYFUNCTION("""COMPUTED_VALUE"""),43080.0)</f>
        <v>43080</v>
      </c>
      <c r="T341" s="34"/>
      <c r="U341" t="str">
        <f>IFERROR(__xludf.DUMMYFUNCTION("""COMPUTED_VALUE"""),"LUIS ARAYA LAGUNAS")</f>
        <v>LUIS ARAYA LAGUNAS</v>
      </c>
      <c r="V341" t="str">
        <f>IFERROR(__xludf.DUMMYFUNCTION("""COMPUTED_VALUE"""),"6992571-5")</f>
        <v>6992571-5</v>
      </c>
      <c r="W341" t="str">
        <f>IFERROR(__xludf.DUMMYFUNCTION("""COMPUTED_VALUE"""),"NO")</f>
        <v>NO</v>
      </c>
      <c r="AA341" s="38">
        <f>IFERROR(__xludf.DUMMYFUNCTION("""COMPUTED_VALUE"""),43025.0)</f>
        <v>43025</v>
      </c>
      <c r="AB341" s="38">
        <f>IFERROR(__xludf.DUMMYFUNCTION("""COMPUTED_VALUE"""),43032.0)</f>
        <v>43032</v>
      </c>
      <c r="AF341" s="39"/>
      <c r="AG341" s="39"/>
      <c r="AH341" s="34" t="str">
        <f>IFERROR(__xludf.DUMMYFUNCTION("""COMPUTED_VALUE"""),"PROCESO DE SELECCIÓN")</f>
        <v>PROCESO DE SELECCIÓN</v>
      </c>
      <c r="AI341" s="34" t="str">
        <f>IFERROR(__xludf.DUMMYFUNCTION("""COMPUTED_VALUE"""),"-")</f>
        <v>-</v>
      </c>
      <c r="AJ341" s="34"/>
      <c r="AK341" s="34" t="str">
        <f>IFERROR(__xludf.DUMMYFUNCTION("""COMPUTED_VALUE"""),"E")</f>
        <v>E</v>
      </c>
      <c r="AL341">
        <f>IFERROR(__xludf.DUMMYFUNCTION("""COMPUTED_VALUE"""),35.0)</f>
        <v>35</v>
      </c>
      <c r="AM341">
        <f>IFERROR(__xludf.DUMMYFUNCTION("""COMPUTED_VALUE"""),2017.0)</f>
        <v>2017</v>
      </c>
      <c r="AN341" t="str">
        <f t="shared" si="1"/>
        <v>06992571-5</v>
      </c>
    </row>
    <row r="342">
      <c r="A342" s="33">
        <f>IFERROR(__xludf.DUMMYFUNCTION("""COMPUTED_VALUE"""),1.4367085E7)</f>
        <v>14367085</v>
      </c>
      <c r="B342" s="33">
        <f>IFERROR(__xludf.DUMMYFUNCTION("""COMPUTED_VALUE"""),118.0)</f>
        <v>118</v>
      </c>
      <c r="C342" s="33"/>
      <c r="D342" s="34" t="str">
        <f>IFERROR(__xludf.DUMMYFUNCTION("""COMPUTED_VALUE"""),"INGRESAR CENTRO DE COSTO A LA DERECHA")</f>
        <v>INGRESAR CENTRO DE COSTO A LA DERECHA</v>
      </c>
      <c r="E342" s="34" t="str">
        <f>IFERROR(__xludf.DUMMYFUNCTION("""COMPUTED_VALUE"""),"AFUSACH")</f>
        <v>AFUSACH</v>
      </c>
      <c r="F342" s="34" t="str">
        <f>IFERROR(__xludf.DUMMYFUNCTION("""COMPUTED_VALUE"""),"Secretario(a) C")</f>
        <v>Secretario(a) C</v>
      </c>
      <c r="G342" s="33" t="str">
        <f>IFERROR(__xludf.DUMMYFUNCTION("""COMPUTED_VALUE"""),"SECRETARIO C")</f>
        <v>SECRETARIO C</v>
      </c>
      <c r="H342">
        <f>IFERROR(__xludf.DUMMYFUNCTION("""COMPUTED_VALUE"""),20.0)</f>
        <v>20</v>
      </c>
      <c r="I342" s="34" t="str">
        <f>IFERROR(__xludf.DUMMYFUNCTION("""COMPUTED_VALUE"""),"Jornada Completa")</f>
        <v>Jornada Completa</v>
      </c>
      <c r="J342" s="33" t="str">
        <f>IFERROR(__xludf.DUMMYFUNCTION("""COMPUTED_VALUE"""),"A CONTRATA")</f>
        <v>A CONTRATA</v>
      </c>
      <c r="K342" s="33" t="str">
        <f>IFERROR(__xludf.DUMMYFUNCTION("""COMPUTED_VALUE"""),"ADMINISTRATIVO")</f>
        <v>ADMINISTRATIVO</v>
      </c>
      <c r="L342" s="34" t="str">
        <f>IFERROR(__xludf.DUMMYFUNCTION("""COMPUTED_VALUE"""),"INTERNO")</f>
        <v>INTERNO</v>
      </c>
      <c r="M342" s="34">
        <f>IFERROR(__xludf.DUMMYFUNCTION("""COMPUTED_VALUE"""),0.0)</f>
        <v>0</v>
      </c>
      <c r="N342" s="34" t="str">
        <f>IFERROR(__xludf.DUMMYFUNCTION("""COMPUTED_VALUE"""),"EXTERNO")</f>
        <v>EXTERNO</v>
      </c>
      <c r="O342">
        <f>IFERROR(__xludf.DUMMYFUNCTION("""COMPUTED_VALUE"""),14.0)</f>
        <v>14</v>
      </c>
      <c r="P342">
        <f>IFERROR(__xludf.DUMMYFUNCTION("""COMPUTED_VALUE"""),1.0)</f>
        <v>1</v>
      </c>
      <c r="Q342" s="35">
        <f>IFERROR(__xludf.DUMMYFUNCTION("""COMPUTED_VALUE"""),0.0)</f>
        <v>0</v>
      </c>
      <c r="R342" s="36" t="str">
        <f>IFERROR(__xludf.DUMMYFUNCTION("""COMPUTED_VALUE"""),"SELECCIONADA")</f>
        <v>SELECCIONADA</v>
      </c>
      <c r="S342" s="37">
        <f>IFERROR(__xludf.DUMMYFUNCTION("""COMPUTED_VALUE"""),43074.0)</f>
        <v>43074</v>
      </c>
      <c r="T342" s="34"/>
      <c r="U342" t="str">
        <f>IFERROR(__xludf.DUMMYFUNCTION("""COMPUTED_VALUE"""),"ROSA TAPIA MUÑOZ")</f>
        <v>ROSA TAPIA MUÑOZ</v>
      </c>
      <c r="V342" t="str">
        <f>IFERROR(__xludf.DUMMYFUNCTION("""COMPUTED_VALUE"""),"14367085-6")</f>
        <v>14367085-6</v>
      </c>
      <c r="W342" t="str">
        <f>IFERROR(__xludf.DUMMYFUNCTION("""COMPUTED_VALUE"""),"SI")</f>
        <v>SI</v>
      </c>
      <c r="X342" t="str">
        <f>IFERROR(__xludf.DUMMYFUNCTION("""COMPUTED_VALUE"""),"Franqueza- Confiabilidad- Integridad")</f>
        <v>Franqueza- Confiabilidad- Integridad</v>
      </c>
      <c r="AA342" s="38">
        <f>IFERROR(__xludf.DUMMYFUNCTION("""COMPUTED_VALUE"""),43039.0)</f>
        <v>43039</v>
      </c>
      <c r="AB342" s="38">
        <f>IFERROR(__xludf.DUMMYFUNCTION("""COMPUTED_VALUE"""),43046.0)</f>
        <v>43046</v>
      </c>
      <c r="AF342" s="39"/>
      <c r="AG342" s="39"/>
      <c r="AH342" s="34" t="str">
        <f>IFERROR(__xludf.DUMMYFUNCTION("""COMPUTED_VALUE"""),"PROCESO DE SELECCIÓN")</f>
        <v>PROCESO DE SELECCIÓN</v>
      </c>
      <c r="AI342" s="34" t="str">
        <f>IFERROR(__xludf.DUMMYFUNCTION("""COMPUTED_VALUE"""),"SOLEDAD SAN MARTIN AZUA")</f>
        <v>SOLEDAD SAN MARTIN AZUA</v>
      </c>
      <c r="AJ342" s="34"/>
      <c r="AK342" s="34" t="str">
        <f>IFERROR(__xludf.DUMMYFUNCTION("""COMPUTED_VALUE"""),"E")</f>
        <v>E</v>
      </c>
      <c r="AL342">
        <f>IFERROR(__xludf.DUMMYFUNCTION("""COMPUTED_VALUE"""),21.0)</f>
        <v>21</v>
      </c>
      <c r="AM342">
        <f>IFERROR(__xludf.DUMMYFUNCTION("""COMPUTED_VALUE"""),2017.0)</f>
        <v>2017</v>
      </c>
      <c r="AN342" t="str">
        <f t="shared" si="1"/>
        <v>14367085-6</v>
      </c>
    </row>
    <row r="343">
      <c r="A343" s="33">
        <f>IFERROR(__xludf.DUMMYFUNCTION("""COMPUTED_VALUE"""),1.4156475E7)</f>
        <v>14156475</v>
      </c>
      <c r="B343" s="33">
        <f>IFERROR(__xludf.DUMMYFUNCTION("""COMPUTED_VALUE"""),1.0)</f>
        <v>1</v>
      </c>
      <c r="C343" s="33"/>
      <c r="D343" s="34" t="str">
        <f>IFERROR(__xludf.DUMMYFUNCTION("""COMPUTED_VALUE"""),"INGRESAR CENTRO DE COSTO A LA DERECHA")</f>
        <v>INGRESAR CENTRO DE COSTO A LA DERECHA</v>
      </c>
      <c r="E343" s="34" t="str">
        <f>IFERROR(__xludf.DUMMYFUNCTION("""COMPUTED_VALUE"""),"DPTO. DE FINANZAS Y TESORERIA")</f>
        <v>DPTO. DE FINANZAS Y TESORERIA</v>
      </c>
      <c r="F343" s="34" t="str">
        <f>IFERROR(__xludf.DUMMYFUNCTION("""COMPUTED_VALUE"""),"Administrativo(a) Contable")</f>
        <v>Administrativo(a) Contable</v>
      </c>
      <c r="G343" s="33" t="str">
        <f>IFERROR(__xludf.DUMMYFUNCTION("""COMPUTED_VALUE"""),"ADMINISTRATIVO CONTABLE")</f>
        <v>ADMINISTRATIVO CONTABLE</v>
      </c>
      <c r="H343">
        <f>IFERROR(__xludf.DUMMYFUNCTION("""COMPUTED_VALUE"""),17.0)</f>
        <v>17</v>
      </c>
      <c r="I343" s="34" t="str">
        <f>IFERROR(__xludf.DUMMYFUNCTION("""COMPUTED_VALUE"""),"Jornada Completa")</f>
        <v>Jornada Completa</v>
      </c>
      <c r="J343" s="33" t="str">
        <f>IFERROR(__xludf.DUMMYFUNCTION("""COMPUTED_VALUE"""),"A CONTRATA")</f>
        <v>A CONTRATA</v>
      </c>
      <c r="K343" s="33" t="str">
        <f>IFERROR(__xludf.DUMMYFUNCTION("""COMPUTED_VALUE"""),"TECNICO")</f>
        <v>TECNICO</v>
      </c>
      <c r="L343" s="34" t="str">
        <f>IFERROR(__xludf.DUMMYFUNCTION("""COMPUTED_VALUE"""),"INTERNO")</f>
        <v>INTERNO</v>
      </c>
      <c r="M343" s="34">
        <f>IFERROR(__xludf.DUMMYFUNCTION("""COMPUTED_VALUE"""),1.0)</f>
        <v>1</v>
      </c>
      <c r="N343" s="34" t="str">
        <f>IFERROR(__xludf.DUMMYFUNCTION("""COMPUTED_VALUE"""),"EXTERNO")</f>
        <v>EXTERNO</v>
      </c>
      <c r="O343">
        <f>IFERROR(__xludf.DUMMYFUNCTION("""COMPUTED_VALUE"""),12.0)</f>
        <v>12</v>
      </c>
      <c r="P343">
        <f>IFERROR(__xludf.DUMMYFUNCTION("""COMPUTED_VALUE"""),1.0)</f>
        <v>1</v>
      </c>
      <c r="Q343" s="35">
        <f>IFERROR(__xludf.DUMMYFUNCTION("""COMPUTED_VALUE"""),2.0)</f>
        <v>2</v>
      </c>
      <c r="R343" s="36" t="str">
        <f>IFERROR(__xludf.DUMMYFUNCTION("""COMPUTED_VALUE"""),"SELECCIONADA")</f>
        <v>SELECCIONADA</v>
      </c>
      <c r="S343" s="37">
        <f>IFERROR(__xludf.DUMMYFUNCTION("""COMPUTED_VALUE"""),42471.0)</f>
        <v>42471</v>
      </c>
      <c r="T343" s="34"/>
      <c r="U343" t="str">
        <f>IFERROR(__xludf.DUMMYFUNCTION("""COMPUTED_VALUE"""),"MARYORIE MEDINA GOMEZ")</f>
        <v>MARYORIE MEDINA GOMEZ</v>
      </c>
      <c r="V343" t="str">
        <f>IFERROR(__xludf.DUMMYFUNCTION("""COMPUTED_VALUE"""),"14156475-7")</f>
        <v>14156475-7</v>
      </c>
      <c r="W343" t="str">
        <f>IFERROR(__xludf.DUMMYFUNCTION("""COMPUTED_VALUE"""),"NO")</f>
        <v>NO</v>
      </c>
      <c r="AA343" s="38">
        <f>IFERROR(__xludf.DUMMYFUNCTION("""COMPUTED_VALUE"""),42431.0)</f>
        <v>42431</v>
      </c>
      <c r="AB343" s="38">
        <f>IFERROR(__xludf.DUMMYFUNCTION("""COMPUTED_VALUE"""),42438.0)</f>
        <v>42438</v>
      </c>
      <c r="AF343" s="39"/>
      <c r="AG343" s="39"/>
      <c r="AH343" s="34" t="str">
        <f>IFERROR(__xludf.DUMMYFUNCTION("""COMPUTED_VALUE"""),"PROCESO DE SELECCIÓN")</f>
        <v>PROCESO DE SELECCIÓN</v>
      </c>
      <c r="AI343" s="34" t="str">
        <f>IFERROR(__xludf.DUMMYFUNCTION("""COMPUTED_VALUE"""),"JORGE VEGA QUINTANILLA")</f>
        <v>JORGE VEGA QUINTANILLA</v>
      </c>
      <c r="AJ343" s="34"/>
      <c r="AK343" s="34" t="str">
        <f>IFERROR(__xludf.DUMMYFUNCTION("""COMPUTED_VALUE"""),"P")</f>
        <v>P</v>
      </c>
      <c r="AL343">
        <f>IFERROR(__xludf.DUMMYFUNCTION("""COMPUTED_VALUE"""),24.0)</f>
        <v>24</v>
      </c>
      <c r="AM343">
        <f>IFERROR(__xludf.DUMMYFUNCTION("""COMPUTED_VALUE"""),2016.0)</f>
        <v>2016</v>
      </c>
      <c r="AN343" t="str">
        <f t="shared" si="1"/>
        <v>14156475-7</v>
      </c>
    </row>
    <row r="344">
      <c r="A344" s="33">
        <f>IFERROR(__xludf.DUMMYFUNCTION("""COMPUTED_VALUE"""),1.5623289E7)</f>
        <v>15623289</v>
      </c>
      <c r="B344" s="33">
        <f>IFERROR(__xludf.DUMMYFUNCTION("""COMPUTED_VALUE"""),2.0)</f>
        <v>2</v>
      </c>
      <c r="C344" s="33"/>
      <c r="D344" s="34" t="str">
        <f>IFERROR(__xludf.DUMMYFUNCTION("""COMPUTED_VALUE"""),"INGRESAR CENTRO DE COSTO A LA DERECHA")</f>
        <v>INGRESAR CENTRO DE COSTO A LA DERECHA</v>
      </c>
      <c r="E344" s="34" t="str">
        <f>IFERROR(__xludf.DUMMYFUNCTION("""COMPUTED_VALUE"""),"DPTO. DE INGENIERIA INFORMATICA")</f>
        <v>DPTO. DE INGENIERIA INFORMATICA</v>
      </c>
      <c r="F344" s="34" t="str">
        <f>IFERROR(__xludf.DUMMYFUNCTION("""COMPUTED_VALUE"""),"Administrador(a) de Sistemas")</f>
        <v>Administrador(a) de Sistemas</v>
      </c>
      <c r="G344" s="33" t="str">
        <f>IFERROR(__xludf.DUMMYFUNCTION("""COMPUTED_VALUE"""),"ADMINISTRADOR DE SISTEMAS")</f>
        <v>ADMINISTRADOR DE SISTEMAS</v>
      </c>
      <c r="H344">
        <f>IFERROR(__xludf.DUMMYFUNCTION("""COMPUTED_VALUE"""),11.0)</f>
        <v>11</v>
      </c>
      <c r="I344" s="34" t="str">
        <f>IFERROR(__xludf.DUMMYFUNCTION("""COMPUTED_VALUE"""),"Jornada Completa")</f>
        <v>Jornada Completa</v>
      </c>
      <c r="J344" s="33" t="str">
        <f>IFERROR(__xludf.DUMMYFUNCTION("""COMPUTED_VALUE"""),"A CONTRATA")</f>
        <v>A CONTRATA</v>
      </c>
      <c r="K344" s="33" t="str">
        <f>IFERROR(__xludf.DUMMYFUNCTION("""COMPUTED_VALUE"""),"PROFESIONAL")</f>
        <v>PROFESIONAL</v>
      </c>
      <c r="L344" s="34" t="str">
        <f>IFERROR(__xludf.DUMMYFUNCTION("""COMPUTED_VALUE"""),"INTERNO")</f>
        <v>INTERNO</v>
      </c>
      <c r="M344" s="34">
        <f>IFERROR(__xludf.DUMMYFUNCTION("""COMPUTED_VALUE"""),1.0)</f>
        <v>1</v>
      </c>
      <c r="N344" s="34" t="str">
        <f>IFERROR(__xludf.DUMMYFUNCTION("""COMPUTED_VALUE"""),"NO")</f>
        <v>NO</v>
      </c>
      <c r="P344">
        <f>IFERROR(__xludf.DUMMYFUNCTION("""COMPUTED_VALUE"""),1.0)</f>
        <v>1</v>
      </c>
      <c r="Q344" s="35">
        <f>IFERROR(__xludf.DUMMYFUNCTION("""COMPUTED_VALUE"""),0.0)</f>
        <v>0</v>
      </c>
      <c r="R344" s="36" t="str">
        <f>IFERROR(__xludf.DUMMYFUNCTION("""COMPUTED_VALUE"""),"SELECCIONADO")</f>
        <v>SELECCIONADO</v>
      </c>
      <c r="S344" s="37">
        <f>IFERROR(__xludf.DUMMYFUNCTION("""COMPUTED_VALUE"""),42496.0)</f>
        <v>42496</v>
      </c>
      <c r="T344" s="34" t="str">
        <f>IFERROR(__xludf.DUMMYFUNCTION("""COMPUTED_VALUE"""),"ITURBE ARAYA JUAN IGNACIO")</f>
        <v>ITURBE ARAYA JUAN IGNACIO</v>
      </c>
      <c r="V344" t="str">
        <f>IFERROR(__xludf.DUMMYFUNCTION("""COMPUTED_VALUE"""),"15623289-0")</f>
        <v>15623289-0</v>
      </c>
      <c r="W344" t="str">
        <f>IFERROR(__xludf.DUMMYFUNCTION("""COMPUTED_VALUE"""),"NO")</f>
        <v>NO</v>
      </c>
      <c r="AA344" s="38">
        <f>IFERROR(__xludf.DUMMYFUNCTION("""COMPUTED_VALUE"""),42485.0)</f>
        <v>42485</v>
      </c>
      <c r="AB344" s="38">
        <f>IFERROR(__xludf.DUMMYFUNCTION("""COMPUTED_VALUE"""),42487.0)</f>
        <v>42487</v>
      </c>
      <c r="AE344" t="str">
        <f>IFERROR(__xludf.DUMMYFUNCTION("""COMPUTED_VALUE"""),"PROF. HRS")</f>
        <v>PROF. HRS</v>
      </c>
      <c r="AF344" s="39"/>
      <c r="AG344" s="39"/>
      <c r="AH344" s="34" t="str">
        <f>IFERROR(__xludf.DUMMYFUNCTION("""COMPUTED_VALUE"""),"PROCESO DE SELECCIÓN")</f>
        <v>PROCESO DE SELECCIÓN</v>
      </c>
      <c r="AI344" s="34"/>
      <c r="AJ344" s="34"/>
      <c r="AK344" s="34" t="str">
        <f>IFERROR(__xludf.DUMMYFUNCTION("""COMPUTED_VALUE"""),"P")</f>
        <v>P</v>
      </c>
      <c r="AL344">
        <f>IFERROR(__xludf.DUMMYFUNCTION("""COMPUTED_VALUE"""),43.0)</f>
        <v>43</v>
      </c>
      <c r="AM344">
        <f>IFERROR(__xludf.DUMMYFUNCTION("""COMPUTED_VALUE"""),2016.0)</f>
        <v>2016</v>
      </c>
      <c r="AN344" t="str">
        <f t="shared" si="1"/>
        <v>15623289-0</v>
      </c>
    </row>
    <row r="345">
      <c r="A345" s="33">
        <f>IFERROR(__xludf.DUMMYFUNCTION("""COMPUTED_VALUE"""),1.0974588E7)</f>
        <v>10974588</v>
      </c>
      <c r="B345" s="33">
        <f>IFERROR(__xludf.DUMMYFUNCTION("""COMPUTED_VALUE"""),3.0)</f>
        <v>3</v>
      </c>
      <c r="C345" s="33"/>
      <c r="D345" s="34" t="str">
        <f>IFERROR(__xludf.DUMMYFUNCTION("""COMPUTED_VALUE"""),"INGRESAR CENTRO DE COSTO A LA DERECHA")</f>
        <v>INGRESAR CENTRO DE COSTO A LA DERECHA</v>
      </c>
      <c r="E345" s="34" t="str">
        <f>IFERROR(__xludf.DUMMYFUNCTION("""COMPUTED_VALUE"""),"FACULTAD DE QUIMICA Y BIOLOGIA")</f>
        <v>FACULTAD DE QUIMICA Y BIOLOGIA</v>
      </c>
      <c r="F345" s="34" t="str">
        <f>IFERROR(__xludf.DUMMYFUNCTION("""COMPUTED_VALUE"""),"Administrador(a) de Sistemas")</f>
        <v>Administrador(a) de Sistemas</v>
      </c>
      <c r="G345" s="33" t="str">
        <f>IFERROR(__xludf.DUMMYFUNCTION("""COMPUTED_VALUE"""),"ADMINISTRADOR DE SISTEMAS")</f>
        <v>ADMINISTRADOR DE SISTEMAS</v>
      </c>
      <c r="H345">
        <f>IFERROR(__xludf.DUMMYFUNCTION("""COMPUTED_VALUE"""),11.0)</f>
        <v>11</v>
      </c>
      <c r="I345" s="34" t="str">
        <f>IFERROR(__xludf.DUMMYFUNCTION("""COMPUTED_VALUE"""),"Jornada Completa")</f>
        <v>Jornada Completa</v>
      </c>
      <c r="J345" s="33" t="str">
        <f>IFERROR(__xludf.DUMMYFUNCTION("""COMPUTED_VALUE"""),"A CONTRATA")</f>
        <v>A CONTRATA</v>
      </c>
      <c r="K345" s="33" t="str">
        <f>IFERROR(__xludf.DUMMYFUNCTION("""COMPUTED_VALUE"""),"PROFESIONAL")</f>
        <v>PROFESIONAL</v>
      </c>
      <c r="L345" s="34" t="str">
        <f>IFERROR(__xludf.DUMMYFUNCTION("""COMPUTED_VALUE"""),"INTERNO")</f>
        <v>INTERNO</v>
      </c>
      <c r="M345" s="34">
        <f>IFERROR(__xludf.DUMMYFUNCTION("""COMPUTED_VALUE"""),2.0)</f>
        <v>2</v>
      </c>
      <c r="N345" s="34" t="str">
        <f>IFERROR(__xludf.DUMMYFUNCTION("""COMPUTED_VALUE"""),"NO")</f>
        <v>NO</v>
      </c>
      <c r="O345">
        <f>IFERROR(__xludf.DUMMYFUNCTION("""COMPUTED_VALUE"""),0.0)</f>
        <v>0</v>
      </c>
      <c r="P345">
        <f>IFERROR(__xludf.DUMMYFUNCTION("""COMPUTED_VALUE"""),1.0)</f>
        <v>1</v>
      </c>
      <c r="Q345" s="35">
        <f>IFERROR(__xludf.DUMMYFUNCTION("""COMPUTED_VALUE"""),0.0)</f>
        <v>0</v>
      </c>
      <c r="R345" s="36" t="str">
        <f>IFERROR(__xludf.DUMMYFUNCTION("""COMPUTED_VALUE"""),"SELECCIONADO")</f>
        <v>SELECCIONADO</v>
      </c>
      <c r="S345" s="37">
        <f>IFERROR(__xludf.DUMMYFUNCTION("""COMPUTED_VALUE"""),42492.0)</f>
        <v>42492</v>
      </c>
      <c r="T345" s="34" t="str">
        <f>IFERROR(__xludf.DUMMYFUNCTION("""COMPUTED_VALUE"""),"CASTRO SOTO ROBERTO MAURICIO")</f>
        <v>CASTRO SOTO ROBERTO MAURICIO</v>
      </c>
      <c r="V345" t="str">
        <f>IFERROR(__xludf.DUMMYFUNCTION("""COMPUTED_VALUE"""),"10974588-K")</f>
        <v>10974588-K</v>
      </c>
      <c r="W345" t="str">
        <f>IFERROR(__xludf.DUMMYFUNCTION("""COMPUTED_VALUE"""),"NO")</f>
        <v>NO</v>
      </c>
      <c r="AA345" s="38">
        <f>IFERROR(__xludf.DUMMYFUNCTION("""COMPUTED_VALUE"""),42436.0)</f>
        <v>42436</v>
      </c>
      <c r="AB345" s="38">
        <f>IFERROR(__xludf.DUMMYFUNCTION("""COMPUTED_VALUE"""),42439.0)</f>
        <v>42439</v>
      </c>
      <c r="AC345">
        <f>IFERROR(__xludf.DUMMYFUNCTION("""COMPUTED_VALUE"""),18.0)</f>
        <v>18</v>
      </c>
      <c r="AD345" t="str">
        <f>IFERROR(__xludf.DUMMYFUNCTION("""COMPUTED_VALUE"""),"TECNICO")</f>
        <v>TECNICO</v>
      </c>
      <c r="AE345" t="str">
        <f>IFERROR(__xludf.DUMMYFUNCTION("""COMPUTED_VALUE"""),"ENC. LABORATORIO")</f>
        <v>ENC. LABORATORIO</v>
      </c>
      <c r="AF345" s="39" t="str">
        <f>IFERROR(__xludf.DUMMYFUNCTION("""COMPUTED_VALUE"""),"FACULTAD DE QUIMICA Y BIOLOGIA")</f>
        <v>FACULTAD DE QUIMICA Y BIOLOGIA</v>
      </c>
      <c r="AG345" s="39"/>
      <c r="AH345" s="34" t="str">
        <f>IFERROR(__xludf.DUMMYFUNCTION("""COMPUTED_VALUE"""),"PROCESO DE SELECCIÓN")</f>
        <v>PROCESO DE SELECCIÓN</v>
      </c>
      <c r="AI345" s="34" t="str">
        <f>IFERROR(__xludf.DUMMYFUNCTION("""COMPUTED_VALUE"""),"-")</f>
        <v>-</v>
      </c>
      <c r="AJ345" s="34"/>
      <c r="AK345" s="34" t="str">
        <f>IFERROR(__xludf.DUMMYFUNCTION("""COMPUTED_VALUE"""),"P")</f>
        <v>P</v>
      </c>
      <c r="AL345">
        <f>IFERROR(__xludf.DUMMYFUNCTION("""COMPUTED_VALUE"""),38.0)</f>
        <v>38</v>
      </c>
      <c r="AM345">
        <f>IFERROR(__xludf.DUMMYFUNCTION("""COMPUTED_VALUE"""),2016.0)</f>
        <v>2016</v>
      </c>
      <c r="AN345" t="str">
        <f t="shared" si="1"/>
        <v>10974588-K</v>
      </c>
    </row>
    <row r="346">
      <c r="A346" s="33">
        <f>IFERROR(__xludf.DUMMYFUNCTION("""COMPUTED_VALUE"""),1.2798257E7)</f>
        <v>12798257</v>
      </c>
      <c r="B346" s="33">
        <f>IFERROR(__xludf.DUMMYFUNCTION("""COMPUTED_VALUE"""),4.0)</f>
        <v>4</v>
      </c>
      <c r="C346" s="33"/>
      <c r="D346" s="34" t="str">
        <f>IFERROR(__xludf.DUMMYFUNCTION("""COMPUTED_VALUE"""),"INGRESAR CENTRO DE COSTO A LA DERECHA")</f>
        <v>INGRESAR CENTRO DE COSTO A LA DERECHA</v>
      </c>
      <c r="E346" s="34" t="str">
        <f>IFERROR(__xludf.DUMMYFUNCTION("""COMPUTED_VALUE"""),"VR. ACADEMICA")</f>
        <v>VR. ACADEMICA</v>
      </c>
      <c r="F346" s="34" t="str">
        <f>IFERROR(__xludf.DUMMYFUNCTION("""COMPUTED_VALUE"""),"Analista Informático")</f>
        <v>Analista Informático</v>
      </c>
      <c r="G346" s="33" t="str">
        <f>IFERROR(__xludf.DUMMYFUNCTION("""COMPUTED_VALUE"""),"ANALISTA INFORMATICO")</f>
        <v>ANALISTA INFORMATICO</v>
      </c>
      <c r="H346">
        <f>IFERROR(__xludf.DUMMYFUNCTION("""COMPUTED_VALUE"""),11.0)</f>
        <v>11</v>
      </c>
      <c r="I346" s="34" t="str">
        <f>IFERROR(__xludf.DUMMYFUNCTION("""COMPUTED_VALUE"""),"Jornada Completa")</f>
        <v>Jornada Completa</v>
      </c>
      <c r="J346" s="33" t="str">
        <f>IFERROR(__xludf.DUMMYFUNCTION("""COMPUTED_VALUE"""),"A CONTRATA")</f>
        <v>A CONTRATA</v>
      </c>
      <c r="K346" s="33" t="str">
        <f>IFERROR(__xludf.DUMMYFUNCTION("""COMPUTED_VALUE"""),"PROFESIONAL")</f>
        <v>PROFESIONAL</v>
      </c>
      <c r="L346" s="34" t="str">
        <f>IFERROR(__xludf.DUMMYFUNCTION("""COMPUTED_VALUE"""),"NO")</f>
        <v>NO</v>
      </c>
      <c r="M346" s="34">
        <f>IFERROR(__xludf.DUMMYFUNCTION("""COMPUTED_VALUE"""),0.0)</f>
        <v>0</v>
      </c>
      <c r="N346" s="34" t="str">
        <f>IFERROR(__xludf.DUMMYFUNCTION("""COMPUTED_VALUE"""),"EXTERNO")</f>
        <v>EXTERNO</v>
      </c>
      <c r="O346">
        <f>IFERROR(__xludf.DUMMYFUNCTION("""COMPUTED_VALUE"""),7.0)</f>
        <v>7</v>
      </c>
      <c r="P346">
        <f>IFERROR(__xludf.DUMMYFUNCTION("""COMPUTED_VALUE"""),1.0)</f>
        <v>1</v>
      </c>
      <c r="Q346" s="35">
        <f>IFERROR(__xludf.DUMMYFUNCTION("""COMPUTED_VALUE"""),1.0)</f>
        <v>1</v>
      </c>
      <c r="R346" s="36" t="str">
        <f>IFERROR(__xludf.DUMMYFUNCTION("""COMPUTED_VALUE"""),"SELECCIONADO")</f>
        <v>SELECCIONADO</v>
      </c>
      <c r="S346" s="37">
        <f>IFERROR(__xludf.DUMMYFUNCTION("""COMPUTED_VALUE"""),42493.0)</f>
        <v>42493</v>
      </c>
      <c r="T346" s="34"/>
      <c r="U346" t="str">
        <f>IFERROR(__xludf.DUMMYFUNCTION("""COMPUTED_VALUE"""),"EDISON CAPRILE PONS")</f>
        <v>EDISON CAPRILE PONS</v>
      </c>
      <c r="V346" t="str">
        <f>IFERROR(__xludf.DUMMYFUNCTION("""COMPUTED_VALUE"""),"12798257-0")</f>
        <v>12798257-0</v>
      </c>
      <c r="W346" t="str">
        <f>IFERROR(__xludf.DUMMYFUNCTION("""COMPUTED_VALUE"""),"NO")</f>
        <v>NO</v>
      </c>
      <c r="AA346" s="38">
        <f>IFERROR(__xludf.DUMMYFUNCTION("""COMPUTED_VALUE"""),42520.0)</f>
        <v>42520</v>
      </c>
      <c r="AB346" s="38">
        <f>IFERROR(__xludf.DUMMYFUNCTION("""COMPUTED_VALUE"""),42466.0)</f>
        <v>42466</v>
      </c>
      <c r="AF346" s="39"/>
      <c r="AG346" s="39"/>
      <c r="AH346" s="34" t="str">
        <f>IFERROR(__xludf.DUMMYFUNCTION("""COMPUTED_VALUE"""),"PROCESO DE SELECCIÓN")</f>
        <v>PROCESO DE SELECCIÓN</v>
      </c>
      <c r="AI346" s="34" t="str">
        <f>IFERROR(__xludf.DUMMYFUNCTION("""COMPUTED_VALUE"""),"-")</f>
        <v>-</v>
      </c>
      <c r="AJ346" s="34"/>
      <c r="AK346" s="34" t="str">
        <f>IFERROR(__xludf.DUMMYFUNCTION("""COMPUTED_VALUE"""),"P")</f>
        <v>P</v>
      </c>
      <c r="AL346">
        <f>IFERROR(__xludf.DUMMYFUNCTION("""COMPUTED_VALUE"""),20.0)</f>
        <v>20</v>
      </c>
      <c r="AM346">
        <f>IFERROR(__xludf.DUMMYFUNCTION("""COMPUTED_VALUE"""),2016.0)</f>
        <v>2016</v>
      </c>
      <c r="AN346" t="str">
        <f t="shared" si="1"/>
        <v>12798257-0</v>
      </c>
    </row>
    <row r="347">
      <c r="A347" s="33">
        <f>IFERROR(__xludf.DUMMYFUNCTION("""COMPUTED_VALUE"""),1.6141569E7)</f>
        <v>16141569</v>
      </c>
      <c r="B347" s="33">
        <f>IFERROR(__xludf.DUMMYFUNCTION("""COMPUTED_VALUE"""),5.0)</f>
        <v>5</v>
      </c>
      <c r="C347" s="33"/>
      <c r="D347" s="34" t="str">
        <f>IFERROR(__xludf.DUMMYFUNCTION("""COMPUTED_VALUE"""),"INGRESAR CENTRO DE COSTO A LA DERECHA")</f>
        <v>INGRESAR CENTRO DE COSTO A LA DERECHA</v>
      </c>
      <c r="E347" s="34" t="str">
        <f>IFERROR(__xludf.DUMMYFUNCTION("""COMPUTED_VALUE"""),"UNIDAD DE BIBLIOTECAS")</f>
        <v>UNIDAD DE BIBLIOTECAS</v>
      </c>
      <c r="F347" s="34" t="str">
        <f>IFERROR(__xludf.DUMMYFUNCTION("""COMPUTED_VALUE"""),"Bibliotecario(a)")</f>
        <v>Bibliotecario(a)</v>
      </c>
      <c r="G347" s="33" t="str">
        <f>IFERROR(__xludf.DUMMYFUNCTION("""COMPUTED_VALUE"""),"BIBLIOTECARIO")</f>
        <v>BIBLIOTECARIO</v>
      </c>
      <c r="H347">
        <f>IFERROR(__xludf.DUMMYFUNCTION("""COMPUTED_VALUE"""),14.0)</f>
        <v>14</v>
      </c>
      <c r="I347" s="34" t="str">
        <f>IFERROR(__xludf.DUMMYFUNCTION("""COMPUTED_VALUE"""),"Jornada Completa")</f>
        <v>Jornada Completa</v>
      </c>
      <c r="J347" s="33" t="str">
        <f>IFERROR(__xludf.DUMMYFUNCTION("""COMPUTED_VALUE"""),"A CONTRATA")</f>
        <v>A CONTRATA</v>
      </c>
      <c r="K347" s="33" t="str">
        <f>IFERROR(__xludf.DUMMYFUNCTION("""COMPUTED_VALUE"""),"PROFESIONAL")</f>
        <v>PROFESIONAL</v>
      </c>
      <c r="L347" s="34" t="str">
        <f>IFERROR(__xludf.DUMMYFUNCTION("""COMPUTED_VALUE"""),"INTERNO")</f>
        <v>INTERNO</v>
      </c>
      <c r="M347" s="34">
        <f>IFERROR(__xludf.DUMMYFUNCTION("""COMPUTED_VALUE"""),1.0)</f>
        <v>1</v>
      </c>
      <c r="N347" s="34" t="str">
        <f>IFERROR(__xludf.DUMMYFUNCTION("""COMPUTED_VALUE"""),"NO")</f>
        <v>NO</v>
      </c>
      <c r="O347">
        <f>IFERROR(__xludf.DUMMYFUNCTION("""COMPUTED_VALUE"""),0.0)</f>
        <v>0</v>
      </c>
      <c r="P347">
        <f>IFERROR(__xludf.DUMMYFUNCTION("""COMPUTED_VALUE"""),1.0)</f>
        <v>1</v>
      </c>
      <c r="Q347" s="35">
        <f>IFERROR(__xludf.DUMMYFUNCTION("""COMPUTED_VALUE"""),0.0)</f>
        <v>0</v>
      </c>
      <c r="R347" s="36" t="str">
        <f>IFERROR(__xludf.DUMMYFUNCTION("""COMPUTED_VALUE"""),"SELECCIONADA")</f>
        <v>SELECCIONADA</v>
      </c>
      <c r="S347" s="37">
        <f>IFERROR(__xludf.DUMMYFUNCTION("""COMPUTED_VALUE"""),42485.0)</f>
        <v>42485</v>
      </c>
      <c r="T347" s="34" t="str">
        <f>IFERROR(__xludf.DUMMYFUNCTION("""COMPUTED_VALUE"""),"PICHIHUECHE VIERA PAULINA ANDREA")</f>
        <v>PICHIHUECHE VIERA PAULINA ANDREA</v>
      </c>
      <c r="V347" t="str">
        <f>IFERROR(__xludf.DUMMYFUNCTION("""COMPUTED_VALUE"""),"16141569-3")</f>
        <v>16141569-3</v>
      </c>
      <c r="W347" t="str">
        <f>IFERROR(__xludf.DUMMYFUNCTION("""COMPUTED_VALUE"""),"NO")</f>
        <v>NO</v>
      </c>
      <c r="AA347" s="38">
        <f>IFERROR(__xludf.DUMMYFUNCTION("""COMPUTED_VALUE"""),42433.0)</f>
        <v>42433</v>
      </c>
      <c r="AB347" s="38">
        <f>IFERROR(__xludf.DUMMYFUNCTION("""COMPUTED_VALUE"""),42436.0)</f>
        <v>42436</v>
      </c>
      <c r="AC347">
        <f>IFERROR(__xludf.DUMMYFUNCTION("""COMPUTED_VALUE"""),14.0)</f>
        <v>14</v>
      </c>
      <c r="AD347" t="str">
        <f>IFERROR(__xludf.DUMMYFUNCTION("""COMPUTED_VALUE"""),"PROFESIONAL")</f>
        <v>PROFESIONAL</v>
      </c>
      <c r="AE347" t="str">
        <f>IFERROR(__xludf.DUMMYFUNCTION("""COMPUTED_VALUE"""),"BIBLIOTECARIA")</f>
        <v>BIBLIOTECARIA</v>
      </c>
      <c r="AF347" s="39" t="str">
        <f>IFERROR(__xludf.DUMMYFUNCTION("""COMPUTED_VALUE"""),"DEPARTAMENTO DE INGENIERIA MECANICA")</f>
        <v>DEPARTAMENTO DE INGENIERIA MECANICA</v>
      </c>
      <c r="AG347" s="39"/>
      <c r="AH347" s="34" t="str">
        <f>IFERROR(__xludf.DUMMYFUNCTION("""COMPUTED_VALUE"""),"PROCESO DE SELECCIÓN")</f>
        <v>PROCESO DE SELECCIÓN</v>
      </c>
      <c r="AI347" s="34" t="str">
        <f>IFERROR(__xludf.DUMMYFUNCTION("""COMPUTED_VALUE"""),"-")</f>
        <v>-</v>
      </c>
      <c r="AJ347" s="34"/>
      <c r="AK347" s="34" t="str">
        <f>IFERROR(__xludf.DUMMYFUNCTION("""COMPUTED_VALUE"""),"P")</f>
        <v>P</v>
      </c>
      <c r="AL347">
        <f>IFERROR(__xludf.DUMMYFUNCTION("""COMPUTED_VALUE"""),36.0)</f>
        <v>36</v>
      </c>
      <c r="AM347">
        <f>IFERROR(__xludf.DUMMYFUNCTION("""COMPUTED_VALUE"""),2016.0)</f>
        <v>2016</v>
      </c>
      <c r="AN347" t="str">
        <f t="shared" si="1"/>
        <v>16141569-3</v>
      </c>
    </row>
    <row r="348">
      <c r="A348" s="33">
        <f>IFERROR(__xludf.DUMMYFUNCTION("""COMPUTED_VALUE"""),1.6696867E7)</f>
        <v>16696867</v>
      </c>
      <c r="B348" s="33">
        <f>IFERROR(__xludf.DUMMYFUNCTION("""COMPUTED_VALUE"""),6.0)</f>
        <v>6</v>
      </c>
      <c r="C348" s="33"/>
      <c r="D348" s="34" t="str">
        <f>IFERROR(__xludf.DUMMYFUNCTION("""COMPUTED_VALUE"""),"INGRESAR CENTRO DE COSTO A LA DERECHA")</f>
        <v>INGRESAR CENTRO DE COSTO A LA DERECHA</v>
      </c>
      <c r="E348" s="34" t="str">
        <f>IFERROR(__xludf.DUMMYFUNCTION("""COMPUTED_VALUE"""),"FACULTAD DE QUIMICA Y BIOLOGIA")</f>
        <v>FACULTAD DE QUIMICA Y BIOLOGIA</v>
      </c>
      <c r="F348" s="34" t="str">
        <f>IFERROR(__xludf.DUMMYFUNCTION("""COMPUTED_VALUE"""),"Encargado(a) de Bodega, Bienes y Servicios")</f>
        <v>Encargado(a) de Bodega, Bienes y Servicios</v>
      </c>
      <c r="G348" s="33" t="str">
        <f>IFERROR(__xludf.DUMMYFUNCTION("""COMPUTED_VALUE"""),"ENCARGADO DE BODEGA")</f>
        <v>ENCARGADO DE BODEGA</v>
      </c>
      <c r="H348">
        <f>IFERROR(__xludf.DUMMYFUNCTION("""COMPUTED_VALUE"""),20.0)</f>
        <v>20</v>
      </c>
      <c r="I348" s="34" t="str">
        <f>IFERROR(__xludf.DUMMYFUNCTION("""COMPUTED_VALUE"""),"Jornada Completa")</f>
        <v>Jornada Completa</v>
      </c>
      <c r="J348" s="33" t="str">
        <f>IFERROR(__xludf.DUMMYFUNCTION("""COMPUTED_VALUE"""),"A CONTRATA")</f>
        <v>A CONTRATA</v>
      </c>
      <c r="K348" s="33" t="str">
        <f>IFERROR(__xludf.DUMMYFUNCTION("""COMPUTED_VALUE"""),"ADMINISTRATIVO")</f>
        <v>ADMINISTRATIVO</v>
      </c>
      <c r="L348" s="34" t="str">
        <f>IFERROR(__xludf.DUMMYFUNCTION("""COMPUTED_VALUE"""),"NO")</f>
        <v>NO</v>
      </c>
      <c r="M348" s="34">
        <f>IFERROR(__xludf.DUMMYFUNCTION("""COMPUTED_VALUE"""),0.0)</f>
        <v>0</v>
      </c>
      <c r="N348" s="34" t="str">
        <f>IFERROR(__xludf.DUMMYFUNCTION("""COMPUTED_VALUE"""),"EXTERNO")</f>
        <v>EXTERNO</v>
      </c>
      <c r="O348">
        <f>IFERROR(__xludf.DUMMYFUNCTION("""COMPUTED_VALUE"""),19.0)</f>
        <v>19</v>
      </c>
      <c r="P348">
        <f>IFERROR(__xludf.DUMMYFUNCTION("""COMPUTED_VALUE"""),2.0)</f>
        <v>2</v>
      </c>
      <c r="Q348" s="35">
        <f>IFERROR(__xludf.DUMMYFUNCTION("""COMPUTED_VALUE"""),3.0)</f>
        <v>3</v>
      </c>
      <c r="R348" s="36" t="str">
        <f>IFERROR(__xludf.DUMMYFUNCTION("""COMPUTED_VALUE"""),"SELECCIONADO")</f>
        <v>SELECCIONADO</v>
      </c>
      <c r="S348" s="37">
        <f>IFERROR(__xludf.DUMMYFUNCTION("""COMPUTED_VALUE"""),42472.0)</f>
        <v>42472</v>
      </c>
      <c r="T348" s="34"/>
      <c r="U348" t="str">
        <f>IFERROR(__xludf.DUMMYFUNCTION("""COMPUTED_VALUE"""),"FRANCISCO MENARES BUSTAMANTE")</f>
        <v>FRANCISCO MENARES BUSTAMANTE</v>
      </c>
      <c r="V348" t="str">
        <f>IFERROR(__xludf.DUMMYFUNCTION("""COMPUTED_VALUE"""),"16696867-4")</f>
        <v>16696867-4</v>
      </c>
      <c r="W348" t="str">
        <f>IFERROR(__xludf.DUMMYFUNCTION("""COMPUTED_VALUE"""),"SI")</f>
        <v>SI</v>
      </c>
      <c r="X348" t="str">
        <f>IFERROR(__xludf.DUMMYFUNCTION("""COMPUTED_VALUE"""),"CONCIENCIA ORGANIZACIONAL")</f>
        <v>CONCIENCIA ORGANIZACIONAL</v>
      </c>
      <c r="Y348" t="str">
        <f>IFERROR(__xludf.DUMMYFUNCTION("""COMPUTED_VALUE"""),"INICIATIVA")</f>
        <v>INICIATIVA</v>
      </c>
      <c r="AA348" s="38">
        <f>IFERROR(__xludf.DUMMYFUNCTION("""COMPUTED_VALUE"""),42431.0)</f>
        <v>42431</v>
      </c>
      <c r="AB348" s="38">
        <f>IFERROR(__xludf.DUMMYFUNCTION("""COMPUTED_VALUE"""),42438.0)</f>
        <v>42438</v>
      </c>
      <c r="AF348" s="39"/>
      <c r="AG348" s="39"/>
      <c r="AH348" s="34" t="str">
        <f>IFERROR(__xludf.DUMMYFUNCTION("""COMPUTED_VALUE"""),"PROCESO DE SELECCIÓN")</f>
        <v>PROCESO DE SELECCIÓN</v>
      </c>
      <c r="AI348" s="34" t="str">
        <f>IFERROR(__xludf.DUMMYFUNCTION("""COMPUTED_VALUE"""),"JORGE REYES HERRERA")</f>
        <v>JORGE REYES HERRERA</v>
      </c>
      <c r="AJ348" s="34"/>
      <c r="AK348" s="34" t="str">
        <f>IFERROR(__xludf.DUMMYFUNCTION("""COMPUTED_VALUE"""),"E")</f>
        <v>E</v>
      </c>
      <c r="AL348">
        <f>IFERROR(__xludf.DUMMYFUNCTION("""COMPUTED_VALUE"""),25.0)</f>
        <v>25</v>
      </c>
      <c r="AM348">
        <f>IFERROR(__xludf.DUMMYFUNCTION("""COMPUTED_VALUE"""),2016.0)</f>
        <v>2016</v>
      </c>
      <c r="AN348" t="str">
        <f t="shared" si="1"/>
        <v>16696867-4</v>
      </c>
    </row>
    <row r="349">
      <c r="A349" s="33">
        <f>IFERROR(__xludf.DUMMYFUNCTION("""COMPUTED_VALUE"""),9127516.0)</f>
        <v>9127516</v>
      </c>
      <c r="B349" s="33">
        <f>IFERROR(__xludf.DUMMYFUNCTION("""COMPUTED_VALUE"""),7.0)</f>
        <v>7</v>
      </c>
      <c r="C349" s="33"/>
      <c r="D349" s="34" t="str">
        <f>IFERROR(__xludf.DUMMYFUNCTION("""COMPUTED_VALUE"""),"INGRESAR CENTRO DE COSTO A LA DERECHA")</f>
        <v>INGRESAR CENTRO DE COSTO A LA DERECHA</v>
      </c>
      <c r="E349" s="34" t="str">
        <f>IFERROR(__xludf.DUMMYFUNCTION("""COMPUTED_VALUE"""),"DPTO. DE INGENIERIA EN MINAS")</f>
        <v>DPTO. DE INGENIERIA EN MINAS</v>
      </c>
      <c r="F349" s="34" t="str">
        <f>IFERROR(__xludf.DUMMYFUNCTION("""COMPUTED_VALUE"""),"Estafeta")</f>
        <v>Estafeta</v>
      </c>
      <c r="G349" s="33" t="str">
        <f>IFERROR(__xludf.DUMMYFUNCTION("""COMPUTED_VALUE"""),"ESTAFETA")</f>
        <v>ESTAFETA</v>
      </c>
      <c r="H349">
        <f>IFERROR(__xludf.DUMMYFUNCTION("""COMPUTED_VALUE"""),23.0)</f>
        <v>23</v>
      </c>
      <c r="I349" s="34" t="str">
        <f>IFERROR(__xludf.DUMMYFUNCTION("""COMPUTED_VALUE"""),"Jornada Completa")</f>
        <v>Jornada Completa</v>
      </c>
      <c r="J349" s="33" t="str">
        <f>IFERROR(__xludf.DUMMYFUNCTION("""COMPUTED_VALUE"""),"A CONTRATA")</f>
        <v>A CONTRATA</v>
      </c>
      <c r="K349" s="33" t="str">
        <f>IFERROR(__xludf.DUMMYFUNCTION("""COMPUTED_VALUE"""),"AUXILIAR")</f>
        <v>AUXILIAR</v>
      </c>
      <c r="L349" s="34" t="str">
        <f>IFERROR(__xludf.DUMMYFUNCTION("""COMPUTED_VALUE"""),"NO")</f>
        <v>NO</v>
      </c>
      <c r="M349" s="34">
        <f>IFERROR(__xludf.DUMMYFUNCTION("""COMPUTED_VALUE"""),0.0)</f>
        <v>0</v>
      </c>
      <c r="N349" s="34" t="str">
        <f>IFERROR(__xludf.DUMMYFUNCTION("""COMPUTED_VALUE"""),"EXTERNO")</f>
        <v>EXTERNO</v>
      </c>
      <c r="O349">
        <f>IFERROR(__xludf.DUMMYFUNCTION("""COMPUTED_VALUE"""),8.0)</f>
        <v>8</v>
      </c>
      <c r="P349">
        <f>IFERROR(__xludf.DUMMYFUNCTION("""COMPUTED_VALUE"""),3.0)</f>
        <v>3</v>
      </c>
      <c r="Q349" s="35">
        <f>IFERROR(__xludf.DUMMYFUNCTION("""COMPUTED_VALUE"""),0.0)</f>
        <v>0</v>
      </c>
      <c r="R349" s="36" t="str">
        <f>IFERROR(__xludf.DUMMYFUNCTION("""COMPUTED_VALUE"""),"SELECCIONADA")</f>
        <v>SELECCIONADA</v>
      </c>
      <c r="S349" s="37">
        <f>IFERROR(__xludf.DUMMYFUNCTION("""COMPUTED_VALUE"""),42492.0)</f>
        <v>42492</v>
      </c>
      <c r="T349" s="34"/>
      <c r="U349" t="str">
        <f>IFERROR(__xludf.DUMMYFUNCTION("""COMPUTED_VALUE"""),"ALEJANDRA OPAZO MARTINEZ")</f>
        <v>ALEJANDRA OPAZO MARTINEZ</v>
      </c>
      <c r="V349" t="str">
        <f>IFERROR(__xludf.DUMMYFUNCTION("""COMPUTED_VALUE"""),"9127516-3")</f>
        <v>9127516-3</v>
      </c>
      <c r="W349" t="str">
        <f>IFERROR(__xludf.DUMMYFUNCTION("""COMPUTED_VALUE"""),"SI")</f>
        <v>SI</v>
      </c>
      <c r="X349" t="str">
        <f>IFERROR(__xludf.DUMMYFUNCTION("""COMPUTED_VALUE"""),"COMUNICACION")</f>
        <v>COMUNICACION</v>
      </c>
      <c r="AA349" s="38">
        <f>IFERROR(__xludf.DUMMYFUNCTION("""COMPUTED_VALUE"""),42453.0)</f>
        <v>42453</v>
      </c>
      <c r="AB349" s="38">
        <f>IFERROR(__xludf.DUMMYFUNCTION("""COMPUTED_VALUE"""),42460.0)</f>
        <v>42460</v>
      </c>
      <c r="AF349" s="39"/>
      <c r="AG349" s="39"/>
      <c r="AH349" s="34" t="str">
        <f>IFERROR(__xludf.DUMMYFUNCTION("""COMPUTED_VALUE"""),"PROCESO DE SELECCIÓN")</f>
        <v>PROCESO DE SELECCIÓN</v>
      </c>
      <c r="AI349" s="34" t="str">
        <f>IFERROR(__xludf.DUMMYFUNCTION("""COMPUTED_VALUE"""),"LUCIANO LEYTON SILVA")</f>
        <v>LUCIANO LEYTON SILVA</v>
      </c>
      <c r="AJ349" s="34"/>
      <c r="AK349" s="34" t="str">
        <f>IFERROR(__xludf.DUMMYFUNCTION("""COMPUTED_VALUE"""),"E")</f>
        <v>E</v>
      </c>
      <c r="AL349">
        <f>IFERROR(__xludf.DUMMYFUNCTION("""COMPUTED_VALUE"""),23.0)</f>
        <v>23</v>
      </c>
      <c r="AM349">
        <f>IFERROR(__xludf.DUMMYFUNCTION("""COMPUTED_VALUE"""),2016.0)</f>
        <v>2016</v>
      </c>
      <c r="AN349" t="str">
        <f t="shared" si="1"/>
        <v>09127516-3</v>
      </c>
    </row>
    <row r="350">
      <c r="A350" s="33">
        <f>IFERROR(__xludf.DUMMYFUNCTION("""COMPUTED_VALUE"""),1.3092635E7)</f>
        <v>13092635</v>
      </c>
      <c r="B350" s="33">
        <f>IFERROR(__xludf.DUMMYFUNCTION("""COMPUTED_VALUE"""),8.0)</f>
        <v>8</v>
      </c>
      <c r="C350" s="33"/>
      <c r="D350" s="34" t="str">
        <f>IFERROR(__xludf.DUMMYFUNCTION("""COMPUTED_VALUE"""),"INGRESAR CENTRO DE COSTO A LA DERECHA")</f>
        <v>INGRESAR CENTRO DE COSTO A LA DERECHA</v>
      </c>
      <c r="E350" s="34" t="str">
        <f>IFERROR(__xludf.DUMMYFUNCTION("""COMPUTED_VALUE"""),"UNIDAD DE GESTION DEL CAMPUS")</f>
        <v>UNIDAD DE GESTION DEL CAMPUS</v>
      </c>
      <c r="F350" s="34" t="str">
        <f>IFERROR(__xludf.DUMMYFUNCTION("""COMPUTED_VALUE"""),"Secretario(a) C")</f>
        <v>Secretario(a) C</v>
      </c>
      <c r="G350" s="33" t="str">
        <f>IFERROR(__xludf.DUMMYFUNCTION("""COMPUTED_VALUE"""),"SECRETARIA ADMINISTRATIVA")</f>
        <v>SECRETARIA ADMINISTRATIVA</v>
      </c>
      <c r="H350">
        <f>IFERROR(__xludf.DUMMYFUNCTION("""COMPUTED_VALUE"""),20.0)</f>
        <v>20</v>
      </c>
      <c r="I350" s="34" t="str">
        <f>IFERROR(__xludf.DUMMYFUNCTION("""COMPUTED_VALUE"""),"Jornada Completa")</f>
        <v>Jornada Completa</v>
      </c>
      <c r="J350" s="33" t="str">
        <f>IFERROR(__xludf.DUMMYFUNCTION("""COMPUTED_VALUE"""),"A CONTRATA")</f>
        <v>A CONTRATA</v>
      </c>
      <c r="K350" s="33" t="str">
        <f>IFERROR(__xludf.DUMMYFUNCTION("""COMPUTED_VALUE"""),"ADMINISTRATIVO")</f>
        <v>ADMINISTRATIVO</v>
      </c>
      <c r="L350" s="34" t="str">
        <f>IFERROR(__xludf.DUMMYFUNCTION("""COMPUTED_VALUE"""),"NO")</f>
        <v>NO</v>
      </c>
      <c r="M350" s="34">
        <f>IFERROR(__xludf.DUMMYFUNCTION("""COMPUTED_VALUE"""),0.0)</f>
        <v>0</v>
      </c>
      <c r="N350" s="34" t="str">
        <f>IFERROR(__xludf.DUMMYFUNCTION("""COMPUTED_VALUE"""),"EXTERNO")</f>
        <v>EXTERNO</v>
      </c>
      <c r="O350">
        <f>IFERROR(__xludf.DUMMYFUNCTION("""COMPUTED_VALUE"""),3.0)</f>
        <v>3</v>
      </c>
      <c r="P350">
        <f>IFERROR(__xludf.DUMMYFUNCTION("""COMPUTED_VALUE"""),3.0)</f>
        <v>3</v>
      </c>
      <c r="Q350" s="35">
        <f>IFERROR(__xludf.DUMMYFUNCTION("""COMPUTED_VALUE"""),1.0)</f>
        <v>1</v>
      </c>
      <c r="R350" s="36" t="str">
        <f>IFERROR(__xludf.DUMMYFUNCTION("""COMPUTED_VALUE"""),"SELECCIONADA")</f>
        <v>SELECCIONADA</v>
      </c>
      <c r="S350" s="37">
        <f>IFERROR(__xludf.DUMMYFUNCTION("""COMPUTED_VALUE"""),42467.0)</f>
        <v>42467</v>
      </c>
      <c r="T350" s="34"/>
      <c r="U350" t="str">
        <f>IFERROR(__xludf.DUMMYFUNCTION("""COMPUTED_VALUE"""),"SOLEDAD SAN MARTIN AZUA")</f>
        <v>SOLEDAD SAN MARTIN AZUA</v>
      </c>
      <c r="V350" t="str">
        <f>IFERROR(__xludf.DUMMYFUNCTION("""COMPUTED_VALUE"""),"13092635-5")</f>
        <v>13092635-5</v>
      </c>
      <c r="W350" t="str">
        <f>IFERROR(__xludf.DUMMYFUNCTION("""COMPUTED_VALUE"""),"NO")</f>
        <v>NO</v>
      </c>
      <c r="AA350" s="38">
        <f>IFERROR(__xludf.DUMMYFUNCTION("""COMPUTED_VALUE"""),42431.0)</f>
        <v>42431</v>
      </c>
      <c r="AB350" s="38">
        <f>IFERROR(__xludf.DUMMYFUNCTION("""COMPUTED_VALUE"""),42438.0)</f>
        <v>42438</v>
      </c>
      <c r="AF350" s="39"/>
      <c r="AG350" s="39"/>
      <c r="AH350" s="34" t="str">
        <f>IFERROR(__xludf.DUMMYFUNCTION("""COMPUTED_VALUE"""),"PROCESO DE SELECCIÓN")</f>
        <v>PROCESO DE SELECCIÓN</v>
      </c>
      <c r="AI350" s="34" t="str">
        <f>IFERROR(__xludf.DUMMYFUNCTION("""COMPUTED_VALUE"""),"MILENA GOMEZ")</f>
        <v>MILENA GOMEZ</v>
      </c>
      <c r="AJ350" s="34"/>
      <c r="AK350" s="34" t="str">
        <f>IFERROR(__xludf.DUMMYFUNCTION("""COMPUTED_VALUE"""),"E")</f>
        <v>E</v>
      </c>
      <c r="AL350">
        <f>IFERROR(__xludf.DUMMYFUNCTION("""COMPUTED_VALUE"""),22.0)</f>
        <v>22</v>
      </c>
      <c r="AM350">
        <f>IFERROR(__xludf.DUMMYFUNCTION("""COMPUTED_VALUE"""),2016.0)</f>
        <v>2016</v>
      </c>
      <c r="AN350" t="str">
        <f t="shared" si="1"/>
        <v>13092635-5</v>
      </c>
    </row>
    <row r="351">
      <c r="A351" s="33">
        <f>IFERROR(__xludf.DUMMYFUNCTION("""COMPUTED_VALUE"""),7411329.0)</f>
        <v>7411329</v>
      </c>
      <c r="B351" s="33">
        <f>IFERROR(__xludf.DUMMYFUNCTION("""COMPUTED_VALUE"""),9.0)</f>
        <v>9</v>
      </c>
      <c r="C351" s="33"/>
      <c r="D351" s="34" t="str">
        <f>IFERROR(__xludf.DUMMYFUNCTION("""COMPUTED_VALUE"""),"INGRESAR CENTRO DE COSTO A LA DERECHA")</f>
        <v>INGRESAR CENTRO DE COSTO A LA DERECHA</v>
      </c>
      <c r="E351" s="34" t="str">
        <f>IFERROR(__xludf.DUMMYFUNCTION("""COMPUTED_VALUE"""),"DPTO. DE CIENCIA Y TEC.DE LOS ALIM")</f>
        <v>DPTO. DE CIENCIA Y TEC.DE LOS ALIM</v>
      </c>
      <c r="F351" s="34" t="str">
        <f>IFERROR(__xludf.DUMMYFUNCTION("""COMPUTED_VALUE"""),"Secretario(a) de Apoyo Docente")</f>
        <v>Secretario(a) de Apoyo Docente</v>
      </c>
      <c r="G351" s="33" t="str">
        <f>IFERROR(__xludf.DUMMYFUNCTION("""COMPUTED_VALUE"""),"SECRETARIA DE APOYO DOCENTE")</f>
        <v>SECRETARIA DE APOYO DOCENTE</v>
      </c>
      <c r="H351">
        <f>IFERROR(__xludf.DUMMYFUNCTION("""COMPUTED_VALUE"""),17.0)</f>
        <v>17</v>
      </c>
      <c r="I351" s="34" t="str">
        <f>IFERROR(__xludf.DUMMYFUNCTION("""COMPUTED_VALUE"""),"Jornada Completa")</f>
        <v>Jornada Completa</v>
      </c>
      <c r="J351" s="33" t="str">
        <f>IFERROR(__xludf.DUMMYFUNCTION("""COMPUTED_VALUE"""),"A CONTRATA")</f>
        <v>A CONTRATA</v>
      </c>
      <c r="K351" s="33" t="str">
        <f>IFERROR(__xludf.DUMMYFUNCTION("""COMPUTED_VALUE"""),"ADMINISTRATIVO")</f>
        <v>ADMINISTRATIVO</v>
      </c>
      <c r="L351" s="34" t="str">
        <f>IFERROR(__xludf.DUMMYFUNCTION("""COMPUTED_VALUE"""),"INTERNO")</f>
        <v>INTERNO</v>
      </c>
      <c r="M351" s="34">
        <f>IFERROR(__xludf.DUMMYFUNCTION("""COMPUTED_VALUE"""),2.0)</f>
        <v>2</v>
      </c>
      <c r="N351" s="34" t="str">
        <f>IFERROR(__xludf.DUMMYFUNCTION("""COMPUTED_VALUE"""),"NO")</f>
        <v>NO</v>
      </c>
      <c r="O351">
        <f>IFERROR(__xludf.DUMMYFUNCTION("""COMPUTED_VALUE"""),0.0)</f>
        <v>0</v>
      </c>
      <c r="P351">
        <f>IFERROR(__xludf.DUMMYFUNCTION("""COMPUTED_VALUE"""),1.0)</f>
        <v>1</v>
      </c>
      <c r="Q351" s="35">
        <f>IFERROR(__xludf.DUMMYFUNCTION("""COMPUTED_VALUE"""),0.0)</f>
        <v>0</v>
      </c>
      <c r="R351" s="36" t="str">
        <f>IFERROR(__xludf.DUMMYFUNCTION("""COMPUTED_VALUE"""),"SELECCIONADA")</f>
        <v>SELECCIONADA</v>
      </c>
      <c r="S351" s="37">
        <f>IFERROR(__xludf.DUMMYFUNCTION("""COMPUTED_VALUE"""),42468.0)</f>
        <v>42468</v>
      </c>
      <c r="T351" s="34" t="str">
        <f>IFERROR(__xludf.DUMMYFUNCTION("""COMPUTED_VALUE"""),"ONATE CONTRERAS CLAUDIA ANDREA")</f>
        <v>ONATE CONTRERAS CLAUDIA ANDREA</v>
      </c>
      <c r="V351" t="str">
        <f>IFERROR(__xludf.DUMMYFUNCTION("""COMPUTED_VALUE"""),"7411329-K")</f>
        <v>7411329-K</v>
      </c>
      <c r="W351" t="str">
        <f>IFERROR(__xludf.DUMMYFUNCTION("""COMPUTED_VALUE"""),"NO")</f>
        <v>NO</v>
      </c>
      <c r="AA351" s="38">
        <f>IFERROR(__xludf.DUMMYFUNCTION("""COMPUTED_VALUE"""),42430.0)</f>
        <v>42430</v>
      </c>
      <c r="AB351" s="38">
        <f>IFERROR(__xludf.DUMMYFUNCTION("""COMPUTED_VALUE"""),42432.0)</f>
        <v>42432</v>
      </c>
      <c r="AC351">
        <f>IFERROR(__xludf.DUMMYFUNCTION("""COMPUTED_VALUE"""),20.0)</f>
        <v>20</v>
      </c>
      <c r="AD351" t="str">
        <f>IFERROR(__xludf.DUMMYFUNCTION("""COMPUTED_VALUE"""),"ADMINISTRATIVO")</f>
        <v>ADMINISTRATIVO</v>
      </c>
      <c r="AE351" t="str">
        <f>IFERROR(__xludf.DUMMYFUNCTION("""COMPUTED_VALUE"""),"ASISTENTE BIBLIOTECA")</f>
        <v>ASISTENTE BIBLIOTECA</v>
      </c>
      <c r="AF351" s="39" t="str">
        <f>IFERROR(__xludf.DUMMYFUNCTION("""COMPUTED_VALUE"""),"FACULTAD DE CIENCIAS MEDICAS")</f>
        <v>FACULTAD DE CIENCIAS MEDICAS</v>
      </c>
      <c r="AG351" s="39"/>
      <c r="AH351" s="34" t="str">
        <f>IFERROR(__xludf.DUMMYFUNCTION("""COMPUTED_VALUE"""),"PROCESO DE SELECCIÓN")</f>
        <v>PROCESO DE SELECCIÓN</v>
      </c>
      <c r="AI351" s="34" t="str">
        <f>IFERROR(__xludf.DUMMYFUNCTION("""COMPUTED_VALUE"""),"ANA ROJAS MAÑALICH")</f>
        <v>ANA ROJAS MAÑALICH</v>
      </c>
      <c r="AJ351" s="34"/>
      <c r="AK351" s="34" t="str">
        <f>IFERROR(__xludf.DUMMYFUNCTION("""COMPUTED_VALUE"""),"C")</f>
        <v>C</v>
      </c>
      <c r="AL351">
        <f>IFERROR(__xludf.DUMMYFUNCTION("""COMPUTED_VALUE"""),27.0)</f>
        <v>27</v>
      </c>
      <c r="AM351">
        <f>IFERROR(__xludf.DUMMYFUNCTION("""COMPUTED_VALUE"""),2016.0)</f>
        <v>2016</v>
      </c>
      <c r="AN351" t="str">
        <f t="shared" si="1"/>
        <v>07411329-K</v>
      </c>
    </row>
    <row r="352">
      <c r="A352" s="33">
        <f>IFERROR(__xludf.DUMMYFUNCTION("""COMPUTED_VALUE"""),1.3839647E7)</f>
        <v>13839647</v>
      </c>
      <c r="B352" s="33">
        <f>IFERROR(__xludf.DUMMYFUNCTION("""COMPUTED_VALUE"""),10.0)</f>
        <v>10</v>
      </c>
      <c r="C352" s="33"/>
      <c r="D352" s="34" t="str">
        <f>IFERROR(__xludf.DUMMYFUNCTION("""COMPUTED_VALUE"""),"INGRESAR CENTRO DE COSTO A LA DERECHA")</f>
        <v>INGRESAR CENTRO DE COSTO A LA DERECHA</v>
      </c>
      <c r="E352" s="34" t="str">
        <f>IFERROR(__xludf.DUMMYFUNCTION("""COMPUTED_VALUE"""),"DPTO. DE INGENIERIA INFORMATICA")</f>
        <v>DPTO. DE INGENIERIA INFORMATICA</v>
      </c>
      <c r="F352" s="34" t="str">
        <f>IFERROR(__xludf.DUMMYFUNCTION("""COMPUTED_VALUE"""),"Secretario(a) de Apoyo Docente")</f>
        <v>Secretario(a) de Apoyo Docente</v>
      </c>
      <c r="G352" s="33" t="str">
        <f>IFERROR(__xludf.DUMMYFUNCTION("""COMPUTED_VALUE"""),"SECRETARIA DE APOYO DOCENTE")</f>
        <v>SECRETARIA DE APOYO DOCENTE</v>
      </c>
      <c r="H352">
        <f>IFERROR(__xludf.DUMMYFUNCTION("""COMPUTED_VALUE"""),17.0)</f>
        <v>17</v>
      </c>
      <c r="I352" s="34" t="str">
        <f>IFERROR(__xludf.DUMMYFUNCTION("""COMPUTED_VALUE"""),"Jornada Completa")</f>
        <v>Jornada Completa</v>
      </c>
      <c r="J352" s="33" t="str">
        <f>IFERROR(__xludf.DUMMYFUNCTION("""COMPUTED_VALUE"""),"A CONTRATA")</f>
        <v>A CONTRATA</v>
      </c>
      <c r="K352" s="33" t="str">
        <f>IFERROR(__xludf.DUMMYFUNCTION("""COMPUTED_VALUE"""),"ADMINISTRATIVO")</f>
        <v>ADMINISTRATIVO</v>
      </c>
      <c r="L352" s="34" t="str">
        <f>IFERROR(__xludf.DUMMYFUNCTION("""COMPUTED_VALUE"""),"INTERNO")</f>
        <v>INTERNO</v>
      </c>
      <c r="M352" s="34">
        <f>IFERROR(__xludf.DUMMYFUNCTION("""COMPUTED_VALUE"""),4.0)</f>
        <v>4</v>
      </c>
      <c r="N352" s="34" t="str">
        <f>IFERROR(__xludf.DUMMYFUNCTION("""COMPUTED_VALUE"""),"EXTERNO")</f>
        <v>EXTERNO</v>
      </c>
      <c r="O352">
        <f>IFERROR(__xludf.DUMMYFUNCTION("""COMPUTED_VALUE"""),9.0)</f>
        <v>9</v>
      </c>
      <c r="P352">
        <f>IFERROR(__xludf.DUMMYFUNCTION("""COMPUTED_VALUE"""),1.0)</f>
        <v>1</v>
      </c>
      <c r="Q352" s="35">
        <f>IFERROR(__xludf.DUMMYFUNCTION("""COMPUTED_VALUE"""),1.0)</f>
        <v>1</v>
      </c>
      <c r="R352" s="36" t="str">
        <f>IFERROR(__xludf.DUMMYFUNCTION("""COMPUTED_VALUE"""),"SELECCIONADA")</f>
        <v>SELECCIONADA</v>
      </c>
      <c r="S352" s="37">
        <f>IFERROR(__xludf.DUMMYFUNCTION("""COMPUTED_VALUE"""),42499.0)</f>
        <v>42499</v>
      </c>
      <c r="T352" s="34"/>
      <c r="U352" t="str">
        <f>IFERROR(__xludf.DUMMYFUNCTION("""COMPUTED_VALUE"""),"GUACOLDA SILVA LUQUE")</f>
        <v>GUACOLDA SILVA LUQUE</v>
      </c>
      <c r="V352" t="str">
        <f>IFERROR(__xludf.DUMMYFUNCTION("""COMPUTED_VALUE"""),"13839647-9")</f>
        <v>13839647-9</v>
      </c>
      <c r="W352" t="str">
        <f>IFERROR(__xludf.DUMMYFUNCTION("""COMPUTED_VALUE"""),"NO")</f>
        <v>NO</v>
      </c>
      <c r="AA352" s="38">
        <f>IFERROR(__xludf.DUMMYFUNCTION("""COMPUTED_VALUE"""),42472.0)</f>
        <v>42472</v>
      </c>
      <c r="AB352" s="38">
        <f>IFERROR(__xludf.DUMMYFUNCTION("""COMPUTED_VALUE"""),42475.0)</f>
        <v>42475</v>
      </c>
      <c r="AF352" s="39"/>
      <c r="AG352" s="39"/>
      <c r="AH352" s="34" t="str">
        <f>IFERROR(__xludf.DUMMYFUNCTION("""COMPUTED_VALUE"""),"PROCESO DE SELECCIÓN")</f>
        <v>PROCESO DE SELECCIÓN</v>
      </c>
      <c r="AI352" s="34" t="str">
        <f>IFERROR(__xludf.DUMMYFUNCTION("""COMPUTED_VALUE"""),"-")</f>
        <v>-</v>
      </c>
      <c r="AJ352" s="34"/>
      <c r="AK352" s="34" t="str">
        <f>IFERROR(__xludf.DUMMYFUNCTION("""COMPUTED_VALUE"""),"E")</f>
        <v>E</v>
      </c>
      <c r="AL352">
        <f>IFERROR(__xludf.DUMMYFUNCTION("""COMPUTED_VALUE"""),17.0)</f>
        <v>17</v>
      </c>
      <c r="AM352">
        <f>IFERROR(__xludf.DUMMYFUNCTION("""COMPUTED_VALUE"""),2016.0)</f>
        <v>2016</v>
      </c>
      <c r="AN352" t="str">
        <f t="shared" si="1"/>
        <v>13839647-9</v>
      </c>
    </row>
    <row r="353">
      <c r="A353" s="33">
        <f>IFERROR(__xludf.DUMMYFUNCTION("""COMPUTED_VALUE"""),1.86719E7)</f>
        <v>18671900</v>
      </c>
      <c r="B353" s="33">
        <f>IFERROR(__xludf.DUMMYFUNCTION("""COMPUTED_VALUE"""),11.0)</f>
        <v>11</v>
      </c>
      <c r="C353" s="33"/>
      <c r="D353" s="34" t="str">
        <f>IFERROR(__xludf.DUMMYFUNCTION("""COMPUTED_VALUE"""),"INGRESAR CENTRO DE COSTO A LA DERECHA")</f>
        <v>INGRESAR CENTRO DE COSTO A LA DERECHA</v>
      </c>
      <c r="E353" s="34" t="str">
        <f>IFERROR(__xludf.DUMMYFUNCTION("""COMPUTED_VALUE"""),"DPTO. DE DESARROLLO DE PERSONAS")</f>
        <v>DPTO. DE DESARROLLO DE PERSONAS</v>
      </c>
      <c r="F353" s="34" t="str">
        <f>IFERROR(__xludf.DUMMYFUNCTION("""COMPUTED_VALUE"""),"Administrativo(a) de Apoyo")</f>
        <v>Administrativo(a) de Apoyo</v>
      </c>
      <c r="G353" s="33" t="str">
        <f>IFERROR(__xludf.DUMMYFUNCTION("""COMPUTED_VALUE"""),"ADMINISTRATIVO DE APOYO")</f>
        <v>ADMINISTRATIVO DE APOYO</v>
      </c>
      <c r="H353">
        <f>IFERROR(__xludf.DUMMYFUNCTION("""COMPUTED_VALUE"""),20.0)</f>
        <v>20</v>
      </c>
      <c r="I353" s="34" t="str">
        <f>IFERROR(__xludf.DUMMYFUNCTION("""COMPUTED_VALUE"""),"Jornada Completa")</f>
        <v>Jornada Completa</v>
      </c>
      <c r="J353" s="33" t="str">
        <f>IFERROR(__xludf.DUMMYFUNCTION("""COMPUTED_VALUE"""),"A CONTRATA")</f>
        <v>A CONTRATA</v>
      </c>
      <c r="K353" s="33" t="str">
        <f>IFERROR(__xludf.DUMMYFUNCTION("""COMPUTED_VALUE"""),"ADMINISTRATIVO")</f>
        <v>ADMINISTRATIVO</v>
      </c>
      <c r="L353" s="34" t="str">
        <f>IFERROR(__xludf.DUMMYFUNCTION("""COMPUTED_VALUE"""),"NO")</f>
        <v>NO</v>
      </c>
      <c r="M353" s="34">
        <f>IFERROR(__xludf.DUMMYFUNCTION("""COMPUTED_VALUE"""),0.0)</f>
        <v>0</v>
      </c>
      <c r="N353" s="34" t="str">
        <f>IFERROR(__xludf.DUMMYFUNCTION("""COMPUTED_VALUE"""),"EXTERNO")</f>
        <v>EXTERNO</v>
      </c>
      <c r="O353">
        <f>IFERROR(__xludf.DUMMYFUNCTION("""COMPUTED_VALUE"""),3.0)</f>
        <v>3</v>
      </c>
      <c r="P353">
        <f>IFERROR(__xludf.DUMMYFUNCTION("""COMPUTED_VALUE"""),2.0)</f>
        <v>2</v>
      </c>
      <c r="Q353" s="35">
        <f>IFERROR(__xludf.DUMMYFUNCTION("""COMPUTED_VALUE"""),1.0)</f>
        <v>1</v>
      </c>
      <c r="R353" s="36" t="str">
        <f>IFERROR(__xludf.DUMMYFUNCTION("""COMPUTED_VALUE"""),"SELECCIONADA")</f>
        <v>SELECCIONADA</v>
      </c>
      <c r="S353" s="37">
        <f>IFERROR(__xludf.DUMMYFUNCTION("""COMPUTED_VALUE"""),42479.0)</f>
        <v>42479</v>
      </c>
      <c r="T353" s="34"/>
      <c r="U353" t="str">
        <f>IFERROR(__xludf.DUMMYFUNCTION("""COMPUTED_VALUE"""),"TAMARA SALGADO CAYUL")</f>
        <v>TAMARA SALGADO CAYUL</v>
      </c>
      <c r="V353" t="str">
        <f>IFERROR(__xludf.DUMMYFUNCTION("""COMPUTED_VALUE"""),"18671900-K")</f>
        <v>18671900-K</v>
      </c>
      <c r="W353" t="str">
        <f>IFERROR(__xludf.DUMMYFUNCTION("""COMPUTED_VALUE"""),"NO")</f>
        <v>NO</v>
      </c>
      <c r="AA353" s="38">
        <f>IFERROR(__xludf.DUMMYFUNCTION("""COMPUTED_VALUE"""),42450.0)</f>
        <v>42450</v>
      </c>
      <c r="AB353" s="38">
        <f>IFERROR(__xludf.DUMMYFUNCTION("""COMPUTED_VALUE"""),42457.0)</f>
        <v>42457</v>
      </c>
      <c r="AF353" s="39"/>
      <c r="AG353" s="39"/>
      <c r="AH353" s="34" t="str">
        <f>IFERROR(__xludf.DUMMYFUNCTION("""COMPUTED_VALUE"""),"PROCESO DE SELECCIÓN")</f>
        <v>PROCESO DE SELECCIÓN</v>
      </c>
      <c r="AI353" s="34" t="str">
        <f>IFERROR(__xludf.DUMMYFUNCTION("""COMPUTED_VALUE"""),"CAROLINA FARAY FARAY")</f>
        <v>CAROLINA FARAY FARAY</v>
      </c>
      <c r="AJ353" s="34"/>
      <c r="AK353" s="34" t="str">
        <f>IFERROR(__xludf.DUMMYFUNCTION("""COMPUTED_VALUE"""),"E")</f>
        <v>E</v>
      </c>
      <c r="AL353">
        <f>IFERROR(__xludf.DUMMYFUNCTION("""COMPUTED_VALUE"""),17.0)</f>
        <v>17</v>
      </c>
      <c r="AM353">
        <f>IFERROR(__xludf.DUMMYFUNCTION("""COMPUTED_VALUE"""),2016.0)</f>
        <v>2016</v>
      </c>
      <c r="AN353" t="str">
        <f t="shared" si="1"/>
        <v>18671900-K</v>
      </c>
    </row>
    <row r="354">
      <c r="A354" s="33">
        <f>IFERROR(__xludf.DUMMYFUNCTION("""COMPUTED_VALUE"""),1.2005782E7)</f>
        <v>12005782</v>
      </c>
      <c r="B354" s="33">
        <f>IFERROR(__xludf.DUMMYFUNCTION("""COMPUTED_VALUE"""),12.0)</f>
        <v>12</v>
      </c>
      <c r="C354" s="33"/>
      <c r="D354" s="34" t="str">
        <f>IFERROR(__xludf.DUMMYFUNCTION("""COMPUTED_VALUE"""),"INGRESAR CENTRO DE COSTO A LA DERECHA")</f>
        <v>INGRESAR CENTRO DE COSTO A LA DERECHA</v>
      </c>
      <c r="E354" s="34" t="str">
        <f>IFERROR(__xludf.DUMMYFUNCTION("""COMPUTED_VALUE"""),"UNIDAD DE ADM. SERV. ALIMENTARIOS")</f>
        <v>UNIDAD DE ADM. SERV. ALIMENTARIOS</v>
      </c>
      <c r="F354" s="34" t="str">
        <f>IFERROR(__xludf.DUMMYFUNCTION("""COMPUTED_VALUE"""),"Ayudante Maestro(a) de Cocina")</f>
        <v>Ayudante Maestro(a) de Cocina</v>
      </c>
      <c r="G354" s="33" t="str">
        <f>IFERROR(__xludf.DUMMYFUNCTION("""COMPUTED_VALUE"""),"AYUDANTE MAESTRO DE COCINA")</f>
        <v>AYUDANTE MAESTRO DE COCINA</v>
      </c>
      <c r="H354">
        <f>IFERROR(__xludf.DUMMYFUNCTION("""COMPUTED_VALUE"""),20.0)</f>
        <v>20</v>
      </c>
      <c r="I354" s="34" t="str">
        <f>IFERROR(__xludf.DUMMYFUNCTION("""COMPUTED_VALUE"""),"Jornada Completa")</f>
        <v>Jornada Completa</v>
      </c>
      <c r="J354" s="33" t="str">
        <f>IFERROR(__xludf.DUMMYFUNCTION("""COMPUTED_VALUE"""),"A CONTRATA")</f>
        <v>A CONTRATA</v>
      </c>
      <c r="K354" s="33" t="str">
        <f>IFERROR(__xludf.DUMMYFUNCTION("""COMPUTED_VALUE"""),"TECNICO")</f>
        <v>TECNICO</v>
      </c>
      <c r="L354" s="34" t="str">
        <f>IFERROR(__xludf.DUMMYFUNCTION("""COMPUTED_VALUE"""),"NO")</f>
        <v>NO</v>
      </c>
      <c r="M354" s="34">
        <f>IFERROR(__xludf.DUMMYFUNCTION("""COMPUTED_VALUE"""),0.0)</f>
        <v>0</v>
      </c>
      <c r="N354" s="34" t="str">
        <f>IFERROR(__xludf.DUMMYFUNCTION("""COMPUTED_VALUE"""),"EXTERNO")</f>
        <v>EXTERNO</v>
      </c>
      <c r="O354">
        <f>IFERROR(__xludf.DUMMYFUNCTION("""COMPUTED_VALUE"""),26.0)</f>
        <v>26</v>
      </c>
      <c r="P354">
        <f>IFERROR(__xludf.DUMMYFUNCTION("""COMPUTED_VALUE"""),3.0)</f>
        <v>3</v>
      </c>
      <c r="Q354" s="35">
        <f>IFERROR(__xludf.DUMMYFUNCTION("""COMPUTED_VALUE"""),4.0)</f>
        <v>4</v>
      </c>
      <c r="R354" s="36" t="str">
        <f>IFERROR(__xludf.DUMMYFUNCTION("""COMPUTED_VALUE"""),"SELECCIONADO")</f>
        <v>SELECCIONADO</v>
      </c>
      <c r="S354" s="37">
        <f>IFERROR(__xludf.DUMMYFUNCTION("""COMPUTED_VALUE"""),42507.0)</f>
        <v>42507</v>
      </c>
      <c r="T354" s="34"/>
      <c r="U354" t="str">
        <f>IFERROR(__xludf.DUMMYFUNCTION("""COMPUTED_VALUE"""),"DOMINGO SOTO JAQUE")</f>
        <v>DOMINGO SOTO JAQUE</v>
      </c>
      <c r="V354" t="str">
        <f>IFERROR(__xludf.DUMMYFUNCTION("""COMPUTED_VALUE"""),"12005782-0")</f>
        <v>12005782-0</v>
      </c>
      <c r="W354" t="str">
        <f>IFERROR(__xludf.DUMMYFUNCTION("""COMPUTED_VALUE"""),"NO")</f>
        <v>NO</v>
      </c>
      <c r="AA354" s="38">
        <f>IFERROR(__xludf.DUMMYFUNCTION("""COMPUTED_VALUE"""),42482.0)</f>
        <v>42482</v>
      </c>
      <c r="AB354" s="38">
        <f>IFERROR(__xludf.DUMMYFUNCTION("""COMPUTED_VALUE"""),42488.0)</f>
        <v>42488</v>
      </c>
      <c r="AF354" s="39"/>
      <c r="AG354" s="39"/>
      <c r="AH354" s="34" t="str">
        <f>IFERROR(__xludf.DUMMYFUNCTION("""COMPUTED_VALUE"""),"PROCESO DE SELECCIÓN")</f>
        <v>PROCESO DE SELECCIÓN</v>
      </c>
      <c r="AI354" s="34" t="str">
        <f>IFERROR(__xludf.DUMMYFUNCTION("""COMPUTED_VALUE"""),"LUIS JIMENEZ")</f>
        <v>LUIS JIMENEZ</v>
      </c>
      <c r="AJ354" s="34"/>
      <c r="AK354" s="34" t="str">
        <f>IFERROR(__xludf.DUMMYFUNCTION("""COMPUTED_VALUE"""),"E")</f>
        <v>E</v>
      </c>
      <c r="AL354">
        <f>IFERROR(__xludf.DUMMYFUNCTION("""COMPUTED_VALUE"""),14.0)</f>
        <v>14</v>
      </c>
      <c r="AM354">
        <f>IFERROR(__xludf.DUMMYFUNCTION("""COMPUTED_VALUE"""),2016.0)</f>
        <v>2016</v>
      </c>
      <c r="AN354" t="str">
        <f t="shared" si="1"/>
        <v>12005782-0</v>
      </c>
    </row>
    <row r="355">
      <c r="A355" s="33">
        <f>IFERROR(__xludf.DUMMYFUNCTION("""COMPUTED_VALUE"""),1.1390994E7)</f>
        <v>11390994</v>
      </c>
      <c r="B355" s="33">
        <f>IFERROR(__xludf.DUMMYFUNCTION("""COMPUTED_VALUE"""),13.0)</f>
        <v>13</v>
      </c>
      <c r="C355" s="33"/>
      <c r="D355" s="34" t="str">
        <f>IFERROR(__xludf.DUMMYFUNCTION("""COMPUTED_VALUE"""),"INGRESAR CENTRO DE COSTO A LA DERECHA")</f>
        <v>INGRESAR CENTRO DE COSTO A LA DERECHA</v>
      </c>
      <c r="E355" s="34" t="str">
        <f>IFERROR(__xludf.DUMMYFUNCTION("""COMPUTED_VALUE"""),"FACULTAD DE QUIMICA Y BIOLOGIA")</f>
        <v>FACULTAD DE QUIMICA Y BIOLOGIA</v>
      </c>
      <c r="F355" s="34" t="str">
        <f>IFERROR(__xludf.DUMMYFUNCTION("""COMPUTED_VALUE"""),"Administrativo(a) de Apoyo")</f>
        <v>Administrativo(a) de Apoyo</v>
      </c>
      <c r="G355" s="33" t="str">
        <f>IFERROR(__xludf.DUMMYFUNCTION("""COMPUTED_VALUE"""),"ADMINISTRATIVO DE APOYO")</f>
        <v>ADMINISTRATIVO DE APOYO</v>
      </c>
      <c r="H355">
        <f>IFERROR(__xludf.DUMMYFUNCTION("""COMPUTED_VALUE"""),20.0)</f>
        <v>20</v>
      </c>
      <c r="I355" s="34" t="str">
        <f>IFERROR(__xludf.DUMMYFUNCTION("""COMPUTED_VALUE"""),"Jornada Completa")</f>
        <v>Jornada Completa</v>
      </c>
      <c r="J355" s="33" t="str">
        <f>IFERROR(__xludf.DUMMYFUNCTION("""COMPUTED_VALUE"""),"A CONTRATA")</f>
        <v>A CONTRATA</v>
      </c>
      <c r="K355" s="33" t="str">
        <f>IFERROR(__xludf.DUMMYFUNCTION("""COMPUTED_VALUE"""),"ADMINISTRATIVO")</f>
        <v>ADMINISTRATIVO</v>
      </c>
      <c r="L355" s="34" t="str">
        <f>IFERROR(__xludf.DUMMYFUNCTION("""COMPUTED_VALUE"""),"INTERNO")</f>
        <v>INTERNO</v>
      </c>
      <c r="M355" s="34">
        <f>IFERROR(__xludf.DUMMYFUNCTION("""COMPUTED_VALUE"""),0.0)</f>
        <v>0</v>
      </c>
      <c r="N355" s="34" t="str">
        <f>IFERROR(__xludf.DUMMYFUNCTION("""COMPUTED_VALUE"""),"EXTERNO")</f>
        <v>EXTERNO</v>
      </c>
      <c r="O355">
        <f>IFERROR(__xludf.DUMMYFUNCTION("""COMPUTED_VALUE"""),13.0)</f>
        <v>13</v>
      </c>
      <c r="P355">
        <f>IFERROR(__xludf.DUMMYFUNCTION("""COMPUTED_VALUE"""),1.0)</f>
        <v>1</v>
      </c>
      <c r="Q355" s="35">
        <f>IFERROR(__xludf.DUMMYFUNCTION("""COMPUTED_VALUE"""),1.0)</f>
        <v>1</v>
      </c>
      <c r="R355" s="36" t="str">
        <f>IFERROR(__xludf.DUMMYFUNCTION("""COMPUTED_VALUE"""),"SELECCIONADA")</f>
        <v>SELECCIONADA</v>
      </c>
      <c r="S355" s="37">
        <f>IFERROR(__xludf.DUMMYFUNCTION("""COMPUTED_VALUE"""),42527.0)</f>
        <v>42527</v>
      </c>
      <c r="T355" s="34"/>
      <c r="U355" t="str">
        <f>IFERROR(__xludf.DUMMYFUNCTION("""COMPUTED_VALUE"""),"LORENA IBARRA ACOSTA")</f>
        <v>LORENA IBARRA ACOSTA</v>
      </c>
      <c r="V355" t="str">
        <f>IFERROR(__xludf.DUMMYFUNCTION("""COMPUTED_VALUE"""),"11390994-3")</f>
        <v>11390994-3</v>
      </c>
      <c r="W355" t="str">
        <f>IFERROR(__xludf.DUMMYFUNCTION("""COMPUTED_VALUE"""),"SI")</f>
        <v>SI</v>
      </c>
      <c r="X355" t="str">
        <f>IFERROR(__xludf.DUMMYFUNCTION("""COMPUTED_VALUE"""),"COMUNICACION")</f>
        <v>COMUNICACION</v>
      </c>
      <c r="AA355" s="38">
        <f>IFERROR(__xludf.DUMMYFUNCTION("""COMPUTED_VALUE"""),42450.0)</f>
        <v>42450</v>
      </c>
      <c r="AB355" s="38">
        <f>IFERROR(__xludf.DUMMYFUNCTION("""COMPUTED_VALUE"""),42457.0)</f>
        <v>42457</v>
      </c>
      <c r="AF355" s="39"/>
      <c r="AG355" s="39"/>
      <c r="AH355" s="34" t="str">
        <f>IFERROR(__xludf.DUMMYFUNCTION("""COMPUTED_VALUE"""),"PROCESO DE SELECCIÓN")</f>
        <v>PROCESO DE SELECCIÓN</v>
      </c>
      <c r="AI355" s="34" t="str">
        <f>IFERROR(__xludf.DUMMYFUNCTION("""COMPUTED_VALUE"""),"ROSA LEYTON")</f>
        <v>ROSA LEYTON</v>
      </c>
      <c r="AJ355" s="34"/>
      <c r="AK355" s="34" t="str">
        <f>IFERROR(__xludf.DUMMYFUNCTION("""COMPUTED_VALUE"""),"E")</f>
        <v>E</v>
      </c>
      <c r="AL355">
        <f>IFERROR(__xludf.DUMMYFUNCTION("""COMPUTED_VALUE"""),51.0)</f>
        <v>51</v>
      </c>
      <c r="AM355">
        <f>IFERROR(__xludf.DUMMYFUNCTION("""COMPUTED_VALUE"""),2016.0)</f>
        <v>2016</v>
      </c>
      <c r="AN355" t="str">
        <f t="shared" si="1"/>
        <v>11390994-3</v>
      </c>
    </row>
    <row r="356">
      <c r="A356" s="33">
        <f>IFERROR(__xludf.DUMMYFUNCTION("""COMPUTED_VALUE"""),1.3282283E7)</f>
        <v>13282283</v>
      </c>
      <c r="B356" s="33">
        <f>IFERROR(__xludf.DUMMYFUNCTION("""COMPUTED_VALUE"""),14.0)</f>
        <v>14</v>
      </c>
      <c r="C356" s="33"/>
      <c r="D356" s="34" t="str">
        <f>IFERROR(__xludf.DUMMYFUNCTION("""COMPUTED_VALUE"""),"INGRESAR CENTRO DE COSTO A LA DERECHA")</f>
        <v>INGRESAR CENTRO DE COSTO A LA DERECHA</v>
      </c>
      <c r="E356" s="34" t="str">
        <f>IFERROR(__xludf.DUMMYFUNCTION("""COMPUTED_VALUE"""),"UNIDAD DE GESTION DEL CAMPUS")</f>
        <v>UNIDAD DE GESTION DEL CAMPUS</v>
      </c>
      <c r="F356" s="34" t="str">
        <f>IFERROR(__xludf.DUMMYFUNCTION("""COMPUTED_VALUE"""),"Constructor(a) Civil")</f>
        <v>Constructor(a) Civil</v>
      </c>
      <c r="G356" s="33" t="str">
        <f>IFERROR(__xludf.DUMMYFUNCTION("""COMPUTED_VALUE"""),"CONSTRUCTOR CIVIL")</f>
        <v>CONSTRUCTOR CIVIL</v>
      </c>
      <c r="H356">
        <f>IFERROR(__xludf.DUMMYFUNCTION("""COMPUTED_VALUE"""),8.0)</f>
        <v>8</v>
      </c>
      <c r="I356" s="34" t="str">
        <f>IFERROR(__xludf.DUMMYFUNCTION("""COMPUTED_VALUE"""),"Jornada Completa")</f>
        <v>Jornada Completa</v>
      </c>
      <c r="J356" s="33" t="str">
        <f>IFERROR(__xludf.DUMMYFUNCTION("""COMPUTED_VALUE"""),"A CONTRATA")</f>
        <v>A CONTRATA</v>
      </c>
      <c r="K356" s="33" t="str">
        <f>IFERROR(__xludf.DUMMYFUNCTION("""COMPUTED_VALUE"""),"PROFESIONAL")</f>
        <v>PROFESIONAL</v>
      </c>
      <c r="L356" s="34" t="str">
        <f>IFERROR(__xludf.DUMMYFUNCTION("""COMPUTED_VALUE"""),"INTERNO")</f>
        <v>INTERNO</v>
      </c>
      <c r="M356" s="34">
        <f>IFERROR(__xludf.DUMMYFUNCTION("""COMPUTED_VALUE"""),0.0)</f>
        <v>0</v>
      </c>
      <c r="N356" s="34" t="str">
        <f>IFERROR(__xludf.DUMMYFUNCTION("""COMPUTED_VALUE"""),"EXTERNO")</f>
        <v>EXTERNO</v>
      </c>
      <c r="O356">
        <f>IFERROR(__xludf.DUMMYFUNCTION("""COMPUTED_VALUE"""),24.0)</f>
        <v>24</v>
      </c>
      <c r="P356">
        <f>IFERROR(__xludf.DUMMYFUNCTION("""COMPUTED_VALUE"""),2.0)</f>
        <v>2</v>
      </c>
      <c r="Q356" s="35">
        <f>IFERROR(__xludf.DUMMYFUNCTION("""COMPUTED_VALUE"""),2.0)</f>
        <v>2</v>
      </c>
      <c r="R356" s="36" t="str">
        <f>IFERROR(__xludf.DUMMYFUNCTION("""COMPUTED_VALUE"""),"SELECCIONADO")</f>
        <v>SELECCIONADO</v>
      </c>
      <c r="S356" s="37">
        <f>IFERROR(__xludf.DUMMYFUNCTION("""COMPUTED_VALUE"""),42471.0)</f>
        <v>42471</v>
      </c>
      <c r="T356" s="34"/>
      <c r="U356" t="str">
        <f>IFERROR(__xludf.DUMMYFUNCTION("""COMPUTED_VALUE"""),"RODRIGO FARIAS GODOY")</f>
        <v>RODRIGO FARIAS GODOY</v>
      </c>
      <c r="V356" t="str">
        <f>IFERROR(__xludf.DUMMYFUNCTION("""COMPUTED_VALUE"""),"13282283-2")</f>
        <v>13282283-2</v>
      </c>
      <c r="W356" t="str">
        <f>IFERROR(__xludf.DUMMYFUNCTION("""COMPUTED_VALUE"""),"SI")</f>
        <v>SI</v>
      </c>
      <c r="X356" t="str">
        <f>IFERROR(__xludf.DUMMYFUNCTION("""COMPUTED_VALUE"""),"TRABAJO EN EQUIPO")</f>
        <v>TRABAJO EN EQUIPO</v>
      </c>
      <c r="Y356" t="str">
        <f>IFERROR(__xludf.DUMMYFUNCTION("""COMPUTED_VALUE"""),"CAPACIDAD DE PLANIFICACION Y ORGANIZACION")</f>
        <v>CAPACIDAD DE PLANIFICACION Y ORGANIZACION</v>
      </c>
      <c r="AA356" s="38">
        <f>IFERROR(__xludf.DUMMYFUNCTION("""COMPUTED_VALUE"""),42431.0)</f>
        <v>42431</v>
      </c>
      <c r="AB356" s="38">
        <f>IFERROR(__xludf.DUMMYFUNCTION("""COMPUTED_VALUE"""),42438.0)</f>
        <v>42438</v>
      </c>
      <c r="AF356" s="39"/>
      <c r="AG356" s="39"/>
      <c r="AH356" s="34" t="str">
        <f>IFERROR(__xludf.DUMMYFUNCTION("""COMPUTED_VALUE"""),"PROCESO DE SELECCIÓN")</f>
        <v>PROCESO DE SELECCIÓN</v>
      </c>
      <c r="AI356" s="34" t="str">
        <f>IFERROR(__xludf.DUMMYFUNCTION("""COMPUTED_VALUE"""),"ROBERTO MORALES OJEDA")</f>
        <v>ROBERTO MORALES OJEDA</v>
      </c>
      <c r="AJ356" s="34"/>
      <c r="AK356" s="34" t="str">
        <f>IFERROR(__xludf.DUMMYFUNCTION("""COMPUTED_VALUE"""),"E")</f>
        <v>E</v>
      </c>
      <c r="AL356">
        <f>IFERROR(__xludf.DUMMYFUNCTION("""COMPUTED_VALUE"""),24.0)</f>
        <v>24</v>
      </c>
      <c r="AM356">
        <f>IFERROR(__xludf.DUMMYFUNCTION("""COMPUTED_VALUE"""),2016.0)</f>
        <v>2016</v>
      </c>
      <c r="AN356" t="str">
        <f t="shared" si="1"/>
        <v>13282283-2</v>
      </c>
    </row>
    <row r="357">
      <c r="A357" s="33">
        <f>IFERROR(__xludf.DUMMYFUNCTION("""COMPUTED_VALUE"""),1.6067829E7)</f>
        <v>16067829</v>
      </c>
      <c r="B357" s="33">
        <f>IFERROR(__xludf.DUMMYFUNCTION("""COMPUTED_VALUE"""),15.0)</f>
        <v>15</v>
      </c>
      <c r="C357" s="33"/>
      <c r="D357" s="34" t="str">
        <f>IFERROR(__xludf.DUMMYFUNCTION("""COMPUTED_VALUE"""),"INGRESAR CENTRO DE COSTO A LA DERECHA")</f>
        <v>INGRESAR CENTRO DE COSTO A LA DERECHA</v>
      </c>
      <c r="E357" s="34" t="str">
        <f>IFERROR(__xludf.DUMMYFUNCTION("""COMPUTED_VALUE"""),"FACULTAD DE QUIMICA Y BIOLOGIA")</f>
        <v>FACULTAD DE QUIMICA Y BIOLOGIA</v>
      </c>
      <c r="F357" s="34" t="str">
        <f>IFERROR(__xludf.DUMMYFUNCTION("""COMPUTED_VALUE"""),"Encargado(a) de Laboratorio")</f>
        <v>Encargado(a) de Laboratorio</v>
      </c>
      <c r="G357" s="33" t="str">
        <f>IFERROR(__xludf.DUMMYFUNCTION("""COMPUTED_VALUE"""),"ENCARGADO DE LABORATORIO")</f>
        <v>ENCARGADO DE LABORATORIO</v>
      </c>
      <c r="H357">
        <f>IFERROR(__xludf.DUMMYFUNCTION("""COMPUTED_VALUE"""),13.0)</f>
        <v>13</v>
      </c>
      <c r="I357" s="34" t="str">
        <f>IFERROR(__xludf.DUMMYFUNCTION("""COMPUTED_VALUE"""),"1/2 Jornada")</f>
        <v>1/2 Jornada</v>
      </c>
      <c r="J357" s="33" t="str">
        <f>IFERROR(__xludf.DUMMYFUNCTION("""COMPUTED_VALUE"""),"A CONTRATA")</f>
        <v>A CONTRATA</v>
      </c>
      <c r="K357" s="33" t="str">
        <f>IFERROR(__xludf.DUMMYFUNCTION("""COMPUTED_VALUE"""),"PROFESIONAL")</f>
        <v>PROFESIONAL</v>
      </c>
      <c r="L357" s="34" t="str">
        <f>IFERROR(__xludf.DUMMYFUNCTION("""COMPUTED_VALUE"""),"INTERNO")</f>
        <v>INTERNO</v>
      </c>
      <c r="M357" s="34">
        <f>IFERROR(__xludf.DUMMYFUNCTION("""COMPUTED_VALUE"""),0.0)</f>
        <v>0</v>
      </c>
      <c r="N357" s="34" t="str">
        <f>IFERROR(__xludf.DUMMYFUNCTION("""COMPUTED_VALUE"""),"EXTERNO")</f>
        <v>EXTERNO</v>
      </c>
      <c r="O357">
        <f>IFERROR(__xludf.DUMMYFUNCTION("""COMPUTED_VALUE"""),11.0)</f>
        <v>11</v>
      </c>
      <c r="P357">
        <f>IFERROR(__xludf.DUMMYFUNCTION("""COMPUTED_VALUE"""),2.0)</f>
        <v>2</v>
      </c>
      <c r="Q357" s="35">
        <f>IFERROR(__xludf.DUMMYFUNCTION("""COMPUTED_VALUE"""),1.0)</f>
        <v>1</v>
      </c>
      <c r="R357" s="36" t="str">
        <f>IFERROR(__xludf.DUMMYFUNCTION("""COMPUTED_VALUE"""),"SELECCIONADO")</f>
        <v>SELECCIONADO</v>
      </c>
      <c r="S357" s="37">
        <f>IFERROR(__xludf.DUMMYFUNCTION("""COMPUTED_VALUE"""),42527.0)</f>
        <v>42527</v>
      </c>
      <c r="T357" s="34"/>
      <c r="U357" t="str">
        <f>IFERROR(__xludf.DUMMYFUNCTION("""COMPUTED_VALUE"""),"DANIEL BARROS VASQUEZ")</f>
        <v>DANIEL BARROS VASQUEZ</v>
      </c>
      <c r="V357" t="str">
        <f>IFERROR(__xludf.DUMMYFUNCTION("""COMPUTED_VALUE"""),"16067829-1")</f>
        <v>16067829-1</v>
      </c>
      <c r="W357" t="str">
        <f>IFERROR(__xludf.DUMMYFUNCTION("""COMPUTED_VALUE"""),"SI")</f>
        <v>SI</v>
      </c>
      <c r="X357" t="str">
        <f>IFERROR(__xludf.DUMMYFUNCTION("""COMPUTED_VALUE"""),"TRABAJO EN EQUIPO")</f>
        <v>TRABAJO EN EQUIPO</v>
      </c>
      <c r="AA357" s="38">
        <f>IFERROR(__xludf.DUMMYFUNCTION("""COMPUTED_VALUE"""),42444.0)</f>
        <v>42444</v>
      </c>
      <c r="AB357" s="38">
        <f>IFERROR(__xludf.DUMMYFUNCTION("""COMPUTED_VALUE"""),42451.0)</f>
        <v>42451</v>
      </c>
      <c r="AF357" s="39"/>
      <c r="AG357" s="39"/>
      <c r="AH357" s="34" t="str">
        <f>IFERROR(__xludf.DUMMYFUNCTION("""COMPUTED_VALUE"""),"PROCESO DE SELECCIÓN")</f>
        <v>PROCESO DE SELECCIÓN</v>
      </c>
      <c r="AI357" s="34" t="str">
        <f>IFERROR(__xludf.DUMMYFUNCTION("""COMPUTED_VALUE"""),"SERGIA DEL VALLE")</f>
        <v>SERGIA DEL VALLE</v>
      </c>
      <c r="AJ357" s="34"/>
      <c r="AK357" s="34" t="str">
        <f>IFERROR(__xludf.DUMMYFUNCTION("""COMPUTED_VALUE"""),"P")</f>
        <v>P</v>
      </c>
      <c r="AL357">
        <f>IFERROR(__xludf.DUMMYFUNCTION("""COMPUTED_VALUE"""),55.0)</f>
        <v>55</v>
      </c>
      <c r="AM357">
        <f>IFERROR(__xludf.DUMMYFUNCTION("""COMPUTED_VALUE"""),2016.0)</f>
        <v>2016</v>
      </c>
      <c r="AN357" t="str">
        <f t="shared" si="1"/>
        <v>16067829-1</v>
      </c>
    </row>
    <row r="358">
      <c r="A358" s="33">
        <f>IFERROR(__xludf.DUMMYFUNCTION("""COMPUTED_VALUE"""),1.5644487E7)</f>
        <v>15644487</v>
      </c>
      <c r="B358" s="33">
        <f>IFERROR(__xludf.DUMMYFUNCTION("""COMPUTED_VALUE"""),16.0)</f>
        <v>16</v>
      </c>
      <c r="C358" s="33"/>
      <c r="D358" s="34" t="str">
        <f>IFERROR(__xludf.DUMMYFUNCTION("""COMPUTED_VALUE"""),"INGRESAR CENTRO DE COSTO A LA DERECHA")</f>
        <v>INGRESAR CENTRO DE COSTO A LA DERECHA</v>
      </c>
      <c r="E358" s="34" t="str">
        <f>IFERROR(__xludf.DUMMYFUNCTION("""COMPUTED_VALUE"""),"FACULTAD DE HUMANIDADES")</f>
        <v>FACULTAD DE HUMANIDADES</v>
      </c>
      <c r="F358" s="34" t="str">
        <f>IFERROR(__xludf.DUMMYFUNCTION("""COMPUTED_VALUE"""),"Encargado(a) de Vinculación con el Medio")</f>
        <v>Encargado(a) de Vinculación con el Medio</v>
      </c>
      <c r="G358" s="33" t="str">
        <f>IFERROR(__xludf.DUMMYFUNCTION("""COMPUTED_VALUE"""),"ENCARGADO DE VINCULACION CON EL MEDIO")</f>
        <v>ENCARGADO DE VINCULACION CON EL MEDIO</v>
      </c>
      <c r="H358">
        <f>IFERROR(__xludf.DUMMYFUNCTION("""COMPUTED_VALUE"""),13.0)</f>
        <v>13</v>
      </c>
      <c r="I358" s="34" t="str">
        <f>IFERROR(__xludf.DUMMYFUNCTION("""COMPUTED_VALUE"""),"Jornada Completa")</f>
        <v>Jornada Completa</v>
      </c>
      <c r="J358" s="33" t="str">
        <f>IFERROR(__xludf.DUMMYFUNCTION("""COMPUTED_VALUE"""),"A CONTRATA")</f>
        <v>A CONTRATA</v>
      </c>
      <c r="K358" s="33" t="str">
        <f>IFERROR(__xludf.DUMMYFUNCTION("""COMPUTED_VALUE"""),"PROFESIONAL")</f>
        <v>PROFESIONAL</v>
      </c>
      <c r="L358" s="34" t="str">
        <f>IFERROR(__xludf.DUMMYFUNCTION("""COMPUTED_VALUE"""),"INTERNO")</f>
        <v>INTERNO</v>
      </c>
      <c r="M358" s="34">
        <f>IFERROR(__xludf.DUMMYFUNCTION("""COMPUTED_VALUE"""),1.0)</f>
        <v>1</v>
      </c>
      <c r="N358" s="34" t="str">
        <f>IFERROR(__xludf.DUMMYFUNCTION("""COMPUTED_VALUE"""),"EXTERNO")</f>
        <v>EXTERNO</v>
      </c>
      <c r="O358">
        <f>IFERROR(__xludf.DUMMYFUNCTION("""COMPUTED_VALUE"""),14.0)</f>
        <v>14</v>
      </c>
      <c r="P358">
        <f>IFERROR(__xludf.DUMMYFUNCTION("""COMPUTED_VALUE"""),1.0)</f>
        <v>1</v>
      </c>
      <c r="Q358" s="35">
        <f>IFERROR(__xludf.DUMMYFUNCTION("""COMPUTED_VALUE"""),1.0)</f>
        <v>1</v>
      </c>
      <c r="R358" s="36" t="str">
        <f>IFERROR(__xludf.DUMMYFUNCTION("""COMPUTED_VALUE"""),"SELECCIONADO")</f>
        <v>SELECCIONADO</v>
      </c>
      <c r="S358" s="37">
        <f>IFERROR(__xludf.DUMMYFUNCTION("""COMPUTED_VALUE"""),42522.0)</f>
        <v>42522</v>
      </c>
      <c r="T358" s="34"/>
      <c r="U358" t="str">
        <f>IFERROR(__xludf.DUMMYFUNCTION("""COMPUTED_VALUE"""),"FERNANDO ABARCA BACK")</f>
        <v>FERNANDO ABARCA BACK</v>
      </c>
      <c r="V358" t="str">
        <f>IFERROR(__xludf.DUMMYFUNCTION("""COMPUTED_VALUE"""),"15644487-1")</f>
        <v>15644487-1</v>
      </c>
      <c r="W358" t="str">
        <f>IFERROR(__xludf.DUMMYFUNCTION("""COMPUTED_VALUE"""),"SI")</f>
        <v>SI</v>
      </c>
      <c r="X358" t="str">
        <f>IFERROR(__xludf.DUMMYFUNCTION("""COMPUTED_VALUE"""),"CAPACIDAD DE PLANIFICACION Y ORGANIZACION")</f>
        <v>CAPACIDAD DE PLANIFICACION Y ORGANIZACION</v>
      </c>
      <c r="AA358" s="38">
        <f>IFERROR(__xludf.DUMMYFUNCTION("""COMPUTED_VALUE"""),42468.0)</f>
        <v>42468</v>
      </c>
      <c r="AB358" s="38">
        <f>IFERROR(__xludf.DUMMYFUNCTION("""COMPUTED_VALUE"""),42475.0)</f>
        <v>42475</v>
      </c>
      <c r="AF358" s="39"/>
      <c r="AG358" s="39"/>
      <c r="AH358" s="34" t="str">
        <f>IFERROR(__xludf.DUMMYFUNCTION("""COMPUTED_VALUE"""),"PROCESO DE SELECCIÓN")</f>
        <v>PROCESO DE SELECCIÓN</v>
      </c>
      <c r="AI358" s="34" t="str">
        <f>IFERROR(__xludf.DUMMYFUNCTION("""COMPUTED_VALUE"""),"ALEX ARAYA LILLO")</f>
        <v>ALEX ARAYA LILLO</v>
      </c>
      <c r="AJ358" s="34"/>
      <c r="AK358" s="34" t="str">
        <f>IFERROR(__xludf.DUMMYFUNCTION("""COMPUTED_VALUE"""),"C")</f>
        <v>C</v>
      </c>
      <c r="AL358">
        <f>IFERROR(__xludf.DUMMYFUNCTION("""COMPUTED_VALUE"""),34.0)</f>
        <v>34</v>
      </c>
      <c r="AM358">
        <f>IFERROR(__xludf.DUMMYFUNCTION("""COMPUTED_VALUE"""),2016.0)</f>
        <v>2016</v>
      </c>
      <c r="AN358" t="str">
        <f t="shared" si="1"/>
        <v>15644487-1</v>
      </c>
    </row>
    <row r="359">
      <c r="A359" s="33">
        <f>IFERROR(__xludf.DUMMYFUNCTION("""COMPUTED_VALUE"""),1.7284001E7)</f>
        <v>17284001</v>
      </c>
      <c r="B359" s="33">
        <f>IFERROR(__xludf.DUMMYFUNCTION("""COMPUTED_VALUE"""),17.0)</f>
        <v>17</v>
      </c>
      <c r="C359" s="33"/>
      <c r="D359" s="34" t="str">
        <f>IFERROR(__xludf.DUMMYFUNCTION("""COMPUTED_VALUE"""),"INGRESAR CENTRO DE COSTO A LA DERECHA")</f>
        <v>INGRESAR CENTRO DE COSTO A LA DERECHA</v>
      </c>
      <c r="E359" s="34" t="str">
        <f>IFERROR(__xludf.DUMMYFUNCTION("""COMPUTED_VALUE"""),"RECTORIA")</f>
        <v>RECTORIA</v>
      </c>
      <c r="F359" s="34" t="str">
        <f>IFERROR(__xludf.DUMMYFUNCTION("""COMPUTED_VALUE"""),"Mayordomo(a)")</f>
        <v>Mayordomo(a)</v>
      </c>
      <c r="G359" s="33" t="str">
        <f>IFERROR(__xludf.DUMMYFUNCTION("""COMPUTED_VALUE"""),"MAYORDOMO")</f>
        <v>MAYORDOMO</v>
      </c>
      <c r="H359">
        <f>IFERROR(__xludf.DUMMYFUNCTION("""COMPUTED_VALUE"""),21.0)</f>
        <v>21</v>
      </c>
      <c r="I359" s="34" t="str">
        <f>IFERROR(__xludf.DUMMYFUNCTION("""COMPUTED_VALUE"""),"Jornada Completa")</f>
        <v>Jornada Completa</v>
      </c>
      <c r="J359" s="33" t="str">
        <f>IFERROR(__xludf.DUMMYFUNCTION("""COMPUTED_VALUE"""),"A CONTRATA")</f>
        <v>A CONTRATA</v>
      </c>
      <c r="K359" s="33" t="str">
        <f>IFERROR(__xludf.DUMMYFUNCTION("""COMPUTED_VALUE"""),"AUXILIAR")</f>
        <v>AUXILIAR</v>
      </c>
      <c r="L359" s="34" t="str">
        <f>IFERROR(__xludf.DUMMYFUNCTION("""COMPUTED_VALUE"""),"INTERNO")</f>
        <v>INTERNO</v>
      </c>
      <c r="M359" s="34">
        <f>IFERROR(__xludf.DUMMYFUNCTION("""COMPUTED_VALUE"""),1.0)</f>
        <v>1</v>
      </c>
      <c r="N359" s="34" t="str">
        <f>IFERROR(__xludf.DUMMYFUNCTION("""COMPUTED_VALUE"""),"EXTERNO")</f>
        <v>EXTERNO</v>
      </c>
      <c r="O359">
        <f>IFERROR(__xludf.DUMMYFUNCTION("""COMPUTED_VALUE"""),4.0)</f>
        <v>4</v>
      </c>
      <c r="P359">
        <f>IFERROR(__xludf.DUMMYFUNCTION("""COMPUTED_VALUE"""),2.0)</f>
        <v>2</v>
      </c>
      <c r="Q359" s="35">
        <f>IFERROR(__xludf.DUMMYFUNCTION("""COMPUTED_VALUE"""),1.0)</f>
        <v>1</v>
      </c>
      <c r="R359" s="36" t="str">
        <f>IFERROR(__xludf.DUMMYFUNCTION("""COMPUTED_VALUE"""),"SELECCIONADO")</f>
        <v>SELECCIONADO</v>
      </c>
      <c r="S359" s="37">
        <f>IFERROR(__xludf.DUMMYFUNCTION("""COMPUTED_VALUE"""),42485.0)</f>
        <v>42485</v>
      </c>
      <c r="T359" s="34"/>
      <c r="U359" t="str">
        <f>IFERROR(__xludf.DUMMYFUNCTION("""COMPUTED_VALUE"""),"ORLANDO AMPUERO MEZA")</f>
        <v>ORLANDO AMPUERO MEZA</v>
      </c>
      <c r="V359" t="str">
        <f>IFERROR(__xludf.DUMMYFUNCTION("""COMPUTED_VALUE"""),"17284001-9")</f>
        <v>17284001-9</v>
      </c>
      <c r="W359" t="str">
        <f>IFERROR(__xludf.DUMMYFUNCTION("""COMPUTED_VALUE"""),"NO")</f>
        <v>NO</v>
      </c>
      <c r="AA359" s="38">
        <f>IFERROR(__xludf.DUMMYFUNCTION("""COMPUTED_VALUE"""),42461.0)</f>
        <v>42461</v>
      </c>
      <c r="AB359" s="38">
        <f>IFERROR(__xludf.DUMMYFUNCTION("""COMPUTED_VALUE"""),42466.0)</f>
        <v>42466</v>
      </c>
      <c r="AF359" s="39"/>
      <c r="AG359" s="39"/>
      <c r="AH359" s="34" t="str">
        <f>IFERROR(__xludf.DUMMYFUNCTION("""COMPUTED_VALUE"""),"PROCESO DE SELECCIÓN")</f>
        <v>PROCESO DE SELECCIÓN</v>
      </c>
      <c r="AI359" s="34" t="str">
        <f>IFERROR(__xludf.DUMMYFUNCTION("""COMPUTED_VALUE"""),"FRANCISCO MILLAR SANCHEZ")</f>
        <v>FRANCISCO MILLAR SANCHEZ</v>
      </c>
      <c r="AJ359" s="34"/>
      <c r="AK359" s="34" t="str">
        <f>IFERROR(__xludf.DUMMYFUNCTION("""COMPUTED_VALUE"""),"E")</f>
        <v>E</v>
      </c>
      <c r="AL359">
        <f>IFERROR(__xludf.DUMMYFUNCTION("""COMPUTED_VALUE"""),14.0)</f>
        <v>14</v>
      </c>
      <c r="AM359">
        <f>IFERROR(__xludf.DUMMYFUNCTION("""COMPUTED_VALUE"""),2016.0)</f>
        <v>2016</v>
      </c>
      <c r="AN359" t="str">
        <f t="shared" si="1"/>
        <v>17284001-9</v>
      </c>
    </row>
    <row r="360">
      <c r="A360" s="33">
        <f>IFERROR(__xludf.DUMMYFUNCTION("""COMPUTED_VALUE"""),1.264096E7)</f>
        <v>12640960</v>
      </c>
      <c r="B360" s="33">
        <f>IFERROR(__xludf.DUMMYFUNCTION("""COMPUTED_VALUE"""),18.0)</f>
        <v>18</v>
      </c>
      <c r="C360" s="33"/>
      <c r="D360" s="34" t="str">
        <f>IFERROR(__xludf.DUMMYFUNCTION("""COMPUTED_VALUE"""),"INGRESAR CENTRO DE COSTO A LA DERECHA")</f>
        <v>INGRESAR CENTRO DE COSTO A LA DERECHA</v>
      </c>
      <c r="E360" s="34" t="str">
        <f>IFERROR(__xludf.DUMMYFUNCTION("""COMPUTED_VALUE"""),"DPTO. DE LINGUISTICA Y LITERATURA")</f>
        <v>DPTO. DE LINGUISTICA Y LITERATURA</v>
      </c>
      <c r="F360" s="34" t="str">
        <f>IFERROR(__xludf.DUMMYFUNCTION("""COMPUTED_VALUE"""),"Secretario(a) de Apoyo Docente")</f>
        <v>Secretario(a) de Apoyo Docente</v>
      </c>
      <c r="G360" s="33" t="str">
        <f>IFERROR(__xludf.DUMMYFUNCTION("""COMPUTED_VALUE"""),"SECRETARIA DE APOYO DOCENTE")</f>
        <v>SECRETARIA DE APOYO DOCENTE</v>
      </c>
      <c r="H360">
        <f>IFERROR(__xludf.DUMMYFUNCTION("""COMPUTED_VALUE"""),17.0)</f>
        <v>17</v>
      </c>
      <c r="I360" s="34" t="str">
        <f>IFERROR(__xludf.DUMMYFUNCTION("""COMPUTED_VALUE"""),"Jornada Completa")</f>
        <v>Jornada Completa</v>
      </c>
      <c r="J360" s="33" t="str">
        <f>IFERROR(__xludf.DUMMYFUNCTION("""COMPUTED_VALUE"""),"A CONTRATA")</f>
        <v>A CONTRATA</v>
      </c>
      <c r="K360" s="33" t="str">
        <f>IFERROR(__xludf.DUMMYFUNCTION("""COMPUTED_VALUE"""),"ADMINISTRATIVO")</f>
        <v>ADMINISTRATIVO</v>
      </c>
      <c r="L360" s="34" t="str">
        <f>IFERROR(__xludf.DUMMYFUNCTION("""COMPUTED_VALUE"""),"INTERNO")</f>
        <v>INTERNO</v>
      </c>
      <c r="M360" s="34">
        <f>IFERROR(__xludf.DUMMYFUNCTION("""COMPUTED_VALUE"""),0.0)</f>
        <v>0</v>
      </c>
      <c r="N360" s="34" t="str">
        <f>IFERROR(__xludf.DUMMYFUNCTION("""COMPUTED_VALUE"""),"EXTERNO")</f>
        <v>EXTERNO</v>
      </c>
      <c r="O360">
        <f>IFERROR(__xludf.DUMMYFUNCTION("""COMPUTED_VALUE"""),13.0)</f>
        <v>13</v>
      </c>
      <c r="P360">
        <f>IFERROR(__xludf.DUMMYFUNCTION("""COMPUTED_VALUE"""),3.0)</f>
        <v>3</v>
      </c>
      <c r="Q360" s="35">
        <f>IFERROR(__xludf.DUMMYFUNCTION("""COMPUTED_VALUE"""),1.0)</f>
        <v>1</v>
      </c>
      <c r="R360" s="36" t="str">
        <f>IFERROR(__xludf.DUMMYFUNCTION("""COMPUTED_VALUE"""),"SELECCIONADA")</f>
        <v>SELECCIONADA</v>
      </c>
      <c r="S360" s="37">
        <f>IFERROR(__xludf.DUMMYFUNCTION("""COMPUTED_VALUE"""),42522.0)</f>
        <v>42522</v>
      </c>
      <c r="T360" s="34"/>
      <c r="U360" t="str">
        <f>IFERROR(__xludf.DUMMYFUNCTION("""COMPUTED_VALUE"""),"CECILIA SEPULVEDA SEPULVEDA")</f>
        <v>CECILIA SEPULVEDA SEPULVEDA</v>
      </c>
      <c r="V360" t="str">
        <f>IFERROR(__xludf.DUMMYFUNCTION("""COMPUTED_VALUE"""),"12640960-5")</f>
        <v>12640960-5</v>
      </c>
      <c r="W360" t="str">
        <f>IFERROR(__xludf.DUMMYFUNCTION("""COMPUTED_VALUE"""),"NO")</f>
        <v>NO</v>
      </c>
      <c r="AA360" s="38">
        <f>IFERROR(__xludf.DUMMYFUNCTION("""COMPUTED_VALUE"""),42507.0)</f>
        <v>42507</v>
      </c>
      <c r="AB360" s="38">
        <f>IFERROR(__xludf.DUMMYFUNCTION("""COMPUTED_VALUE"""),42513.0)</f>
        <v>42513</v>
      </c>
      <c r="AF360" s="39"/>
      <c r="AG360" s="39"/>
      <c r="AH360" s="34" t="str">
        <f>IFERROR(__xludf.DUMMYFUNCTION("""COMPUTED_VALUE"""),"PROCESO DE SELECCIÓN")</f>
        <v>PROCESO DE SELECCIÓN</v>
      </c>
      <c r="AI360" s="34" t="str">
        <f>IFERROR(__xludf.DUMMYFUNCTION("""COMPUTED_VALUE"""),"SUGEY VISCARRA REBOLLEDO")</f>
        <v>SUGEY VISCARRA REBOLLEDO</v>
      </c>
      <c r="AJ360" s="34"/>
      <c r="AK360" s="34" t="str">
        <f>IFERROR(__xludf.DUMMYFUNCTION("""COMPUTED_VALUE"""),"E")</f>
        <v>E</v>
      </c>
      <c r="AL360">
        <f>IFERROR(__xludf.DUMMYFUNCTION("""COMPUTED_VALUE"""),8.0)</f>
        <v>8</v>
      </c>
      <c r="AM360">
        <f>IFERROR(__xludf.DUMMYFUNCTION("""COMPUTED_VALUE"""),2016.0)</f>
        <v>2016</v>
      </c>
      <c r="AN360" t="str">
        <f t="shared" si="1"/>
        <v>12640960-5</v>
      </c>
    </row>
    <row r="361">
      <c r="A361" s="33">
        <f>IFERROR(__xludf.DUMMYFUNCTION("""COMPUTED_VALUE"""),1.8082414E7)</f>
        <v>18082414</v>
      </c>
      <c r="B361" s="33">
        <f>IFERROR(__xludf.DUMMYFUNCTION("""COMPUTED_VALUE"""),19.0)</f>
        <v>19</v>
      </c>
      <c r="C361" s="33"/>
      <c r="D361" s="34" t="str">
        <f>IFERROR(__xludf.DUMMYFUNCTION("""COMPUTED_VALUE"""),"INGRESAR CENTRO DE COSTO A LA DERECHA")</f>
        <v>INGRESAR CENTRO DE COSTO A LA DERECHA</v>
      </c>
      <c r="E361" s="34" t="str">
        <f>IFERROR(__xludf.DUMMYFUNCTION("""COMPUTED_VALUE"""),"FACULTAD DE ADMINIST Y ECONOMI")</f>
        <v>FACULTAD DE ADMINIST Y ECONOMI</v>
      </c>
      <c r="F361" s="34" t="str">
        <f>IFERROR(__xludf.DUMMYFUNCTION("""COMPUTED_VALUE"""),"Secretario(a) B")</f>
        <v>Secretario(a) B</v>
      </c>
      <c r="G361" s="33" t="str">
        <f>IFERROR(__xludf.DUMMYFUNCTION("""COMPUTED_VALUE"""),"SECRETARIA DE CENTRO")</f>
        <v>SECRETARIA DE CENTRO</v>
      </c>
      <c r="H361">
        <f>IFERROR(__xludf.DUMMYFUNCTION("""COMPUTED_VALUE"""),17.0)</f>
        <v>17</v>
      </c>
      <c r="I361" s="34" t="str">
        <f>IFERROR(__xludf.DUMMYFUNCTION("""COMPUTED_VALUE"""),"Jornada Completa")</f>
        <v>Jornada Completa</v>
      </c>
      <c r="J361" s="33" t="str">
        <f>IFERROR(__xludf.DUMMYFUNCTION("""COMPUTED_VALUE"""),"A CONTRATA")</f>
        <v>A CONTRATA</v>
      </c>
      <c r="K361" s="33" t="str">
        <f>IFERROR(__xludf.DUMMYFUNCTION("""COMPUTED_VALUE"""),"ADMINISTRATIVO")</f>
        <v>ADMINISTRATIVO</v>
      </c>
      <c r="L361" s="34" t="str">
        <f>IFERROR(__xludf.DUMMYFUNCTION("""COMPUTED_VALUE"""),"INTERNO")</f>
        <v>INTERNO</v>
      </c>
      <c r="M361" s="34">
        <f>IFERROR(__xludf.DUMMYFUNCTION("""COMPUTED_VALUE"""),0.0)</f>
        <v>0</v>
      </c>
      <c r="N361" s="34" t="str">
        <f>IFERROR(__xludf.DUMMYFUNCTION("""COMPUTED_VALUE"""),"EXTERNO")</f>
        <v>EXTERNO</v>
      </c>
      <c r="O361">
        <f>IFERROR(__xludf.DUMMYFUNCTION("""COMPUTED_VALUE"""),34.0)</f>
        <v>34</v>
      </c>
      <c r="P361">
        <f>IFERROR(__xludf.DUMMYFUNCTION("""COMPUTED_VALUE"""),1.0)</f>
        <v>1</v>
      </c>
      <c r="Q361" s="35">
        <f>IFERROR(__xludf.DUMMYFUNCTION("""COMPUTED_VALUE"""),3.0)</f>
        <v>3</v>
      </c>
      <c r="R361" s="36" t="str">
        <f>IFERROR(__xludf.DUMMYFUNCTION("""COMPUTED_VALUE"""),"SELECCIONADA")</f>
        <v>SELECCIONADA</v>
      </c>
      <c r="S361" s="37">
        <f>IFERROR(__xludf.DUMMYFUNCTION("""COMPUTED_VALUE"""),42515.0)</f>
        <v>42515</v>
      </c>
      <c r="T361" s="34"/>
      <c r="U361" t="str">
        <f>IFERROR(__xludf.DUMMYFUNCTION("""COMPUTED_VALUE"""),"LESLIE MERIÑO MERIÑO")</f>
        <v>LESLIE MERIÑO MERIÑO</v>
      </c>
      <c r="V361" t="str">
        <f>IFERROR(__xludf.DUMMYFUNCTION("""COMPUTED_VALUE"""),"18082414-6")</f>
        <v>18082414-6</v>
      </c>
      <c r="W361" t="str">
        <f>IFERROR(__xludf.DUMMYFUNCTION("""COMPUTED_VALUE"""),"NO")</f>
        <v>NO</v>
      </c>
      <c r="AA361" s="38">
        <f>IFERROR(__xludf.DUMMYFUNCTION("""COMPUTED_VALUE"""),42492.0)</f>
        <v>42492</v>
      </c>
      <c r="AB361" s="38">
        <f>IFERROR(__xludf.DUMMYFUNCTION("""COMPUTED_VALUE"""),42496.0)</f>
        <v>42496</v>
      </c>
      <c r="AF361" s="39"/>
      <c r="AG361" s="39"/>
      <c r="AH361" s="34" t="str">
        <f>IFERROR(__xludf.DUMMYFUNCTION("""COMPUTED_VALUE"""),"PROCESO DE SELECCIÓN")</f>
        <v>PROCESO DE SELECCIÓN</v>
      </c>
      <c r="AI361" s="34" t="str">
        <f>IFERROR(__xludf.DUMMYFUNCTION("""COMPUTED_VALUE"""),"AUTORIZADO 2015")</f>
        <v>AUTORIZADO 2015</v>
      </c>
      <c r="AJ361" s="34"/>
      <c r="AK361" s="34" t="str">
        <f>IFERROR(__xludf.DUMMYFUNCTION("""COMPUTED_VALUE"""),"E")</f>
        <v>E</v>
      </c>
      <c r="AL361">
        <f>IFERROR(__xludf.DUMMYFUNCTION("""COMPUTED_VALUE"""),14.0)</f>
        <v>14</v>
      </c>
      <c r="AM361">
        <f>IFERROR(__xludf.DUMMYFUNCTION("""COMPUTED_VALUE"""),2016.0)</f>
        <v>2016</v>
      </c>
      <c r="AN361" t="str">
        <f t="shared" si="1"/>
        <v>18082414-6</v>
      </c>
    </row>
    <row r="362">
      <c r="A362" s="33">
        <f>IFERROR(__xludf.DUMMYFUNCTION("""COMPUTED_VALUE"""),1.5327094E7)</f>
        <v>15327094</v>
      </c>
      <c r="B362" s="33">
        <f>IFERROR(__xludf.DUMMYFUNCTION("""COMPUTED_VALUE"""),20.0)</f>
        <v>20</v>
      </c>
      <c r="C362" s="33"/>
      <c r="D362" s="34" t="str">
        <f>IFERROR(__xludf.DUMMYFUNCTION("""COMPUTED_VALUE"""),"INGRESAR CENTRO DE COSTO A LA DERECHA")</f>
        <v>INGRESAR CENTRO DE COSTO A LA DERECHA</v>
      </c>
      <c r="E362" s="34" t="str">
        <f>IFERROR(__xludf.DUMMYFUNCTION("""COMPUTED_VALUE"""),"UNIDAD DE BIBLIOTECAS")</f>
        <v>UNIDAD DE BIBLIOTECAS</v>
      </c>
      <c r="F362" s="34" t="str">
        <f>IFERROR(__xludf.DUMMYFUNCTION("""COMPUTED_VALUE"""),"Técnico(a) de Biblioteca")</f>
        <v>Técnico(a) de Biblioteca</v>
      </c>
      <c r="G362" s="33" t="str">
        <f>IFERROR(__xludf.DUMMYFUNCTION("""COMPUTED_VALUE"""),"TECNICO DE BIBLIOTECA")</f>
        <v>TECNICO DE BIBLIOTECA</v>
      </c>
      <c r="H362">
        <f>IFERROR(__xludf.DUMMYFUNCTION("""COMPUTED_VALUE"""),18.0)</f>
        <v>18</v>
      </c>
      <c r="I362" s="34" t="str">
        <f>IFERROR(__xludf.DUMMYFUNCTION("""COMPUTED_VALUE"""),"Jornada Completa")</f>
        <v>Jornada Completa</v>
      </c>
      <c r="J362" s="33" t="str">
        <f>IFERROR(__xludf.DUMMYFUNCTION("""COMPUTED_VALUE"""),"A CONTRATA")</f>
        <v>A CONTRATA</v>
      </c>
      <c r="K362" s="33" t="str">
        <f>IFERROR(__xludf.DUMMYFUNCTION("""COMPUTED_VALUE"""),"TECNICO")</f>
        <v>TECNICO</v>
      </c>
      <c r="L362" s="34" t="str">
        <f>IFERROR(__xludf.DUMMYFUNCTION("""COMPUTED_VALUE"""),"INTERNO")</f>
        <v>INTERNO</v>
      </c>
      <c r="M362" s="34">
        <f>IFERROR(__xludf.DUMMYFUNCTION("""COMPUTED_VALUE"""),0.0)</f>
        <v>0</v>
      </c>
      <c r="N362" s="34" t="str">
        <f>IFERROR(__xludf.DUMMYFUNCTION("""COMPUTED_VALUE"""),"EXTERNO")</f>
        <v>EXTERNO</v>
      </c>
      <c r="O362">
        <f>IFERROR(__xludf.DUMMYFUNCTION("""COMPUTED_VALUE"""),3.0)</f>
        <v>3</v>
      </c>
      <c r="P362">
        <f>IFERROR(__xludf.DUMMYFUNCTION("""COMPUTED_VALUE"""),1.0)</f>
        <v>1</v>
      </c>
      <c r="Q362" s="35">
        <f>IFERROR(__xludf.DUMMYFUNCTION("""COMPUTED_VALUE"""),1.0)</f>
        <v>1</v>
      </c>
      <c r="R362" s="36" t="str">
        <f>IFERROR(__xludf.DUMMYFUNCTION("""COMPUTED_VALUE"""),"SELECCIONADA")</f>
        <v>SELECCIONADA</v>
      </c>
      <c r="S362" s="37">
        <f>IFERROR(__xludf.DUMMYFUNCTION("""COMPUTED_VALUE"""),42520.0)</f>
        <v>42520</v>
      </c>
      <c r="T362" s="34"/>
      <c r="U362" t="str">
        <f>IFERROR(__xludf.DUMMYFUNCTION("""COMPUTED_VALUE"""),"CINTHIA UNDURRAGA IBACETA")</f>
        <v>CINTHIA UNDURRAGA IBACETA</v>
      </c>
      <c r="V362" t="str">
        <f>IFERROR(__xludf.DUMMYFUNCTION("""COMPUTED_VALUE"""),"15327094-5")</f>
        <v>15327094-5</v>
      </c>
      <c r="W362" t="str">
        <f>IFERROR(__xludf.DUMMYFUNCTION("""COMPUTED_VALUE"""),"NO")</f>
        <v>NO</v>
      </c>
      <c r="AA362" s="38">
        <f>IFERROR(__xludf.DUMMYFUNCTION("""COMPUTED_VALUE"""),42437.0)</f>
        <v>42437</v>
      </c>
      <c r="AB362" s="38">
        <f>IFERROR(__xludf.DUMMYFUNCTION("""COMPUTED_VALUE"""),42444.0)</f>
        <v>42444</v>
      </c>
      <c r="AF362" s="39"/>
      <c r="AG362" s="39"/>
      <c r="AH362" s="34" t="str">
        <f>IFERROR(__xludf.DUMMYFUNCTION("""COMPUTED_VALUE"""),"PROCESO DE SELECCIÓN")</f>
        <v>PROCESO DE SELECCIÓN</v>
      </c>
      <c r="AI362" s="34" t="str">
        <f>IFERROR(__xludf.DUMMYFUNCTION("""COMPUTED_VALUE"""),"AUTORIZADO 2015")</f>
        <v>AUTORIZADO 2015</v>
      </c>
      <c r="AJ362" s="34"/>
      <c r="AK362" s="34" t="str">
        <f>IFERROR(__xludf.DUMMYFUNCTION("""COMPUTED_VALUE"""),"E")</f>
        <v>E</v>
      </c>
      <c r="AL362">
        <f>IFERROR(__xludf.DUMMYFUNCTION("""COMPUTED_VALUE"""),55.0)</f>
        <v>55</v>
      </c>
      <c r="AM362">
        <f>IFERROR(__xludf.DUMMYFUNCTION("""COMPUTED_VALUE"""),2016.0)</f>
        <v>2016</v>
      </c>
      <c r="AN362" t="str">
        <f t="shared" si="1"/>
        <v>15327094-5</v>
      </c>
    </row>
    <row r="363">
      <c r="A363" s="33">
        <f>IFERROR(__xludf.DUMMYFUNCTION("""COMPUTED_VALUE"""),1.703166E7)</f>
        <v>17031660</v>
      </c>
      <c r="B363" s="33">
        <f>IFERROR(__xludf.DUMMYFUNCTION("""COMPUTED_VALUE"""),21.0)</f>
        <v>21</v>
      </c>
      <c r="C363" s="33"/>
      <c r="D363" s="34" t="str">
        <f>IFERROR(__xludf.DUMMYFUNCTION("""COMPUTED_VALUE"""),"INGRESAR CENTRO DE COSTO A LA DERECHA")</f>
        <v>INGRESAR CENTRO DE COSTO A LA DERECHA</v>
      </c>
      <c r="E363" s="34" t="str">
        <f>IFERROR(__xludf.DUMMYFUNCTION("""COMPUTED_VALUE"""),"FACULTAD DE QUIMICA Y BIOLOGIA")</f>
        <v>FACULTAD DE QUIMICA Y BIOLOGIA</v>
      </c>
      <c r="F363" s="34" t="str">
        <f>IFERROR(__xludf.DUMMYFUNCTION("""COMPUTED_VALUE"""),"Técnico(a) de Laboratorio")</f>
        <v>Técnico(a) de Laboratorio</v>
      </c>
      <c r="G363" s="33" t="str">
        <f>IFERROR(__xludf.DUMMYFUNCTION("""COMPUTED_VALUE"""),"TECNICO DE LABORATORIO")</f>
        <v>TECNICO DE LABORATORIO</v>
      </c>
      <c r="H363">
        <f>IFERROR(__xludf.DUMMYFUNCTION("""COMPUTED_VALUE"""),17.0)</f>
        <v>17</v>
      </c>
      <c r="I363" s="34" t="str">
        <f>IFERROR(__xludf.DUMMYFUNCTION("""COMPUTED_VALUE"""),"1/2 Jornada")</f>
        <v>1/2 Jornada</v>
      </c>
      <c r="J363" s="33" t="str">
        <f>IFERROR(__xludf.DUMMYFUNCTION("""COMPUTED_VALUE"""),"A CONTRATA")</f>
        <v>A CONTRATA</v>
      </c>
      <c r="K363" s="33" t="str">
        <f>IFERROR(__xludf.DUMMYFUNCTION("""COMPUTED_VALUE"""),"TECNICO")</f>
        <v>TECNICO</v>
      </c>
      <c r="L363" s="34" t="str">
        <f>IFERROR(__xludf.DUMMYFUNCTION("""COMPUTED_VALUE"""),"INTERNO")</f>
        <v>INTERNO</v>
      </c>
      <c r="M363" s="34">
        <f>IFERROR(__xludf.DUMMYFUNCTION("""COMPUTED_VALUE"""),0.0)</f>
        <v>0</v>
      </c>
      <c r="N363" s="34" t="str">
        <f>IFERROR(__xludf.DUMMYFUNCTION("""COMPUTED_VALUE"""),"EXTERNO")</f>
        <v>EXTERNO</v>
      </c>
      <c r="O363">
        <f>IFERROR(__xludf.DUMMYFUNCTION("""COMPUTED_VALUE"""),4.0)</f>
        <v>4</v>
      </c>
      <c r="P363">
        <f>IFERROR(__xludf.DUMMYFUNCTION("""COMPUTED_VALUE"""),1.0)</f>
        <v>1</v>
      </c>
      <c r="Q363" s="35">
        <f>IFERROR(__xludf.DUMMYFUNCTION("""COMPUTED_VALUE"""),1.0)</f>
        <v>1</v>
      </c>
      <c r="R363" s="36" t="str">
        <f>IFERROR(__xludf.DUMMYFUNCTION("""COMPUTED_VALUE"""),"SELECCIONADO")</f>
        <v>SELECCIONADO</v>
      </c>
      <c r="S363" s="37">
        <f>IFERROR(__xludf.DUMMYFUNCTION("""COMPUTED_VALUE"""),42527.0)</f>
        <v>42527</v>
      </c>
      <c r="T363" s="34"/>
      <c r="U363" t="str">
        <f>IFERROR(__xludf.DUMMYFUNCTION("""COMPUTED_VALUE"""),"SEBASTIAN DEL CANTO ORTEGA")</f>
        <v>SEBASTIAN DEL CANTO ORTEGA</v>
      </c>
      <c r="V363" t="str">
        <f>IFERROR(__xludf.DUMMYFUNCTION("""COMPUTED_VALUE"""),"17031660-6")</f>
        <v>17031660-6</v>
      </c>
      <c r="W363" t="str">
        <f>IFERROR(__xludf.DUMMYFUNCTION("""COMPUTED_VALUE"""),"SI")</f>
        <v>SI</v>
      </c>
      <c r="X363" t="str">
        <f>IFERROR(__xludf.DUMMYFUNCTION("""COMPUTED_VALUE"""),"CAPACIDAD DE PLANIFICACION Y ORGANIZACION")</f>
        <v>CAPACIDAD DE PLANIFICACION Y ORGANIZACION</v>
      </c>
      <c r="AA363" s="38">
        <f>IFERROR(__xludf.DUMMYFUNCTION("""COMPUTED_VALUE"""),42444.0)</f>
        <v>42444</v>
      </c>
      <c r="AB363" s="38">
        <f>IFERROR(__xludf.DUMMYFUNCTION("""COMPUTED_VALUE"""),42451.0)</f>
        <v>42451</v>
      </c>
      <c r="AF363" s="39"/>
      <c r="AG363" s="39"/>
      <c r="AH363" s="34" t="str">
        <f>IFERROR(__xludf.DUMMYFUNCTION("""COMPUTED_VALUE"""),"PROCESO DE SELECCIÓN")</f>
        <v>PROCESO DE SELECCIÓN</v>
      </c>
      <c r="AI363" s="34" t="str">
        <f>IFERROR(__xludf.DUMMYFUNCTION("""COMPUTED_VALUE"""),"JOCELYN VALENZUELA MELLA")</f>
        <v>JOCELYN VALENZUELA MELLA</v>
      </c>
      <c r="AJ363" s="34"/>
      <c r="AK363" s="34" t="str">
        <f>IFERROR(__xludf.DUMMYFUNCTION("""COMPUTED_VALUE"""),"E")</f>
        <v>E</v>
      </c>
      <c r="AL363">
        <f>IFERROR(__xludf.DUMMYFUNCTION("""COMPUTED_VALUE"""),55.0)</f>
        <v>55</v>
      </c>
      <c r="AM363">
        <f>IFERROR(__xludf.DUMMYFUNCTION("""COMPUTED_VALUE"""),2016.0)</f>
        <v>2016</v>
      </c>
      <c r="AN363" t="str">
        <f t="shared" si="1"/>
        <v>17031660-6</v>
      </c>
    </row>
    <row r="364">
      <c r="A364" s="33">
        <f>IFERROR(__xludf.DUMMYFUNCTION("""COMPUTED_VALUE"""),1.3207216E7)</f>
        <v>13207216</v>
      </c>
      <c r="B364" s="33">
        <f>IFERROR(__xludf.DUMMYFUNCTION("""COMPUTED_VALUE"""),22.0)</f>
        <v>22</v>
      </c>
      <c r="C364" s="33"/>
      <c r="D364" s="34" t="str">
        <f>IFERROR(__xludf.DUMMYFUNCTION("""COMPUTED_VALUE"""),"INGRESAR CENTRO DE COSTO A LA DERECHA")</f>
        <v>INGRESAR CENTRO DE COSTO A LA DERECHA</v>
      </c>
      <c r="E364" s="34" t="str">
        <f>IFERROR(__xludf.DUMMYFUNCTION("""COMPUTED_VALUE"""),"FACULTAD DE HUMANIDADES")</f>
        <v>FACULTAD DE HUMANIDADES</v>
      </c>
      <c r="F364" s="34" t="str">
        <f>IFERROR(__xludf.DUMMYFUNCTION("""COMPUTED_VALUE"""),"Secretario(a) C")</f>
        <v>Secretario(a) C</v>
      </c>
      <c r="G364" s="33" t="str">
        <f>IFERROR(__xludf.DUMMYFUNCTION("""COMPUTED_VALUE"""),"SECRETARIA ADMINISTRATIVA")</f>
        <v>SECRETARIA ADMINISTRATIVA</v>
      </c>
      <c r="H364">
        <f>IFERROR(__xludf.DUMMYFUNCTION("""COMPUTED_VALUE"""),20.0)</f>
        <v>20</v>
      </c>
      <c r="I364" s="34" t="str">
        <f>IFERROR(__xludf.DUMMYFUNCTION("""COMPUTED_VALUE"""),"Jornada Completa")</f>
        <v>Jornada Completa</v>
      </c>
      <c r="J364" s="33" t="str">
        <f>IFERROR(__xludf.DUMMYFUNCTION("""COMPUTED_VALUE"""),"A CONTRATA")</f>
        <v>A CONTRATA</v>
      </c>
      <c r="K364" s="33" t="str">
        <f>IFERROR(__xludf.DUMMYFUNCTION("""COMPUTED_VALUE"""),"ADMINISTRATIVO")</f>
        <v>ADMINISTRATIVO</v>
      </c>
      <c r="L364" s="34" t="str">
        <f>IFERROR(__xludf.DUMMYFUNCTION("""COMPUTED_VALUE"""),"INTERNO")</f>
        <v>INTERNO</v>
      </c>
      <c r="M364" s="34">
        <f>IFERROR(__xludf.DUMMYFUNCTION("""COMPUTED_VALUE"""),0.0)</f>
        <v>0</v>
      </c>
      <c r="N364" s="34" t="str">
        <f>IFERROR(__xludf.DUMMYFUNCTION("""COMPUTED_VALUE"""),"EXTERNO")</f>
        <v>EXTERNO</v>
      </c>
      <c r="O364">
        <f>IFERROR(__xludf.DUMMYFUNCTION("""COMPUTED_VALUE"""),11.0)</f>
        <v>11</v>
      </c>
      <c r="P364">
        <f>IFERROR(__xludf.DUMMYFUNCTION("""COMPUTED_VALUE"""),1.0)</f>
        <v>1</v>
      </c>
      <c r="Q364" s="35">
        <f>IFERROR(__xludf.DUMMYFUNCTION("""COMPUTED_VALUE"""),1.0)</f>
        <v>1</v>
      </c>
      <c r="R364" s="36" t="str">
        <f>IFERROR(__xludf.DUMMYFUNCTION("""COMPUTED_VALUE"""),"SELECCIONADA")</f>
        <v>SELECCIONADA</v>
      </c>
      <c r="S364" s="37">
        <f>IFERROR(__xludf.DUMMYFUNCTION("""COMPUTED_VALUE"""),42552.0)</f>
        <v>42552</v>
      </c>
      <c r="T364" s="34"/>
      <c r="U364" t="str">
        <f>IFERROR(__xludf.DUMMYFUNCTION("""COMPUTED_VALUE"""),"SOLEDAD VELOSO GARCIA")</f>
        <v>SOLEDAD VELOSO GARCIA</v>
      </c>
      <c r="V364" t="str">
        <f>IFERROR(__xludf.DUMMYFUNCTION("""COMPUTED_VALUE"""),"13207216-7")</f>
        <v>13207216-7</v>
      </c>
      <c r="W364" t="str">
        <f>IFERROR(__xludf.DUMMYFUNCTION("""COMPUTED_VALUE"""),"NO")</f>
        <v>NO</v>
      </c>
      <c r="AA364" s="38">
        <f>IFERROR(__xludf.DUMMYFUNCTION("""COMPUTED_VALUE"""),42482.0)</f>
        <v>42482</v>
      </c>
      <c r="AB364" s="38">
        <f>IFERROR(__xludf.DUMMYFUNCTION("""COMPUTED_VALUE"""),42489.0)</f>
        <v>42489</v>
      </c>
      <c r="AF364" s="39"/>
      <c r="AG364" s="39"/>
      <c r="AH364" s="34" t="str">
        <f>IFERROR(__xludf.DUMMYFUNCTION("""COMPUTED_VALUE"""),"PROCESO DE SELECCIÓN")</f>
        <v>PROCESO DE SELECCIÓN</v>
      </c>
      <c r="AI364" s="34" t="str">
        <f>IFERROR(__xludf.DUMMYFUNCTION("""COMPUTED_VALUE"""),"PABLO ZOLEZZI LABRA")</f>
        <v>PABLO ZOLEZZI LABRA</v>
      </c>
      <c r="AJ364" s="34"/>
      <c r="AK364" s="34" t="str">
        <f>IFERROR(__xludf.DUMMYFUNCTION("""COMPUTED_VALUE"""),"E")</f>
        <v>E</v>
      </c>
      <c r="AL364">
        <f>IFERROR(__xludf.DUMMYFUNCTION("""COMPUTED_VALUE"""),46.0)</f>
        <v>46</v>
      </c>
      <c r="AM364">
        <f>IFERROR(__xludf.DUMMYFUNCTION("""COMPUTED_VALUE"""),2016.0)</f>
        <v>2016</v>
      </c>
      <c r="AN364" t="str">
        <f t="shared" si="1"/>
        <v>13207216-7</v>
      </c>
    </row>
    <row r="365">
      <c r="A365" s="33">
        <f>IFERROR(__xludf.DUMMYFUNCTION("""COMPUTED_VALUE"""),1.695384E7)</f>
        <v>16953840</v>
      </c>
      <c r="B365" s="33">
        <f>IFERROR(__xludf.DUMMYFUNCTION("""COMPUTED_VALUE"""),23.0)</f>
        <v>23</v>
      </c>
      <c r="C365" s="33"/>
      <c r="D365" s="34" t="str">
        <f>IFERROR(__xludf.DUMMYFUNCTION("""COMPUTED_VALUE"""),"INGRESAR CENTRO DE COSTO A LA DERECHA")</f>
        <v>INGRESAR CENTRO DE COSTO A LA DERECHA</v>
      </c>
      <c r="E365" s="34" t="str">
        <f>IFERROR(__xludf.DUMMYFUNCTION("""COMPUTED_VALUE"""),"UNIDAD DE BIBLIOTECAS")</f>
        <v>UNIDAD DE BIBLIOTECAS</v>
      </c>
      <c r="F365" s="34" t="str">
        <f>IFERROR(__xludf.DUMMYFUNCTION("""COMPUTED_VALUE"""),"Bibliotecario(a)")</f>
        <v>Bibliotecario(a)</v>
      </c>
      <c r="G365" s="33" t="str">
        <f>IFERROR(__xludf.DUMMYFUNCTION("""COMPUTED_VALUE"""),"BIBLIOTECARIO")</f>
        <v>BIBLIOTECARIO</v>
      </c>
      <c r="H365">
        <f>IFERROR(__xludf.DUMMYFUNCTION("""COMPUTED_VALUE"""),14.0)</f>
        <v>14</v>
      </c>
      <c r="I365" s="34" t="str">
        <f>IFERROR(__xludf.DUMMYFUNCTION("""COMPUTED_VALUE"""),"Jornada Completa")</f>
        <v>Jornada Completa</v>
      </c>
      <c r="J365" s="33" t="str">
        <f>IFERROR(__xludf.DUMMYFUNCTION("""COMPUTED_VALUE"""),"A CONTRATA")</f>
        <v>A CONTRATA</v>
      </c>
      <c r="K365" s="33" t="str">
        <f>IFERROR(__xludf.DUMMYFUNCTION("""COMPUTED_VALUE"""),"PROFESIONAL")</f>
        <v>PROFESIONAL</v>
      </c>
      <c r="L365" s="34" t="str">
        <f>IFERROR(__xludf.DUMMYFUNCTION("""COMPUTED_VALUE"""),"INTERNO")</f>
        <v>INTERNO</v>
      </c>
      <c r="M365" s="34">
        <f>IFERROR(__xludf.DUMMYFUNCTION("""COMPUTED_VALUE"""),0.0)</f>
        <v>0</v>
      </c>
      <c r="N365" s="34" t="str">
        <f>IFERROR(__xludf.DUMMYFUNCTION("""COMPUTED_VALUE"""),"EXTERNO")</f>
        <v>EXTERNO</v>
      </c>
      <c r="O365">
        <f>IFERROR(__xludf.DUMMYFUNCTION("""COMPUTED_VALUE"""),2.0)</f>
        <v>2</v>
      </c>
      <c r="P365">
        <f>IFERROR(__xludf.DUMMYFUNCTION("""COMPUTED_VALUE"""),1.0)</f>
        <v>1</v>
      </c>
      <c r="Q365" s="35">
        <f>IFERROR(__xludf.DUMMYFUNCTION("""COMPUTED_VALUE"""),1.0)</f>
        <v>1</v>
      </c>
      <c r="R365" s="36" t="str">
        <f>IFERROR(__xludf.DUMMYFUNCTION("""COMPUTED_VALUE"""),"SELECCIONADA")</f>
        <v>SELECCIONADA</v>
      </c>
      <c r="S365" s="37">
        <f>IFERROR(__xludf.DUMMYFUNCTION("""COMPUTED_VALUE"""),42522.0)</f>
        <v>42522</v>
      </c>
      <c r="T365" s="34"/>
      <c r="U365" t="str">
        <f>IFERROR(__xludf.DUMMYFUNCTION("""COMPUTED_VALUE"""),"OLENKHA CEPEDA BRITO")</f>
        <v>OLENKHA CEPEDA BRITO</v>
      </c>
      <c r="V365" t="str">
        <f>IFERROR(__xludf.DUMMYFUNCTION("""COMPUTED_VALUE"""),"16953840-9")</f>
        <v>16953840-9</v>
      </c>
      <c r="W365" t="str">
        <f>IFERROR(__xludf.DUMMYFUNCTION("""COMPUTED_VALUE"""),"NO")</f>
        <v>NO</v>
      </c>
      <c r="AA365" s="38">
        <f>IFERROR(__xludf.DUMMYFUNCTION("""COMPUTED_VALUE"""),42510.0)</f>
        <v>42510</v>
      </c>
      <c r="AB365" s="38">
        <f>IFERROR(__xludf.DUMMYFUNCTION("""COMPUTED_VALUE"""),42514.0)</f>
        <v>42514</v>
      </c>
      <c r="AF365" s="39"/>
      <c r="AG365" s="39"/>
      <c r="AH365" s="34" t="str">
        <f>IFERROR(__xludf.DUMMYFUNCTION("""COMPUTED_VALUE"""),"PROCESO DE SELECCIÓN")</f>
        <v>PROCESO DE SELECCIÓN</v>
      </c>
      <c r="AI365" s="34" t="str">
        <f>IFERROR(__xludf.DUMMYFUNCTION("""COMPUTED_VALUE"""),"LUCIO LOPEZ IÑIQUEZ")</f>
        <v>LUCIO LOPEZ IÑIQUEZ</v>
      </c>
      <c r="AJ365" s="34"/>
      <c r="AK365" s="34" t="str">
        <f>IFERROR(__xludf.DUMMYFUNCTION("""COMPUTED_VALUE"""),"E")</f>
        <v>E</v>
      </c>
      <c r="AL365">
        <f>IFERROR(__xludf.DUMMYFUNCTION("""COMPUTED_VALUE"""),7.0)</f>
        <v>7</v>
      </c>
      <c r="AM365">
        <f>IFERROR(__xludf.DUMMYFUNCTION("""COMPUTED_VALUE"""),2016.0)</f>
        <v>2016</v>
      </c>
      <c r="AN365" t="str">
        <f t="shared" si="1"/>
        <v>16953840-9</v>
      </c>
    </row>
    <row r="366">
      <c r="A366" s="33">
        <f>IFERROR(__xludf.DUMMYFUNCTION("""COMPUTED_VALUE"""),1.8050994E7)</f>
        <v>18050994</v>
      </c>
      <c r="B366" s="33">
        <f>IFERROR(__xludf.DUMMYFUNCTION("""COMPUTED_VALUE"""),24.0)</f>
        <v>24</v>
      </c>
      <c r="C366" s="33"/>
      <c r="D366" s="34" t="str">
        <f>IFERROR(__xludf.DUMMYFUNCTION("""COMPUTED_VALUE"""),"INGRESAR CENTRO DE COSTO A LA DERECHA")</f>
        <v>INGRESAR CENTRO DE COSTO A LA DERECHA</v>
      </c>
      <c r="E366" s="34" t="str">
        <f>IFERROR(__xludf.DUMMYFUNCTION("""COMPUTED_VALUE"""),"DPTO. DE INGENIERIA QUIMICA")</f>
        <v>DPTO. DE INGENIERIA QUIMICA</v>
      </c>
      <c r="F366" s="34" t="str">
        <f>IFERROR(__xludf.DUMMYFUNCTION("""COMPUTED_VALUE"""),"Mayordomo(a)")</f>
        <v>Mayordomo(a)</v>
      </c>
      <c r="G366" s="33" t="str">
        <f>IFERROR(__xludf.DUMMYFUNCTION("""COMPUTED_VALUE"""),"MAYORDOMO")</f>
        <v>MAYORDOMO</v>
      </c>
      <c r="H366">
        <f>IFERROR(__xludf.DUMMYFUNCTION("""COMPUTED_VALUE"""),21.0)</f>
        <v>21</v>
      </c>
      <c r="I366" s="34" t="str">
        <f>IFERROR(__xludf.DUMMYFUNCTION("""COMPUTED_VALUE"""),"Jornada Completa")</f>
        <v>Jornada Completa</v>
      </c>
      <c r="J366" s="33" t="str">
        <f>IFERROR(__xludf.DUMMYFUNCTION("""COMPUTED_VALUE"""),"A CONTRATA")</f>
        <v>A CONTRATA</v>
      </c>
      <c r="K366" s="33" t="str">
        <f>IFERROR(__xludf.DUMMYFUNCTION("""COMPUTED_VALUE"""),"AUXILIAR")</f>
        <v>AUXILIAR</v>
      </c>
      <c r="L366" s="34" t="str">
        <f>IFERROR(__xludf.DUMMYFUNCTION("""COMPUTED_VALUE"""),"INTERNO")</f>
        <v>INTERNO</v>
      </c>
      <c r="M366" s="34">
        <f>IFERROR(__xludf.DUMMYFUNCTION("""COMPUTED_VALUE"""),1.0)</f>
        <v>1</v>
      </c>
      <c r="N366" s="34" t="str">
        <f>IFERROR(__xludf.DUMMYFUNCTION("""COMPUTED_VALUE"""),"EXTERNO")</f>
        <v>EXTERNO</v>
      </c>
      <c r="O366">
        <f>IFERROR(__xludf.DUMMYFUNCTION("""COMPUTED_VALUE"""),6.0)</f>
        <v>6</v>
      </c>
      <c r="P366">
        <f>IFERROR(__xludf.DUMMYFUNCTION("""COMPUTED_VALUE"""),2.0)</f>
        <v>2</v>
      </c>
      <c r="Q366" s="35">
        <f>IFERROR(__xludf.DUMMYFUNCTION("""COMPUTED_VALUE"""),1.0)</f>
        <v>1</v>
      </c>
      <c r="R366" s="36" t="str">
        <f>IFERROR(__xludf.DUMMYFUNCTION("""COMPUTED_VALUE"""),"SELECCIONADO")</f>
        <v>SELECCIONADO</v>
      </c>
      <c r="S366" s="37">
        <f>IFERROR(__xludf.DUMMYFUNCTION("""COMPUTED_VALUE"""),42555.0)</f>
        <v>42555</v>
      </c>
      <c r="T366" s="34"/>
      <c r="U366" t="str">
        <f>IFERROR(__xludf.DUMMYFUNCTION("""COMPUTED_VALUE"""),"MARCO VALDEBENITO PINILLA")</f>
        <v>MARCO VALDEBENITO PINILLA</v>
      </c>
      <c r="V366" t="str">
        <f>IFERROR(__xludf.DUMMYFUNCTION("""COMPUTED_VALUE"""),"18050994-1")</f>
        <v>18050994-1</v>
      </c>
      <c r="W366" t="str">
        <f>IFERROR(__xludf.DUMMYFUNCTION("""COMPUTED_VALUE"""),"NO")</f>
        <v>NO</v>
      </c>
      <c r="AA366" s="38">
        <f>IFERROR(__xludf.DUMMYFUNCTION("""COMPUTED_VALUE"""),42527.0)</f>
        <v>42527</v>
      </c>
      <c r="AB366" s="38">
        <f>IFERROR(__xludf.DUMMYFUNCTION("""COMPUTED_VALUE"""),42530.0)</f>
        <v>42530</v>
      </c>
      <c r="AF366" s="39"/>
      <c r="AG366" s="39"/>
      <c r="AH366" s="34" t="str">
        <f>IFERROR(__xludf.DUMMYFUNCTION("""COMPUTED_VALUE"""),"PROCESO DE SELECCIÓN")</f>
        <v>PROCESO DE SELECCIÓN</v>
      </c>
      <c r="AI366" s="34" t="str">
        <f>IFERROR(__xludf.DUMMYFUNCTION("""COMPUTED_VALUE"""),"LUIS CIFUENTES SANCHEZ")</f>
        <v>LUIS CIFUENTES SANCHEZ</v>
      </c>
      <c r="AJ366" s="34"/>
      <c r="AK366" s="34" t="str">
        <f>IFERROR(__xludf.DUMMYFUNCTION("""COMPUTED_VALUE"""),"E")</f>
        <v>E</v>
      </c>
      <c r="AL366">
        <f>IFERROR(__xludf.DUMMYFUNCTION("""COMPUTED_VALUE"""),18.0)</f>
        <v>18</v>
      </c>
      <c r="AM366">
        <f>IFERROR(__xludf.DUMMYFUNCTION("""COMPUTED_VALUE"""),2016.0)</f>
        <v>2016</v>
      </c>
      <c r="AN366" t="str">
        <f t="shared" si="1"/>
        <v>18050994-1</v>
      </c>
    </row>
    <row r="367">
      <c r="A367" s="33">
        <f>IFERROR(__xludf.DUMMYFUNCTION("""COMPUTED_VALUE"""),1.7030357E7)</f>
        <v>17030357</v>
      </c>
      <c r="B367" s="33">
        <f>IFERROR(__xludf.DUMMYFUNCTION("""COMPUTED_VALUE"""),25.0)</f>
        <v>25</v>
      </c>
      <c r="C367" s="33"/>
      <c r="D367" s="34" t="str">
        <f>IFERROR(__xludf.DUMMYFUNCTION("""COMPUTED_VALUE"""),"INGRESAR CENTRO DE COSTO A LA DERECHA")</f>
        <v>INGRESAR CENTRO DE COSTO A LA DERECHA</v>
      </c>
      <c r="E367" s="34" t="str">
        <f>IFERROR(__xludf.DUMMYFUNCTION("""COMPUTED_VALUE"""),"FACULTAD DE HUMANIDADES")</f>
        <v>FACULTAD DE HUMANIDADES</v>
      </c>
      <c r="F367" s="34" t="str">
        <f>IFERROR(__xludf.DUMMYFUNCTION("""COMPUTED_VALUE"""),"Analista de Gestión I")</f>
        <v>Analista de Gestión I</v>
      </c>
      <c r="G367" s="33" t="str">
        <f>IFERROR(__xludf.DUMMYFUNCTION("""COMPUTED_VALUE"""),"ANALISTA I")</f>
        <v>ANALISTA I</v>
      </c>
      <c r="H367">
        <f>IFERROR(__xludf.DUMMYFUNCTION("""COMPUTED_VALUE"""),10.0)</f>
        <v>10</v>
      </c>
      <c r="I367" s="34" t="str">
        <f>IFERROR(__xludf.DUMMYFUNCTION("""COMPUTED_VALUE"""),"Jornada Completa")</f>
        <v>Jornada Completa</v>
      </c>
      <c r="J367" s="33" t="str">
        <f>IFERROR(__xludf.DUMMYFUNCTION("""COMPUTED_VALUE"""),"A CONTRATA")</f>
        <v>A CONTRATA</v>
      </c>
      <c r="K367" s="33" t="str">
        <f>IFERROR(__xludf.DUMMYFUNCTION("""COMPUTED_VALUE"""),"PROFESIONAL")</f>
        <v>PROFESIONAL</v>
      </c>
      <c r="L367" s="34" t="str">
        <f>IFERROR(__xludf.DUMMYFUNCTION("""COMPUTED_VALUE"""),"INTERNO")</f>
        <v>INTERNO</v>
      </c>
      <c r="M367" s="34">
        <f>IFERROR(__xludf.DUMMYFUNCTION("""COMPUTED_VALUE"""),6.0)</f>
        <v>6</v>
      </c>
      <c r="N367" s="34" t="str">
        <f>IFERROR(__xludf.DUMMYFUNCTION("""COMPUTED_VALUE"""),"EXTERNO")</f>
        <v>EXTERNO</v>
      </c>
      <c r="O367">
        <f>IFERROR(__xludf.DUMMYFUNCTION("""COMPUTED_VALUE"""),15.0)</f>
        <v>15</v>
      </c>
      <c r="P367">
        <f>IFERROR(__xludf.DUMMYFUNCTION("""COMPUTED_VALUE"""),2.0)</f>
        <v>2</v>
      </c>
      <c r="Q367" s="35">
        <f>IFERROR(__xludf.DUMMYFUNCTION("""COMPUTED_VALUE"""),1.0)</f>
        <v>1</v>
      </c>
      <c r="R367" s="36" t="str">
        <f>IFERROR(__xludf.DUMMYFUNCTION("""COMPUTED_VALUE"""),"SELECCIONADO")</f>
        <v>SELECCIONADO</v>
      </c>
      <c r="S367" s="37">
        <f>IFERROR(__xludf.DUMMYFUNCTION("""COMPUTED_VALUE"""),42543.0)</f>
        <v>42543</v>
      </c>
      <c r="T367" s="34"/>
      <c r="U367" t="str">
        <f>IFERROR(__xludf.DUMMYFUNCTION("""COMPUTED_VALUE"""),"TAKURI TAPIA MUÑOZ")</f>
        <v>TAKURI TAPIA MUÑOZ</v>
      </c>
      <c r="V367" t="str">
        <f>IFERROR(__xludf.DUMMYFUNCTION("""COMPUTED_VALUE"""),"17030357-1")</f>
        <v>17030357-1</v>
      </c>
      <c r="W367" t="str">
        <f>IFERROR(__xludf.DUMMYFUNCTION("""COMPUTED_VALUE"""),"NO")</f>
        <v>NO</v>
      </c>
      <c r="AA367" s="38">
        <f>IFERROR(__xludf.DUMMYFUNCTION("""COMPUTED_VALUE"""),42466.0)</f>
        <v>42466</v>
      </c>
      <c r="AB367" s="38">
        <f>IFERROR(__xludf.DUMMYFUNCTION("""COMPUTED_VALUE"""),42473.0)</f>
        <v>42473</v>
      </c>
      <c r="AF367" s="39"/>
      <c r="AG367" s="39"/>
      <c r="AH367" s="34" t="str">
        <f>IFERROR(__xludf.DUMMYFUNCTION("""COMPUTED_VALUE"""),"PROCESO DE SELECCIÓN")</f>
        <v>PROCESO DE SELECCIÓN</v>
      </c>
      <c r="AI367" s="34" t="str">
        <f>IFERROR(__xludf.DUMMYFUNCTION("""COMPUTED_VALUE"""),"HECTOR RIOS JARA")</f>
        <v>HECTOR RIOS JARA</v>
      </c>
      <c r="AJ367" s="34"/>
      <c r="AK367" s="34" t="str">
        <f>IFERROR(__xludf.DUMMYFUNCTION("""COMPUTED_VALUE"""),"P")</f>
        <v>P</v>
      </c>
      <c r="AL367">
        <f>IFERROR(__xludf.DUMMYFUNCTION("""COMPUTED_VALUE"""),51.0)</f>
        <v>51</v>
      </c>
      <c r="AM367">
        <f>IFERROR(__xludf.DUMMYFUNCTION("""COMPUTED_VALUE"""),2016.0)</f>
        <v>2016</v>
      </c>
      <c r="AN367" t="str">
        <f t="shared" si="1"/>
        <v>17030357-1</v>
      </c>
    </row>
    <row r="368">
      <c r="A368" s="33">
        <f>IFERROR(__xludf.DUMMYFUNCTION("""COMPUTED_VALUE"""),1.2506937E7)</f>
        <v>12506937</v>
      </c>
      <c r="B368" s="33">
        <f>IFERROR(__xludf.DUMMYFUNCTION("""COMPUTED_VALUE"""),26.0)</f>
        <v>26</v>
      </c>
      <c r="C368" s="33"/>
      <c r="D368" s="34" t="str">
        <f>IFERROR(__xludf.DUMMYFUNCTION("""COMPUTED_VALUE"""),"INGRESAR CENTRO DE COSTO A LA DERECHA")</f>
        <v>INGRESAR CENTRO DE COSTO A LA DERECHA</v>
      </c>
      <c r="E368" s="34" t="str">
        <f>IFERROR(__xludf.DUMMYFUNCTION("""COMPUTED_VALUE"""),"FACULTAD DE HUMANIDADES")</f>
        <v>FACULTAD DE HUMANIDADES</v>
      </c>
      <c r="F368" s="34" t="str">
        <f>IFERROR(__xludf.DUMMYFUNCTION("""COMPUTED_VALUE"""),"Estafeta")</f>
        <v>Estafeta</v>
      </c>
      <c r="G368" s="33" t="str">
        <f>IFERROR(__xludf.DUMMYFUNCTION("""COMPUTED_VALUE"""),"ESTAFETA")</f>
        <v>ESTAFETA</v>
      </c>
      <c r="H368">
        <f>IFERROR(__xludf.DUMMYFUNCTION("""COMPUTED_VALUE"""),23.0)</f>
        <v>23</v>
      </c>
      <c r="I368" s="34" t="str">
        <f>IFERROR(__xludf.DUMMYFUNCTION("""COMPUTED_VALUE"""),"Jornada Completa")</f>
        <v>Jornada Completa</v>
      </c>
      <c r="J368" s="33" t="str">
        <f>IFERROR(__xludf.DUMMYFUNCTION("""COMPUTED_VALUE"""),"A CONTRATA")</f>
        <v>A CONTRATA</v>
      </c>
      <c r="K368" s="33" t="str">
        <f>IFERROR(__xludf.DUMMYFUNCTION("""COMPUTED_VALUE"""),"AUXILIAR")</f>
        <v>AUXILIAR</v>
      </c>
      <c r="L368" s="34" t="str">
        <f>IFERROR(__xludf.DUMMYFUNCTION("""COMPUTED_VALUE"""),"INTERNO")</f>
        <v>INTERNO</v>
      </c>
      <c r="M368" s="34">
        <f>IFERROR(__xludf.DUMMYFUNCTION("""COMPUTED_VALUE"""),0.0)</f>
        <v>0</v>
      </c>
      <c r="N368" s="34" t="str">
        <f>IFERROR(__xludf.DUMMYFUNCTION("""COMPUTED_VALUE"""),"EXTERNO")</f>
        <v>EXTERNO</v>
      </c>
      <c r="O368">
        <f>IFERROR(__xludf.DUMMYFUNCTION("""COMPUTED_VALUE"""),13.0)</f>
        <v>13</v>
      </c>
      <c r="P368">
        <f>IFERROR(__xludf.DUMMYFUNCTION("""COMPUTED_VALUE"""),1.0)</f>
        <v>1</v>
      </c>
      <c r="Q368" s="35">
        <f>IFERROR(__xludf.DUMMYFUNCTION("""COMPUTED_VALUE"""),1.0)</f>
        <v>1</v>
      </c>
      <c r="R368" s="36" t="str">
        <f>IFERROR(__xludf.DUMMYFUNCTION("""COMPUTED_VALUE"""),"SELECCIONADO")</f>
        <v>SELECCIONADO</v>
      </c>
      <c r="S368" s="37">
        <f>IFERROR(__xludf.DUMMYFUNCTION("""COMPUTED_VALUE"""),42544.0)</f>
        <v>42544</v>
      </c>
      <c r="T368" s="34"/>
      <c r="U368" t="str">
        <f>IFERROR(__xludf.DUMMYFUNCTION("""COMPUTED_VALUE"""),"OSCAR FIGUEROA SAN MARTIN")</f>
        <v>OSCAR FIGUEROA SAN MARTIN</v>
      </c>
      <c r="V368" t="str">
        <f>IFERROR(__xludf.DUMMYFUNCTION("""COMPUTED_VALUE"""),"12506937-1")</f>
        <v>12506937-1</v>
      </c>
      <c r="W368" t="str">
        <f>IFERROR(__xludf.DUMMYFUNCTION("""COMPUTED_VALUE"""),"NO")</f>
        <v>NO</v>
      </c>
      <c r="AA368" s="38">
        <f>IFERROR(__xludf.DUMMYFUNCTION("""COMPUTED_VALUE"""),42482.0)</f>
        <v>42482</v>
      </c>
      <c r="AB368" s="38">
        <f>IFERROR(__xludf.DUMMYFUNCTION("""COMPUTED_VALUE"""),42489.0)</f>
        <v>42489</v>
      </c>
      <c r="AF368" s="39"/>
      <c r="AG368" s="39"/>
      <c r="AH368" s="34" t="str">
        <f>IFERROR(__xludf.DUMMYFUNCTION("""COMPUTED_VALUE"""),"PROCESO DE SELECCIÓN")</f>
        <v>PROCESO DE SELECCIÓN</v>
      </c>
      <c r="AI368" s="34" t="str">
        <f>IFERROR(__xludf.DUMMYFUNCTION("""COMPUTED_VALUE"""),"JULIAN PARDO CARRION")</f>
        <v>JULIAN PARDO CARRION</v>
      </c>
      <c r="AJ368" s="34"/>
      <c r="AK368" s="34" t="str">
        <f>IFERROR(__xludf.DUMMYFUNCTION("""COMPUTED_VALUE"""),"E")</f>
        <v>E</v>
      </c>
      <c r="AL368">
        <f>IFERROR(__xludf.DUMMYFUNCTION("""COMPUTED_VALUE"""),40.0)</f>
        <v>40</v>
      </c>
      <c r="AM368">
        <f>IFERROR(__xludf.DUMMYFUNCTION("""COMPUTED_VALUE"""),2016.0)</f>
        <v>2016</v>
      </c>
      <c r="AN368" t="str">
        <f t="shared" si="1"/>
        <v>12506937-1</v>
      </c>
    </row>
    <row r="369">
      <c r="A369" s="33">
        <f>IFERROR(__xludf.DUMMYFUNCTION("""COMPUTED_VALUE"""),1.5916447E7)</f>
        <v>15916447</v>
      </c>
      <c r="B369" s="33">
        <f>IFERROR(__xludf.DUMMYFUNCTION("""COMPUTED_VALUE"""),27.0)</f>
        <v>27</v>
      </c>
      <c r="C369" s="33"/>
      <c r="D369" s="34" t="str">
        <f>IFERROR(__xludf.DUMMYFUNCTION("""COMPUTED_VALUE"""),"INGRESAR CENTRO DE COSTO A LA DERECHA")</f>
        <v>INGRESAR CENTRO DE COSTO A LA DERECHA</v>
      </c>
      <c r="E369" s="34" t="str">
        <f>IFERROR(__xludf.DUMMYFUNCTION("""COMPUTED_VALUE"""),"UNIDAD DE PROMOCION DE LA SALUD")</f>
        <v>UNIDAD DE PROMOCION DE LA SALUD</v>
      </c>
      <c r="F369" s="34" t="str">
        <f>IFERROR(__xludf.DUMMYFUNCTION("""COMPUTED_VALUE"""),"Psicólogo(a)")</f>
        <v>Psicólogo(a)</v>
      </c>
      <c r="G369" s="33" t="str">
        <f>IFERROR(__xludf.DUMMYFUNCTION("""COMPUTED_VALUE"""),"PSICOLOGO_CLINICO")</f>
        <v>PSICOLOGO_CLINICO</v>
      </c>
      <c r="H369">
        <f>IFERROR(__xludf.DUMMYFUNCTION("""COMPUTED_VALUE"""),13.0)</f>
        <v>13</v>
      </c>
      <c r="I369" s="34" t="str">
        <f>IFERROR(__xludf.DUMMYFUNCTION("""COMPUTED_VALUE"""),"Jornada Completa")</f>
        <v>Jornada Completa</v>
      </c>
      <c r="J369" s="33" t="str">
        <f>IFERROR(__xludf.DUMMYFUNCTION("""COMPUTED_VALUE"""),"A CONTRATA")</f>
        <v>A CONTRATA</v>
      </c>
      <c r="K369" s="33" t="str">
        <f>IFERROR(__xludf.DUMMYFUNCTION("""COMPUTED_VALUE"""),"PROFESIONAL")</f>
        <v>PROFESIONAL</v>
      </c>
      <c r="L369" s="34" t="str">
        <f>IFERROR(__xludf.DUMMYFUNCTION("""COMPUTED_VALUE"""),"INTERNO")</f>
        <v>INTERNO</v>
      </c>
      <c r="M369" s="34">
        <f>IFERROR(__xludf.DUMMYFUNCTION("""COMPUTED_VALUE"""),1.0)</f>
        <v>1</v>
      </c>
      <c r="N369" s="34" t="str">
        <f>IFERROR(__xludf.DUMMYFUNCTION("""COMPUTED_VALUE"""),"EXTERNO")</f>
        <v>EXTERNO</v>
      </c>
      <c r="O369">
        <f>IFERROR(__xludf.DUMMYFUNCTION("""COMPUTED_VALUE"""),34.0)</f>
        <v>34</v>
      </c>
      <c r="P369">
        <f>IFERROR(__xludf.DUMMYFUNCTION("""COMPUTED_VALUE"""),1.0)</f>
        <v>1</v>
      </c>
      <c r="Q369" s="35">
        <f>IFERROR(__xludf.DUMMYFUNCTION("""COMPUTED_VALUE"""),2.0)</f>
        <v>2</v>
      </c>
      <c r="R369" s="36" t="str">
        <f>IFERROR(__xludf.DUMMYFUNCTION("""COMPUTED_VALUE"""),"SELECCIONADA")</f>
        <v>SELECCIONADA</v>
      </c>
      <c r="S369" s="37">
        <f>IFERROR(__xludf.DUMMYFUNCTION("""COMPUTED_VALUE"""),42541.0)</f>
        <v>42541</v>
      </c>
      <c r="T369" s="34"/>
      <c r="U369" t="str">
        <f>IFERROR(__xludf.DUMMYFUNCTION("""COMPUTED_VALUE"""),"LEYLA CHAJTUR ZAMUDIO")</f>
        <v>LEYLA CHAJTUR ZAMUDIO</v>
      </c>
      <c r="V369" t="str">
        <f>IFERROR(__xludf.DUMMYFUNCTION("""COMPUTED_VALUE"""),"15916447-0")</f>
        <v>15916447-0</v>
      </c>
      <c r="W369" t="str">
        <f>IFERROR(__xludf.DUMMYFUNCTION("""COMPUTED_VALUE"""),"NO")</f>
        <v>NO</v>
      </c>
      <c r="AA369" s="38">
        <f>IFERROR(__xludf.DUMMYFUNCTION("""COMPUTED_VALUE"""),42500.0)</f>
        <v>42500</v>
      </c>
      <c r="AB369" s="38">
        <f>IFERROR(__xludf.DUMMYFUNCTION("""COMPUTED_VALUE"""),42507.0)</f>
        <v>42507</v>
      </c>
      <c r="AF369" s="39"/>
      <c r="AG369" s="39"/>
      <c r="AH369" s="34" t="str">
        <f>IFERROR(__xludf.DUMMYFUNCTION("""COMPUTED_VALUE"""),"PROCESO DE SELECCIÓN")</f>
        <v>PROCESO DE SELECCIÓN</v>
      </c>
      <c r="AI369" s="34" t="str">
        <f>IFERROR(__xludf.DUMMYFUNCTION("""COMPUTED_VALUE"""),"MARIO CASTILLO MANZANO")</f>
        <v>MARIO CASTILLO MANZANO</v>
      </c>
      <c r="AJ369" s="34"/>
      <c r="AK369" s="34" t="str">
        <f>IFERROR(__xludf.DUMMYFUNCTION("""COMPUTED_VALUE"""),"E")</f>
        <v>E</v>
      </c>
      <c r="AL369">
        <f>IFERROR(__xludf.DUMMYFUNCTION("""COMPUTED_VALUE"""),25.0)</f>
        <v>25</v>
      </c>
      <c r="AM369">
        <f>IFERROR(__xludf.DUMMYFUNCTION("""COMPUTED_VALUE"""),2016.0)</f>
        <v>2016</v>
      </c>
      <c r="AN369" t="str">
        <f t="shared" si="1"/>
        <v>15916447-0</v>
      </c>
    </row>
    <row r="370">
      <c r="A370" s="33">
        <f>IFERROR(__xludf.DUMMYFUNCTION("""COMPUTED_VALUE"""),1.2234367E7)</f>
        <v>12234367</v>
      </c>
      <c r="B370" s="33">
        <f>IFERROR(__xludf.DUMMYFUNCTION("""COMPUTED_VALUE"""),28.0)</f>
        <v>28</v>
      </c>
      <c r="C370" s="33"/>
      <c r="D370" s="34" t="str">
        <f>IFERROR(__xludf.DUMMYFUNCTION("""COMPUTED_VALUE"""),"INGRESAR CENTRO DE COSTO A LA DERECHA")</f>
        <v>INGRESAR CENTRO DE COSTO A LA DERECHA</v>
      </c>
      <c r="E370" s="34" t="str">
        <f>IFERROR(__xludf.DUMMYFUNCTION("""COMPUTED_VALUE"""),"FACULTAD TECNOLOGICA")</f>
        <v>FACULTAD TECNOLOGICA</v>
      </c>
      <c r="F370" s="34" t="str">
        <f>IFERROR(__xludf.DUMMYFUNCTION("""COMPUTED_VALUE"""),"Bibliotecario(a)")</f>
        <v>Bibliotecario(a)</v>
      </c>
      <c r="G370" s="33" t="str">
        <f>IFERROR(__xludf.DUMMYFUNCTION("""COMPUTED_VALUE"""),"BIBLIOTECARIO")</f>
        <v>BIBLIOTECARIO</v>
      </c>
      <c r="H370">
        <f>IFERROR(__xludf.DUMMYFUNCTION("""COMPUTED_VALUE"""),14.0)</f>
        <v>14</v>
      </c>
      <c r="I370" s="34" t="str">
        <f>IFERROR(__xludf.DUMMYFUNCTION("""COMPUTED_VALUE"""),"Jornada Completa")</f>
        <v>Jornada Completa</v>
      </c>
      <c r="J370" s="33" t="str">
        <f>IFERROR(__xludf.DUMMYFUNCTION("""COMPUTED_VALUE"""),"A CONTRATA")</f>
        <v>A CONTRATA</v>
      </c>
      <c r="K370" s="33" t="str">
        <f>IFERROR(__xludf.DUMMYFUNCTION("""COMPUTED_VALUE"""),"PROFESIONAL")</f>
        <v>PROFESIONAL</v>
      </c>
      <c r="L370" s="34" t="str">
        <f>IFERROR(__xludf.DUMMYFUNCTION("""COMPUTED_VALUE"""),"INTERNO")</f>
        <v>INTERNO</v>
      </c>
      <c r="M370" s="34">
        <f>IFERROR(__xludf.DUMMYFUNCTION("""COMPUTED_VALUE"""),0.0)</f>
        <v>0</v>
      </c>
      <c r="N370" s="34" t="str">
        <f>IFERROR(__xludf.DUMMYFUNCTION("""COMPUTED_VALUE"""),"EXTERNO")</f>
        <v>EXTERNO</v>
      </c>
      <c r="O370">
        <f>IFERROR(__xludf.DUMMYFUNCTION("""COMPUTED_VALUE"""),20.0)</f>
        <v>20</v>
      </c>
      <c r="P370">
        <f>IFERROR(__xludf.DUMMYFUNCTION("""COMPUTED_VALUE"""),2.0)</f>
        <v>2</v>
      </c>
      <c r="Q370" s="35">
        <f>IFERROR(__xludf.DUMMYFUNCTION("""COMPUTED_VALUE"""),1.0)</f>
        <v>1</v>
      </c>
      <c r="R370" s="36" t="str">
        <f>IFERROR(__xludf.DUMMYFUNCTION("""COMPUTED_VALUE"""),"SELECCIONADA")</f>
        <v>SELECCIONADA</v>
      </c>
      <c r="S370" s="37">
        <f>IFERROR(__xludf.DUMMYFUNCTION("""COMPUTED_VALUE"""),42527.0)</f>
        <v>42527</v>
      </c>
      <c r="T370" s="34"/>
      <c r="U370" t="str">
        <f>IFERROR(__xludf.DUMMYFUNCTION("""COMPUTED_VALUE"""),"VERONICA RAMIREZ ARRUE")</f>
        <v>VERONICA RAMIREZ ARRUE</v>
      </c>
      <c r="V370" t="str">
        <f>IFERROR(__xludf.DUMMYFUNCTION("""COMPUTED_VALUE"""),"12234367-7")</f>
        <v>12234367-7</v>
      </c>
      <c r="W370" t="str">
        <f>IFERROR(__xludf.DUMMYFUNCTION("""COMPUTED_VALUE"""),"SI")</f>
        <v>SI</v>
      </c>
      <c r="X370" t="str">
        <f>IFERROR(__xludf.DUMMYFUNCTION("""COMPUTED_VALUE"""),"TRABAJO EN EQUIPO")</f>
        <v>TRABAJO EN EQUIPO</v>
      </c>
      <c r="AA370" s="38">
        <f>IFERROR(__xludf.DUMMYFUNCTION("""COMPUTED_VALUE"""),42437.0)</f>
        <v>42437</v>
      </c>
      <c r="AB370" s="38">
        <f>IFERROR(__xludf.DUMMYFUNCTION("""COMPUTED_VALUE"""),42444.0)</f>
        <v>42444</v>
      </c>
      <c r="AF370" s="39"/>
      <c r="AG370" s="39"/>
      <c r="AH370" s="34" t="str">
        <f>IFERROR(__xludf.DUMMYFUNCTION("""COMPUTED_VALUE"""),"PROCESO DE SELECCIÓN")</f>
        <v>PROCESO DE SELECCIÓN</v>
      </c>
      <c r="AI370" s="34" t="str">
        <f>IFERROR(__xludf.DUMMYFUNCTION("""COMPUTED_VALUE"""),"AUTORIZADO 2015")</f>
        <v>AUTORIZADO 2015</v>
      </c>
      <c r="AJ370" s="34"/>
      <c r="AK370" s="34" t="str">
        <f>IFERROR(__xludf.DUMMYFUNCTION("""COMPUTED_VALUE"""),"E")</f>
        <v>E</v>
      </c>
      <c r="AL370">
        <f>IFERROR(__xludf.DUMMYFUNCTION("""COMPUTED_VALUE"""),60.0)</f>
        <v>60</v>
      </c>
      <c r="AM370">
        <f>IFERROR(__xludf.DUMMYFUNCTION("""COMPUTED_VALUE"""),2016.0)</f>
        <v>2016</v>
      </c>
      <c r="AN370" t="str">
        <f t="shared" si="1"/>
        <v>12234367-7</v>
      </c>
    </row>
    <row r="371">
      <c r="A371" s="33">
        <f>IFERROR(__xludf.DUMMYFUNCTION("""COMPUTED_VALUE"""),1.7051053E7)</f>
        <v>17051053</v>
      </c>
      <c r="B371" s="33">
        <f>IFERROR(__xludf.DUMMYFUNCTION("""COMPUTED_VALUE"""),29.0)</f>
        <v>29</v>
      </c>
      <c r="C371" s="33"/>
      <c r="D371" s="34" t="str">
        <f>IFERROR(__xludf.DUMMYFUNCTION("""COMPUTED_VALUE"""),"INGRESAR CENTRO DE COSTO A LA DERECHA")</f>
        <v>INGRESAR CENTRO DE COSTO A LA DERECHA</v>
      </c>
      <c r="E371" s="34" t="str">
        <f>IFERROR(__xludf.DUMMYFUNCTION("""COMPUTED_VALUE"""),"DPTO. DE EDUCACION")</f>
        <v>DPTO. DE EDUCACION</v>
      </c>
      <c r="F371" s="34" t="str">
        <f>IFERROR(__xludf.DUMMYFUNCTION("""COMPUTED_VALUE"""),"Mayordomo(a)")</f>
        <v>Mayordomo(a)</v>
      </c>
      <c r="G371" s="33" t="str">
        <f>IFERROR(__xludf.DUMMYFUNCTION("""COMPUTED_VALUE"""),"MAYORDOMO")</f>
        <v>MAYORDOMO</v>
      </c>
      <c r="H371">
        <f>IFERROR(__xludf.DUMMYFUNCTION("""COMPUTED_VALUE"""),21.0)</f>
        <v>21</v>
      </c>
      <c r="I371" s="34" t="str">
        <f>IFERROR(__xludf.DUMMYFUNCTION("""COMPUTED_VALUE"""),"3/4 Jornada")</f>
        <v>3/4 Jornada</v>
      </c>
      <c r="J371" s="33" t="str">
        <f>IFERROR(__xludf.DUMMYFUNCTION("""COMPUTED_VALUE"""),"A CONTRATA")</f>
        <v>A CONTRATA</v>
      </c>
      <c r="K371" s="33" t="str">
        <f>IFERROR(__xludf.DUMMYFUNCTION("""COMPUTED_VALUE"""),"AUXILIAR")</f>
        <v>AUXILIAR</v>
      </c>
      <c r="L371" s="34" t="str">
        <f>IFERROR(__xludf.DUMMYFUNCTION("""COMPUTED_VALUE"""),"INTERNO")</f>
        <v>INTERNO</v>
      </c>
      <c r="M371" s="34">
        <f>IFERROR(__xludf.DUMMYFUNCTION("""COMPUTED_VALUE"""),0.0)</f>
        <v>0</v>
      </c>
      <c r="N371" s="34" t="str">
        <f>IFERROR(__xludf.DUMMYFUNCTION("""COMPUTED_VALUE"""),"EXTERNO")</f>
        <v>EXTERNO</v>
      </c>
      <c r="O371">
        <f>IFERROR(__xludf.DUMMYFUNCTION("""COMPUTED_VALUE"""),2.0)</f>
        <v>2</v>
      </c>
      <c r="P371">
        <f>IFERROR(__xludf.DUMMYFUNCTION("""COMPUTED_VALUE"""),1.0)</f>
        <v>1</v>
      </c>
      <c r="Q371" s="35">
        <f>IFERROR(__xludf.DUMMYFUNCTION("""COMPUTED_VALUE"""),2.0)</f>
        <v>2</v>
      </c>
      <c r="R371" s="36" t="str">
        <f>IFERROR(__xludf.DUMMYFUNCTION("""COMPUTED_VALUE"""),"SELECCIONADO")</f>
        <v>SELECCIONADO</v>
      </c>
      <c r="S371" s="37">
        <f>IFERROR(__xludf.DUMMYFUNCTION("""COMPUTED_VALUE"""),42552.0)</f>
        <v>42552</v>
      </c>
      <c r="T371" s="34"/>
      <c r="U371" t="str">
        <f>IFERROR(__xludf.DUMMYFUNCTION("""COMPUTED_VALUE"""),"CRISTIAN LEIVA MALDONADO")</f>
        <v>CRISTIAN LEIVA MALDONADO</v>
      </c>
      <c r="V371" t="str">
        <f>IFERROR(__xludf.DUMMYFUNCTION("""COMPUTED_VALUE"""),"17051053-4")</f>
        <v>17051053-4</v>
      </c>
      <c r="W371" t="str">
        <f>IFERROR(__xludf.DUMMYFUNCTION("""COMPUTED_VALUE"""),"NO")</f>
        <v>NO</v>
      </c>
      <c r="AA371" s="38">
        <f>IFERROR(__xludf.DUMMYFUNCTION("""COMPUTED_VALUE"""),42468.0)</f>
        <v>42468</v>
      </c>
      <c r="AB371" s="38">
        <f>IFERROR(__xludf.DUMMYFUNCTION("""COMPUTED_VALUE"""),42475.0)</f>
        <v>42475</v>
      </c>
      <c r="AF371" s="39"/>
      <c r="AG371" s="39"/>
      <c r="AH371" s="34" t="str">
        <f>IFERROR(__xludf.DUMMYFUNCTION("""COMPUTED_VALUE"""),"PROCESO DE SELECCIÓN")</f>
        <v>PROCESO DE SELECCIÓN</v>
      </c>
      <c r="AI371" s="34" t="str">
        <f>IFERROR(__xludf.DUMMYFUNCTION("""COMPUTED_VALUE"""),"ERNESTO CID MELO")</f>
        <v>ERNESTO CID MELO</v>
      </c>
      <c r="AJ371" s="34"/>
      <c r="AK371" s="34" t="str">
        <f>IFERROR(__xludf.DUMMYFUNCTION("""COMPUTED_VALUE"""),"E")</f>
        <v>E</v>
      </c>
      <c r="AL371">
        <f>IFERROR(__xludf.DUMMYFUNCTION("""COMPUTED_VALUE"""),56.0)</f>
        <v>56</v>
      </c>
      <c r="AM371">
        <f>IFERROR(__xludf.DUMMYFUNCTION("""COMPUTED_VALUE"""),2016.0)</f>
        <v>2016</v>
      </c>
      <c r="AN371" t="str">
        <f t="shared" si="1"/>
        <v>17051053-4</v>
      </c>
    </row>
    <row r="372">
      <c r="A372" s="33">
        <f>IFERROR(__xludf.DUMMYFUNCTION("""COMPUTED_VALUE"""),7987386.0)</f>
        <v>7987386</v>
      </c>
      <c r="B372" s="33">
        <f>IFERROR(__xludf.DUMMYFUNCTION("""COMPUTED_VALUE"""),30.0)</f>
        <v>30</v>
      </c>
      <c r="C372" s="33"/>
      <c r="D372" s="34" t="str">
        <f>IFERROR(__xludf.DUMMYFUNCTION("""COMPUTED_VALUE"""),"INGRESAR CENTRO DE COSTO A LA DERECHA")</f>
        <v>INGRESAR CENTRO DE COSTO A LA DERECHA</v>
      </c>
      <c r="E372" s="34" t="str">
        <f>IFERROR(__xludf.DUMMYFUNCTION("""COMPUTED_VALUE"""),"DPTO. DE TECNOLOGIAS INDUSTRIALES")</f>
        <v>DPTO. DE TECNOLOGIAS INDUSTRIALES</v>
      </c>
      <c r="F372" s="34" t="str">
        <f>IFERROR(__xludf.DUMMYFUNCTION("""COMPUTED_VALUE"""),"Secretario(a) de Apoyo Docente")</f>
        <v>Secretario(a) de Apoyo Docente</v>
      </c>
      <c r="G372" s="33" t="str">
        <f>IFERROR(__xludf.DUMMYFUNCTION("""COMPUTED_VALUE"""),"SECRETARIA DE APOYO DOCENTE")</f>
        <v>SECRETARIA DE APOYO DOCENTE</v>
      </c>
      <c r="H372">
        <f>IFERROR(__xludf.DUMMYFUNCTION("""COMPUTED_VALUE"""),17.0)</f>
        <v>17</v>
      </c>
      <c r="I372" s="34" t="str">
        <f>IFERROR(__xludf.DUMMYFUNCTION("""COMPUTED_VALUE"""),"Jornada Completa")</f>
        <v>Jornada Completa</v>
      </c>
      <c r="J372" s="33" t="str">
        <f>IFERROR(__xludf.DUMMYFUNCTION("""COMPUTED_VALUE"""),"A CONTRATA")</f>
        <v>A CONTRATA</v>
      </c>
      <c r="K372" s="33" t="str">
        <f>IFERROR(__xludf.DUMMYFUNCTION("""COMPUTED_VALUE"""),"ADMINISTRATIVO")</f>
        <v>ADMINISTRATIVO</v>
      </c>
      <c r="L372" s="34" t="str">
        <f>IFERROR(__xludf.DUMMYFUNCTION("""COMPUTED_VALUE"""),"INTERNO")</f>
        <v>INTERNO</v>
      </c>
      <c r="M372" s="34">
        <f>IFERROR(__xludf.DUMMYFUNCTION("""COMPUTED_VALUE"""),2.0)</f>
        <v>2</v>
      </c>
      <c r="N372" s="34" t="str">
        <f>IFERROR(__xludf.DUMMYFUNCTION("""COMPUTED_VALUE"""),"EXTERNO")</f>
        <v>EXTERNO</v>
      </c>
      <c r="O372">
        <f>IFERROR(__xludf.DUMMYFUNCTION("""COMPUTED_VALUE"""),10.0)</f>
        <v>10</v>
      </c>
      <c r="P372">
        <f>IFERROR(__xludf.DUMMYFUNCTION("""COMPUTED_VALUE"""),5.0)</f>
        <v>5</v>
      </c>
      <c r="Q372" s="35">
        <f>IFERROR(__xludf.DUMMYFUNCTION("""COMPUTED_VALUE"""),1.0)</f>
        <v>1</v>
      </c>
      <c r="R372" s="36" t="str">
        <f>IFERROR(__xludf.DUMMYFUNCTION("""COMPUTED_VALUE"""),"SELECCIONADA")</f>
        <v>SELECCIONADA</v>
      </c>
      <c r="S372" s="37">
        <f>IFERROR(__xludf.DUMMYFUNCTION("""COMPUTED_VALUE"""),42555.0)</f>
        <v>42555</v>
      </c>
      <c r="T372" s="34"/>
      <c r="U372" t="str">
        <f>IFERROR(__xludf.DUMMYFUNCTION("""COMPUTED_VALUE"""),"GLORIA GONZALEZ HERNANDEZ")</f>
        <v>GLORIA GONZALEZ HERNANDEZ</v>
      </c>
      <c r="V372" t="str">
        <f>IFERROR(__xludf.DUMMYFUNCTION("""COMPUTED_VALUE"""),"7987386-1")</f>
        <v>7987386-1</v>
      </c>
      <c r="W372" t="str">
        <f>IFERROR(__xludf.DUMMYFUNCTION("""COMPUTED_VALUE"""),"NO")</f>
        <v>NO</v>
      </c>
      <c r="AA372" s="38">
        <f>IFERROR(__xludf.DUMMYFUNCTION("""COMPUTED_VALUE"""),42527.0)</f>
        <v>42527</v>
      </c>
      <c r="AB372" s="38">
        <f>IFERROR(__xludf.DUMMYFUNCTION("""COMPUTED_VALUE"""),42531.0)</f>
        <v>42531</v>
      </c>
      <c r="AF372" s="39"/>
      <c r="AG372" s="39"/>
      <c r="AH372" s="34" t="str">
        <f>IFERROR(__xludf.DUMMYFUNCTION("""COMPUTED_VALUE"""),"PROCESO DE SELECCIÓN")</f>
        <v>PROCESO DE SELECCIÓN</v>
      </c>
      <c r="AI372" s="34" t="str">
        <f>IFERROR(__xludf.DUMMYFUNCTION("""COMPUTED_VALUE"""),"AUTORIZADO 2015")</f>
        <v>AUTORIZADO 2015</v>
      </c>
      <c r="AJ372" s="34"/>
      <c r="AK372" s="34" t="str">
        <f>IFERROR(__xludf.DUMMYFUNCTION("""COMPUTED_VALUE"""),"E")</f>
        <v>E</v>
      </c>
      <c r="AL372">
        <f>IFERROR(__xludf.DUMMYFUNCTION("""COMPUTED_VALUE"""),17.0)</f>
        <v>17</v>
      </c>
      <c r="AM372">
        <f>IFERROR(__xludf.DUMMYFUNCTION("""COMPUTED_VALUE"""),2016.0)</f>
        <v>2016</v>
      </c>
      <c r="AN372" t="str">
        <f t="shared" si="1"/>
        <v>07987386-1</v>
      </c>
    </row>
    <row r="373">
      <c r="A373" s="33">
        <f>IFERROR(__xludf.DUMMYFUNCTION("""COMPUTED_VALUE"""),1.3924244E7)</f>
        <v>13924244</v>
      </c>
      <c r="B373" s="33">
        <f>IFERROR(__xludf.DUMMYFUNCTION("""COMPUTED_VALUE"""),31.0)</f>
        <v>31</v>
      </c>
      <c r="C373" s="33"/>
      <c r="D373" s="34" t="str">
        <f>IFERROR(__xludf.DUMMYFUNCTION("""COMPUTED_VALUE"""),"INGRESAR CENTRO DE COSTO A LA DERECHA")</f>
        <v>INGRESAR CENTRO DE COSTO A LA DERECHA</v>
      </c>
      <c r="E373" s="34" t="str">
        <f>IFERROR(__xludf.DUMMYFUNCTION("""COMPUTED_VALUE"""),"VR. ACADEMICA")</f>
        <v>VR. ACADEMICA</v>
      </c>
      <c r="F373" s="34" t="str">
        <f>IFERROR(__xludf.DUMMYFUNCTION("""COMPUTED_VALUE"""),"Jefe(a) de Área")</f>
        <v>Jefe(a) de Área</v>
      </c>
      <c r="G373" s="33" t="str">
        <f>IFERROR(__xludf.DUMMYFUNCTION("""COMPUTED_VALUE"""),"JEFE DE AREA")</f>
        <v>JEFE DE AREA</v>
      </c>
      <c r="H373">
        <f>IFERROR(__xludf.DUMMYFUNCTION("""COMPUTED_VALUE"""),6.0)</f>
        <v>6</v>
      </c>
      <c r="I373" s="34" t="str">
        <f>IFERROR(__xludf.DUMMYFUNCTION("""COMPUTED_VALUE"""),"Jornada Completa")</f>
        <v>Jornada Completa</v>
      </c>
      <c r="J373" s="33" t="str">
        <f>IFERROR(__xludf.DUMMYFUNCTION("""COMPUTED_VALUE"""),"A CONTRATA")</f>
        <v>A CONTRATA</v>
      </c>
      <c r="K373" s="33" t="str">
        <f>IFERROR(__xludf.DUMMYFUNCTION("""COMPUTED_VALUE"""),"PROFESIONAL")</f>
        <v>PROFESIONAL</v>
      </c>
      <c r="L373" s="34" t="str">
        <f>IFERROR(__xludf.DUMMYFUNCTION("""COMPUTED_VALUE"""),"NO")</f>
        <v>NO</v>
      </c>
      <c r="M373" s="34">
        <f>IFERROR(__xludf.DUMMYFUNCTION("""COMPUTED_VALUE"""),0.0)</f>
        <v>0</v>
      </c>
      <c r="N373" s="34" t="str">
        <f>IFERROR(__xludf.DUMMYFUNCTION("""COMPUTED_VALUE"""),"NO")</f>
        <v>NO</v>
      </c>
      <c r="O373">
        <f>IFERROR(__xludf.DUMMYFUNCTION("""COMPUTED_VALUE"""),0.0)</f>
        <v>0</v>
      </c>
      <c r="P373">
        <f>IFERROR(__xludf.DUMMYFUNCTION("""COMPUTED_VALUE"""),1.0)</f>
        <v>1</v>
      </c>
      <c r="Q373" s="35">
        <f>IFERROR(__xludf.DUMMYFUNCTION("""COMPUTED_VALUE"""),0.0)</f>
        <v>0</v>
      </c>
      <c r="R373" s="36" t="str">
        <f>IFERROR(__xludf.DUMMYFUNCTION("""COMPUTED_VALUE"""),"SELECCIONADA")</f>
        <v>SELECCIONADA</v>
      </c>
      <c r="S373" s="37">
        <f>IFERROR(__xludf.DUMMYFUNCTION("""COMPUTED_VALUE"""),42430.0)</f>
        <v>42430</v>
      </c>
      <c r="T373" s="34"/>
      <c r="U373" t="str">
        <f>IFERROR(__xludf.DUMMYFUNCTION("""COMPUTED_VALUE"""),"BEATRIZ DEL PILAR RAHMER PAVEZ")</f>
        <v>BEATRIZ DEL PILAR RAHMER PAVEZ</v>
      </c>
      <c r="V373" t="str">
        <f>IFERROR(__xludf.DUMMYFUNCTION("""COMPUTED_VALUE"""),"13924244-0")</f>
        <v>13924244-0</v>
      </c>
      <c r="W373" t="str">
        <f>IFERROR(__xludf.DUMMYFUNCTION("""COMPUTED_VALUE"""),"NO")</f>
        <v>NO</v>
      </c>
      <c r="AA373" s="38"/>
      <c r="AB373" s="38"/>
      <c r="AF373" s="39"/>
      <c r="AG373" s="39"/>
      <c r="AH373" s="34" t="str">
        <f>IFERROR(__xludf.DUMMYFUNCTION("""COMPUTED_VALUE"""),"REGULARIZACIÓN CONTRACTUAL")</f>
        <v>REGULARIZACIÓN CONTRACTUAL</v>
      </c>
      <c r="AI373" s="34" t="str">
        <f>IFERROR(__xludf.DUMMYFUNCTION("""COMPUTED_VALUE"""),"-")</f>
        <v>-</v>
      </c>
      <c r="AJ373" s="34"/>
      <c r="AK373" s="34"/>
      <c r="AM373">
        <f>IFERROR(__xludf.DUMMYFUNCTION("""COMPUTED_VALUE"""),2016.0)</f>
        <v>2016</v>
      </c>
      <c r="AN373" t="str">
        <f t="shared" si="1"/>
        <v>13924244-0</v>
      </c>
    </row>
    <row r="374">
      <c r="A374" s="33">
        <f>IFERROR(__xludf.DUMMYFUNCTION("""COMPUTED_VALUE"""),1.4091964E7)</f>
        <v>14091964</v>
      </c>
      <c r="B374" s="33">
        <f>IFERROR(__xludf.DUMMYFUNCTION("""COMPUTED_VALUE"""),32.0)</f>
        <v>32</v>
      </c>
      <c r="C374" s="33"/>
      <c r="D374" s="34" t="str">
        <f>IFERROR(__xludf.DUMMYFUNCTION("""COMPUTED_VALUE"""),"INGRESAR CENTRO DE COSTO A LA DERECHA")</f>
        <v>INGRESAR CENTRO DE COSTO A LA DERECHA</v>
      </c>
      <c r="E374" s="34" t="str">
        <f>IFERROR(__xludf.DUMMYFUNCTION("""COMPUTED_VALUE"""),"VR. DE INVEST. DESARR E INNOVACION")</f>
        <v>VR. DE INVEST. DESARR E INNOVACION</v>
      </c>
      <c r="F374" s="34" t="str">
        <f>IFERROR(__xludf.DUMMYFUNCTION("""COMPUTED_VALUE"""),"Secretario(a) B")</f>
        <v>Secretario(a) B</v>
      </c>
      <c r="G374" s="33" t="str">
        <f>IFERROR(__xludf.DUMMYFUNCTION("""COMPUTED_VALUE"""),"SECRETARIA(O) B")</f>
        <v>SECRETARIA(O) B</v>
      </c>
      <c r="H374">
        <f>IFERROR(__xludf.DUMMYFUNCTION("""COMPUTED_VALUE"""),17.0)</f>
        <v>17</v>
      </c>
      <c r="I374" s="34" t="str">
        <f>IFERROR(__xludf.DUMMYFUNCTION("""COMPUTED_VALUE"""),"Jornada Completa")</f>
        <v>Jornada Completa</v>
      </c>
      <c r="J374" s="33" t="str">
        <f>IFERROR(__xludf.DUMMYFUNCTION("""COMPUTED_VALUE"""),"A CONTRATA")</f>
        <v>A CONTRATA</v>
      </c>
      <c r="K374" s="33" t="str">
        <f>IFERROR(__xludf.DUMMYFUNCTION("""COMPUTED_VALUE"""),"ADMINISTRATIVO")</f>
        <v>ADMINISTRATIVO</v>
      </c>
      <c r="L374" s="34" t="str">
        <f>IFERROR(__xludf.DUMMYFUNCTION("""COMPUTED_VALUE"""),"NO")</f>
        <v>NO</v>
      </c>
      <c r="M374" s="34">
        <f>IFERROR(__xludf.DUMMYFUNCTION("""COMPUTED_VALUE"""),0.0)</f>
        <v>0</v>
      </c>
      <c r="N374" s="34" t="str">
        <f>IFERROR(__xludf.DUMMYFUNCTION("""COMPUTED_VALUE"""),"NO")</f>
        <v>NO</v>
      </c>
      <c r="O374">
        <f>IFERROR(__xludf.DUMMYFUNCTION("""COMPUTED_VALUE"""),0.0)</f>
        <v>0</v>
      </c>
      <c r="P374">
        <f>IFERROR(__xludf.DUMMYFUNCTION("""COMPUTED_VALUE"""),1.0)</f>
        <v>1</v>
      </c>
      <c r="Q374" s="35">
        <f>IFERROR(__xludf.DUMMYFUNCTION("""COMPUTED_VALUE"""),0.0)</f>
        <v>0</v>
      </c>
      <c r="R374" s="36" t="str">
        <f>IFERROR(__xludf.DUMMYFUNCTION("""COMPUTED_VALUE"""),"SELECCIONADA")</f>
        <v>SELECCIONADA</v>
      </c>
      <c r="S374" s="37">
        <f>IFERROR(__xludf.DUMMYFUNCTION("""COMPUTED_VALUE"""),42370.0)</f>
        <v>42370</v>
      </c>
      <c r="T374" s="34"/>
      <c r="U374" t="str">
        <f>IFERROR(__xludf.DUMMYFUNCTION("""COMPUTED_VALUE"""),"KATHERINE ELIZABETH PAZ SANCHEZ")</f>
        <v>KATHERINE ELIZABETH PAZ SANCHEZ</v>
      </c>
      <c r="V374" t="str">
        <f>IFERROR(__xludf.DUMMYFUNCTION("""COMPUTED_VALUE"""),"14091964-0")</f>
        <v>14091964-0</v>
      </c>
      <c r="W374" t="str">
        <f>IFERROR(__xludf.DUMMYFUNCTION("""COMPUTED_VALUE"""),"SI")</f>
        <v>SI</v>
      </c>
      <c r="X374" t="str">
        <f>IFERROR(__xludf.DUMMYFUNCTION("""COMPUTED_VALUE"""),"TRABAJO EN EQUIPO")</f>
        <v>TRABAJO EN EQUIPO</v>
      </c>
      <c r="AA374" s="38"/>
      <c r="AB374" s="38"/>
      <c r="AF374" s="39"/>
      <c r="AG374" s="39"/>
      <c r="AH374" s="34" t="str">
        <f>IFERROR(__xludf.DUMMYFUNCTION("""COMPUTED_VALUE"""),"REGULARIZACIÓN CONTRACTUAL")</f>
        <v>REGULARIZACIÓN CONTRACTUAL</v>
      </c>
      <c r="AI374" s="34" t="str">
        <f>IFERROR(__xludf.DUMMYFUNCTION("""COMPUTED_VALUE"""),"-")</f>
        <v>-</v>
      </c>
      <c r="AJ374" s="34"/>
      <c r="AK374" s="34"/>
      <c r="AM374">
        <f>IFERROR(__xludf.DUMMYFUNCTION("""COMPUTED_VALUE"""),2016.0)</f>
        <v>2016</v>
      </c>
      <c r="AN374" t="str">
        <f t="shared" si="1"/>
        <v>14091964-0</v>
      </c>
    </row>
    <row r="375">
      <c r="A375" s="33">
        <f>IFERROR(__xludf.DUMMYFUNCTION("""COMPUTED_VALUE"""),1.8079595E7)</f>
        <v>18079595</v>
      </c>
      <c r="B375" s="33">
        <f>IFERROR(__xludf.DUMMYFUNCTION("""COMPUTED_VALUE"""),33.0)</f>
        <v>33</v>
      </c>
      <c r="C375" s="33"/>
      <c r="D375" s="34" t="str">
        <f>IFERROR(__xludf.DUMMYFUNCTION("""COMPUTED_VALUE"""),"INGRESAR CENTRO DE COSTO A LA DERECHA")</f>
        <v>INGRESAR CENTRO DE COSTO A LA DERECHA</v>
      </c>
      <c r="E375" s="34" t="str">
        <f>IFERROR(__xludf.DUMMYFUNCTION("""COMPUTED_VALUE"""),"VR. DE INVEST. DESARR E INNOVACION")</f>
        <v>VR. DE INVEST. DESARR E INNOVACION</v>
      </c>
      <c r="F375" s="34" t="str">
        <f>IFERROR(__xludf.DUMMYFUNCTION("""COMPUTED_VALUE"""),"Administrativo(a) de Compras")</f>
        <v>Administrativo(a) de Compras</v>
      </c>
      <c r="G375" s="33" t="str">
        <f>IFERROR(__xludf.DUMMYFUNCTION("""COMPUTED_VALUE"""),"ADMINISTRATIVO DE COMPRAS")</f>
        <v>ADMINISTRATIVO DE COMPRAS</v>
      </c>
      <c r="H375">
        <f>IFERROR(__xludf.DUMMYFUNCTION("""COMPUTED_VALUE"""),17.0)</f>
        <v>17</v>
      </c>
      <c r="I375" s="34" t="str">
        <f>IFERROR(__xludf.DUMMYFUNCTION("""COMPUTED_VALUE"""),"Jornada Completa")</f>
        <v>Jornada Completa</v>
      </c>
      <c r="J375" s="33" t="str">
        <f>IFERROR(__xludf.DUMMYFUNCTION("""COMPUTED_VALUE"""),"A CONTRATA")</f>
        <v>A CONTRATA</v>
      </c>
      <c r="K375" s="33" t="str">
        <f>IFERROR(__xludf.DUMMYFUNCTION("""COMPUTED_VALUE"""),"ADMINISTRATIVO")</f>
        <v>ADMINISTRATIVO</v>
      </c>
      <c r="L375" s="34" t="str">
        <f>IFERROR(__xludf.DUMMYFUNCTION("""COMPUTED_VALUE"""),"NO")</f>
        <v>NO</v>
      </c>
      <c r="M375" s="34">
        <f>IFERROR(__xludf.DUMMYFUNCTION("""COMPUTED_VALUE"""),0.0)</f>
        <v>0</v>
      </c>
      <c r="N375" s="34" t="str">
        <f>IFERROR(__xludf.DUMMYFUNCTION("""COMPUTED_VALUE"""),"NO")</f>
        <v>NO</v>
      </c>
      <c r="O375">
        <f>IFERROR(__xludf.DUMMYFUNCTION("""COMPUTED_VALUE"""),0.0)</f>
        <v>0</v>
      </c>
      <c r="P375">
        <f>IFERROR(__xludf.DUMMYFUNCTION("""COMPUTED_VALUE"""),1.0)</f>
        <v>1</v>
      </c>
      <c r="Q375" s="35">
        <f>IFERROR(__xludf.DUMMYFUNCTION("""COMPUTED_VALUE"""),0.0)</f>
        <v>0</v>
      </c>
      <c r="R375" s="36" t="str">
        <f>IFERROR(__xludf.DUMMYFUNCTION("""COMPUTED_VALUE"""),"SELECCIONADA")</f>
        <v>SELECCIONADA</v>
      </c>
      <c r="S375" s="37">
        <f>IFERROR(__xludf.DUMMYFUNCTION("""COMPUTED_VALUE"""),42370.0)</f>
        <v>42370</v>
      </c>
      <c r="T375" s="34"/>
      <c r="U375" t="str">
        <f>IFERROR(__xludf.DUMMYFUNCTION("""COMPUTED_VALUE"""),"VERONICA ELENA OLGUIN FERNANDEZ")</f>
        <v>VERONICA ELENA OLGUIN FERNANDEZ</v>
      </c>
      <c r="V375" t="str">
        <f>IFERROR(__xludf.DUMMYFUNCTION("""COMPUTED_VALUE"""),"18079595-2")</f>
        <v>18079595-2</v>
      </c>
      <c r="W375" t="str">
        <f>IFERROR(__xludf.DUMMYFUNCTION("""COMPUTED_VALUE"""),"SI")</f>
        <v>SI</v>
      </c>
      <c r="X375" t="str">
        <f>IFERROR(__xludf.DUMMYFUNCTION("""COMPUTED_VALUE"""),"TRABAJO EN EQUIPO")</f>
        <v>TRABAJO EN EQUIPO</v>
      </c>
      <c r="AA375" s="38"/>
      <c r="AB375" s="38"/>
      <c r="AF375" s="39"/>
      <c r="AG375" s="39"/>
      <c r="AH375" s="34" t="str">
        <f>IFERROR(__xludf.DUMMYFUNCTION("""COMPUTED_VALUE"""),"REGULARIZACIÓN CONTRACTUAL")</f>
        <v>REGULARIZACIÓN CONTRACTUAL</v>
      </c>
      <c r="AI375" s="34" t="str">
        <f>IFERROR(__xludf.DUMMYFUNCTION("""COMPUTED_VALUE"""),"-")</f>
        <v>-</v>
      </c>
      <c r="AJ375" s="34"/>
      <c r="AK375" s="34"/>
      <c r="AM375">
        <f>IFERROR(__xludf.DUMMYFUNCTION("""COMPUTED_VALUE"""),2016.0)</f>
        <v>2016</v>
      </c>
      <c r="AN375" t="str">
        <f t="shared" si="1"/>
        <v>18079595-2</v>
      </c>
    </row>
    <row r="376">
      <c r="A376" s="33">
        <f>IFERROR(__xludf.DUMMYFUNCTION("""COMPUTED_VALUE"""),1.7633977E7)</f>
        <v>17633977</v>
      </c>
      <c r="B376" s="33">
        <f>IFERROR(__xludf.DUMMYFUNCTION("""COMPUTED_VALUE"""),34.0)</f>
        <v>34</v>
      </c>
      <c r="C376" s="33"/>
      <c r="D376" s="34" t="str">
        <f>IFERROR(__xludf.DUMMYFUNCTION("""COMPUTED_VALUE"""),"INGRESAR CENTRO DE COSTO A LA DERECHA")</f>
        <v>INGRESAR CENTRO DE COSTO A LA DERECHA</v>
      </c>
      <c r="E376" s="34" t="str">
        <f>IFERROR(__xludf.DUMMYFUNCTION("""COMPUTED_VALUE"""),"DPTO. DE FINANZAS Y TESORERIA")</f>
        <v>DPTO. DE FINANZAS Y TESORERIA</v>
      </c>
      <c r="F376" s="34" t="str">
        <f>IFERROR(__xludf.DUMMYFUNCTION("""COMPUTED_VALUE"""),"Analista Contable II")</f>
        <v>Analista Contable II</v>
      </c>
      <c r="G376" s="33" t="str">
        <f>IFERROR(__xludf.DUMMYFUNCTION("""COMPUTED_VALUE"""),"ANALISTA CONTABLE II")</f>
        <v>ANALISTA CONTABLE II</v>
      </c>
      <c r="H376">
        <f>IFERROR(__xludf.DUMMYFUNCTION("""COMPUTED_VALUE"""),13.0)</f>
        <v>13</v>
      </c>
      <c r="I376" s="34" t="str">
        <f>IFERROR(__xludf.DUMMYFUNCTION("""COMPUTED_VALUE"""),"Jornada Completa")</f>
        <v>Jornada Completa</v>
      </c>
      <c r="J376" s="33" t="str">
        <f>IFERROR(__xludf.DUMMYFUNCTION("""COMPUTED_VALUE"""),"A CONTRATA")</f>
        <v>A CONTRATA</v>
      </c>
      <c r="K376" s="33" t="str">
        <f>IFERROR(__xludf.DUMMYFUNCTION("""COMPUTED_VALUE"""),"PROFESIONAL")</f>
        <v>PROFESIONAL</v>
      </c>
      <c r="L376" s="34" t="str">
        <f>IFERROR(__xludf.DUMMYFUNCTION("""COMPUTED_VALUE"""),"NO")</f>
        <v>NO</v>
      </c>
      <c r="M376" s="34">
        <f>IFERROR(__xludf.DUMMYFUNCTION("""COMPUTED_VALUE"""),0.0)</f>
        <v>0</v>
      </c>
      <c r="N376" s="34" t="str">
        <f>IFERROR(__xludf.DUMMYFUNCTION("""COMPUTED_VALUE"""),"NO")</f>
        <v>NO</v>
      </c>
      <c r="O376">
        <f>IFERROR(__xludf.DUMMYFUNCTION("""COMPUTED_VALUE"""),0.0)</f>
        <v>0</v>
      </c>
      <c r="P376">
        <f>IFERROR(__xludf.DUMMYFUNCTION("""COMPUTED_VALUE"""),1.0)</f>
        <v>1</v>
      </c>
      <c r="Q376" s="35">
        <f>IFERROR(__xludf.DUMMYFUNCTION("""COMPUTED_VALUE"""),0.0)</f>
        <v>0</v>
      </c>
      <c r="R376" s="36" t="str">
        <f>IFERROR(__xludf.DUMMYFUNCTION("""COMPUTED_VALUE"""),"SELECCIONADA")</f>
        <v>SELECCIONADA</v>
      </c>
      <c r="S376" s="37">
        <f>IFERROR(__xludf.DUMMYFUNCTION("""COMPUTED_VALUE"""),42370.0)</f>
        <v>42370</v>
      </c>
      <c r="T376" s="34"/>
      <c r="U376" t="str">
        <f>IFERROR(__xludf.DUMMYFUNCTION("""COMPUTED_VALUE"""),"DANIELA CONSTANZA GUERRA GALVEZ")</f>
        <v>DANIELA CONSTANZA GUERRA GALVEZ</v>
      </c>
      <c r="V376" t="str">
        <f>IFERROR(__xludf.DUMMYFUNCTION("""COMPUTED_VALUE"""),"17633977-2")</f>
        <v>17633977-2</v>
      </c>
      <c r="W376" t="str">
        <f>IFERROR(__xludf.DUMMYFUNCTION("""COMPUTED_VALUE"""),"NO")</f>
        <v>NO</v>
      </c>
      <c r="AA376" s="38"/>
      <c r="AB376" s="38"/>
      <c r="AF376" s="39"/>
      <c r="AG376" s="39"/>
      <c r="AH376" s="34" t="str">
        <f>IFERROR(__xludf.DUMMYFUNCTION("""COMPUTED_VALUE"""),"REGULARIZACIÓN CONTRACTUAL")</f>
        <v>REGULARIZACIÓN CONTRACTUAL</v>
      </c>
      <c r="AI376" s="34" t="str">
        <f>IFERROR(__xludf.DUMMYFUNCTION("""COMPUTED_VALUE"""),"-")</f>
        <v>-</v>
      </c>
      <c r="AJ376" s="34"/>
      <c r="AK376" s="34"/>
      <c r="AM376">
        <f>IFERROR(__xludf.DUMMYFUNCTION("""COMPUTED_VALUE"""),2016.0)</f>
        <v>2016</v>
      </c>
      <c r="AN376" t="str">
        <f t="shared" si="1"/>
        <v>17633977-2</v>
      </c>
    </row>
    <row r="377">
      <c r="A377" s="33">
        <f>IFERROR(__xludf.DUMMYFUNCTION("""COMPUTED_VALUE"""),1.8702008E7)</f>
        <v>18702008</v>
      </c>
      <c r="B377" s="33">
        <f>IFERROR(__xludf.DUMMYFUNCTION("""COMPUTED_VALUE"""),35.0)</f>
        <v>35</v>
      </c>
      <c r="C377" s="33"/>
      <c r="D377" s="34" t="str">
        <f>IFERROR(__xludf.DUMMYFUNCTION("""COMPUTED_VALUE"""),"INGRESAR CENTRO DE COSTO A LA DERECHA")</f>
        <v>INGRESAR CENTRO DE COSTO A LA DERECHA</v>
      </c>
      <c r="E377" s="34" t="str">
        <f>IFERROR(__xludf.DUMMYFUNCTION("""COMPUTED_VALUE"""),"DPTO. DE FINANZAS Y TESORERIA")</f>
        <v>DPTO. DE FINANZAS Y TESORERIA</v>
      </c>
      <c r="F377" s="34" t="str">
        <f>IFERROR(__xludf.DUMMYFUNCTION("""COMPUTED_VALUE"""),"Administrativo(a) Contable")</f>
        <v>Administrativo(a) Contable</v>
      </c>
      <c r="G377" s="33" t="str">
        <f>IFERROR(__xludf.DUMMYFUNCTION("""COMPUTED_VALUE"""),"ADMINISTRATIVO CONTABLE")</f>
        <v>ADMINISTRATIVO CONTABLE</v>
      </c>
      <c r="H377">
        <f>IFERROR(__xludf.DUMMYFUNCTION("""COMPUTED_VALUE"""),17.0)</f>
        <v>17</v>
      </c>
      <c r="I377" s="34" t="str">
        <f>IFERROR(__xludf.DUMMYFUNCTION("""COMPUTED_VALUE"""),"Jornada Completa")</f>
        <v>Jornada Completa</v>
      </c>
      <c r="J377" s="33" t="str">
        <f>IFERROR(__xludf.DUMMYFUNCTION("""COMPUTED_VALUE"""),"A CONTRATA")</f>
        <v>A CONTRATA</v>
      </c>
      <c r="K377" s="33" t="str">
        <f>IFERROR(__xludf.DUMMYFUNCTION("""COMPUTED_VALUE"""),"ADMINISTRATIVO")</f>
        <v>ADMINISTRATIVO</v>
      </c>
      <c r="L377" s="34" t="str">
        <f>IFERROR(__xludf.DUMMYFUNCTION("""COMPUTED_VALUE"""),"NO")</f>
        <v>NO</v>
      </c>
      <c r="M377" s="34">
        <f>IFERROR(__xludf.DUMMYFUNCTION("""COMPUTED_VALUE"""),0.0)</f>
        <v>0</v>
      </c>
      <c r="N377" s="34" t="str">
        <f>IFERROR(__xludf.DUMMYFUNCTION("""COMPUTED_VALUE"""),"NO")</f>
        <v>NO</v>
      </c>
      <c r="O377">
        <f>IFERROR(__xludf.DUMMYFUNCTION("""COMPUTED_VALUE"""),0.0)</f>
        <v>0</v>
      </c>
      <c r="P377">
        <f>IFERROR(__xludf.DUMMYFUNCTION("""COMPUTED_VALUE"""),1.0)</f>
        <v>1</v>
      </c>
      <c r="Q377" s="35">
        <f>IFERROR(__xludf.DUMMYFUNCTION("""COMPUTED_VALUE"""),0.0)</f>
        <v>0</v>
      </c>
      <c r="R377" s="36" t="str">
        <f>IFERROR(__xludf.DUMMYFUNCTION("""COMPUTED_VALUE"""),"SELECCIONADA")</f>
        <v>SELECCIONADA</v>
      </c>
      <c r="S377" s="37">
        <f>IFERROR(__xludf.DUMMYFUNCTION("""COMPUTED_VALUE"""),42370.0)</f>
        <v>42370</v>
      </c>
      <c r="T377" s="34"/>
      <c r="U377" t="str">
        <f>IFERROR(__xludf.DUMMYFUNCTION("""COMPUTED_VALUE"""),"GISSELLA ANDREA GOMEZ ALFARO")</f>
        <v>GISSELLA ANDREA GOMEZ ALFARO</v>
      </c>
      <c r="V377" t="str">
        <f>IFERROR(__xludf.DUMMYFUNCTION("""COMPUTED_VALUE"""),"18702008-5")</f>
        <v>18702008-5</v>
      </c>
      <c r="W377" t="str">
        <f>IFERROR(__xludf.DUMMYFUNCTION("""COMPUTED_VALUE"""),"SI")</f>
        <v>SI</v>
      </c>
      <c r="X377" t="str">
        <f>IFERROR(__xludf.DUMMYFUNCTION("""COMPUTED_VALUE"""),"TRABAJO EN EQUIPO")</f>
        <v>TRABAJO EN EQUIPO</v>
      </c>
      <c r="AA377" s="38"/>
      <c r="AB377" s="38"/>
      <c r="AF377" s="39"/>
      <c r="AG377" s="39"/>
      <c r="AH377" s="34" t="str">
        <f>IFERROR(__xludf.DUMMYFUNCTION("""COMPUTED_VALUE"""),"REGULARIZACIÓN CONTRACTUAL")</f>
        <v>REGULARIZACIÓN CONTRACTUAL</v>
      </c>
      <c r="AI377" s="34" t="str">
        <f>IFERROR(__xludf.DUMMYFUNCTION("""COMPUTED_VALUE"""),"-")</f>
        <v>-</v>
      </c>
      <c r="AJ377" s="34"/>
      <c r="AK377" s="34"/>
      <c r="AM377">
        <f>IFERROR(__xludf.DUMMYFUNCTION("""COMPUTED_VALUE"""),2016.0)</f>
        <v>2016</v>
      </c>
      <c r="AN377" t="str">
        <f t="shared" si="1"/>
        <v>18702008-5</v>
      </c>
    </row>
    <row r="378">
      <c r="A378" s="33">
        <f>IFERROR(__xludf.DUMMYFUNCTION("""COMPUTED_VALUE"""),8739132.0)</f>
        <v>8739132</v>
      </c>
      <c r="B378" s="33">
        <f>IFERROR(__xludf.DUMMYFUNCTION("""COMPUTED_VALUE"""),36.0)</f>
        <v>36</v>
      </c>
      <c r="C378" s="33"/>
      <c r="D378" s="34" t="str">
        <f>IFERROR(__xludf.DUMMYFUNCTION("""COMPUTED_VALUE"""),"INGRESAR CENTRO DE COSTO A LA DERECHA")</f>
        <v>INGRESAR CENTRO DE COSTO A LA DERECHA</v>
      </c>
      <c r="E378" s="34" t="str">
        <f>IFERROR(__xludf.DUMMYFUNCTION("""COMPUTED_VALUE"""),"PRORRECTORIA")</f>
        <v>PRORRECTORIA</v>
      </c>
      <c r="F378" s="34" t="str">
        <f>IFERROR(__xludf.DUMMYFUNCTION("""COMPUTED_VALUE"""),"Abogado(a) Control de Contratos")</f>
        <v>Abogado(a) Control de Contratos</v>
      </c>
      <c r="G378" s="33" t="str">
        <f>IFERROR(__xludf.DUMMYFUNCTION("""COMPUTED_VALUE"""),"ABOGADO")</f>
        <v>ABOGADO</v>
      </c>
      <c r="H378">
        <f>IFERROR(__xludf.DUMMYFUNCTION("""COMPUTED_VALUE"""),6.0)</f>
        <v>6</v>
      </c>
      <c r="I378" s="34" t="str">
        <f>IFERROR(__xludf.DUMMYFUNCTION("""COMPUTED_VALUE"""),"Jornada Completa")</f>
        <v>Jornada Completa</v>
      </c>
      <c r="J378" s="33" t="str">
        <f>IFERROR(__xludf.DUMMYFUNCTION("""COMPUTED_VALUE"""),"A CONTRATA")</f>
        <v>A CONTRATA</v>
      </c>
      <c r="K378" s="33" t="str">
        <f>IFERROR(__xludf.DUMMYFUNCTION("""COMPUTED_VALUE"""),"PROFESIONAL")</f>
        <v>PROFESIONAL</v>
      </c>
      <c r="L378" s="34" t="str">
        <f>IFERROR(__xludf.DUMMYFUNCTION("""COMPUTED_VALUE"""),"NO")</f>
        <v>NO</v>
      </c>
      <c r="M378" s="34">
        <f>IFERROR(__xludf.DUMMYFUNCTION("""COMPUTED_VALUE"""),0.0)</f>
        <v>0</v>
      </c>
      <c r="N378" s="34" t="str">
        <f>IFERROR(__xludf.DUMMYFUNCTION("""COMPUTED_VALUE"""),"NO")</f>
        <v>NO</v>
      </c>
      <c r="O378">
        <f>IFERROR(__xludf.DUMMYFUNCTION("""COMPUTED_VALUE"""),0.0)</f>
        <v>0</v>
      </c>
      <c r="P378">
        <f>IFERROR(__xludf.DUMMYFUNCTION("""COMPUTED_VALUE"""),1.0)</f>
        <v>1</v>
      </c>
      <c r="Q378" s="35">
        <f>IFERROR(__xludf.DUMMYFUNCTION("""COMPUTED_VALUE"""),0.0)</f>
        <v>0</v>
      </c>
      <c r="R378" s="36" t="str">
        <f>IFERROR(__xludf.DUMMYFUNCTION("""COMPUTED_VALUE"""),"SELECCIONADA")</f>
        <v>SELECCIONADA</v>
      </c>
      <c r="S378" s="37">
        <f>IFERROR(__xludf.DUMMYFUNCTION("""COMPUTED_VALUE"""),42445.0)</f>
        <v>42445</v>
      </c>
      <c r="T378" s="34"/>
      <c r="U378" t="str">
        <f>IFERROR(__xludf.DUMMYFUNCTION("""COMPUTED_VALUE"""),"FRANCISCA CATALINA GARCIA SOTO")</f>
        <v>FRANCISCA CATALINA GARCIA SOTO</v>
      </c>
      <c r="V378" t="str">
        <f>IFERROR(__xludf.DUMMYFUNCTION("""COMPUTED_VALUE"""),"8739132-9")</f>
        <v>8739132-9</v>
      </c>
      <c r="W378" t="str">
        <f>IFERROR(__xludf.DUMMYFUNCTION("""COMPUTED_VALUE"""),"NO")</f>
        <v>NO</v>
      </c>
      <c r="AA378" s="38"/>
      <c r="AB378" s="38"/>
      <c r="AF378" s="39"/>
      <c r="AG378" s="39"/>
      <c r="AH378" s="34" t="str">
        <f>IFERROR(__xludf.DUMMYFUNCTION("""COMPUTED_VALUE"""),"REGULARIZACIÓN CONTRACTUAL")</f>
        <v>REGULARIZACIÓN CONTRACTUAL</v>
      </c>
      <c r="AI378" s="34" t="str">
        <f>IFERROR(__xludf.DUMMYFUNCTION("""COMPUTED_VALUE"""),"-")</f>
        <v>-</v>
      </c>
      <c r="AJ378" s="34"/>
      <c r="AK378" s="34"/>
      <c r="AM378">
        <f>IFERROR(__xludf.DUMMYFUNCTION("""COMPUTED_VALUE"""),2016.0)</f>
        <v>2016</v>
      </c>
      <c r="AN378" t="str">
        <f t="shared" si="1"/>
        <v>08739132-9</v>
      </c>
    </row>
    <row r="379">
      <c r="A379" s="33">
        <f>IFERROR(__xludf.DUMMYFUNCTION("""COMPUTED_VALUE"""),1.3992685E7)</f>
        <v>13992685</v>
      </c>
      <c r="B379" s="33">
        <f>IFERROR(__xludf.DUMMYFUNCTION("""COMPUTED_VALUE"""),37.0)</f>
        <v>37</v>
      </c>
      <c r="C379" s="33"/>
      <c r="D379" s="34" t="str">
        <f>IFERROR(__xludf.DUMMYFUNCTION("""COMPUTED_VALUE"""),"INGRESAR CENTRO DE COSTO A LA DERECHA")</f>
        <v>INGRESAR CENTRO DE COSTO A LA DERECHA</v>
      </c>
      <c r="E379" s="34" t="str">
        <f>IFERROR(__xludf.DUMMYFUNCTION("""COMPUTED_VALUE"""),"VR. ACADEMICA")</f>
        <v>VR. ACADEMICA</v>
      </c>
      <c r="F379" s="34" t="str">
        <f>IFERROR(__xludf.DUMMYFUNCTION("""COMPUTED_VALUE"""),"Analista de Proyectos I")</f>
        <v>Analista de Proyectos I</v>
      </c>
      <c r="G379" s="33" t="str">
        <f>IFERROR(__xludf.DUMMYFUNCTION("""COMPUTED_VALUE"""),"ANALISTA DE PROYECTOS I")</f>
        <v>ANALISTA DE PROYECTOS I</v>
      </c>
      <c r="H379">
        <f>IFERROR(__xludf.DUMMYFUNCTION("""COMPUTED_VALUE"""),8.0)</f>
        <v>8</v>
      </c>
      <c r="I379" s="34" t="str">
        <f>IFERROR(__xludf.DUMMYFUNCTION("""COMPUTED_VALUE"""),"Jornada Completa")</f>
        <v>Jornada Completa</v>
      </c>
      <c r="J379" s="33" t="str">
        <f>IFERROR(__xludf.DUMMYFUNCTION("""COMPUTED_VALUE"""),"A CONTRATA")</f>
        <v>A CONTRATA</v>
      </c>
      <c r="K379" s="33" t="str">
        <f>IFERROR(__xludf.DUMMYFUNCTION("""COMPUTED_VALUE"""),"PROFESIONAL")</f>
        <v>PROFESIONAL</v>
      </c>
      <c r="L379" s="34" t="str">
        <f>IFERROR(__xludf.DUMMYFUNCTION("""COMPUTED_VALUE"""),"NO")</f>
        <v>NO</v>
      </c>
      <c r="M379" s="34">
        <f>IFERROR(__xludf.DUMMYFUNCTION("""COMPUTED_VALUE"""),0.0)</f>
        <v>0</v>
      </c>
      <c r="N379" s="34" t="str">
        <f>IFERROR(__xludf.DUMMYFUNCTION("""COMPUTED_VALUE"""),"NO")</f>
        <v>NO</v>
      </c>
      <c r="O379">
        <f>IFERROR(__xludf.DUMMYFUNCTION("""COMPUTED_VALUE"""),0.0)</f>
        <v>0</v>
      </c>
      <c r="P379">
        <f>IFERROR(__xludf.DUMMYFUNCTION("""COMPUTED_VALUE"""),1.0)</f>
        <v>1</v>
      </c>
      <c r="Q379" s="35">
        <f>IFERROR(__xludf.DUMMYFUNCTION("""COMPUTED_VALUE"""),0.0)</f>
        <v>0</v>
      </c>
      <c r="R379" s="36" t="str">
        <f>IFERROR(__xludf.DUMMYFUNCTION("""COMPUTED_VALUE"""),"SELECCIONADA")</f>
        <v>SELECCIONADA</v>
      </c>
      <c r="S379" s="37">
        <f>IFERROR(__xludf.DUMMYFUNCTION("""COMPUTED_VALUE"""),42370.0)</f>
        <v>42370</v>
      </c>
      <c r="T379" s="34"/>
      <c r="U379" t="str">
        <f>IFERROR(__xludf.DUMMYFUNCTION("""COMPUTED_VALUE"""),"JESSENIA DEL CARMEN FUENTES ASPEE")</f>
        <v>JESSENIA DEL CARMEN FUENTES ASPEE</v>
      </c>
      <c r="V379" t="str">
        <f>IFERROR(__xludf.DUMMYFUNCTION("""COMPUTED_VALUE"""),"13992685-4")</f>
        <v>13992685-4</v>
      </c>
      <c r="W379" t="str">
        <f>IFERROR(__xludf.DUMMYFUNCTION("""COMPUTED_VALUE"""),"NO")</f>
        <v>NO</v>
      </c>
      <c r="AA379" s="38"/>
      <c r="AB379" s="38"/>
      <c r="AF379" s="39"/>
      <c r="AG379" s="39"/>
      <c r="AH379" s="34" t="str">
        <f>IFERROR(__xludf.DUMMYFUNCTION("""COMPUTED_VALUE"""),"REGULARIZACIÓN CONTRACTUAL")</f>
        <v>REGULARIZACIÓN CONTRACTUAL</v>
      </c>
      <c r="AI379" s="34" t="str">
        <f>IFERROR(__xludf.DUMMYFUNCTION("""COMPUTED_VALUE"""),"-")</f>
        <v>-</v>
      </c>
      <c r="AJ379" s="34"/>
      <c r="AK379" s="34"/>
      <c r="AM379">
        <f>IFERROR(__xludf.DUMMYFUNCTION("""COMPUTED_VALUE"""),2016.0)</f>
        <v>2016</v>
      </c>
      <c r="AN379" t="str">
        <f t="shared" si="1"/>
        <v>13992685-4</v>
      </c>
    </row>
    <row r="380">
      <c r="A380" s="33">
        <f>IFERROR(__xludf.DUMMYFUNCTION("""COMPUTED_VALUE"""),1.7730421E7)</f>
        <v>17730421</v>
      </c>
      <c r="B380" s="33">
        <f>IFERROR(__xludf.DUMMYFUNCTION("""COMPUTED_VALUE"""),38.0)</f>
        <v>38</v>
      </c>
      <c r="C380" s="33"/>
      <c r="D380" s="34" t="str">
        <f>IFERROR(__xludf.DUMMYFUNCTION("""COMPUTED_VALUE"""),"INGRESAR CENTRO DE COSTO A LA DERECHA")</f>
        <v>INGRESAR CENTRO DE COSTO A LA DERECHA</v>
      </c>
      <c r="E380" s="34" t="str">
        <f>IFERROR(__xludf.DUMMYFUNCTION("""COMPUTED_VALUE"""),"VR. DE INVEST. DESARR E INNOVACION")</f>
        <v>VR. DE INVEST. DESARR E INNOVACION</v>
      </c>
      <c r="F380" s="34" t="str">
        <f>IFERROR(__xludf.DUMMYFUNCTION("""COMPUTED_VALUE"""),"Administrativo(a) de Apoyo")</f>
        <v>Administrativo(a) de Apoyo</v>
      </c>
      <c r="G380" s="33" t="str">
        <f>IFERROR(__xludf.DUMMYFUNCTION("""COMPUTED_VALUE"""),"ADMINISTRATIVO DE APOYO")</f>
        <v>ADMINISTRATIVO DE APOYO</v>
      </c>
      <c r="H380">
        <f>IFERROR(__xludf.DUMMYFUNCTION("""COMPUTED_VALUE"""),20.0)</f>
        <v>20</v>
      </c>
      <c r="I380" s="34" t="str">
        <f>IFERROR(__xludf.DUMMYFUNCTION("""COMPUTED_VALUE"""),"Jornada Completa")</f>
        <v>Jornada Completa</v>
      </c>
      <c r="J380" s="33" t="str">
        <f>IFERROR(__xludf.DUMMYFUNCTION("""COMPUTED_VALUE"""),"A CONTRATA")</f>
        <v>A CONTRATA</v>
      </c>
      <c r="K380" s="33" t="str">
        <f>IFERROR(__xludf.DUMMYFUNCTION("""COMPUTED_VALUE"""),"ADMINISTRATIVO")</f>
        <v>ADMINISTRATIVO</v>
      </c>
      <c r="L380" s="34" t="str">
        <f>IFERROR(__xludf.DUMMYFUNCTION("""COMPUTED_VALUE"""),"NO")</f>
        <v>NO</v>
      </c>
      <c r="M380" s="34">
        <f>IFERROR(__xludf.DUMMYFUNCTION("""COMPUTED_VALUE"""),0.0)</f>
        <v>0</v>
      </c>
      <c r="N380" s="34" t="str">
        <f>IFERROR(__xludf.DUMMYFUNCTION("""COMPUTED_VALUE"""),"NO")</f>
        <v>NO</v>
      </c>
      <c r="O380">
        <f>IFERROR(__xludf.DUMMYFUNCTION("""COMPUTED_VALUE"""),0.0)</f>
        <v>0</v>
      </c>
      <c r="P380">
        <f>IFERROR(__xludf.DUMMYFUNCTION("""COMPUTED_VALUE"""),1.0)</f>
        <v>1</v>
      </c>
      <c r="Q380" s="35">
        <f>IFERROR(__xludf.DUMMYFUNCTION("""COMPUTED_VALUE"""),0.0)</f>
        <v>0</v>
      </c>
      <c r="R380" s="36" t="str">
        <f>IFERROR(__xludf.DUMMYFUNCTION("""COMPUTED_VALUE"""),"SELECCIONADA")</f>
        <v>SELECCIONADA</v>
      </c>
      <c r="S380" s="37">
        <f>IFERROR(__xludf.DUMMYFUNCTION("""COMPUTED_VALUE"""),42370.0)</f>
        <v>42370</v>
      </c>
      <c r="T380" s="34"/>
      <c r="U380" t="str">
        <f>IFERROR(__xludf.DUMMYFUNCTION("""COMPUTED_VALUE"""),"MAYRA DANIELA CHAVEZ HORMAZABAL")</f>
        <v>MAYRA DANIELA CHAVEZ HORMAZABAL</v>
      </c>
      <c r="V380" t="str">
        <f>IFERROR(__xludf.DUMMYFUNCTION("""COMPUTED_VALUE"""),"17730421-2")</f>
        <v>17730421-2</v>
      </c>
      <c r="W380" t="str">
        <f>IFERROR(__xludf.DUMMYFUNCTION("""COMPUTED_VALUE"""),"SI")</f>
        <v>SI</v>
      </c>
      <c r="X380" t="str">
        <f>IFERROR(__xludf.DUMMYFUNCTION("""COMPUTED_VALUE"""),"COMUNICACION")</f>
        <v>COMUNICACION</v>
      </c>
      <c r="AA380" s="38"/>
      <c r="AB380" s="38"/>
      <c r="AF380" s="39"/>
      <c r="AG380" s="39"/>
      <c r="AH380" s="34" t="str">
        <f>IFERROR(__xludf.DUMMYFUNCTION("""COMPUTED_VALUE"""),"REGULARIZACIÓN CONTRACTUAL")</f>
        <v>REGULARIZACIÓN CONTRACTUAL</v>
      </c>
      <c r="AI380" s="34" t="str">
        <f>IFERROR(__xludf.DUMMYFUNCTION("""COMPUTED_VALUE"""),"-")</f>
        <v>-</v>
      </c>
      <c r="AJ380" s="34"/>
      <c r="AK380" s="34"/>
      <c r="AM380">
        <f>IFERROR(__xludf.DUMMYFUNCTION("""COMPUTED_VALUE"""),2016.0)</f>
        <v>2016</v>
      </c>
      <c r="AN380" t="str">
        <f t="shared" si="1"/>
        <v>17730421-2</v>
      </c>
    </row>
    <row r="381">
      <c r="A381" s="33">
        <f>IFERROR(__xludf.DUMMYFUNCTION("""COMPUTED_VALUE"""),1.2655092E7)</f>
        <v>12655092</v>
      </c>
      <c r="B381" s="33">
        <f>IFERROR(__xludf.DUMMYFUNCTION("""COMPUTED_VALUE"""),39.0)</f>
        <v>39</v>
      </c>
      <c r="C381" s="33"/>
      <c r="D381" s="34" t="str">
        <f>IFERROR(__xludf.DUMMYFUNCTION("""COMPUTED_VALUE"""),"INGRESAR CENTRO DE COSTO A LA DERECHA")</f>
        <v>INGRESAR CENTRO DE COSTO A LA DERECHA</v>
      </c>
      <c r="E381" s="34" t="str">
        <f>IFERROR(__xludf.DUMMYFUNCTION("""COMPUTED_VALUE"""),"VR. DE INVEST. DESARR E INNOVACION")</f>
        <v>VR. DE INVEST. DESARR E INNOVACION</v>
      </c>
      <c r="F381" s="34" t="str">
        <f>IFERROR(__xludf.DUMMYFUNCTION("""COMPUTED_VALUE"""),"Administrativo(a) Contable")</f>
        <v>Administrativo(a) Contable</v>
      </c>
      <c r="G381" s="33" t="str">
        <f>IFERROR(__xludf.DUMMYFUNCTION("""COMPUTED_VALUE"""),"ADMINISTRATIVO CONTABLE")</f>
        <v>ADMINISTRATIVO CONTABLE</v>
      </c>
      <c r="H381">
        <f>IFERROR(__xludf.DUMMYFUNCTION("""COMPUTED_VALUE"""),16.0)</f>
        <v>16</v>
      </c>
      <c r="I381" s="34" t="str">
        <f>IFERROR(__xludf.DUMMYFUNCTION("""COMPUTED_VALUE"""),"Jornada Completa")</f>
        <v>Jornada Completa</v>
      </c>
      <c r="J381" s="33" t="str">
        <f>IFERROR(__xludf.DUMMYFUNCTION("""COMPUTED_VALUE"""),"A CONTRATA")</f>
        <v>A CONTRATA</v>
      </c>
      <c r="K381" s="33" t="str">
        <f>IFERROR(__xludf.DUMMYFUNCTION("""COMPUTED_VALUE"""),"ADMINISTRATIVO")</f>
        <v>ADMINISTRATIVO</v>
      </c>
      <c r="L381" s="34" t="str">
        <f>IFERROR(__xludf.DUMMYFUNCTION("""COMPUTED_VALUE"""),"NO")</f>
        <v>NO</v>
      </c>
      <c r="M381" s="34">
        <f>IFERROR(__xludf.DUMMYFUNCTION("""COMPUTED_VALUE"""),0.0)</f>
        <v>0</v>
      </c>
      <c r="N381" s="34" t="str">
        <f>IFERROR(__xludf.DUMMYFUNCTION("""COMPUTED_VALUE"""),"NO")</f>
        <v>NO</v>
      </c>
      <c r="O381">
        <f>IFERROR(__xludf.DUMMYFUNCTION("""COMPUTED_VALUE"""),0.0)</f>
        <v>0</v>
      </c>
      <c r="P381">
        <f>IFERROR(__xludf.DUMMYFUNCTION("""COMPUTED_VALUE"""),1.0)</f>
        <v>1</v>
      </c>
      <c r="Q381" s="35">
        <f>IFERROR(__xludf.DUMMYFUNCTION("""COMPUTED_VALUE"""),0.0)</f>
        <v>0</v>
      </c>
      <c r="R381" s="36" t="str">
        <f>IFERROR(__xludf.DUMMYFUNCTION("""COMPUTED_VALUE"""),"SELECCIONADA")</f>
        <v>SELECCIONADA</v>
      </c>
      <c r="S381" s="37">
        <f>IFERROR(__xludf.DUMMYFUNCTION("""COMPUTED_VALUE"""),42370.0)</f>
        <v>42370</v>
      </c>
      <c r="T381" s="34"/>
      <c r="U381" t="str">
        <f>IFERROR(__xludf.DUMMYFUNCTION("""COMPUTED_VALUE"""),"CLAUDIA BEJARES BAHAMONDES")</f>
        <v>CLAUDIA BEJARES BAHAMONDES</v>
      </c>
      <c r="V381" t="str">
        <f>IFERROR(__xludf.DUMMYFUNCTION("""COMPUTED_VALUE"""),"12655092-8")</f>
        <v>12655092-8</v>
      </c>
      <c r="W381" t="str">
        <f>IFERROR(__xludf.DUMMYFUNCTION("""COMPUTED_VALUE"""),"NO")</f>
        <v>NO</v>
      </c>
      <c r="AA381" s="38"/>
      <c r="AB381" s="38"/>
      <c r="AF381" s="39"/>
      <c r="AG381" s="39"/>
      <c r="AH381" s="34" t="str">
        <f>IFERROR(__xludf.DUMMYFUNCTION("""COMPUTED_VALUE"""),"REGULARIZACIÓN CONTRACTUAL")</f>
        <v>REGULARIZACIÓN CONTRACTUAL</v>
      </c>
      <c r="AI381" s="34" t="str">
        <f>IFERROR(__xludf.DUMMYFUNCTION("""COMPUTED_VALUE"""),"-")</f>
        <v>-</v>
      </c>
      <c r="AJ381" s="34"/>
      <c r="AK381" s="34"/>
      <c r="AM381">
        <f>IFERROR(__xludf.DUMMYFUNCTION("""COMPUTED_VALUE"""),2016.0)</f>
        <v>2016</v>
      </c>
      <c r="AN381" t="str">
        <f t="shared" si="1"/>
        <v>12655092-8</v>
      </c>
    </row>
    <row r="382">
      <c r="A382" s="33">
        <f>IFERROR(__xludf.DUMMYFUNCTION("""COMPUTED_VALUE"""),1.3336696E7)</f>
        <v>13336696</v>
      </c>
      <c r="B382" s="33">
        <f>IFERROR(__xludf.DUMMYFUNCTION("""COMPUTED_VALUE"""),40.0)</f>
        <v>40</v>
      </c>
      <c r="C382" s="33"/>
      <c r="D382" s="34" t="str">
        <f>IFERROR(__xludf.DUMMYFUNCTION("""COMPUTED_VALUE"""),"INGRESAR CENTRO DE COSTO A LA DERECHA")</f>
        <v>INGRESAR CENTRO DE COSTO A LA DERECHA</v>
      </c>
      <c r="E382" s="34" t="str">
        <f>IFERROR(__xludf.DUMMYFUNCTION("""COMPUTED_VALUE"""),"DPTO. DE COMUNICACIONES")</f>
        <v>DPTO. DE COMUNICACIONES</v>
      </c>
      <c r="F382" s="34" t="str">
        <f>IFERROR(__xludf.DUMMYFUNCTION("""COMPUTED_VALUE"""),"Radio Controlador(a)")</f>
        <v>Radio Controlador(a)</v>
      </c>
      <c r="G382" s="33" t="str">
        <f>IFERROR(__xludf.DUMMYFUNCTION("""COMPUTED_VALUE"""),"RADIO CONTROLADOR")</f>
        <v>RADIO CONTROLADOR</v>
      </c>
      <c r="H382">
        <f>IFERROR(__xludf.DUMMYFUNCTION("""COMPUTED_VALUE"""),15.0)</f>
        <v>15</v>
      </c>
      <c r="I382" s="34" t="str">
        <f>IFERROR(__xludf.DUMMYFUNCTION("""COMPUTED_VALUE"""),"Jornada Completa")</f>
        <v>Jornada Completa</v>
      </c>
      <c r="J382" s="33" t="str">
        <f>IFERROR(__xludf.DUMMYFUNCTION("""COMPUTED_VALUE"""),"A CONTRATA")</f>
        <v>A CONTRATA</v>
      </c>
      <c r="K382" s="33" t="str">
        <f>IFERROR(__xludf.DUMMYFUNCTION("""COMPUTED_VALUE"""),"TECNICO")</f>
        <v>TECNICO</v>
      </c>
      <c r="L382" s="34" t="str">
        <f>IFERROR(__xludf.DUMMYFUNCTION("""COMPUTED_VALUE"""),"NO")</f>
        <v>NO</v>
      </c>
      <c r="M382" s="34">
        <f>IFERROR(__xludf.DUMMYFUNCTION("""COMPUTED_VALUE"""),0.0)</f>
        <v>0</v>
      </c>
      <c r="N382" s="34" t="str">
        <f>IFERROR(__xludf.DUMMYFUNCTION("""COMPUTED_VALUE"""),"NO")</f>
        <v>NO</v>
      </c>
      <c r="O382">
        <f>IFERROR(__xludf.DUMMYFUNCTION("""COMPUTED_VALUE"""),0.0)</f>
        <v>0</v>
      </c>
      <c r="P382">
        <f>IFERROR(__xludf.DUMMYFUNCTION("""COMPUTED_VALUE"""),1.0)</f>
        <v>1</v>
      </c>
      <c r="Q382" s="35">
        <f>IFERROR(__xludf.DUMMYFUNCTION("""COMPUTED_VALUE"""),0.0)</f>
        <v>0</v>
      </c>
      <c r="R382" s="36" t="str">
        <f>IFERROR(__xludf.DUMMYFUNCTION("""COMPUTED_VALUE"""),"SELECCIONADO")</f>
        <v>SELECCIONADO</v>
      </c>
      <c r="S382" s="37">
        <f>IFERROR(__xludf.DUMMYFUNCTION("""COMPUTED_VALUE"""),42552.0)</f>
        <v>42552</v>
      </c>
      <c r="T382" s="34"/>
      <c r="U382" t="str">
        <f>IFERROR(__xludf.DUMMYFUNCTION("""COMPUTED_VALUE"""),"ALDO MIRANDA PORRAS")</f>
        <v>ALDO MIRANDA PORRAS</v>
      </c>
      <c r="V382" t="str">
        <f>IFERROR(__xludf.DUMMYFUNCTION("""COMPUTED_VALUE"""),"13336696-2")</f>
        <v>13336696-2</v>
      </c>
      <c r="W382" t="str">
        <f>IFERROR(__xludf.DUMMYFUNCTION("""COMPUTED_VALUE"""),"NO")</f>
        <v>NO</v>
      </c>
      <c r="AA382" s="38"/>
      <c r="AB382" s="38"/>
      <c r="AF382" s="39"/>
      <c r="AG382" s="39"/>
      <c r="AH382" s="34" t="str">
        <f>IFERROR(__xludf.DUMMYFUNCTION("""COMPUTED_VALUE"""),"REGULARIZACIÓN CONTRACTUAL")</f>
        <v>REGULARIZACIÓN CONTRACTUAL</v>
      </c>
      <c r="AI382" s="34" t="str">
        <f>IFERROR(__xludf.DUMMYFUNCTION("""COMPUTED_VALUE"""),"-")</f>
        <v>-</v>
      </c>
      <c r="AJ382" s="34"/>
      <c r="AK382" s="34"/>
      <c r="AM382">
        <f>IFERROR(__xludf.DUMMYFUNCTION("""COMPUTED_VALUE"""),2016.0)</f>
        <v>2016</v>
      </c>
      <c r="AN382" t="str">
        <f t="shared" si="1"/>
        <v>13336696-2</v>
      </c>
    </row>
    <row r="383">
      <c r="A383" s="33">
        <f>IFERROR(__xludf.DUMMYFUNCTION("""COMPUTED_VALUE"""),1.8060136E7)</f>
        <v>18060136</v>
      </c>
      <c r="B383" s="33">
        <f>IFERROR(__xludf.DUMMYFUNCTION("""COMPUTED_VALUE"""),41.0)</f>
        <v>41</v>
      </c>
      <c r="C383" s="33"/>
      <c r="D383" s="34" t="str">
        <f>IFERROR(__xludf.DUMMYFUNCTION("""COMPUTED_VALUE"""),"INGRESAR CENTRO DE COSTO A LA DERECHA")</f>
        <v>INGRESAR CENTRO DE COSTO A LA DERECHA</v>
      </c>
      <c r="E383" s="34" t="str">
        <f>IFERROR(__xludf.DUMMYFUNCTION("""COMPUTED_VALUE"""),"DPTO. DE FINANZAS Y TESORERIA")</f>
        <v>DPTO. DE FINANZAS Y TESORERIA</v>
      </c>
      <c r="F383" s="34" t="str">
        <f>IFERROR(__xludf.DUMMYFUNCTION("""COMPUTED_VALUE"""),"Analista de Gestión II")</f>
        <v>Analista de Gestión II</v>
      </c>
      <c r="G383" s="33" t="str">
        <f>IFERROR(__xludf.DUMMYFUNCTION("""COMPUTED_VALUE"""),"ANALISTA DE GESTION II")</f>
        <v>ANALISTA DE GESTION II</v>
      </c>
      <c r="H383">
        <f>IFERROR(__xludf.DUMMYFUNCTION("""COMPUTED_VALUE"""),13.0)</f>
        <v>13</v>
      </c>
      <c r="I383" s="34" t="str">
        <f>IFERROR(__xludf.DUMMYFUNCTION("""COMPUTED_VALUE"""),"Jornada Completa")</f>
        <v>Jornada Completa</v>
      </c>
      <c r="J383" s="33" t="str">
        <f>IFERROR(__xludf.DUMMYFUNCTION("""COMPUTED_VALUE"""),"A CONTRATA")</f>
        <v>A CONTRATA</v>
      </c>
      <c r="K383" s="33" t="str">
        <f>IFERROR(__xludf.DUMMYFUNCTION("""COMPUTED_VALUE"""),"PROFESIONAL")</f>
        <v>PROFESIONAL</v>
      </c>
      <c r="L383" s="34" t="str">
        <f>IFERROR(__xludf.DUMMYFUNCTION("""COMPUTED_VALUE"""),"NO")</f>
        <v>NO</v>
      </c>
      <c r="M383" s="34">
        <f>IFERROR(__xludf.DUMMYFUNCTION("""COMPUTED_VALUE"""),0.0)</f>
        <v>0</v>
      </c>
      <c r="N383" s="34" t="str">
        <f>IFERROR(__xludf.DUMMYFUNCTION("""COMPUTED_VALUE"""),"NO")</f>
        <v>NO</v>
      </c>
      <c r="O383">
        <f>IFERROR(__xludf.DUMMYFUNCTION("""COMPUTED_VALUE"""),0.0)</f>
        <v>0</v>
      </c>
      <c r="P383">
        <f>IFERROR(__xludf.DUMMYFUNCTION("""COMPUTED_VALUE"""),1.0)</f>
        <v>1</v>
      </c>
      <c r="Q383" s="35">
        <f>IFERROR(__xludf.DUMMYFUNCTION("""COMPUTED_VALUE"""),0.0)</f>
        <v>0</v>
      </c>
      <c r="R383" s="36" t="str">
        <f>IFERROR(__xludf.DUMMYFUNCTION("""COMPUTED_VALUE"""),"SELECCIONADA")</f>
        <v>SELECCIONADA</v>
      </c>
      <c r="S383" s="37">
        <f>IFERROR(__xludf.DUMMYFUNCTION("""COMPUTED_VALUE"""),42552.0)</f>
        <v>42552</v>
      </c>
      <c r="T383" s="34"/>
      <c r="U383" t="str">
        <f>IFERROR(__xludf.DUMMYFUNCTION("""COMPUTED_VALUE"""),"SILVIA MULLER GOMEZ")</f>
        <v>SILVIA MULLER GOMEZ</v>
      </c>
      <c r="V383" t="str">
        <f>IFERROR(__xludf.DUMMYFUNCTION("""COMPUTED_VALUE"""),"18060136-8")</f>
        <v>18060136-8</v>
      </c>
      <c r="W383" t="str">
        <f>IFERROR(__xludf.DUMMYFUNCTION("""COMPUTED_VALUE"""),"NO")</f>
        <v>NO</v>
      </c>
      <c r="AA383" s="38"/>
      <c r="AB383" s="38"/>
      <c r="AF383" s="39"/>
      <c r="AG383" s="39"/>
      <c r="AH383" s="34" t="str">
        <f>IFERROR(__xludf.DUMMYFUNCTION("""COMPUTED_VALUE"""),"REGULARIZACIÓN CONTRACTUAL")</f>
        <v>REGULARIZACIÓN CONTRACTUAL</v>
      </c>
      <c r="AI383" s="34" t="str">
        <f>IFERROR(__xludf.DUMMYFUNCTION("""COMPUTED_VALUE"""),"-")</f>
        <v>-</v>
      </c>
      <c r="AJ383" s="34"/>
      <c r="AK383" s="34"/>
      <c r="AM383">
        <f>IFERROR(__xludf.DUMMYFUNCTION("""COMPUTED_VALUE"""),2016.0)</f>
        <v>2016</v>
      </c>
      <c r="AN383" t="str">
        <f t="shared" si="1"/>
        <v>18060136-8</v>
      </c>
    </row>
    <row r="384">
      <c r="A384" s="33">
        <f>IFERROR(__xludf.DUMMYFUNCTION("""COMPUTED_VALUE"""),1.8121889E7)</f>
        <v>18121889</v>
      </c>
      <c r="B384" s="33">
        <f>IFERROR(__xludf.DUMMYFUNCTION("""COMPUTED_VALUE"""),42.0)</f>
        <v>42</v>
      </c>
      <c r="C384" s="33"/>
      <c r="D384" s="34" t="str">
        <f>IFERROR(__xludf.DUMMYFUNCTION("""COMPUTED_VALUE"""),"INGRESAR CENTRO DE COSTO A LA DERECHA")</f>
        <v>INGRESAR CENTRO DE COSTO A LA DERECHA</v>
      </c>
      <c r="E384" s="34" t="str">
        <f>IFERROR(__xludf.DUMMYFUNCTION("""COMPUTED_VALUE"""),"UNIDAD DE GESTION DEL CAMPUS")</f>
        <v>UNIDAD DE GESTION DEL CAMPUS</v>
      </c>
      <c r="F384" s="34" t="str">
        <f>IFERROR(__xludf.DUMMYFUNCTION("""COMPUTED_VALUE"""),"Analista de Planificación y Análisis")</f>
        <v>Analista de Planificación y Análisis</v>
      </c>
      <c r="G384" s="33" t="str">
        <f>IFERROR(__xludf.DUMMYFUNCTION("""COMPUTED_VALUE"""),"ANALISTA DE PLANIFICACION Y ANALISIS")</f>
        <v>ANALISTA DE PLANIFICACION Y ANALISIS</v>
      </c>
      <c r="H384">
        <f>IFERROR(__xludf.DUMMYFUNCTION("""COMPUTED_VALUE"""),13.0)</f>
        <v>13</v>
      </c>
      <c r="I384" s="34" t="str">
        <f>IFERROR(__xludf.DUMMYFUNCTION("""COMPUTED_VALUE"""),"Jornada Completa")</f>
        <v>Jornada Completa</v>
      </c>
      <c r="J384" s="33" t="str">
        <f>IFERROR(__xludf.DUMMYFUNCTION("""COMPUTED_VALUE"""),"A CONTRATA")</f>
        <v>A CONTRATA</v>
      </c>
      <c r="K384" s="33" t="str">
        <f>IFERROR(__xludf.DUMMYFUNCTION("""COMPUTED_VALUE"""),"PROFESIONAL")</f>
        <v>PROFESIONAL</v>
      </c>
      <c r="L384" s="34" t="str">
        <f>IFERROR(__xludf.DUMMYFUNCTION("""COMPUTED_VALUE"""),"NO")</f>
        <v>NO</v>
      </c>
      <c r="M384" s="34">
        <f>IFERROR(__xludf.DUMMYFUNCTION("""COMPUTED_VALUE"""),0.0)</f>
        <v>0</v>
      </c>
      <c r="N384" s="34" t="str">
        <f>IFERROR(__xludf.DUMMYFUNCTION("""COMPUTED_VALUE"""),"NO")</f>
        <v>NO</v>
      </c>
      <c r="O384">
        <f>IFERROR(__xludf.DUMMYFUNCTION("""COMPUTED_VALUE"""),0.0)</f>
        <v>0</v>
      </c>
      <c r="P384">
        <f>IFERROR(__xludf.DUMMYFUNCTION("""COMPUTED_VALUE"""),1.0)</f>
        <v>1</v>
      </c>
      <c r="Q384" s="35">
        <f>IFERROR(__xludf.DUMMYFUNCTION("""COMPUTED_VALUE"""),0.0)</f>
        <v>0</v>
      </c>
      <c r="R384" s="36" t="str">
        <f>IFERROR(__xludf.DUMMYFUNCTION("""COMPUTED_VALUE"""),"SELECCIONADO")</f>
        <v>SELECCIONADO</v>
      </c>
      <c r="S384" s="37">
        <f>IFERROR(__xludf.DUMMYFUNCTION("""COMPUTED_VALUE"""),42552.0)</f>
        <v>42552</v>
      </c>
      <c r="T384" s="34"/>
      <c r="U384" t="str">
        <f>IFERROR(__xludf.DUMMYFUNCTION("""COMPUTED_VALUE"""),"BRYAN GUERRERO COFRE")</f>
        <v>BRYAN GUERRERO COFRE</v>
      </c>
      <c r="V384" t="str">
        <f>IFERROR(__xludf.DUMMYFUNCTION("""COMPUTED_VALUE"""),"18121889-4")</f>
        <v>18121889-4</v>
      </c>
      <c r="W384" t="str">
        <f>IFERROR(__xludf.DUMMYFUNCTION("""COMPUTED_VALUE"""),"NO")</f>
        <v>NO</v>
      </c>
      <c r="AA384" s="38"/>
      <c r="AB384" s="38"/>
      <c r="AF384" s="39"/>
      <c r="AG384" s="39"/>
      <c r="AH384" s="34" t="str">
        <f>IFERROR(__xludf.DUMMYFUNCTION("""COMPUTED_VALUE"""),"REGULARIZACIÓN CONTRACTUAL")</f>
        <v>REGULARIZACIÓN CONTRACTUAL</v>
      </c>
      <c r="AI384" s="34" t="str">
        <f>IFERROR(__xludf.DUMMYFUNCTION("""COMPUTED_VALUE"""),"-")</f>
        <v>-</v>
      </c>
      <c r="AJ384" s="34"/>
      <c r="AK384" s="34"/>
      <c r="AM384">
        <f>IFERROR(__xludf.DUMMYFUNCTION("""COMPUTED_VALUE"""),2016.0)</f>
        <v>2016</v>
      </c>
      <c r="AN384" t="str">
        <f t="shared" si="1"/>
        <v>18121889-4</v>
      </c>
    </row>
    <row r="385">
      <c r="A385" s="33">
        <f>IFERROR(__xludf.DUMMYFUNCTION("""COMPUTED_VALUE"""),1.7376319E7)</f>
        <v>17376319</v>
      </c>
      <c r="B385" s="33">
        <f>IFERROR(__xludf.DUMMYFUNCTION("""COMPUTED_VALUE"""),43.0)</f>
        <v>43</v>
      </c>
      <c r="C385" s="33"/>
      <c r="D385" s="34" t="str">
        <f>IFERROR(__xludf.DUMMYFUNCTION("""COMPUTED_VALUE"""),"INGRESAR CENTRO DE COSTO A LA DERECHA")</f>
        <v>INGRESAR CENTRO DE COSTO A LA DERECHA</v>
      </c>
      <c r="E385" s="34" t="str">
        <f>IFERROR(__xludf.DUMMYFUNCTION("""COMPUTED_VALUE"""),"ESCUELA DE MEDICINA")</f>
        <v>ESCUELA DE MEDICINA</v>
      </c>
      <c r="F385" s="34" t="str">
        <f>IFERROR(__xludf.DUMMYFUNCTION("""COMPUTED_VALUE"""),"Asistente de Laboratorio")</f>
        <v>Asistente de Laboratorio</v>
      </c>
      <c r="G385" s="33" t="str">
        <f>IFERROR(__xludf.DUMMYFUNCTION("""COMPUTED_VALUE"""),"ASISTENTE DE LABORATORIO")</f>
        <v>ASISTENTE DE LABORATORIO</v>
      </c>
      <c r="H385">
        <f>IFERROR(__xludf.DUMMYFUNCTION("""COMPUTED_VALUE"""),20.0)</f>
        <v>20</v>
      </c>
      <c r="I385" s="34" t="str">
        <f>IFERROR(__xludf.DUMMYFUNCTION("""COMPUTED_VALUE"""),"Jornada Completa")</f>
        <v>Jornada Completa</v>
      </c>
      <c r="J385" s="33" t="str">
        <f>IFERROR(__xludf.DUMMYFUNCTION("""COMPUTED_VALUE"""),"A CONTRATA")</f>
        <v>A CONTRATA</v>
      </c>
      <c r="K385" s="33" t="str">
        <f>IFERROR(__xludf.DUMMYFUNCTION("""COMPUTED_VALUE"""),"TECNICO")</f>
        <v>TECNICO</v>
      </c>
      <c r="L385" s="34" t="str">
        <f>IFERROR(__xludf.DUMMYFUNCTION("""COMPUTED_VALUE"""),"INTERNO")</f>
        <v>INTERNO</v>
      </c>
      <c r="M385" s="34">
        <f>IFERROR(__xludf.DUMMYFUNCTION("""COMPUTED_VALUE"""),0.0)</f>
        <v>0</v>
      </c>
      <c r="N385" s="34" t="str">
        <f>IFERROR(__xludf.DUMMYFUNCTION("""COMPUTED_VALUE"""),"EXTERNO")</f>
        <v>EXTERNO</v>
      </c>
      <c r="O385">
        <f>IFERROR(__xludf.DUMMYFUNCTION("""COMPUTED_VALUE"""),12.0)</f>
        <v>12</v>
      </c>
      <c r="P385">
        <f>IFERROR(__xludf.DUMMYFUNCTION("""COMPUTED_VALUE"""),2.0)</f>
        <v>2</v>
      </c>
      <c r="Q385" s="35">
        <f>IFERROR(__xludf.DUMMYFUNCTION("""COMPUTED_VALUE"""),2.0)</f>
        <v>2</v>
      </c>
      <c r="R385" s="36" t="str">
        <f>IFERROR(__xludf.DUMMYFUNCTION("""COMPUTED_VALUE"""),"SELECCIONADA")</f>
        <v>SELECCIONADA</v>
      </c>
      <c r="S385" s="37">
        <f>IFERROR(__xludf.DUMMYFUNCTION("""COMPUTED_VALUE"""),42569.0)</f>
        <v>42569</v>
      </c>
      <c r="T385" s="34"/>
      <c r="U385" t="str">
        <f>IFERROR(__xludf.DUMMYFUNCTION("""COMPUTED_VALUE"""),"CAROLINA HANDSCHUH ABARCA")</f>
        <v>CAROLINA HANDSCHUH ABARCA</v>
      </c>
      <c r="V385" t="str">
        <f>IFERROR(__xludf.DUMMYFUNCTION("""COMPUTED_VALUE"""),"17376319-0")</f>
        <v>17376319-0</v>
      </c>
      <c r="W385" t="str">
        <f>IFERROR(__xludf.DUMMYFUNCTION("""COMPUTED_VALUE"""),"NO")</f>
        <v>NO</v>
      </c>
      <c r="AA385" s="38">
        <f>IFERROR(__xludf.DUMMYFUNCTION("""COMPUTED_VALUE"""),42509.0)</f>
        <v>42509</v>
      </c>
      <c r="AB385" s="38">
        <f>IFERROR(__xludf.DUMMYFUNCTION("""COMPUTED_VALUE"""),42516.0)</f>
        <v>42516</v>
      </c>
      <c r="AF385" s="39"/>
      <c r="AG385" s="39"/>
      <c r="AH385" s="34" t="str">
        <f>IFERROR(__xludf.DUMMYFUNCTION("""COMPUTED_VALUE"""),"PROCESO DE SELECCIÓN")</f>
        <v>PROCESO DE SELECCIÓN</v>
      </c>
      <c r="AI385" s="34" t="str">
        <f>IFERROR(__xludf.DUMMYFUNCTION("""COMPUTED_VALUE"""),"WASHINGTON DURAN")</f>
        <v>WASHINGTON DURAN</v>
      </c>
      <c r="AJ385" s="34"/>
      <c r="AK385" s="34" t="str">
        <f>IFERROR(__xludf.DUMMYFUNCTION("""COMPUTED_VALUE"""),"E")</f>
        <v>E</v>
      </c>
      <c r="AL385">
        <f>IFERROR(__xludf.DUMMYFUNCTION("""COMPUTED_VALUE"""),38.0)</f>
        <v>38</v>
      </c>
      <c r="AM385">
        <f>IFERROR(__xludf.DUMMYFUNCTION("""COMPUTED_VALUE"""),2016.0)</f>
        <v>2016</v>
      </c>
      <c r="AN385" t="str">
        <f t="shared" si="1"/>
        <v>17376319-0</v>
      </c>
    </row>
    <row r="386">
      <c r="A386" s="33">
        <f>IFERROR(__xludf.DUMMYFUNCTION("""COMPUTED_VALUE"""),1.3925927E7)</f>
        <v>13925927</v>
      </c>
      <c r="B386" s="33">
        <f>IFERROR(__xludf.DUMMYFUNCTION("""COMPUTED_VALUE"""),44.0)</f>
        <v>44</v>
      </c>
      <c r="C386" s="33"/>
      <c r="D386" s="34" t="str">
        <f>IFERROR(__xludf.DUMMYFUNCTION("""COMPUTED_VALUE"""),"INGRESAR CENTRO DE COSTO A LA DERECHA")</f>
        <v>INGRESAR CENTRO DE COSTO A LA DERECHA</v>
      </c>
      <c r="E386" s="34" t="str">
        <f>IFERROR(__xludf.DUMMYFUNCTION("""COMPUTED_VALUE"""),"VR. DE VINCULACION CON EL MEDIO")</f>
        <v>VR. DE VINCULACION CON EL MEDIO</v>
      </c>
      <c r="F386" s="34" t="str">
        <f>IFERROR(__xludf.DUMMYFUNCTION("""COMPUTED_VALUE"""),"Profesional de Extensión")</f>
        <v>Profesional de Extensión</v>
      </c>
      <c r="G386" s="33" t="str">
        <f>IFERROR(__xludf.DUMMYFUNCTION("""COMPUTED_VALUE"""),"DIRECTOR CORO")</f>
        <v>DIRECTOR CORO</v>
      </c>
      <c r="H386">
        <f>IFERROR(__xludf.DUMMYFUNCTION("""COMPUTED_VALUE"""),13.0)</f>
        <v>13</v>
      </c>
      <c r="I386" s="34" t="str">
        <f>IFERROR(__xludf.DUMMYFUNCTION("""COMPUTED_VALUE"""),"Jornada Completa")</f>
        <v>Jornada Completa</v>
      </c>
      <c r="J386" s="33" t="str">
        <f>IFERROR(__xludf.DUMMYFUNCTION("""COMPUTED_VALUE"""),"A CONTRATA")</f>
        <v>A CONTRATA</v>
      </c>
      <c r="K386" s="33" t="str">
        <f>IFERROR(__xludf.DUMMYFUNCTION("""COMPUTED_VALUE"""),"PROFESIONAL")</f>
        <v>PROFESIONAL</v>
      </c>
      <c r="L386" s="34" t="str">
        <f>IFERROR(__xludf.DUMMYFUNCTION("""COMPUTED_VALUE"""),"INTERNO")</f>
        <v>INTERNO</v>
      </c>
      <c r="M386" s="34">
        <f>IFERROR(__xludf.DUMMYFUNCTION("""COMPUTED_VALUE"""),0.0)</f>
        <v>0</v>
      </c>
      <c r="N386" s="34" t="str">
        <f>IFERROR(__xludf.DUMMYFUNCTION("""COMPUTED_VALUE"""),"EXTERNO")</f>
        <v>EXTERNO</v>
      </c>
      <c r="O386">
        <f>IFERROR(__xludf.DUMMYFUNCTION("""COMPUTED_VALUE"""),6.0)</f>
        <v>6</v>
      </c>
      <c r="P386">
        <f>IFERROR(__xludf.DUMMYFUNCTION("""COMPUTED_VALUE"""),1.0)</f>
        <v>1</v>
      </c>
      <c r="Q386" s="35">
        <f>IFERROR(__xludf.DUMMYFUNCTION("""COMPUTED_VALUE"""),1.0)</f>
        <v>1</v>
      </c>
      <c r="R386" s="36" t="str">
        <f>IFERROR(__xludf.DUMMYFUNCTION("""COMPUTED_VALUE"""),"SELECCIONADO")</f>
        <v>SELECCIONADO</v>
      </c>
      <c r="S386" s="37">
        <f>IFERROR(__xludf.DUMMYFUNCTION("""COMPUTED_VALUE"""),42555.0)</f>
        <v>42555</v>
      </c>
      <c r="T386" s="34"/>
      <c r="U386" t="str">
        <f>IFERROR(__xludf.DUMMYFUNCTION("""COMPUTED_VALUE"""),"ANDRES BAHAMONDES GONZALEZ")</f>
        <v>ANDRES BAHAMONDES GONZALEZ</v>
      </c>
      <c r="V386" t="str">
        <f>IFERROR(__xludf.DUMMYFUNCTION("""COMPUTED_VALUE"""),"13925927-0")</f>
        <v>13925927-0</v>
      </c>
      <c r="W386" t="str">
        <f>IFERROR(__xludf.DUMMYFUNCTION("""COMPUTED_VALUE"""),"NO")</f>
        <v>NO</v>
      </c>
      <c r="AA386" s="38">
        <f>IFERROR(__xludf.DUMMYFUNCTION("""COMPUTED_VALUE"""),42500.0)</f>
        <v>42500</v>
      </c>
      <c r="AB386" s="38">
        <f>IFERROR(__xludf.DUMMYFUNCTION("""COMPUTED_VALUE"""),42507.0)</f>
        <v>42507</v>
      </c>
      <c r="AF386" s="39"/>
      <c r="AG386" s="39"/>
      <c r="AH386" s="34" t="str">
        <f>IFERROR(__xludf.DUMMYFUNCTION("""COMPUTED_VALUE"""),"PROCESO DE SELECCIÓN")</f>
        <v>PROCESO DE SELECCIÓN</v>
      </c>
      <c r="AI386" s="34" t="str">
        <f>IFERROR(__xludf.DUMMYFUNCTION("""COMPUTED_VALUE"""),"SANTIAGO MARIN ACUÑA")</f>
        <v>SANTIAGO MARIN ACUÑA</v>
      </c>
      <c r="AJ386" s="34"/>
      <c r="AK386" s="34" t="str">
        <f>IFERROR(__xludf.DUMMYFUNCTION("""COMPUTED_VALUE"""),"P")</f>
        <v>P</v>
      </c>
      <c r="AL386">
        <f>IFERROR(__xludf.DUMMYFUNCTION("""COMPUTED_VALUE"""),35.0)</f>
        <v>35</v>
      </c>
      <c r="AM386">
        <f>IFERROR(__xludf.DUMMYFUNCTION("""COMPUTED_VALUE"""),2016.0)</f>
        <v>2016</v>
      </c>
      <c r="AN386" t="str">
        <f t="shared" si="1"/>
        <v>13925927-0</v>
      </c>
    </row>
    <row r="387">
      <c r="A387" s="33">
        <f>IFERROR(__xludf.DUMMYFUNCTION("""COMPUTED_VALUE"""),1.7412257E7)</f>
        <v>17412257</v>
      </c>
      <c r="B387" s="33">
        <f>IFERROR(__xludf.DUMMYFUNCTION("""COMPUTED_VALUE"""),45.0)</f>
        <v>45</v>
      </c>
      <c r="C387" s="33"/>
      <c r="D387" s="34" t="str">
        <f>IFERROR(__xludf.DUMMYFUNCTION("""COMPUTED_VALUE"""),"INGRESAR CENTRO DE COSTO A LA DERECHA")</f>
        <v>INGRESAR CENTRO DE COSTO A LA DERECHA</v>
      </c>
      <c r="E387" s="34" t="str">
        <f>IFERROR(__xludf.DUMMYFUNCTION("""COMPUTED_VALUE"""),"UNIDAD DE ATENCION DE SALUD")</f>
        <v>UNIDAD DE ATENCION DE SALUD</v>
      </c>
      <c r="F387" s="34" t="str">
        <f>IFERROR(__xludf.DUMMYFUNCTION("""COMPUTED_VALUE"""),"Médicos(as) y Dentistas")</f>
        <v>Médicos(as) y Dentistas</v>
      </c>
      <c r="G387" s="33" t="str">
        <f>IFERROR(__xludf.DUMMYFUNCTION("""COMPUTED_VALUE"""),"CIRUJANO DENTISTA")</f>
        <v>CIRUJANO DENTISTA</v>
      </c>
      <c r="I387" s="34" t="str">
        <f>IFERROR(__xludf.DUMMYFUNCTION("""COMPUTED_VALUE"""),"1/4 Jornada")</f>
        <v>1/4 Jornada</v>
      </c>
      <c r="J387" s="33" t="str">
        <f>IFERROR(__xludf.DUMMYFUNCTION("""COMPUTED_VALUE"""),"A CONTRATA")</f>
        <v>A CONTRATA</v>
      </c>
      <c r="K387" s="33" t="str">
        <f>IFERROR(__xludf.DUMMYFUNCTION("""COMPUTED_VALUE"""),"PROFESIONAL")</f>
        <v>PROFESIONAL</v>
      </c>
      <c r="L387" s="34" t="str">
        <f>IFERROR(__xludf.DUMMYFUNCTION("""COMPUTED_VALUE"""),"NO")</f>
        <v>NO</v>
      </c>
      <c r="M387" s="34">
        <f>IFERROR(__xludf.DUMMYFUNCTION("""COMPUTED_VALUE"""),0.0)</f>
        <v>0</v>
      </c>
      <c r="N387" s="34" t="str">
        <f>IFERROR(__xludf.DUMMYFUNCTION("""COMPUTED_VALUE"""),"EXTERNO")</f>
        <v>EXTERNO</v>
      </c>
      <c r="O387">
        <f>IFERROR(__xludf.DUMMYFUNCTION("""COMPUTED_VALUE"""),15.0)</f>
        <v>15</v>
      </c>
      <c r="P387">
        <f>IFERROR(__xludf.DUMMYFUNCTION("""COMPUTED_VALUE"""),3.0)</f>
        <v>3</v>
      </c>
      <c r="Q387" s="35">
        <f>IFERROR(__xludf.DUMMYFUNCTION("""COMPUTED_VALUE"""),1.0)</f>
        <v>1</v>
      </c>
      <c r="R387" s="36" t="str">
        <f>IFERROR(__xludf.DUMMYFUNCTION("""COMPUTED_VALUE"""),"SELECCIONADA")</f>
        <v>SELECCIONADA</v>
      </c>
      <c r="S387" s="37">
        <f>IFERROR(__xludf.DUMMYFUNCTION("""COMPUTED_VALUE"""),42552.0)</f>
        <v>42552</v>
      </c>
      <c r="T387" s="34"/>
      <c r="U387" t="str">
        <f>IFERROR(__xludf.DUMMYFUNCTION("""COMPUTED_VALUE"""),"KATHERINE VALENZUELA BRAVO")</f>
        <v>KATHERINE VALENZUELA BRAVO</v>
      </c>
      <c r="V387" t="str">
        <f>IFERROR(__xludf.DUMMYFUNCTION("""COMPUTED_VALUE"""),"17412257-1")</f>
        <v>17412257-1</v>
      </c>
      <c r="W387" t="str">
        <f>IFERROR(__xludf.DUMMYFUNCTION("""COMPUTED_VALUE"""),"NO")</f>
        <v>NO</v>
      </c>
      <c r="AA387" s="38">
        <f>IFERROR(__xludf.DUMMYFUNCTION("""COMPUTED_VALUE"""),42493.0)</f>
        <v>42493</v>
      </c>
      <c r="AB387" s="38">
        <f>IFERROR(__xludf.DUMMYFUNCTION("""COMPUTED_VALUE"""),42503.0)</f>
        <v>42503</v>
      </c>
      <c r="AF387" s="39"/>
      <c r="AG387" s="39"/>
      <c r="AH387" s="34" t="str">
        <f>IFERROR(__xludf.DUMMYFUNCTION("""COMPUTED_VALUE"""),"PROCESO DE SELECCIÓN")</f>
        <v>PROCESO DE SELECCIÓN</v>
      </c>
      <c r="AI387" s="34" t="str">
        <f>IFERROR(__xludf.DUMMYFUNCTION("""COMPUTED_VALUE"""),"PAULINA HENRIQUEZ GALLARDO")</f>
        <v>PAULINA HENRIQUEZ GALLARDO</v>
      </c>
      <c r="AJ387" s="34"/>
      <c r="AK387" s="34" t="str">
        <f>IFERROR(__xludf.DUMMYFUNCTION("""COMPUTED_VALUE"""),"E")</f>
        <v>E</v>
      </c>
      <c r="AL387">
        <f>IFERROR(__xludf.DUMMYFUNCTION("""COMPUTED_VALUE"""),36.0)</f>
        <v>36</v>
      </c>
      <c r="AM387">
        <f>IFERROR(__xludf.DUMMYFUNCTION("""COMPUTED_VALUE"""),2016.0)</f>
        <v>2016</v>
      </c>
      <c r="AN387" t="str">
        <f t="shared" si="1"/>
        <v>17412257-1</v>
      </c>
    </row>
    <row r="388">
      <c r="A388" s="33">
        <f>IFERROR(__xludf.DUMMYFUNCTION("""COMPUTED_VALUE"""),1.3656668E7)</f>
        <v>13656668</v>
      </c>
      <c r="B388" s="33">
        <f>IFERROR(__xludf.DUMMYFUNCTION("""COMPUTED_VALUE"""),46.0)</f>
        <v>46</v>
      </c>
      <c r="C388" s="33"/>
      <c r="D388" s="34" t="str">
        <f>IFERROR(__xludf.DUMMYFUNCTION("""COMPUTED_VALUE"""),"INGRESAR CENTRO DE COSTO A LA DERECHA")</f>
        <v>INGRESAR CENTRO DE COSTO A LA DERECHA</v>
      </c>
      <c r="E388" s="34" t="str">
        <f>IFERROR(__xludf.DUMMYFUNCTION("""COMPUTED_VALUE"""),"ESCUELA DE MEDICINA")</f>
        <v>ESCUELA DE MEDICINA</v>
      </c>
      <c r="F388" s="34" t="str">
        <f>IFERROR(__xludf.DUMMYFUNCTION("""COMPUTED_VALUE"""),"Secretario(a) de Apoyo Docente")</f>
        <v>Secretario(a) de Apoyo Docente</v>
      </c>
      <c r="G388" s="33" t="str">
        <f>IFERROR(__xludf.DUMMYFUNCTION("""COMPUTED_VALUE"""),"SECRETARIA DE APOYO DOCENTE")</f>
        <v>SECRETARIA DE APOYO DOCENTE</v>
      </c>
      <c r="H388">
        <f>IFERROR(__xludf.DUMMYFUNCTION("""COMPUTED_VALUE"""),17.0)</f>
        <v>17</v>
      </c>
      <c r="I388" s="34" t="str">
        <f>IFERROR(__xludf.DUMMYFUNCTION("""COMPUTED_VALUE"""),"Jornada Completa")</f>
        <v>Jornada Completa</v>
      </c>
      <c r="J388" s="33" t="str">
        <f>IFERROR(__xludf.DUMMYFUNCTION("""COMPUTED_VALUE"""),"A CONTRATA")</f>
        <v>A CONTRATA</v>
      </c>
      <c r="K388" s="33" t="str">
        <f>IFERROR(__xludf.DUMMYFUNCTION("""COMPUTED_VALUE"""),"ADMINISTRATIVO")</f>
        <v>ADMINISTRATIVO</v>
      </c>
      <c r="L388" s="34" t="str">
        <f>IFERROR(__xludf.DUMMYFUNCTION("""COMPUTED_VALUE"""),"INTERNO")</f>
        <v>INTERNO</v>
      </c>
      <c r="M388" s="34">
        <f>IFERROR(__xludf.DUMMYFUNCTION("""COMPUTED_VALUE"""),1.0)</f>
        <v>1</v>
      </c>
      <c r="N388" s="34" t="str">
        <f>IFERROR(__xludf.DUMMYFUNCTION("""COMPUTED_VALUE"""),"NO")</f>
        <v>NO</v>
      </c>
      <c r="O388">
        <f>IFERROR(__xludf.DUMMYFUNCTION("""COMPUTED_VALUE"""),0.0)</f>
        <v>0</v>
      </c>
      <c r="P388">
        <f>IFERROR(__xludf.DUMMYFUNCTION("""COMPUTED_VALUE"""),1.0)</f>
        <v>1</v>
      </c>
      <c r="Q388" s="35">
        <f>IFERROR(__xludf.DUMMYFUNCTION("""COMPUTED_VALUE"""),0.0)</f>
        <v>0</v>
      </c>
      <c r="R388" s="36" t="str">
        <f>IFERROR(__xludf.DUMMYFUNCTION("""COMPUTED_VALUE"""),"SELECCIONADA")</f>
        <v>SELECCIONADA</v>
      </c>
      <c r="S388" s="37">
        <f>IFERROR(__xludf.DUMMYFUNCTION("""COMPUTED_VALUE"""),42557.0)</f>
        <v>42557</v>
      </c>
      <c r="T388" s="34" t="str">
        <f>IFERROR(__xludf.DUMMYFUNCTION("""COMPUTED_VALUE"""),"ARNAIZ PEREZ MARIA DEL CARMEN")</f>
        <v>ARNAIZ PEREZ MARIA DEL CARMEN</v>
      </c>
      <c r="V388" t="str">
        <f>IFERROR(__xludf.DUMMYFUNCTION("""COMPUTED_VALUE"""),"13656668-7")</f>
        <v>13656668-7</v>
      </c>
      <c r="W388" t="str">
        <f>IFERROR(__xludf.DUMMYFUNCTION("""COMPUTED_VALUE"""),"NO")</f>
        <v>NO</v>
      </c>
      <c r="AA388" s="38">
        <f>IFERROR(__xludf.DUMMYFUNCTION("""COMPUTED_VALUE"""),42517.0)</f>
        <v>42517</v>
      </c>
      <c r="AB388" s="38">
        <f>IFERROR(__xludf.DUMMYFUNCTION("""COMPUTED_VALUE"""),42521.0)</f>
        <v>42521</v>
      </c>
      <c r="AF388" s="39"/>
      <c r="AG388" s="39"/>
      <c r="AH388" s="34" t="str">
        <f>IFERROR(__xludf.DUMMYFUNCTION("""COMPUTED_VALUE"""),"PROCESO DE SELECCIÓN")</f>
        <v>PROCESO DE SELECCIÓN</v>
      </c>
      <c r="AI388" s="34" t="str">
        <f>IFERROR(__xludf.DUMMYFUNCTION("""COMPUTED_VALUE""")," AUTORIZADO 2015")</f>
        <v> AUTORIZADO 2015</v>
      </c>
      <c r="AJ388" s="34"/>
      <c r="AK388" s="34" t="str">
        <f>IFERROR(__xludf.DUMMYFUNCTION("""COMPUTED_VALUE"""),"P")</f>
        <v>P</v>
      </c>
      <c r="AL388">
        <f>IFERROR(__xludf.DUMMYFUNCTION("""COMPUTED_VALUE"""),27.0)</f>
        <v>27</v>
      </c>
      <c r="AM388">
        <f>IFERROR(__xludf.DUMMYFUNCTION("""COMPUTED_VALUE"""),2016.0)</f>
        <v>2016</v>
      </c>
      <c r="AN388" t="str">
        <f t="shared" si="1"/>
        <v>13656668-7</v>
      </c>
    </row>
    <row r="389">
      <c r="A389" s="33">
        <f>IFERROR(__xludf.DUMMYFUNCTION("""COMPUTED_VALUE"""),1.7767326E7)</f>
        <v>17767326</v>
      </c>
      <c r="B389" s="33">
        <f>IFERROR(__xludf.DUMMYFUNCTION("""COMPUTED_VALUE"""),47.0)</f>
        <v>47</v>
      </c>
      <c r="C389" s="33"/>
      <c r="D389" s="34" t="str">
        <f>IFERROR(__xludf.DUMMYFUNCTION("""COMPUTED_VALUE"""),"INGRESAR CENTRO DE COSTO A LA DERECHA")</f>
        <v>INGRESAR CENTRO DE COSTO A LA DERECHA</v>
      </c>
      <c r="E389" s="34" t="str">
        <f>IFERROR(__xludf.DUMMYFUNCTION("""COMPUTED_VALUE"""),"PROGRAMA BACHILLERATO")</f>
        <v>PROGRAMA BACHILLERATO</v>
      </c>
      <c r="F389" s="34" t="str">
        <f>IFERROR(__xludf.DUMMYFUNCTION("""COMPUTED_VALUE"""),"Secretario(a) de Apoyo Docente")</f>
        <v>Secretario(a) de Apoyo Docente</v>
      </c>
      <c r="G389" s="33" t="str">
        <f>IFERROR(__xludf.DUMMYFUNCTION("""COMPUTED_VALUE"""),"SECRETARIA DE APOYO DOCENTE")</f>
        <v>SECRETARIA DE APOYO DOCENTE</v>
      </c>
      <c r="H389">
        <f>IFERROR(__xludf.DUMMYFUNCTION("""COMPUTED_VALUE"""),17.0)</f>
        <v>17</v>
      </c>
      <c r="I389" s="34" t="str">
        <f>IFERROR(__xludf.DUMMYFUNCTION("""COMPUTED_VALUE"""),"Jornada Completa")</f>
        <v>Jornada Completa</v>
      </c>
      <c r="J389" s="33" t="str">
        <f>IFERROR(__xludf.DUMMYFUNCTION("""COMPUTED_VALUE"""),"A CONTRATA")</f>
        <v>A CONTRATA</v>
      </c>
      <c r="K389" s="33" t="str">
        <f>IFERROR(__xludf.DUMMYFUNCTION("""COMPUTED_VALUE"""),"ADMINISTRATIVO")</f>
        <v>ADMINISTRATIVO</v>
      </c>
      <c r="L389" s="34" t="str">
        <f>IFERROR(__xludf.DUMMYFUNCTION("""COMPUTED_VALUE"""),"INTERNO")</f>
        <v>INTERNO</v>
      </c>
      <c r="M389" s="34">
        <f>IFERROR(__xludf.DUMMYFUNCTION("""COMPUTED_VALUE"""),3.0)</f>
        <v>3</v>
      </c>
      <c r="N389" s="34" t="str">
        <f>IFERROR(__xludf.DUMMYFUNCTION("""COMPUTED_VALUE"""),"NO")</f>
        <v>NO</v>
      </c>
      <c r="O389">
        <f>IFERROR(__xludf.DUMMYFUNCTION("""COMPUTED_VALUE"""),0.0)</f>
        <v>0</v>
      </c>
      <c r="P389">
        <f>IFERROR(__xludf.DUMMYFUNCTION("""COMPUTED_VALUE"""),1.0)</f>
        <v>1</v>
      </c>
      <c r="Q389" s="35">
        <f>IFERROR(__xludf.DUMMYFUNCTION("""COMPUTED_VALUE"""),0.0)</f>
        <v>0</v>
      </c>
      <c r="R389" s="36" t="str">
        <f>IFERROR(__xludf.DUMMYFUNCTION("""COMPUTED_VALUE"""),"SELECCIONADA")</f>
        <v>SELECCIONADA</v>
      </c>
      <c r="S389" s="37">
        <f>IFERROR(__xludf.DUMMYFUNCTION("""COMPUTED_VALUE"""),42520.0)</f>
        <v>42520</v>
      </c>
      <c r="T389" s="34" t="str">
        <f>IFERROR(__xludf.DUMMYFUNCTION("""COMPUTED_VALUE"""),"VISCARRA REBOLLEDO SUGEY NICOLE")</f>
        <v>VISCARRA REBOLLEDO SUGEY NICOLE</v>
      </c>
      <c r="V389" t="str">
        <f>IFERROR(__xludf.DUMMYFUNCTION("""COMPUTED_VALUE"""),"17767326-9")</f>
        <v>17767326-9</v>
      </c>
      <c r="W389" t="str">
        <f>IFERROR(__xludf.DUMMYFUNCTION("""COMPUTED_VALUE"""),"NO")</f>
        <v>NO</v>
      </c>
      <c r="AA389" s="38">
        <f>IFERROR(__xludf.DUMMYFUNCTION("""COMPUTED_VALUE"""),42468.0)</f>
        <v>42468</v>
      </c>
      <c r="AB389" s="38">
        <f>IFERROR(__xludf.DUMMYFUNCTION("""COMPUTED_VALUE"""),42472.0)</f>
        <v>42472</v>
      </c>
      <c r="AF389" s="39"/>
      <c r="AG389" s="39"/>
      <c r="AH389" s="34" t="str">
        <f>IFERROR(__xludf.DUMMYFUNCTION("""COMPUTED_VALUE"""),"PROCESO DE SELECCIÓN")</f>
        <v>PROCESO DE SELECCIÓN</v>
      </c>
      <c r="AI389" s="34" t="str">
        <f>IFERROR(__xludf.DUMMYFUNCTION("""COMPUTED_VALUE"""),"CRISTIAN PILQUIMAN ARANDA")</f>
        <v>CRISTIAN PILQUIMAN ARANDA</v>
      </c>
      <c r="AJ389" s="34"/>
      <c r="AK389" s="34" t="str">
        <f>IFERROR(__xludf.DUMMYFUNCTION("""COMPUTED_VALUE"""),"P")</f>
        <v>P</v>
      </c>
      <c r="AL389">
        <f>IFERROR(__xludf.DUMMYFUNCTION("""COMPUTED_VALUE"""),35.0)</f>
        <v>35</v>
      </c>
      <c r="AM389">
        <f>IFERROR(__xludf.DUMMYFUNCTION("""COMPUTED_VALUE"""),2016.0)</f>
        <v>2016</v>
      </c>
      <c r="AN389" t="str">
        <f t="shared" si="1"/>
        <v>17767326-9</v>
      </c>
    </row>
    <row r="390">
      <c r="A390" s="33">
        <f>IFERROR(__xludf.DUMMYFUNCTION("""COMPUTED_VALUE"""),1.5314535E7)</f>
        <v>15314535</v>
      </c>
      <c r="B390" s="33">
        <f>IFERROR(__xludf.DUMMYFUNCTION("""COMPUTED_VALUE"""),48.0)</f>
        <v>48</v>
      </c>
      <c r="C390" s="33"/>
      <c r="D390" s="34" t="str">
        <f>IFERROR(__xludf.DUMMYFUNCTION("""COMPUTED_VALUE"""),"INGRESAR CENTRO DE COSTO A LA DERECHA")</f>
        <v>INGRESAR CENTRO DE COSTO A LA DERECHA</v>
      </c>
      <c r="E390" s="34" t="str">
        <f>IFERROR(__xludf.DUMMYFUNCTION("""COMPUTED_VALUE"""),"FACULTAD DE QUIMICA Y BIOLOGIA")</f>
        <v>FACULTAD DE QUIMICA Y BIOLOGIA</v>
      </c>
      <c r="F390" s="34" t="str">
        <f>IFERROR(__xludf.DUMMYFUNCTION("""COMPUTED_VALUE"""),"Encargado(a) de Laboratorio")</f>
        <v>Encargado(a) de Laboratorio</v>
      </c>
      <c r="G390" s="33" t="str">
        <f>IFERROR(__xludf.DUMMYFUNCTION("""COMPUTED_VALUE"""),"ENCARGADO DE LABORATORIO")</f>
        <v>ENCARGADO DE LABORATORIO</v>
      </c>
      <c r="H390">
        <f>IFERROR(__xludf.DUMMYFUNCTION("""COMPUTED_VALUE"""),12.0)</f>
        <v>12</v>
      </c>
      <c r="I390" s="34" t="str">
        <f>IFERROR(__xludf.DUMMYFUNCTION("""COMPUTED_VALUE"""),"Jornada Completa")</f>
        <v>Jornada Completa</v>
      </c>
      <c r="J390" s="33" t="str">
        <f>IFERROR(__xludf.DUMMYFUNCTION("""COMPUTED_VALUE"""),"A CONTRATA")</f>
        <v>A CONTRATA</v>
      </c>
      <c r="K390" s="33" t="str">
        <f>IFERROR(__xludf.DUMMYFUNCTION("""COMPUTED_VALUE"""),"PROFESIONAL")</f>
        <v>PROFESIONAL</v>
      </c>
      <c r="L390" s="34" t="str">
        <f>IFERROR(__xludf.DUMMYFUNCTION("""COMPUTED_VALUE"""),"INTERNO")</f>
        <v>INTERNO</v>
      </c>
      <c r="M390" s="34">
        <f>IFERROR(__xludf.DUMMYFUNCTION("""COMPUTED_VALUE"""),1.0)</f>
        <v>1</v>
      </c>
      <c r="N390" s="34" t="str">
        <f>IFERROR(__xludf.DUMMYFUNCTION("""COMPUTED_VALUE"""),"NO")</f>
        <v>NO</v>
      </c>
      <c r="O390">
        <f>IFERROR(__xludf.DUMMYFUNCTION("""COMPUTED_VALUE"""),0.0)</f>
        <v>0</v>
      </c>
      <c r="P390">
        <f>IFERROR(__xludf.DUMMYFUNCTION("""COMPUTED_VALUE"""),1.0)</f>
        <v>1</v>
      </c>
      <c r="Q390" s="35">
        <f>IFERROR(__xludf.DUMMYFUNCTION("""COMPUTED_VALUE"""),0.0)</f>
        <v>0</v>
      </c>
      <c r="R390" s="36" t="str">
        <f>IFERROR(__xludf.DUMMYFUNCTION("""COMPUTED_VALUE"""),"SELECCIONADA")</f>
        <v>SELECCIONADA</v>
      </c>
      <c r="S390" s="37">
        <f>IFERROR(__xludf.DUMMYFUNCTION("""COMPUTED_VALUE"""),42555.0)</f>
        <v>42555</v>
      </c>
      <c r="T390" s="34" t="str">
        <f>IFERROR(__xludf.DUMMYFUNCTION("""COMPUTED_VALUE"""),"SANTANDER MEYER ROCIO DEL PILAR")</f>
        <v>SANTANDER MEYER ROCIO DEL PILAR</v>
      </c>
      <c r="V390" t="str">
        <f>IFERROR(__xludf.DUMMYFUNCTION("""COMPUTED_VALUE"""),"15314535-0")</f>
        <v>15314535-0</v>
      </c>
      <c r="W390" t="str">
        <f>IFERROR(__xludf.DUMMYFUNCTION("""COMPUTED_VALUE"""),"NO")</f>
        <v>NO</v>
      </c>
      <c r="AA390" s="38">
        <f>IFERROR(__xludf.DUMMYFUNCTION("""COMPUTED_VALUE"""),42500.0)</f>
        <v>42500</v>
      </c>
      <c r="AB390" s="38">
        <f>IFERROR(__xludf.DUMMYFUNCTION("""COMPUTED_VALUE"""),42502.0)</f>
        <v>42502</v>
      </c>
      <c r="AF390" s="39"/>
      <c r="AG390" s="39"/>
      <c r="AH390" s="34" t="str">
        <f>IFERROR(__xludf.DUMMYFUNCTION("""COMPUTED_VALUE"""),"PROCESO DE SELECCIÓN")</f>
        <v>PROCESO DE SELECCIÓN</v>
      </c>
      <c r="AI390" s="34" t="str">
        <f>IFERROR(__xludf.DUMMYFUNCTION("""COMPUTED_VALUE"""),"AUTORIZADO 2015")</f>
        <v>AUTORIZADO 2015</v>
      </c>
      <c r="AJ390" s="34"/>
      <c r="AK390" s="34" t="str">
        <f>IFERROR(__xludf.DUMMYFUNCTION("""COMPUTED_VALUE"""),"P")</f>
        <v>P</v>
      </c>
      <c r="AL390">
        <f>IFERROR(__xludf.DUMMYFUNCTION("""COMPUTED_VALUE"""),38.0)</f>
        <v>38</v>
      </c>
      <c r="AM390">
        <f>IFERROR(__xludf.DUMMYFUNCTION("""COMPUTED_VALUE"""),2016.0)</f>
        <v>2016</v>
      </c>
      <c r="AN390" t="str">
        <f t="shared" si="1"/>
        <v>15314535-0</v>
      </c>
    </row>
    <row r="391">
      <c r="A391" s="33">
        <f>IFERROR(__xludf.DUMMYFUNCTION("""COMPUTED_VALUE"""),1.6075522E7)</f>
        <v>16075522</v>
      </c>
      <c r="B391" s="33">
        <f>IFERROR(__xludf.DUMMYFUNCTION("""COMPUTED_VALUE"""),49.0)</f>
        <v>49</v>
      </c>
      <c r="C391" s="33"/>
      <c r="D391" s="34" t="str">
        <f>IFERROR(__xludf.DUMMYFUNCTION("""COMPUTED_VALUE"""),"INGRESAR CENTRO DE COSTO A LA DERECHA")</f>
        <v>INGRESAR CENTRO DE COSTO A LA DERECHA</v>
      </c>
      <c r="E391" s="34" t="str">
        <f>IFERROR(__xludf.DUMMYFUNCTION("""COMPUTED_VALUE"""),"UNIDAD DE GESTION DEL CAMPUS")</f>
        <v>UNIDAD DE GESTION DEL CAMPUS</v>
      </c>
      <c r="F391" s="34" t="str">
        <f>IFERROR(__xludf.DUMMYFUNCTION("""COMPUTED_VALUE"""),"Médico(a) Veterinario(a)")</f>
        <v>Médico(a) Veterinario(a)</v>
      </c>
      <c r="G391" s="33" t="str">
        <f>IFERROR(__xludf.DUMMYFUNCTION("""COMPUTED_VALUE"""),"MEDICO VETERINARIO")</f>
        <v>MEDICO VETERINARIO</v>
      </c>
      <c r="H391">
        <f>IFERROR(__xludf.DUMMYFUNCTION("""COMPUTED_VALUE"""),13.0)</f>
        <v>13</v>
      </c>
      <c r="I391" s="34" t="str">
        <f>IFERROR(__xludf.DUMMYFUNCTION("""COMPUTED_VALUE"""),"Jornada Completa")</f>
        <v>Jornada Completa</v>
      </c>
      <c r="J391" s="33" t="str">
        <f>IFERROR(__xludf.DUMMYFUNCTION("""COMPUTED_VALUE"""),"A CONTRATA")</f>
        <v>A CONTRATA</v>
      </c>
      <c r="K391" s="33" t="str">
        <f>IFERROR(__xludf.DUMMYFUNCTION("""COMPUTED_VALUE"""),"PROFESIONAL")</f>
        <v>PROFESIONAL</v>
      </c>
      <c r="L391" s="34" t="str">
        <f>IFERROR(__xludf.DUMMYFUNCTION("""COMPUTED_VALUE"""),"NO")</f>
        <v>NO</v>
      </c>
      <c r="M391" s="34">
        <f>IFERROR(__xludf.DUMMYFUNCTION("""COMPUTED_VALUE"""),0.0)</f>
        <v>0</v>
      </c>
      <c r="N391" s="34" t="str">
        <f>IFERROR(__xludf.DUMMYFUNCTION("""COMPUTED_VALUE"""),"EXTERNO")</f>
        <v>EXTERNO</v>
      </c>
      <c r="O391">
        <f>IFERROR(__xludf.DUMMYFUNCTION("""COMPUTED_VALUE"""),17.0)</f>
        <v>17</v>
      </c>
      <c r="P391">
        <f>IFERROR(__xludf.DUMMYFUNCTION("""COMPUTED_VALUE"""),2.0)</f>
        <v>2</v>
      </c>
      <c r="Q391" s="35">
        <f>IFERROR(__xludf.DUMMYFUNCTION("""COMPUTED_VALUE"""),1.0)</f>
        <v>1</v>
      </c>
      <c r="R391" s="36" t="str">
        <f>IFERROR(__xludf.DUMMYFUNCTION("""COMPUTED_VALUE"""),"SELECCIONADA")</f>
        <v>SELECCIONADA</v>
      </c>
      <c r="S391" s="37">
        <f>IFERROR(__xludf.DUMMYFUNCTION("""COMPUTED_VALUE"""),42569.0)</f>
        <v>42569</v>
      </c>
      <c r="T391" s="34"/>
      <c r="U391" t="str">
        <f>IFERROR(__xludf.DUMMYFUNCTION("""COMPUTED_VALUE"""),"PAULA BRAVO ARREDONDO")</f>
        <v>PAULA BRAVO ARREDONDO</v>
      </c>
      <c r="V391" t="str">
        <f>IFERROR(__xludf.DUMMYFUNCTION("""COMPUTED_VALUE"""),"16075522-9")</f>
        <v>16075522-9</v>
      </c>
      <c r="W391" t="str">
        <f>IFERROR(__xludf.DUMMYFUNCTION("""COMPUTED_VALUE"""),"NO")</f>
        <v>NO</v>
      </c>
      <c r="AA391" s="38">
        <f>IFERROR(__xludf.DUMMYFUNCTION("""COMPUTED_VALUE"""),42527.0)</f>
        <v>42527</v>
      </c>
      <c r="AB391" s="38">
        <f>IFERROR(__xludf.DUMMYFUNCTION("""COMPUTED_VALUE"""),42534.0)</f>
        <v>42534</v>
      </c>
      <c r="AF391" s="39"/>
      <c r="AG391" s="39"/>
      <c r="AH391" s="34" t="str">
        <f>IFERROR(__xludf.DUMMYFUNCTION("""COMPUTED_VALUE"""),"PROCESO DE SELECCIÓN")</f>
        <v>PROCESO DE SELECCIÓN</v>
      </c>
      <c r="AI391" s="34" t="str">
        <f>IFERROR(__xludf.DUMMYFUNCTION("""COMPUTED_VALUE"""),"AUTORIZADO 2015")</f>
        <v>AUTORIZADO 2015</v>
      </c>
      <c r="AJ391" s="34"/>
      <c r="AK391" s="34" t="str">
        <f>IFERROR(__xludf.DUMMYFUNCTION("""COMPUTED_VALUE"""),"E")</f>
        <v>E</v>
      </c>
      <c r="AL391">
        <f>IFERROR(__xludf.DUMMYFUNCTION("""COMPUTED_VALUE"""),26.0)</f>
        <v>26</v>
      </c>
      <c r="AM391">
        <f>IFERROR(__xludf.DUMMYFUNCTION("""COMPUTED_VALUE"""),2016.0)</f>
        <v>2016</v>
      </c>
      <c r="AN391" t="str">
        <f t="shared" si="1"/>
        <v>16075522-9</v>
      </c>
    </row>
    <row r="392">
      <c r="A392" s="33">
        <f>IFERROR(__xludf.DUMMYFUNCTION("""COMPUTED_VALUE"""),1.8251296E7)</f>
        <v>18251296</v>
      </c>
      <c r="B392" s="33">
        <f>IFERROR(__xludf.DUMMYFUNCTION("""COMPUTED_VALUE"""),50.0)</f>
        <v>50</v>
      </c>
      <c r="C392" s="33"/>
      <c r="D392" s="34" t="str">
        <f>IFERROR(__xludf.DUMMYFUNCTION("""COMPUTED_VALUE"""),"INGRESAR CENTRO DE COSTO A LA DERECHA")</f>
        <v>INGRESAR CENTRO DE COSTO A LA DERECHA</v>
      </c>
      <c r="E392" s="34" t="str">
        <f>IFERROR(__xludf.DUMMYFUNCTION("""COMPUTED_VALUE"""),"UNIDAD DE GESTION DEL CAMPUS")</f>
        <v>UNIDAD DE GESTION DEL CAMPUS</v>
      </c>
      <c r="F392" s="34" t="str">
        <f>IFERROR(__xludf.DUMMYFUNCTION("""COMPUTED_VALUE"""),"Analista de Gestión II")</f>
        <v>Analista de Gestión II</v>
      </c>
      <c r="G392" s="33" t="str">
        <f>IFERROR(__xludf.DUMMYFUNCTION("""COMPUTED_VALUE"""),"ANALISTA II")</f>
        <v>ANALISTA II</v>
      </c>
      <c r="H392">
        <f>IFERROR(__xludf.DUMMYFUNCTION("""COMPUTED_VALUE"""),13.0)</f>
        <v>13</v>
      </c>
      <c r="I392" s="34" t="str">
        <f>IFERROR(__xludf.DUMMYFUNCTION("""COMPUTED_VALUE"""),"Jornada Completa")</f>
        <v>Jornada Completa</v>
      </c>
      <c r="J392" s="33" t="str">
        <f>IFERROR(__xludf.DUMMYFUNCTION("""COMPUTED_VALUE"""),"A CONTRATA")</f>
        <v>A CONTRATA</v>
      </c>
      <c r="K392" s="33" t="str">
        <f>IFERROR(__xludf.DUMMYFUNCTION("""COMPUTED_VALUE"""),"PROFESIONAL")</f>
        <v>PROFESIONAL</v>
      </c>
      <c r="L392" s="34" t="str">
        <f>IFERROR(__xludf.DUMMYFUNCTION("""COMPUTED_VALUE"""),"INTERNO")</f>
        <v>INTERNO</v>
      </c>
      <c r="M392" s="34">
        <f>IFERROR(__xludf.DUMMYFUNCTION("""COMPUTED_VALUE"""),5.0)</f>
        <v>5</v>
      </c>
      <c r="N392" s="34" t="str">
        <f>IFERROR(__xludf.DUMMYFUNCTION("""COMPUTED_VALUE"""),"NO")</f>
        <v>NO</v>
      </c>
      <c r="O392">
        <f>IFERROR(__xludf.DUMMYFUNCTION("""COMPUTED_VALUE"""),0.0)</f>
        <v>0</v>
      </c>
      <c r="P392">
        <f>IFERROR(__xludf.DUMMYFUNCTION("""COMPUTED_VALUE"""),1.0)</f>
        <v>1</v>
      </c>
      <c r="Q392" s="35">
        <f>IFERROR(__xludf.DUMMYFUNCTION("""COMPUTED_VALUE"""),0.0)</f>
        <v>0</v>
      </c>
      <c r="R392" s="36" t="str">
        <f>IFERROR(__xludf.DUMMYFUNCTION("""COMPUTED_VALUE"""),"SELECCIONADA")</f>
        <v>SELECCIONADA</v>
      </c>
      <c r="S392" s="37">
        <f>IFERROR(__xludf.DUMMYFUNCTION("""COMPUTED_VALUE"""),42569.0)</f>
        <v>42569</v>
      </c>
      <c r="T392" s="34" t="str">
        <f>IFERROR(__xludf.DUMMYFUNCTION("""COMPUTED_VALUE"""),"DIAZ BERTOLI GABRIELA PAOLA")</f>
        <v>DIAZ BERTOLI GABRIELA PAOLA</v>
      </c>
      <c r="V392" t="str">
        <f>IFERROR(__xludf.DUMMYFUNCTION("""COMPUTED_VALUE"""),"18251296-5")</f>
        <v>18251296-5</v>
      </c>
      <c r="W392" t="str">
        <f>IFERROR(__xludf.DUMMYFUNCTION("""COMPUTED_VALUE"""),"SI")</f>
        <v>SI</v>
      </c>
      <c r="X392" t="str">
        <f>IFERROR(__xludf.DUMMYFUNCTION("""COMPUTED_VALUE"""),"CAPACIDAD DE PLANIFICACION Y ORGANIZACION")</f>
        <v>CAPACIDAD DE PLANIFICACION Y ORGANIZACION</v>
      </c>
      <c r="AA392" s="38">
        <f>IFERROR(__xludf.DUMMYFUNCTION("""COMPUTED_VALUE"""),42543.0)</f>
        <v>42543</v>
      </c>
      <c r="AB392" s="38">
        <f>IFERROR(__xludf.DUMMYFUNCTION("""COMPUTED_VALUE"""),42550.0)</f>
        <v>42550</v>
      </c>
      <c r="AF392" s="39"/>
      <c r="AG392" s="39"/>
      <c r="AH392" s="34" t="str">
        <f>IFERROR(__xludf.DUMMYFUNCTION("""COMPUTED_VALUE"""),"PROCESO DE SELECCIÓN")</f>
        <v>PROCESO DE SELECCIÓN</v>
      </c>
      <c r="AI392" s="34" t="str">
        <f>IFERROR(__xludf.DUMMYFUNCTION("""COMPUTED_VALUE"""),"AUTORIZADO 2016")</f>
        <v>AUTORIZADO 2016</v>
      </c>
      <c r="AJ392" s="34"/>
      <c r="AK392" s="34" t="str">
        <f>IFERROR(__xludf.DUMMYFUNCTION("""COMPUTED_VALUE"""),"P")</f>
        <v>P</v>
      </c>
      <c r="AL392">
        <f>IFERROR(__xludf.DUMMYFUNCTION("""COMPUTED_VALUE"""),14.0)</f>
        <v>14</v>
      </c>
      <c r="AM392">
        <f>IFERROR(__xludf.DUMMYFUNCTION("""COMPUTED_VALUE"""),2016.0)</f>
        <v>2016</v>
      </c>
      <c r="AN392" t="str">
        <f t="shared" si="1"/>
        <v>18251296-5</v>
      </c>
    </row>
    <row r="393">
      <c r="A393" s="33">
        <f>IFERROR(__xludf.DUMMYFUNCTION("""COMPUTED_VALUE"""),1.0405955E7)</f>
        <v>10405955</v>
      </c>
      <c r="B393" s="33">
        <f>IFERROR(__xludf.DUMMYFUNCTION("""COMPUTED_VALUE"""),51.0)</f>
        <v>51</v>
      </c>
      <c r="C393" s="33"/>
      <c r="D393" s="34" t="str">
        <f>IFERROR(__xludf.DUMMYFUNCTION("""COMPUTED_VALUE"""),"INGRESAR CENTRO DE COSTO A LA DERECHA")</f>
        <v>INGRESAR CENTRO DE COSTO A LA DERECHA</v>
      </c>
      <c r="E393" s="34" t="str">
        <f>IFERROR(__xludf.DUMMYFUNCTION("""COMPUTED_VALUE"""),"FACULTAD DE QUIMICA Y BIOLOGIA")</f>
        <v>FACULTAD DE QUIMICA Y BIOLOGIA</v>
      </c>
      <c r="F393" s="34" t="str">
        <f>IFERROR(__xludf.DUMMYFUNCTION("""COMPUTED_VALUE"""),"Mayordomo(a)")</f>
        <v>Mayordomo(a)</v>
      </c>
      <c r="G393" s="33" t="str">
        <f>IFERROR(__xludf.DUMMYFUNCTION("""COMPUTED_VALUE"""),"MAYORDOMO")</f>
        <v>MAYORDOMO</v>
      </c>
      <c r="H393">
        <f>IFERROR(__xludf.DUMMYFUNCTION("""COMPUTED_VALUE"""),21.0)</f>
        <v>21</v>
      </c>
      <c r="I393" s="34" t="str">
        <f>IFERROR(__xludf.DUMMYFUNCTION("""COMPUTED_VALUE"""),"Jornada Completa")</f>
        <v>Jornada Completa</v>
      </c>
      <c r="J393" s="33" t="str">
        <f>IFERROR(__xludf.DUMMYFUNCTION("""COMPUTED_VALUE"""),"A CONTRATA")</f>
        <v>A CONTRATA</v>
      </c>
      <c r="K393" s="33" t="str">
        <f>IFERROR(__xludf.DUMMYFUNCTION("""COMPUTED_VALUE"""),"AUXILIAR")</f>
        <v>AUXILIAR</v>
      </c>
      <c r="L393" s="34" t="str">
        <f>IFERROR(__xludf.DUMMYFUNCTION("""COMPUTED_VALUE"""),"NO")</f>
        <v>NO</v>
      </c>
      <c r="M393" s="34">
        <f>IFERROR(__xludf.DUMMYFUNCTION("""COMPUTED_VALUE"""),0.0)</f>
        <v>0</v>
      </c>
      <c r="N393" s="34" t="str">
        <f>IFERROR(__xludf.DUMMYFUNCTION("""COMPUTED_VALUE"""),"EXTERNO")</f>
        <v>EXTERNO</v>
      </c>
      <c r="O393">
        <f>IFERROR(__xludf.DUMMYFUNCTION("""COMPUTED_VALUE"""),5.0)</f>
        <v>5</v>
      </c>
      <c r="P393">
        <f>IFERROR(__xludf.DUMMYFUNCTION("""COMPUTED_VALUE"""),1.0)</f>
        <v>1</v>
      </c>
      <c r="Q393" s="35">
        <f>IFERROR(__xludf.DUMMYFUNCTION("""COMPUTED_VALUE"""),2.0)</f>
        <v>2</v>
      </c>
      <c r="R393" s="36" t="str">
        <f>IFERROR(__xludf.DUMMYFUNCTION("""COMPUTED_VALUE"""),"SELECCIONADO")</f>
        <v>SELECCIONADO</v>
      </c>
      <c r="S393" s="37">
        <f>IFERROR(__xludf.DUMMYFUNCTION("""COMPUTED_VALUE"""),42506.0)</f>
        <v>42506</v>
      </c>
      <c r="T393" s="34"/>
      <c r="U393" t="str">
        <f>IFERROR(__xludf.DUMMYFUNCTION("""COMPUTED_VALUE"""),"JOSE TOLEDO VERA")</f>
        <v>JOSE TOLEDO VERA</v>
      </c>
      <c r="V393" t="str">
        <f>IFERROR(__xludf.DUMMYFUNCTION("""COMPUTED_VALUE"""),"10405955-4")</f>
        <v>10405955-4</v>
      </c>
      <c r="W393" t="str">
        <f>IFERROR(__xludf.DUMMYFUNCTION("""COMPUTED_VALUE"""),"NO")</f>
        <v>NO</v>
      </c>
      <c r="AA393" s="38">
        <f>IFERROR(__xludf.DUMMYFUNCTION("""COMPUTED_VALUE"""),42499.0)</f>
        <v>42499</v>
      </c>
      <c r="AB393" s="38">
        <f>IFERROR(__xludf.DUMMYFUNCTION("""COMPUTED_VALUE"""),42501.0)</f>
        <v>42501</v>
      </c>
      <c r="AF393" s="39"/>
      <c r="AG393" s="39"/>
      <c r="AH393" s="34" t="str">
        <f>IFERROR(__xludf.DUMMYFUNCTION("""COMPUTED_VALUE"""),"PROCESO DE SELECCIÓN")</f>
        <v>PROCESO DE SELECCIÓN</v>
      </c>
      <c r="AI393" s="34" t="str">
        <f>IFERROR(__xludf.DUMMYFUNCTION("""COMPUTED_VALUE"""),"AUTORIZADO 2013 - 2016")</f>
        <v>AUTORIZADO 2013 - 2016</v>
      </c>
      <c r="AJ393" s="34"/>
      <c r="AK393" s="34" t="str">
        <f>IFERROR(__xludf.DUMMYFUNCTION("""COMPUTED_VALUE"""),"P")</f>
        <v>P</v>
      </c>
      <c r="AL393">
        <f>IFERROR(__xludf.DUMMYFUNCTION("""COMPUTED_VALUE"""),4.0)</f>
        <v>4</v>
      </c>
      <c r="AM393">
        <f>IFERROR(__xludf.DUMMYFUNCTION("""COMPUTED_VALUE"""),2016.0)</f>
        <v>2016</v>
      </c>
      <c r="AN393" t="str">
        <f t="shared" si="1"/>
        <v>10405955-4</v>
      </c>
    </row>
    <row r="394">
      <c r="A394" s="33">
        <f>IFERROR(__xludf.DUMMYFUNCTION("""COMPUTED_VALUE"""),1.9088083E7)</f>
        <v>19088083</v>
      </c>
      <c r="B394" s="33">
        <f>IFERROR(__xludf.DUMMYFUNCTION("""COMPUTED_VALUE"""),52.0)</f>
        <v>52</v>
      </c>
      <c r="C394" s="33"/>
      <c r="D394" s="34" t="str">
        <f>IFERROR(__xludf.DUMMYFUNCTION("""COMPUTED_VALUE"""),"INGRESAR CENTRO DE COSTO A LA DERECHA")</f>
        <v>INGRESAR CENTRO DE COSTO A LA DERECHA</v>
      </c>
      <c r="E394" s="34" t="str">
        <f>IFERROR(__xludf.DUMMYFUNCTION("""COMPUTED_VALUE"""),"DPTO. DE DEPORTES")</f>
        <v>DPTO. DE DEPORTES</v>
      </c>
      <c r="F394" s="34" t="str">
        <f>IFERROR(__xludf.DUMMYFUNCTION("""COMPUTED_VALUE"""),"Auxiliar de Servicios")</f>
        <v>Auxiliar de Servicios</v>
      </c>
      <c r="G394" s="33" t="str">
        <f>IFERROR(__xludf.DUMMYFUNCTION("""COMPUTED_VALUE"""),"AUXILIAR DE SERVICIOS")</f>
        <v>AUXILIAR DE SERVICIOS</v>
      </c>
      <c r="H394">
        <f>IFERROR(__xludf.DUMMYFUNCTION("""COMPUTED_VALUE"""),23.0)</f>
        <v>23</v>
      </c>
      <c r="I394" s="34" t="str">
        <f>IFERROR(__xludf.DUMMYFUNCTION("""COMPUTED_VALUE"""),"Jornada Completa")</f>
        <v>Jornada Completa</v>
      </c>
      <c r="J394" s="33" t="str">
        <f>IFERROR(__xludf.DUMMYFUNCTION("""COMPUTED_VALUE"""),"A CONTRATA")</f>
        <v>A CONTRATA</v>
      </c>
      <c r="K394" s="33" t="str">
        <f>IFERROR(__xludf.DUMMYFUNCTION("""COMPUTED_VALUE"""),"AUXILIAR")</f>
        <v>AUXILIAR</v>
      </c>
      <c r="L394" s="34" t="str">
        <f>IFERROR(__xludf.DUMMYFUNCTION("""COMPUTED_VALUE"""),"INTERNO")</f>
        <v>INTERNO</v>
      </c>
      <c r="M394" s="34">
        <f>IFERROR(__xludf.DUMMYFUNCTION("""COMPUTED_VALUE"""),0.0)</f>
        <v>0</v>
      </c>
      <c r="N394" s="34" t="str">
        <f>IFERROR(__xludf.DUMMYFUNCTION("""COMPUTED_VALUE"""),"EXTERNO")</f>
        <v>EXTERNO</v>
      </c>
      <c r="O394">
        <f>IFERROR(__xludf.DUMMYFUNCTION("""COMPUTED_VALUE"""),5.0)</f>
        <v>5</v>
      </c>
      <c r="P394">
        <f>IFERROR(__xludf.DUMMYFUNCTION("""COMPUTED_VALUE"""),2.0)</f>
        <v>2</v>
      </c>
      <c r="Q394" s="35">
        <f>IFERROR(__xludf.DUMMYFUNCTION("""COMPUTED_VALUE"""),1.0)</f>
        <v>1</v>
      </c>
      <c r="R394" s="36" t="str">
        <f>IFERROR(__xludf.DUMMYFUNCTION("""COMPUTED_VALUE"""),"SELECCIONADO")</f>
        <v>SELECCIONADO</v>
      </c>
      <c r="S394" s="37">
        <f>IFERROR(__xludf.DUMMYFUNCTION("""COMPUTED_VALUE"""),42527.0)</f>
        <v>42527</v>
      </c>
      <c r="T394" s="34"/>
      <c r="U394" t="str">
        <f>IFERROR(__xludf.DUMMYFUNCTION("""COMPUTED_VALUE"""),"LUIS PALMA AEDO")</f>
        <v>LUIS PALMA AEDO</v>
      </c>
      <c r="V394" t="str">
        <f>IFERROR(__xludf.DUMMYFUNCTION("""COMPUTED_VALUE"""),"19088083-4")</f>
        <v>19088083-4</v>
      </c>
      <c r="W394" t="str">
        <f>IFERROR(__xludf.DUMMYFUNCTION("""COMPUTED_VALUE"""),"SI")</f>
        <v>SI</v>
      </c>
      <c r="X394" t="str">
        <f>IFERROR(__xludf.DUMMYFUNCTION("""COMPUTED_VALUE"""),"TRABAJO EN EQUIPO")</f>
        <v>TRABAJO EN EQUIPO</v>
      </c>
      <c r="AA394" s="38">
        <f>IFERROR(__xludf.DUMMYFUNCTION("""COMPUTED_VALUE"""),42482.0)</f>
        <v>42482</v>
      </c>
      <c r="AB394" s="38">
        <f>IFERROR(__xludf.DUMMYFUNCTION("""COMPUTED_VALUE"""),42489.0)</f>
        <v>42489</v>
      </c>
      <c r="AF394" s="39"/>
      <c r="AG394" s="39"/>
      <c r="AH394" s="34" t="str">
        <f>IFERROR(__xludf.DUMMYFUNCTION("""COMPUTED_VALUE"""),"PROCESO DE SELECCIÓN")</f>
        <v>PROCESO DE SELECCIÓN</v>
      </c>
      <c r="AI394" s="34" t="str">
        <f>IFERROR(__xludf.DUMMYFUNCTION("""COMPUTED_VALUE"""),"JAIME SILVA MONTENEGRO")</f>
        <v>JAIME SILVA MONTENEGRO</v>
      </c>
      <c r="AJ394" s="34"/>
      <c r="AK394" s="34" t="str">
        <f>IFERROR(__xludf.DUMMYFUNCTION("""COMPUTED_VALUE"""),"P")</f>
        <v>P</v>
      </c>
      <c r="AL394">
        <f>IFERROR(__xludf.DUMMYFUNCTION("""COMPUTED_VALUE"""),27.0)</f>
        <v>27</v>
      </c>
      <c r="AM394">
        <f>IFERROR(__xludf.DUMMYFUNCTION("""COMPUTED_VALUE"""),2016.0)</f>
        <v>2016</v>
      </c>
      <c r="AN394" t="str">
        <f t="shared" si="1"/>
        <v>19088083-4</v>
      </c>
    </row>
    <row r="395">
      <c r="A395" s="33">
        <f>IFERROR(__xludf.DUMMYFUNCTION("""COMPUTED_VALUE"""),1.6041081E7)</f>
        <v>16041081</v>
      </c>
      <c r="B395" s="33">
        <f>IFERROR(__xludf.DUMMYFUNCTION("""COMPUTED_VALUE"""),53.0)</f>
        <v>53</v>
      </c>
      <c r="C395" s="33"/>
      <c r="D395" s="34" t="str">
        <f>IFERROR(__xludf.DUMMYFUNCTION("""COMPUTED_VALUE"""),"INGRESAR CENTRO DE COSTO A LA DERECHA")</f>
        <v>INGRESAR CENTRO DE COSTO A LA DERECHA</v>
      </c>
      <c r="E395" s="34" t="str">
        <f>IFERROR(__xludf.DUMMYFUNCTION("""COMPUTED_VALUE"""),"VR. DE INVEST. DESARR E INNOVACION")</f>
        <v>VR. DE INVEST. DESARR E INNOVACION</v>
      </c>
      <c r="F395" s="34" t="str">
        <f>IFERROR(__xludf.DUMMYFUNCTION("""COMPUTED_VALUE"""),"Jefe(a) de Sección")</f>
        <v>Jefe(a) de Sección</v>
      </c>
      <c r="G395" s="33" t="str">
        <f>IFERROR(__xludf.DUMMYFUNCTION("""COMPUTED_VALUE"""),"JEFE DE SECCION EDIFICIO EDUARDO MORALES SANTOS")</f>
        <v>JEFE DE SECCION EDIFICIO EDUARDO MORALES SANTOS</v>
      </c>
      <c r="H395">
        <f>IFERROR(__xludf.DUMMYFUNCTION("""COMPUTED_VALUE"""),10.0)</f>
        <v>10</v>
      </c>
      <c r="I395" s="34" t="str">
        <f>IFERROR(__xludf.DUMMYFUNCTION("""COMPUTED_VALUE"""),"Jornada Completa")</f>
        <v>Jornada Completa</v>
      </c>
      <c r="J395" s="33" t="str">
        <f>IFERROR(__xludf.DUMMYFUNCTION("""COMPUTED_VALUE"""),"A CONTRATA")</f>
        <v>A CONTRATA</v>
      </c>
      <c r="K395" s="33" t="str">
        <f>IFERROR(__xludf.DUMMYFUNCTION("""COMPUTED_VALUE"""),"PROFESIONAL")</f>
        <v>PROFESIONAL</v>
      </c>
      <c r="L395" s="34" t="str">
        <f>IFERROR(__xludf.DUMMYFUNCTION("""COMPUTED_VALUE"""),"INTERNO")</f>
        <v>INTERNO</v>
      </c>
      <c r="M395" s="34">
        <f>IFERROR(__xludf.DUMMYFUNCTION("""COMPUTED_VALUE"""),0.0)</f>
        <v>0</v>
      </c>
      <c r="N395" s="34" t="str">
        <f>IFERROR(__xludf.DUMMYFUNCTION("""COMPUTED_VALUE"""),"EXTERNO")</f>
        <v>EXTERNO</v>
      </c>
      <c r="O395">
        <f>IFERROR(__xludf.DUMMYFUNCTION("""COMPUTED_VALUE"""),7.0)</f>
        <v>7</v>
      </c>
      <c r="P395">
        <f>IFERROR(__xludf.DUMMYFUNCTION("""COMPUTED_VALUE"""),2.0)</f>
        <v>2</v>
      </c>
      <c r="Q395" s="35">
        <f>IFERROR(__xludf.DUMMYFUNCTION("""COMPUTED_VALUE"""),1.0)</f>
        <v>1</v>
      </c>
      <c r="R395" s="36" t="str">
        <f>IFERROR(__xludf.DUMMYFUNCTION("""COMPUTED_VALUE"""),"SELECCIONADO")</f>
        <v>SELECCIONADO</v>
      </c>
      <c r="S395" s="37">
        <f>IFERROR(__xludf.DUMMYFUNCTION("""COMPUTED_VALUE"""),42564.0)</f>
        <v>42564</v>
      </c>
      <c r="T395" s="34"/>
      <c r="U395" t="str">
        <f>IFERROR(__xludf.DUMMYFUNCTION("""COMPUTED_VALUE"""),"HECTOR JAQUE PINTO")</f>
        <v>HECTOR JAQUE PINTO</v>
      </c>
      <c r="V395" t="str">
        <f>IFERROR(__xludf.DUMMYFUNCTION("""COMPUTED_VALUE"""),"16041081-7")</f>
        <v>16041081-7</v>
      </c>
      <c r="W395" t="str">
        <f>IFERROR(__xludf.DUMMYFUNCTION("""COMPUTED_VALUE"""),"SI")</f>
        <v>SI</v>
      </c>
      <c r="X395" t="str">
        <f>IFERROR(__xludf.DUMMYFUNCTION("""COMPUTED_VALUE"""),"TRABAJO EN EQUIPO")</f>
        <v>TRABAJO EN EQUIPO</v>
      </c>
      <c r="AA395" s="38">
        <f>IFERROR(__xludf.DUMMYFUNCTION("""COMPUTED_VALUE"""),42510.0)</f>
        <v>42510</v>
      </c>
      <c r="AB395" s="38">
        <f>IFERROR(__xludf.DUMMYFUNCTION("""COMPUTED_VALUE"""),42517.0)</f>
        <v>42517</v>
      </c>
      <c r="AF395" s="39"/>
      <c r="AG395" s="39"/>
      <c r="AH395" s="34" t="str">
        <f>IFERROR(__xludf.DUMMYFUNCTION("""COMPUTED_VALUE"""),"PROCESO DE SELECCIÓN")</f>
        <v>PROCESO DE SELECCIÓN</v>
      </c>
      <c r="AI395" s="34" t="str">
        <f>IFERROR(__xludf.DUMMYFUNCTION("""COMPUTED_VALUE"""),"AUTORIZADO 2016")</f>
        <v>AUTORIZADO 2016</v>
      </c>
      <c r="AJ395" s="34"/>
      <c r="AK395" s="34" t="str">
        <f>IFERROR(__xludf.DUMMYFUNCTION("""COMPUTED_VALUE"""),"E")</f>
        <v>E</v>
      </c>
      <c r="AL395">
        <f>IFERROR(__xludf.DUMMYFUNCTION("""COMPUTED_VALUE"""),34.0)</f>
        <v>34</v>
      </c>
      <c r="AM395">
        <f>IFERROR(__xludf.DUMMYFUNCTION("""COMPUTED_VALUE"""),2016.0)</f>
        <v>2016</v>
      </c>
      <c r="AN395" t="str">
        <f t="shared" si="1"/>
        <v>16041081-7</v>
      </c>
    </row>
    <row r="396">
      <c r="A396" s="33">
        <f>IFERROR(__xludf.DUMMYFUNCTION("""COMPUTED_VALUE"""),1.7051027E7)</f>
        <v>17051027</v>
      </c>
      <c r="B396" s="33">
        <f>IFERROR(__xludf.DUMMYFUNCTION("""COMPUTED_VALUE"""),54.0)</f>
        <v>54</v>
      </c>
      <c r="C396" s="33"/>
      <c r="D396" s="34" t="str">
        <f>IFERROR(__xludf.DUMMYFUNCTION("""COMPUTED_VALUE"""),"INGRESAR CENTRO DE COSTO A LA DERECHA")</f>
        <v>INGRESAR CENTRO DE COSTO A LA DERECHA</v>
      </c>
      <c r="E396" s="34" t="str">
        <f>IFERROR(__xludf.DUMMYFUNCTION("""COMPUTED_VALUE"""),"DPTO. DE MAT. Y CS. DE LA COMP.")</f>
        <v>DPTO. DE MAT. Y CS. DE LA COMP.</v>
      </c>
      <c r="F396" s="34" t="str">
        <f>IFERROR(__xludf.DUMMYFUNCTION("""COMPUTED_VALUE"""),"Técnico(a) de Biblioteca")</f>
        <v>Técnico(a) de Biblioteca</v>
      </c>
      <c r="G396" s="33" t="str">
        <f>IFERROR(__xludf.DUMMYFUNCTION("""COMPUTED_VALUE"""),"TECNICO DE BIBLIOTECA")</f>
        <v>TECNICO DE BIBLIOTECA</v>
      </c>
      <c r="H396">
        <f>IFERROR(__xludf.DUMMYFUNCTION("""COMPUTED_VALUE"""),18.0)</f>
        <v>18</v>
      </c>
      <c r="I396" s="34" t="str">
        <f>IFERROR(__xludf.DUMMYFUNCTION("""COMPUTED_VALUE"""),"Jornada Completa")</f>
        <v>Jornada Completa</v>
      </c>
      <c r="J396" s="33" t="str">
        <f>IFERROR(__xludf.DUMMYFUNCTION("""COMPUTED_VALUE"""),"A CONTRATA")</f>
        <v>A CONTRATA</v>
      </c>
      <c r="K396" s="33" t="str">
        <f>IFERROR(__xludf.DUMMYFUNCTION("""COMPUTED_VALUE"""),"TECNICO")</f>
        <v>TECNICO</v>
      </c>
      <c r="L396" s="34" t="str">
        <f>IFERROR(__xludf.DUMMYFUNCTION("""COMPUTED_VALUE"""),"INTERNO")</f>
        <v>INTERNO</v>
      </c>
      <c r="M396" s="34">
        <f>IFERROR(__xludf.DUMMYFUNCTION("""COMPUTED_VALUE"""),0.0)</f>
        <v>0</v>
      </c>
      <c r="N396" s="34" t="str">
        <f>IFERROR(__xludf.DUMMYFUNCTION("""COMPUTED_VALUE"""),"EXTERNO")</f>
        <v>EXTERNO</v>
      </c>
      <c r="O396">
        <f>IFERROR(__xludf.DUMMYFUNCTION("""COMPUTED_VALUE"""),11.0)</f>
        <v>11</v>
      </c>
      <c r="P396">
        <f>IFERROR(__xludf.DUMMYFUNCTION("""COMPUTED_VALUE"""),5.0)</f>
        <v>5</v>
      </c>
      <c r="Q396" s="35">
        <f>IFERROR(__xludf.DUMMYFUNCTION("""COMPUTED_VALUE"""),4.0)</f>
        <v>4</v>
      </c>
      <c r="R396" s="36" t="str">
        <f>IFERROR(__xludf.DUMMYFUNCTION("""COMPUTED_VALUE"""),"SELECCIONADO")</f>
        <v>SELECCIONADO</v>
      </c>
      <c r="S396" s="37">
        <f>IFERROR(__xludf.DUMMYFUNCTION("""COMPUTED_VALUE"""),42565.0)</f>
        <v>42565</v>
      </c>
      <c r="T396" s="34"/>
      <c r="U396" t="str">
        <f>IFERROR(__xludf.DUMMYFUNCTION("""COMPUTED_VALUE"""),"JUAN LUNA MAGUIDA")</f>
        <v>JUAN LUNA MAGUIDA</v>
      </c>
      <c r="V396" t="str">
        <f>IFERROR(__xludf.DUMMYFUNCTION("""COMPUTED_VALUE"""),"17051027-5")</f>
        <v>17051027-5</v>
      </c>
      <c r="W396" t="str">
        <f>IFERROR(__xludf.DUMMYFUNCTION("""COMPUTED_VALUE"""),"NO")</f>
        <v>NO</v>
      </c>
      <c r="AA396" s="38">
        <f>IFERROR(__xludf.DUMMYFUNCTION("""COMPUTED_VALUE"""),42551.0)</f>
        <v>42551</v>
      </c>
      <c r="AB396" s="38">
        <f>IFERROR(__xludf.DUMMYFUNCTION("""COMPUTED_VALUE"""),42556.0)</f>
        <v>42556</v>
      </c>
      <c r="AF396" s="39"/>
      <c r="AG396" s="39"/>
      <c r="AH396" s="34" t="str">
        <f>IFERROR(__xludf.DUMMYFUNCTION("""COMPUTED_VALUE"""),"PROCESO DE SELECCIÓN")</f>
        <v>PROCESO DE SELECCIÓN</v>
      </c>
      <c r="AI396" s="34" t="str">
        <f>IFERROR(__xludf.DUMMYFUNCTION("""COMPUTED_VALUE"""),"AUTORIZADO 2015")</f>
        <v>AUTORIZADO 2015</v>
      </c>
      <c r="AJ396" s="34"/>
      <c r="AK396" s="34" t="str">
        <f>IFERROR(__xludf.DUMMYFUNCTION("""COMPUTED_VALUE"""),"E")</f>
        <v>E</v>
      </c>
      <c r="AL396">
        <f>IFERROR(__xludf.DUMMYFUNCTION("""COMPUTED_VALUE"""),8.0)</f>
        <v>8</v>
      </c>
      <c r="AM396">
        <f>IFERROR(__xludf.DUMMYFUNCTION("""COMPUTED_VALUE"""),2016.0)</f>
        <v>2016</v>
      </c>
      <c r="AN396" t="str">
        <f t="shared" si="1"/>
        <v>17051027-5</v>
      </c>
    </row>
    <row r="397">
      <c r="A397" s="33">
        <f>IFERROR(__xludf.DUMMYFUNCTION("""COMPUTED_VALUE"""),9976220.0)</f>
        <v>9976220</v>
      </c>
      <c r="B397" s="33">
        <f>IFERROR(__xludf.DUMMYFUNCTION("""COMPUTED_VALUE"""),55.0)</f>
        <v>55</v>
      </c>
      <c r="C397" s="33"/>
      <c r="D397" s="34" t="str">
        <f>IFERROR(__xludf.DUMMYFUNCTION("""COMPUTED_VALUE"""),"INGRESAR CENTRO DE COSTO A LA DERECHA")</f>
        <v>INGRESAR CENTRO DE COSTO A LA DERECHA</v>
      </c>
      <c r="E397" s="34" t="str">
        <f>IFERROR(__xludf.DUMMYFUNCTION("""COMPUTED_VALUE"""),"DPTO. DE RECURSOS HUMANOS")</f>
        <v>DPTO. DE RECURSOS HUMANOS</v>
      </c>
      <c r="F397" s="34" t="str">
        <f>IFERROR(__xludf.DUMMYFUNCTION("""COMPUTED_VALUE"""),"Estafeta")</f>
        <v>Estafeta</v>
      </c>
      <c r="G397" s="33" t="str">
        <f>IFERROR(__xludf.DUMMYFUNCTION("""COMPUTED_VALUE"""),"ESTAFETA")</f>
        <v>ESTAFETA</v>
      </c>
      <c r="H397">
        <f>IFERROR(__xludf.DUMMYFUNCTION("""COMPUTED_VALUE"""),23.0)</f>
        <v>23</v>
      </c>
      <c r="I397" s="34" t="str">
        <f>IFERROR(__xludf.DUMMYFUNCTION("""COMPUTED_VALUE"""),"Jornada Completa")</f>
        <v>Jornada Completa</v>
      </c>
      <c r="J397" s="33" t="str">
        <f>IFERROR(__xludf.DUMMYFUNCTION("""COMPUTED_VALUE"""),"A CONTRATA")</f>
        <v>A CONTRATA</v>
      </c>
      <c r="K397" s="33" t="str">
        <f>IFERROR(__xludf.DUMMYFUNCTION("""COMPUTED_VALUE"""),"AUXILIAR")</f>
        <v>AUXILIAR</v>
      </c>
      <c r="L397" s="34" t="str">
        <f>IFERROR(__xludf.DUMMYFUNCTION("""COMPUTED_VALUE"""),"INTERNO")</f>
        <v>INTERNO</v>
      </c>
      <c r="M397" s="34">
        <f>IFERROR(__xludf.DUMMYFUNCTION("""COMPUTED_VALUE"""),1.0)</f>
        <v>1</v>
      </c>
      <c r="N397" s="34" t="str">
        <f>IFERROR(__xludf.DUMMYFUNCTION("""COMPUTED_VALUE"""),"EXTERNO")</f>
        <v>EXTERNO</v>
      </c>
      <c r="O397">
        <f>IFERROR(__xludf.DUMMYFUNCTION("""COMPUTED_VALUE"""),15.0)</f>
        <v>15</v>
      </c>
      <c r="P397">
        <f>IFERROR(__xludf.DUMMYFUNCTION("""COMPUTED_VALUE"""),2.0)</f>
        <v>2</v>
      </c>
      <c r="Q397" s="35">
        <f>IFERROR(__xludf.DUMMYFUNCTION("""COMPUTED_VALUE"""),1.0)</f>
        <v>1</v>
      </c>
      <c r="R397" s="36" t="str">
        <f>IFERROR(__xludf.DUMMYFUNCTION("""COMPUTED_VALUE"""),"SELECCIONADA")</f>
        <v>SELECCIONADA</v>
      </c>
      <c r="S397" s="37">
        <f>IFERROR(__xludf.DUMMYFUNCTION("""COMPUTED_VALUE"""),42541.0)</f>
        <v>42541</v>
      </c>
      <c r="T397" s="34"/>
      <c r="U397" t="str">
        <f>IFERROR(__xludf.DUMMYFUNCTION("""COMPUTED_VALUE"""),"MARIA HINOJOSA CONTRERAS")</f>
        <v>MARIA HINOJOSA CONTRERAS</v>
      </c>
      <c r="V397" t="str">
        <f>IFERROR(__xludf.DUMMYFUNCTION("""COMPUTED_VALUE"""),"9976220-9")</f>
        <v>9976220-9</v>
      </c>
      <c r="W397" t="str">
        <f>IFERROR(__xludf.DUMMYFUNCTION("""COMPUTED_VALUE"""),"NO")</f>
        <v>NO</v>
      </c>
      <c r="AA397" s="38">
        <f>IFERROR(__xludf.DUMMYFUNCTION("""COMPUTED_VALUE"""),42488.0)</f>
        <v>42488</v>
      </c>
      <c r="AB397" s="38">
        <f>IFERROR(__xludf.DUMMYFUNCTION("""COMPUTED_VALUE"""),42495.0)</f>
        <v>42495</v>
      </c>
      <c r="AF397" s="39"/>
      <c r="AG397" s="39"/>
      <c r="AH397" s="34" t="str">
        <f>IFERROR(__xludf.DUMMYFUNCTION("""COMPUTED_VALUE"""),"PROCESO DE SELECCIÓN")</f>
        <v>PROCESO DE SELECCIÓN</v>
      </c>
      <c r="AI397" s="34" t="str">
        <f>IFERROR(__xludf.DUMMYFUNCTION("""COMPUTED_VALUE"""),"GEORGE RIQUELME")</f>
        <v>GEORGE RIQUELME</v>
      </c>
      <c r="AJ397" s="34"/>
      <c r="AK397" s="34" t="str">
        <f>IFERROR(__xludf.DUMMYFUNCTION("""COMPUTED_VALUE"""),"E")</f>
        <v>E</v>
      </c>
      <c r="AL397">
        <f>IFERROR(__xludf.DUMMYFUNCTION("""COMPUTED_VALUE"""),33.0)</f>
        <v>33</v>
      </c>
      <c r="AM397">
        <f>IFERROR(__xludf.DUMMYFUNCTION("""COMPUTED_VALUE"""),2016.0)</f>
        <v>2016</v>
      </c>
      <c r="AN397" t="str">
        <f t="shared" si="1"/>
        <v>09976220-9</v>
      </c>
    </row>
    <row r="398">
      <c r="A398" s="33">
        <f>IFERROR(__xludf.DUMMYFUNCTION("""COMPUTED_VALUE"""),1.6734688E7)</f>
        <v>16734688</v>
      </c>
      <c r="B398" s="33">
        <f>IFERROR(__xludf.DUMMYFUNCTION("""COMPUTED_VALUE"""),56.0)</f>
        <v>56</v>
      </c>
      <c r="C398" s="33"/>
      <c r="D398" s="34" t="str">
        <f>IFERROR(__xludf.DUMMYFUNCTION("""COMPUTED_VALUE"""),"INGRESAR CENTRO DE COSTO A LA DERECHA")</f>
        <v>INGRESAR CENTRO DE COSTO A LA DERECHA</v>
      </c>
      <c r="E398" s="34" t="str">
        <f>IFERROR(__xludf.DUMMYFUNCTION("""COMPUTED_VALUE"""),"UNIDAD DE ATENCION DE SALUD")</f>
        <v>UNIDAD DE ATENCION DE SALUD</v>
      </c>
      <c r="F398" s="34" t="str">
        <f>IFERROR(__xludf.DUMMYFUNCTION("""COMPUTED_VALUE"""),"Auxiliar de Enfermería")</f>
        <v>Auxiliar de Enfermería</v>
      </c>
      <c r="G398" s="33" t="str">
        <f>IFERROR(__xludf.DUMMYFUNCTION("""COMPUTED_VALUE"""),"AUXILIAR DE ENFERMERIA")</f>
        <v>AUXILIAR DE ENFERMERIA</v>
      </c>
      <c r="H398">
        <f>IFERROR(__xludf.DUMMYFUNCTION("""COMPUTED_VALUE"""),17.0)</f>
        <v>17</v>
      </c>
      <c r="I398" s="34" t="str">
        <f>IFERROR(__xludf.DUMMYFUNCTION("""COMPUTED_VALUE"""),"Jornada Completa")</f>
        <v>Jornada Completa</v>
      </c>
      <c r="J398" s="33" t="str">
        <f>IFERROR(__xludf.DUMMYFUNCTION("""COMPUTED_VALUE"""),"A CONTRATA")</f>
        <v>A CONTRATA</v>
      </c>
      <c r="K398" s="33" t="str">
        <f>IFERROR(__xludf.DUMMYFUNCTION("""COMPUTED_VALUE"""),"TECNICO")</f>
        <v>TECNICO</v>
      </c>
      <c r="L398" s="34" t="str">
        <f>IFERROR(__xludf.DUMMYFUNCTION("""COMPUTED_VALUE"""),"INTERNO")</f>
        <v>INTERNO</v>
      </c>
      <c r="M398" s="34">
        <f>IFERROR(__xludf.DUMMYFUNCTION("""COMPUTED_VALUE"""),0.0)</f>
        <v>0</v>
      </c>
      <c r="N398" s="34" t="str">
        <f>IFERROR(__xludf.DUMMYFUNCTION("""COMPUTED_VALUE"""),"EXTERNO")</f>
        <v>EXTERNO</v>
      </c>
      <c r="O398">
        <f>IFERROR(__xludf.DUMMYFUNCTION("""COMPUTED_VALUE"""),9.0)</f>
        <v>9</v>
      </c>
      <c r="P398">
        <f>IFERROR(__xludf.DUMMYFUNCTION("""COMPUTED_VALUE"""),2.0)</f>
        <v>2</v>
      </c>
      <c r="Q398" s="35">
        <f>IFERROR(__xludf.DUMMYFUNCTION("""COMPUTED_VALUE"""),1.0)</f>
        <v>1</v>
      </c>
      <c r="R398" s="36" t="str">
        <f>IFERROR(__xludf.DUMMYFUNCTION("""COMPUTED_VALUE"""),"SELECCIONADA")</f>
        <v>SELECCIONADA</v>
      </c>
      <c r="S398" s="37">
        <f>IFERROR(__xludf.DUMMYFUNCTION("""COMPUTED_VALUE"""),42506.0)</f>
        <v>42506</v>
      </c>
      <c r="T398" s="34"/>
      <c r="U398" t="str">
        <f>IFERROR(__xludf.DUMMYFUNCTION("""COMPUTED_VALUE"""),"DANIELA SAN MARTIN SALAZAR")</f>
        <v>DANIELA SAN MARTIN SALAZAR</v>
      </c>
      <c r="V398" t="str">
        <f>IFERROR(__xludf.DUMMYFUNCTION("""COMPUTED_VALUE"""),"16734688-K")</f>
        <v>16734688-K</v>
      </c>
      <c r="W398" t="str">
        <f>IFERROR(__xludf.DUMMYFUNCTION("""COMPUTED_VALUE"""),"NO")</f>
        <v>NO</v>
      </c>
      <c r="AA398" s="38">
        <f>IFERROR(__xludf.DUMMYFUNCTION("""COMPUTED_VALUE"""),42457.0)</f>
        <v>42457</v>
      </c>
      <c r="AB398" s="38">
        <f>IFERROR(__xludf.DUMMYFUNCTION("""COMPUTED_VALUE"""),42464.0)</f>
        <v>42464</v>
      </c>
      <c r="AF398" s="39"/>
      <c r="AG398" s="39"/>
      <c r="AH398" s="34" t="str">
        <f>IFERROR(__xludf.DUMMYFUNCTION("""COMPUTED_VALUE"""),"PROCESO DE SELECCIÓN")</f>
        <v>PROCESO DE SELECCIÓN</v>
      </c>
      <c r="AI398" s="34" t="str">
        <f>IFERROR(__xludf.DUMMYFUNCTION("""COMPUTED_VALUE"""),"VERONICA LAGOS LAGOS")</f>
        <v>VERONICA LAGOS LAGOS</v>
      </c>
      <c r="AJ398" s="34"/>
      <c r="AK398" s="34" t="str">
        <f>IFERROR(__xludf.DUMMYFUNCTION("""COMPUTED_VALUE"""),"E")</f>
        <v>E</v>
      </c>
      <c r="AL398">
        <f>IFERROR(__xludf.DUMMYFUNCTION("""COMPUTED_VALUE"""),31.0)</f>
        <v>31</v>
      </c>
      <c r="AM398">
        <f>IFERROR(__xludf.DUMMYFUNCTION("""COMPUTED_VALUE"""),2016.0)</f>
        <v>2016</v>
      </c>
      <c r="AN398" t="str">
        <f t="shared" si="1"/>
        <v>16734688-K</v>
      </c>
    </row>
    <row r="399">
      <c r="A399" s="33">
        <f>IFERROR(__xludf.DUMMYFUNCTION("""COMPUTED_VALUE"""),1.3082118E7)</f>
        <v>13082118</v>
      </c>
      <c r="B399" s="33">
        <f>IFERROR(__xludf.DUMMYFUNCTION("""COMPUTED_VALUE"""),57.0)</f>
        <v>57</v>
      </c>
      <c r="C399" s="33"/>
      <c r="D399" s="34" t="str">
        <f>IFERROR(__xludf.DUMMYFUNCTION("""COMPUTED_VALUE"""),"INGRESAR CENTRO DE COSTO A LA DERECHA")</f>
        <v>INGRESAR CENTRO DE COSTO A LA DERECHA</v>
      </c>
      <c r="E399" s="34" t="str">
        <f>IFERROR(__xludf.DUMMYFUNCTION("""COMPUTED_VALUE"""),"UNIDAD DE DESARR. PROYECTOS TECN.")</f>
        <v>UNIDAD DE DESARR. PROYECTOS TECN.</v>
      </c>
      <c r="F399" s="34" t="str">
        <f>IFERROR(__xludf.DUMMYFUNCTION("""COMPUTED_VALUE"""),"Secretario(a) C")</f>
        <v>Secretario(a) C</v>
      </c>
      <c r="G399" s="33" t="str">
        <f>IFERROR(__xludf.DUMMYFUNCTION("""COMPUTED_VALUE"""),"SECRETARIA ADMINISTRATIVA")</f>
        <v>SECRETARIA ADMINISTRATIVA</v>
      </c>
      <c r="H399">
        <f>IFERROR(__xludf.DUMMYFUNCTION("""COMPUTED_VALUE"""),20.0)</f>
        <v>20</v>
      </c>
      <c r="I399" s="34" t="str">
        <f>IFERROR(__xludf.DUMMYFUNCTION("""COMPUTED_VALUE"""),"Jornada Completa")</f>
        <v>Jornada Completa</v>
      </c>
      <c r="J399" s="33" t="str">
        <f>IFERROR(__xludf.DUMMYFUNCTION("""COMPUTED_VALUE"""),"A CONTRATA")</f>
        <v>A CONTRATA</v>
      </c>
      <c r="K399" s="33" t="str">
        <f>IFERROR(__xludf.DUMMYFUNCTION("""COMPUTED_VALUE"""),"ADMINISTRATIVO")</f>
        <v>ADMINISTRATIVO</v>
      </c>
      <c r="L399" s="34" t="str">
        <f>IFERROR(__xludf.DUMMYFUNCTION("""COMPUTED_VALUE"""),"INTERNO")</f>
        <v>INTERNO</v>
      </c>
      <c r="M399" s="34">
        <f>IFERROR(__xludf.DUMMYFUNCTION("""COMPUTED_VALUE"""),0.0)</f>
        <v>0</v>
      </c>
      <c r="N399" s="34" t="str">
        <f>IFERROR(__xludf.DUMMYFUNCTION("""COMPUTED_VALUE"""),"EXTERNO")</f>
        <v>EXTERNO</v>
      </c>
      <c r="O399">
        <f>IFERROR(__xludf.DUMMYFUNCTION("""COMPUTED_VALUE"""),13.0)</f>
        <v>13</v>
      </c>
      <c r="P399">
        <f>IFERROR(__xludf.DUMMYFUNCTION("""COMPUTED_VALUE"""),1.0)</f>
        <v>1</v>
      </c>
      <c r="Q399" s="35">
        <f>IFERROR(__xludf.DUMMYFUNCTION("""COMPUTED_VALUE"""),1.0)</f>
        <v>1</v>
      </c>
      <c r="R399" s="36" t="str">
        <f>IFERROR(__xludf.DUMMYFUNCTION("""COMPUTED_VALUE"""),"SELECCIONADA")</f>
        <v>SELECCIONADA</v>
      </c>
      <c r="S399" s="37">
        <f>IFERROR(__xludf.DUMMYFUNCTION("""COMPUTED_VALUE"""),42569.0)</f>
        <v>42569</v>
      </c>
      <c r="T399" s="34"/>
      <c r="U399" t="str">
        <f>IFERROR(__xludf.DUMMYFUNCTION("""COMPUTED_VALUE"""),"VIOLETA ABARCA QUIROZ")</f>
        <v>VIOLETA ABARCA QUIROZ</v>
      </c>
      <c r="V399" t="str">
        <f>IFERROR(__xludf.DUMMYFUNCTION("""COMPUTED_VALUE"""),"13082118-9")</f>
        <v>13082118-9</v>
      </c>
      <c r="W399" t="str">
        <f>IFERROR(__xludf.DUMMYFUNCTION("""COMPUTED_VALUE"""),"NO")</f>
        <v>NO</v>
      </c>
      <c r="AA399" s="38">
        <f>IFERROR(__xludf.DUMMYFUNCTION("""COMPUTED_VALUE"""),42510.0)</f>
        <v>42510</v>
      </c>
      <c r="AB399" s="38">
        <f>IFERROR(__xludf.DUMMYFUNCTION("""COMPUTED_VALUE"""),42517.0)</f>
        <v>42517</v>
      </c>
      <c r="AF399" s="39"/>
      <c r="AG399" s="39"/>
      <c r="AH399" s="34" t="str">
        <f>IFERROR(__xludf.DUMMYFUNCTION("""COMPUTED_VALUE"""),"PROCESO DE SELECCIÓN")</f>
        <v>PROCESO DE SELECCIÓN</v>
      </c>
      <c r="AI399" s="34" t="str">
        <f>IFERROR(__xludf.DUMMYFUNCTION("""COMPUTED_VALUE"""),"AUTORIZADO 2016")</f>
        <v>AUTORIZADO 2016</v>
      </c>
      <c r="AJ399" s="34"/>
      <c r="AK399" s="34" t="str">
        <f>IFERROR(__xludf.DUMMYFUNCTION("""COMPUTED_VALUE"""),"E")</f>
        <v>E</v>
      </c>
      <c r="AL399">
        <f>IFERROR(__xludf.DUMMYFUNCTION("""COMPUTED_VALUE"""),37.0)</f>
        <v>37</v>
      </c>
      <c r="AM399">
        <f>IFERROR(__xludf.DUMMYFUNCTION("""COMPUTED_VALUE"""),2016.0)</f>
        <v>2016</v>
      </c>
      <c r="AN399" t="str">
        <f t="shared" si="1"/>
        <v>13082118-9</v>
      </c>
    </row>
    <row r="400">
      <c r="A400" s="33">
        <f>IFERROR(__xludf.DUMMYFUNCTION("""COMPUTED_VALUE"""),1.7305149E7)</f>
        <v>17305149</v>
      </c>
      <c r="B400" s="33">
        <f>IFERROR(__xludf.DUMMYFUNCTION("""COMPUTED_VALUE"""),58.0)</f>
        <v>58</v>
      </c>
      <c r="C400" s="33"/>
      <c r="D400" s="34" t="str">
        <f>IFERROR(__xludf.DUMMYFUNCTION("""COMPUTED_VALUE"""),"INGRESAR CENTRO DE COSTO A LA DERECHA")</f>
        <v>INGRESAR CENTRO DE COSTO A LA DERECHA</v>
      </c>
      <c r="E400" s="34" t="str">
        <f>IFERROR(__xludf.DUMMYFUNCTION("""COMPUTED_VALUE"""),"ESCUELA DE PSICOLOGIA")</f>
        <v>ESCUELA DE PSICOLOGIA</v>
      </c>
      <c r="F400" s="34" t="str">
        <f>IFERROR(__xludf.DUMMYFUNCTION("""COMPUTED_VALUE"""),"Auxiliar de Servicios")</f>
        <v>Auxiliar de Servicios</v>
      </c>
      <c r="G400" s="33" t="str">
        <f>IFERROR(__xludf.DUMMYFUNCTION("""COMPUTED_VALUE"""),"AUXILIAR DE SERVICIOS")</f>
        <v>AUXILIAR DE SERVICIOS</v>
      </c>
      <c r="H400">
        <f>IFERROR(__xludf.DUMMYFUNCTION("""COMPUTED_VALUE"""),23.0)</f>
        <v>23</v>
      </c>
      <c r="I400" s="34" t="str">
        <f>IFERROR(__xludf.DUMMYFUNCTION("""COMPUTED_VALUE"""),"Jornada Completa")</f>
        <v>Jornada Completa</v>
      </c>
      <c r="J400" s="33" t="str">
        <f>IFERROR(__xludf.DUMMYFUNCTION("""COMPUTED_VALUE"""),"A CONTRATA")</f>
        <v>A CONTRATA</v>
      </c>
      <c r="K400" s="33" t="str">
        <f>IFERROR(__xludf.DUMMYFUNCTION("""COMPUTED_VALUE"""),"AUXILIAR")</f>
        <v>AUXILIAR</v>
      </c>
      <c r="L400" s="34" t="str">
        <f>IFERROR(__xludf.DUMMYFUNCTION("""COMPUTED_VALUE"""),"INTERNO")</f>
        <v>INTERNO</v>
      </c>
      <c r="M400" s="34">
        <f>IFERROR(__xludf.DUMMYFUNCTION("""COMPUTED_VALUE"""),0.0)</f>
        <v>0</v>
      </c>
      <c r="N400" s="34" t="str">
        <f>IFERROR(__xludf.DUMMYFUNCTION("""COMPUTED_VALUE"""),"EXTERNO")</f>
        <v>EXTERNO</v>
      </c>
      <c r="O400">
        <f>IFERROR(__xludf.DUMMYFUNCTION("""COMPUTED_VALUE"""),6.0)</f>
        <v>6</v>
      </c>
      <c r="P400">
        <f>IFERROR(__xludf.DUMMYFUNCTION("""COMPUTED_VALUE"""),2.0)</f>
        <v>2</v>
      </c>
      <c r="Q400" s="35">
        <f>IFERROR(__xludf.DUMMYFUNCTION("""COMPUTED_VALUE"""),2.0)</f>
        <v>2</v>
      </c>
      <c r="R400" s="36" t="str">
        <f>IFERROR(__xludf.DUMMYFUNCTION("""COMPUTED_VALUE"""),"SELECCIONADA")</f>
        <v>SELECCIONADA</v>
      </c>
      <c r="S400" s="37">
        <f>IFERROR(__xludf.DUMMYFUNCTION("""COMPUTED_VALUE"""),42552.0)</f>
        <v>42552</v>
      </c>
      <c r="T400" s="34"/>
      <c r="U400" t="str">
        <f>IFERROR(__xludf.DUMMYFUNCTION("""COMPUTED_VALUE"""),"DANIELA TRONCOSO CID")</f>
        <v>DANIELA TRONCOSO CID</v>
      </c>
      <c r="V400" t="str">
        <f>IFERROR(__xludf.DUMMYFUNCTION("""COMPUTED_VALUE"""),"17305149-2")</f>
        <v>17305149-2</v>
      </c>
      <c r="W400" t="str">
        <f>IFERROR(__xludf.DUMMYFUNCTION("""COMPUTED_VALUE"""),"SI")</f>
        <v>SI</v>
      </c>
      <c r="X400" t="str">
        <f>IFERROR(__xludf.DUMMYFUNCTION("""COMPUTED_VALUE"""),"COMUNICACION")</f>
        <v>COMUNICACION</v>
      </c>
      <c r="AA400" s="38">
        <f>IFERROR(__xludf.DUMMYFUNCTION("""COMPUTED_VALUE"""),42466.0)</f>
        <v>42466</v>
      </c>
      <c r="AB400" s="38">
        <f>IFERROR(__xludf.DUMMYFUNCTION("""COMPUTED_VALUE"""),42473.0)</f>
        <v>42473</v>
      </c>
      <c r="AF400" s="39"/>
      <c r="AG400" s="39"/>
      <c r="AH400" s="34" t="str">
        <f>IFERROR(__xludf.DUMMYFUNCTION("""COMPUTED_VALUE"""),"PROCESO DE SELECCIÓN")</f>
        <v>PROCESO DE SELECCIÓN</v>
      </c>
      <c r="AI400" s="34" t="str">
        <f>IFERROR(__xludf.DUMMYFUNCTION("""COMPUTED_VALUE"""),"AUTORIZADO 2015")</f>
        <v>AUTORIZADO 2015</v>
      </c>
      <c r="AJ400" s="34"/>
      <c r="AK400" s="34" t="str">
        <f>IFERROR(__xludf.DUMMYFUNCTION("""COMPUTED_VALUE"""),"P")</f>
        <v>P</v>
      </c>
      <c r="AL400">
        <f>IFERROR(__xludf.DUMMYFUNCTION("""COMPUTED_VALUE"""),58.0)</f>
        <v>58</v>
      </c>
      <c r="AM400">
        <f>IFERROR(__xludf.DUMMYFUNCTION("""COMPUTED_VALUE"""),2016.0)</f>
        <v>2016</v>
      </c>
      <c r="AN400" t="str">
        <f t="shared" si="1"/>
        <v>17305149-2</v>
      </c>
    </row>
    <row r="401">
      <c r="A401" s="33">
        <f>IFERROR(__xludf.DUMMYFUNCTION("""COMPUTED_VALUE"""),1.0629652E7)</f>
        <v>10629652</v>
      </c>
      <c r="B401" s="33">
        <f>IFERROR(__xludf.DUMMYFUNCTION("""COMPUTED_VALUE"""),59.0)</f>
        <v>59</v>
      </c>
      <c r="C401" s="33"/>
      <c r="D401" s="34" t="str">
        <f>IFERROR(__xludf.DUMMYFUNCTION("""COMPUTED_VALUE"""),"INGRESAR CENTRO DE COSTO A LA DERECHA")</f>
        <v>INGRESAR CENTRO DE COSTO A LA DERECHA</v>
      </c>
      <c r="E401" s="34" t="str">
        <f>IFERROR(__xludf.DUMMYFUNCTION("""COMPUTED_VALUE"""),"FACULTAD DE INGENIERIA")</f>
        <v>FACULTAD DE INGENIERIA</v>
      </c>
      <c r="F401" s="34" t="str">
        <f>IFERROR(__xludf.DUMMYFUNCTION("""COMPUTED_VALUE"""),"Administrativo(a) de Apoyo")</f>
        <v>Administrativo(a) de Apoyo</v>
      </c>
      <c r="G401" s="33" t="str">
        <f>IFERROR(__xludf.DUMMYFUNCTION("""COMPUTED_VALUE"""),"ADMINISTRATIVO DE APOYO")</f>
        <v>ADMINISTRATIVO DE APOYO</v>
      </c>
      <c r="H401">
        <f>IFERROR(__xludf.DUMMYFUNCTION("""COMPUTED_VALUE"""),20.0)</f>
        <v>20</v>
      </c>
      <c r="I401" s="34" t="str">
        <f>IFERROR(__xludf.DUMMYFUNCTION("""COMPUTED_VALUE"""),"Jornada Completa")</f>
        <v>Jornada Completa</v>
      </c>
      <c r="J401" s="33" t="str">
        <f>IFERROR(__xludf.DUMMYFUNCTION("""COMPUTED_VALUE"""),"A CONTRATA")</f>
        <v>A CONTRATA</v>
      </c>
      <c r="K401" s="33" t="str">
        <f>IFERROR(__xludf.DUMMYFUNCTION("""COMPUTED_VALUE"""),"ADMINISTRATIVO")</f>
        <v>ADMINISTRATIVO</v>
      </c>
      <c r="L401" s="34" t="str">
        <f>IFERROR(__xludf.DUMMYFUNCTION("""COMPUTED_VALUE"""),"INTERNO")</f>
        <v>INTERNO</v>
      </c>
      <c r="M401" s="34">
        <f>IFERROR(__xludf.DUMMYFUNCTION("""COMPUTED_VALUE"""),1.0)</f>
        <v>1</v>
      </c>
      <c r="N401" s="34" t="str">
        <f>IFERROR(__xludf.DUMMYFUNCTION("""COMPUTED_VALUE"""),"EXTERNO")</f>
        <v>EXTERNO</v>
      </c>
      <c r="O401">
        <f>IFERROR(__xludf.DUMMYFUNCTION("""COMPUTED_VALUE"""),10.0)</f>
        <v>10</v>
      </c>
      <c r="P401">
        <f>IFERROR(__xludf.DUMMYFUNCTION("""COMPUTED_VALUE"""),1.0)</f>
        <v>1</v>
      </c>
      <c r="Q401" s="35">
        <f>IFERROR(__xludf.DUMMYFUNCTION("""COMPUTED_VALUE"""),1.0)</f>
        <v>1</v>
      </c>
      <c r="R401" s="36" t="str">
        <f>IFERROR(__xludf.DUMMYFUNCTION("""COMPUTED_VALUE"""),"SELECCIONADA")</f>
        <v>SELECCIONADA</v>
      </c>
      <c r="S401" s="37">
        <f>IFERROR(__xludf.DUMMYFUNCTION("""COMPUTED_VALUE"""),42576.0)</f>
        <v>42576</v>
      </c>
      <c r="T401" s="34"/>
      <c r="U401" t="str">
        <f>IFERROR(__xludf.DUMMYFUNCTION("""COMPUTED_VALUE"""),"CECILIA ROJAS VILCHES")</f>
        <v>CECILIA ROJAS VILCHES</v>
      </c>
      <c r="V401" t="str">
        <f>IFERROR(__xludf.DUMMYFUNCTION("""COMPUTED_VALUE"""),"10629652-9")</f>
        <v>10629652-9</v>
      </c>
      <c r="W401" t="str">
        <f>IFERROR(__xludf.DUMMYFUNCTION("""COMPUTED_VALUE"""),"SI")</f>
        <v>SI</v>
      </c>
      <c r="X401" t="str">
        <f>IFERROR(__xludf.DUMMYFUNCTION("""COMPUTED_VALUE"""),"COMUNICACION")</f>
        <v>COMUNICACION</v>
      </c>
      <c r="AA401" s="38">
        <f>IFERROR(__xludf.DUMMYFUNCTION("""COMPUTED_VALUE"""),42509.0)</f>
        <v>42509</v>
      </c>
      <c r="AB401" s="38">
        <f>IFERROR(__xludf.DUMMYFUNCTION("""COMPUTED_VALUE"""),42516.0)</f>
        <v>42516</v>
      </c>
      <c r="AF401" s="39"/>
      <c r="AG401" s="39"/>
      <c r="AH401" s="34" t="str">
        <f>IFERROR(__xludf.DUMMYFUNCTION("""COMPUTED_VALUE"""),"PROCESO DE SELECCIÓN")</f>
        <v>PROCESO DE SELECCIÓN</v>
      </c>
      <c r="AI401" s="34" t="str">
        <f>IFERROR(__xludf.DUMMYFUNCTION("""COMPUTED_VALUE"""),"RAUL PARDO LEIVA")</f>
        <v>RAUL PARDO LEIVA</v>
      </c>
      <c r="AJ401" s="34"/>
      <c r="AK401" s="34" t="str">
        <f>IFERROR(__xludf.DUMMYFUNCTION("""COMPUTED_VALUE"""),"P")</f>
        <v>P</v>
      </c>
      <c r="AL401">
        <f>IFERROR(__xludf.DUMMYFUNCTION("""COMPUTED_VALUE"""),43.0)</f>
        <v>43</v>
      </c>
      <c r="AM401">
        <f>IFERROR(__xludf.DUMMYFUNCTION("""COMPUTED_VALUE"""),2016.0)</f>
        <v>2016</v>
      </c>
      <c r="AN401" t="str">
        <f t="shared" si="1"/>
        <v>10629652-9</v>
      </c>
    </row>
    <row r="402">
      <c r="A402" s="33">
        <f>IFERROR(__xludf.DUMMYFUNCTION("""COMPUTED_VALUE"""),1.5563432E7)</f>
        <v>15563432</v>
      </c>
      <c r="B402" s="33">
        <f>IFERROR(__xludf.DUMMYFUNCTION("""COMPUTED_VALUE"""),60.0)</f>
        <v>60</v>
      </c>
      <c r="C402" s="33"/>
      <c r="D402" s="34" t="str">
        <f>IFERROR(__xludf.DUMMYFUNCTION("""COMPUTED_VALUE"""),"INGRESAR CENTRO DE COSTO A LA DERECHA")</f>
        <v>INGRESAR CENTRO DE COSTO A LA DERECHA</v>
      </c>
      <c r="E402" s="34" t="str">
        <f>IFERROR(__xludf.DUMMYFUNCTION("""COMPUTED_VALUE"""),"DPTO. DE FINANZAS Y TESORERIA")</f>
        <v>DPTO. DE FINANZAS Y TESORERIA</v>
      </c>
      <c r="F402" s="34" t="str">
        <f>IFERROR(__xludf.DUMMYFUNCTION("""COMPUTED_VALUE"""),"Técnico(a) Contable")</f>
        <v>Técnico(a) Contable</v>
      </c>
      <c r="G402" s="33" t="str">
        <f>IFERROR(__xludf.DUMMYFUNCTION("""COMPUTED_VALUE"""),"TECNICO CONTABLE")</f>
        <v>TECNICO CONTABLE</v>
      </c>
      <c r="H402">
        <f>IFERROR(__xludf.DUMMYFUNCTION("""COMPUTED_VALUE"""),14.0)</f>
        <v>14</v>
      </c>
      <c r="I402" s="34" t="str">
        <f>IFERROR(__xludf.DUMMYFUNCTION("""COMPUTED_VALUE"""),"Jornada Completa")</f>
        <v>Jornada Completa</v>
      </c>
      <c r="J402" s="33" t="str">
        <f>IFERROR(__xludf.DUMMYFUNCTION("""COMPUTED_VALUE"""),"A CONTRATA")</f>
        <v>A CONTRATA</v>
      </c>
      <c r="K402" s="33" t="str">
        <f>IFERROR(__xludf.DUMMYFUNCTION("""COMPUTED_VALUE"""),"TECNICO")</f>
        <v>TECNICO</v>
      </c>
      <c r="L402" s="34" t="str">
        <f>IFERROR(__xludf.DUMMYFUNCTION("""COMPUTED_VALUE"""),"INTERNO")</f>
        <v>INTERNO</v>
      </c>
      <c r="M402" s="34">
        <f>IFERROR(__xludf.DUMMYFUNCTION("""COMPUTED_VALUE"""),1.0)</f>
        <v>1</v>
      </c>
      <c r="N402" s="34" t="str">
        <f>IFERROR(__xludf.DUMMYFUNCTION("""COMPUTED_VALUE"""),"NO")</f>
        <v>NO</v>
      </c>
      <c r="O402">
        <f>IFERROR(__xludf.DUMMYFUNCTION("""COMPUTED_VALUE"""),0.0)</f>
        <v>0</v>
      </c>
      <c r="P402">
        <f>IFERROR(__xludf.DUMMYFUNCTION("""COMPUTED_VALUE"""),1.0)</f>
        <v>1</v>
      </c>
      <c r="Q402" s="35">
        <f>IFERROR(__xludf.DUMMYFUNCTION("""COMPUTED_VALUE"""),0.0)</f>
        <v>0</v>
      </c>
      <c r="R402" s="36" t="str">
        <f>IFERROR(__xludf.DUMMYFUNCTION("""COMPUTED_VALUE"""),"SELECCIONADA")</f>
        <v>SELECCIONADA</v>
      </c>
      <c r="S402" s="37">
        <f>IFERROR(__xludf.DUMMYFUNCTION("""COMPUTED_VALUE"""),42585.0)</f>
        <v>42585</v>
      </c>
      <c r="T402" s="34" t="str">
        <f>IFERROR(__xludf.DUMMYFUNCTION("""COMPUTED_VALUE"""),"ALARCON MORA ELIZABETH MARGOT")</f>
        <v>ALARCON MORA ELIZABETH MARGOT</v>
      </c>
      <c r="V402" t="str">
        <f>IFERROR(__xludf.DUMMYFUNCTION("""COMPUTED_VALUE"""),"15563432-4")</f>
        <v>15563432-4</v>
      </c>
      <c r="W402" t="str">
        <f>IFERROR(__xludf.DUMMYFUNCTION("""COMPUTED_VALUE"""),"NO")</f>
        <v>NO</v>
      </c>
      <c r="AA402" s="38">
        <f>IFERROR(__xludf.DUMMYFUNCTION("""COMPUTED_VALUE"""),42558.0)</f>
        <v>42558</v>
      </c>
      <c r="AB402" s="38">
        <f>IFERROR(__xludf.DUMMYFUNCTION("""COMPUTED_VALUE"""),42565.0)</f>
        <v>42565</v>
      </c>
      <c r="AF402" s="39"/>
      <c r="AG402" s="39"/>
      <c r="AH402" s="34" t="str">
        <f>IFERROR(__xludf.DUMMYFUNCTION("""COMPUTED_VALUE"""),"PROCESO DE SELECCIÓN")</f>
        <v>PROCESO DE SELECCIÓN</v>
      </c>
      <c r="AI402" s="34" t="str">
        <f>IFERROR(__xludf.DUMMYFUNCTION("""COMPUTED_VALUE"""),"LUZ MIRANDA NAVARRETE")</f>
        <v>LUZ MIRANDA NAVARRETE</v>
      </c>
      <c r="AJ402" s="34"/>
      <c r="AK402" s="34" t="str">
        <f>IFERROR(__xludf.DUMMYFUNCTION("""COMPUTED_VALUE"""),"P")</f>
        <v>P</v>
      </c>
      <c r="AL402">
        <f>IFERROR(__xludf.DUMMYFUNCTION("""COMPUTED_VALUE"""),15.0)</f>
        <v>15</v>
      </c>
      <c r="AM402">
        <f>IFERROR(__xludf.DUMMYFUNCTION("""COMPUTED_VALUE"""),2016.0)</f>
        <v>2016</v>
      </c>
      <c r="AN402" t="str">
        <f t="shared" si="1"/>
        <v>15563432-4</v>
      </c>
    </row>
    <row r="403">
      <c r="A403" s="33">
        <f>IFERROR(__xludf.DUMMYFUNCTION("""COMPUTED_VALUE"""),1.9482281E7)</f>
        <v>19482281</v>
      </c>
      <c r="B403" s="33">
        <f>IFERROR(__xludf.DUMMYFUNCTION("""COMPUTED_VALUE"""),61.0)</f>
        <v>61</v>
      </c>
      <c r="C403" s="33"/>
      <c r="D403" s="34" t="str">
        <f>IFERROR(__xludf.DUMMYFUNCTION("""COMPUTED_VALUE"""),"INGRESAR CENTRO DE COSTO A LA DERECHA")</f>
        <v>INGRESAR CENTRO DE COSTO A LA DERECHA</v>
      </c>
      <c r="E403" s="34" t="str">
        <f>IFERROR(__xludf.DUMMYFUNCTION("""COMPUTED_VALUE"""),"DPTO. DE RECURSOS HUMANOS")</f>
        <v>DPTO. DE RECURSOS HUMANOS</v>
      </c>
      <c r="F403" s="34" t="str">
        <f>IFERROR(__xludf.DUMMYFUNCTION("""COMPUTED_VALUE"""),"Abogado(a) Control de Contratos")</f>
        <v>Abogado(a) Control de Contratos</v>
      </c>
      <c r="G403" s="33" t="str">
        <f>IFERROR(__xludf.DUMMYFUNCTION("""COMPUTED_VALUE"""),"ADMINISTRATIVO DE APOYO")</f>
        <v>ADMINISTRATIVO DE APOYO</v>
      </c>
      <c r="H403">
        <f>IFERROR(__xludf.DUMMYFUNCTION("""COMPUTED_VALUE"""),20.0)</f>
        <v>20</v>
      </c>
      <c r="I403" s="34" t="str">
        <f>IFERROR(__xludf.DUMMYFUNCTION("""COMPUTED_VALUE"""),"Jornada Completa")</f>
        <v>Jornada Completa</v>
      </c>
      <c r="J403" s="33" t="str">
        <f>IFERROR(__xludf.DUMMYFUNCTION("""COMPUTED_VALUE"""),"A CONTRATA")</f>
        <v>A CONTRATA</v>
      </c>
      <c r="K403" s="33" t="str">
        <f>IFERROR(__xludf.DUMMYFUNCTION("""COMPUTED_VALUE"""),"ADMINISTRATIVO")</f>
        <v>ADMINISTRATIVO</v>
      </c>
      <c r="L403" s="34" t="str">
        <f>IFERROR(__xludf.DUMMYFUNCTION("""COMPUTED_VALUE"""),"INTERNO")</f>
        <v>INTERNO</v>
      </c>
      <c r="M403" s="34">
        <f>IFERROR(__xludf.DUMMYFUNCTION("""COMPUTED_VALUE"""),0.0)</f>
        <v>0</v>
      </c>
      <c r="N403" s="34" t="str">
        <f>IFERROR(__xludf.DUMMYFUNCTION("""COMPUTED_VALUE"""),"EXTERNO")</f>
        <v>EXTERNO</v>
      </c>
      <c r="O403">
        <f>IFERROR(__xludf.DUMMYFUNCTION("""COMPUTED_VALUE"""),7.0)</f>
        <v>7</v>
      </c>
      <c r="P403">
        <f>IFERROR(__xludf.DUMMYFUNCTION("""COMPUTED_VALUE"""),3.0)</f>
        <v>3</v>
      </c>
      <c r="Q403" s="35">
        <f>IFERROR(__xludf.DUMMYFUNCTION("""COMPUTED_VALUE"""),1.0)</f>
        <v>1</v>
      </c>
      <c r="R403" s="36" t="str">
        <f>IFERROR(__xludf.DUMMYFUNCTION("""COMPUTED_VALUE"""),"SELECCIONADA")</f>
        <v>SELECCIONADA</v>
      </c>
      <c r="S403" s="37">
        <f>IFERROR(__xludf.DUMMYFUNCTION("""COMPUTED_VALUE"""),42598.0)</f>
        <v>42598</v>
      </c>
      <c r="T403" s="34"/>
      <c r="U403" t="str">
        <f>IFERROR(__xludf.DUMMYFUNCTION("""COMPUTED_VALUE"""),"BARBARA OLIVARES DIAZ")</f>
        <v>BARBARA OLIVARES DIAZ</v>
      </c>
      <c r="V403" t="str">
        <f>IFERROR(__xludf.DUMMYFUNCTION("""COMPUTED_VALUE"""),"19482281-2")</f>
        <v>19482281-2</v>
      </c>
      <c r="W403" t="str">
        <f>IFERROR(__xludf.DUMMYFUNCTION("""COMPUTED_VALUE"""),"NO")</f>
        <v>NO</v>
      </c>
      <c r="AA403" s="38">
        <f>IFERROR(__xludf.DUMMYFUNCTION("""COMPUTED_VALUE"""),42559.0)</f>
        <v>42559</v>
      </c>
      <c r="AB403" s="38">
        <f>IFERROR(__xludf.DUMMYFUNCTION("""COMPUTED_VALUE"""),42566.0)</f>
        <v>42566</v>
      </c>
      <c r="AF403" s="39"/>
      <c r="AG403" s="39"/>
      <c r="AH403" s="34" t="str">
        <f>IFERROR(__xludf.DUMMYFUNCTION("""COMPUTED_VALUE"""),"PROCESO DE SELECCIÓN")</f>
        <v>PROCESO DE SELECCIÓN</v>
      </c>
      <c r="AI403" s="34" t="str">
        <f>IFERROR(__xludf.DUMMYFUNCTION("""COMPUTED_VALUE"""),"AUTORIZADO 2016")</f>
        <v>AUTORIZADO 2016</v>
      </c>
      <c r="AJ403" s="34"/>
      <c r="AK403" s="34" t="str">
        <f>IFERROR(__xludf.DUMMYFUNCTION("""COMPUTED_VALUE"""),"E")</f>
        <v>E</v>
      </c>
      <c r="AL403">
        <f>IFERROR(__xludf.DUMMYFUNCTION("""COMPUTED_VALUE"""),23.0)</f>
        <v>23</v>
      </c>
      <c r="AM403">
        <f>IFERROR(__xludf.DUMMYFUNCTION("""COMPUTED_VALUE"""),2016.0)</f>
        <v>2016</v>
      </c>
      <c r="AN403" t="str">
        <f t="shared" si="1"/>
        <v>19482281-2</v>
      </c>
    </row>
    <row r="404">
      <c r="A404" s="33">
        <f>IFERROR(__xludf.DUMMYFUNCTION("""COMPUTED_VALUE"""),1.728677E7)</f>
        <v>17286770</v>
      </c>
      <c r="B404" s="33">
        <f>IFERROR(__xludf.DUMMYFUNCTION("""COMPUTED_VALUE"""),62.0)</f>
        <v>62</v>
      </c>
      <c r="C404" s="33"/>
      <c r="D404" s="34" t="str">
        <f>IFERROR(__xludf.DUMMYFUNCTION("""COMPUTED_VALUE"""),"INGRESAR CENTRO DE COSTO A LA DERECHA")</f>
        <v>INGRESAR CENTRO DE COSTO A LA DERECHA</v>
      </c>
      <c r="E404" s="34" t="str">
        <f>IFERROR(__xludf.DUMMYFUNCTION("""COMPUTED_VALUE"""),"ESCUELA DE PSICOLOGIA")</f>
        <v>ESCUELA DE PSICOLOGIA</v>
      </c>
      <c r="F404" s="34" t="str">
        <f>IFERROR(__xludf.DUMMYFUNCTION("""COMPUTED_VALUE"""),"Secretario(a) C")</f>
        <v>Secretario(a) C</v>
      </c>
      <c r="G404" s="33" t="str">
        <f>IFERROR(__xludf.DUMMYFUNCTION("""COMPUTED_VALUE"""),"SECRETARIA ADMINISTRATIVA")</f>
        <v>SECRETARIA ADMINISTRATIVA</v>
      </c>
      <c r="H404">
        <f>IFERROR(__xludf.DUMMYFUNCTION("""COMPUTED_VALUE"""),20.0)</f>
        <v>20</v>
      </c>
      <c r="I404" s="34" t="str">
        <f>IFERROR(__xludf.DUMMYFUNCTION("""COMPUTED_VALUE"""),"Jornada Completa")</f>
        <v>Jornada Completa</v>
      </c>
      <c r="J404" s="33" t="str">
        <f>IFERROR(__xludf.DUMMYFUNCTION("""COMPUTED_VALUE"""),"A CONTRATA")</f>
        <v>A CONTRATA</v>
      </c>
      <c r="K404" s="33" t="str">
        <f>IFERROR(__xludf.DUMMYFUNCTION("""COMPUTED_VALUE"""),"ADMINISTRATIVO")</f>
        <v>ADMINISTRATIVO</v>
      </c>
      <c r="L404" s="34" t="str">
        <f>IFERROR(__xludf.DUMMYFUNCTION("""COMPUTED_VALUE"""),"INTERNO")</f>
        <v>INTERNO</v>
      </c>
      <c r="M404" s="34">
        <f>IFERROR(__xludf.DUMMYFUNCTION("""COMPUTED_VALUE"""),0.0)</f>
        <v>0</v>
      </c>
      <c r="N404" s="34" t="str">
        <f>IFERROR(__xludf.DUMMYFUNCTION("""COMPUTED_VALUE"""),"EXTERNO")</f>
        <v>EXTERNO</v>
      </c>
      <c r="O404">
        <f>IFERROR(__xludf.DUMMYFUNCTION("""COMPUTED_VALUE"""),24.0)</f>
        <v>24</v>
      </c>
      <c r="P404">
        <f>IFERROR(__xludf.DUMMYFUNCTION("""COMPUTED_VALUE"""),1.0)</f>
        <v>1</v>
      </c>
      <c r="Q404" s="35">
        <f>IFERROR(__xludf.DUMMYFUNCTION("""COMPUTED_VALUE"""),4.0)</f>
        <v>4</v>
      </c>
      <c r="R404" s="36" t="str">
        <f>IFERROR(__xludf.DUMMYFUNCTION("""COMPUTED_VALUE"""),"SELECCIONADA")</f>
        <v>SELECCIONADA</v>
      </c>
      <c r="S404" s="37">
        <f>IFERROR(__xludf.DUMMYFUNCTION("""COMPUTED_VALUE"""),42576.0)</f>
        <v>42576</v>
      </c>
      <c r="T404" s="34"/>
      <c r="U404" t="str">
        <f>IFERROR(__xludf.DUMMYFUNCTION("""COMPUTED_VALUE"""),"SILVANA VILLAR SANDOVAL")</f>
        <v>SILVANA VILLAR SANDOVAL</v>
      </c>
      <c r="V404" t="str">
        <f>IFERROR(__xludf.DUMMYFUNCTION("""COMPUTED_VALUE"""),"17286770-7")</f>
        <v>17286770-7</v>
      </c>
      <c r="W404" t="str">
        <f>IFERROR(__xludf.DUMMYFUNCTION("""COMPUTED_VALUE"""),"SI")</f>
        <v>SI</v>
      </c>
      <c r="X404" t="str">
        <f>IFERROR(__xludf.DUMMYFUNCTION("""COMPUTED_VALUE"""),"CAPACIDAD DE PLANIFICACION Y ORGANIZACION")</f>
        <v>CAPACIDAD DE PLANIFICACION Y ORGANIZACION</v>
      </c>
      <c r="AA404" s="38">
        <f>IFERROR(__xludf.DUMMYFUNCTION("""COMPUTED_VALUE"""),42531.0)</f>
        <v>42531</v>
      </c>
      <c r="AB404" s="38">
        <f>IFERROR(__xludf.DUMMYFUNCTION("""COMPUTED_VALUE"""),42536.0)</f>
        <v>42536</v>
      </c>
      <c r="AF404" s="39"/>
      <c r="AG404" s="39"/>
      <c r="AH404" s="34" t="str">
        <f>IFERROR(__xludf.DUMMYFUNCTION("""COMPUTED_VALUE"""),"PROCESO DE SELECCIÓN")</f>
        <v>PROCESO DE SELECCIÓN</v>
      </c>
      <c r="AI404" s="34" t="str">
        <f>IFERROR(__xludf.DUMMYFUNCTION("""COMPUTED_VALUE"""),"AUTORIZADO 2015")</f>
        <v>AUTORIZADO 2015</v>
      </c>
      <c r="AJ404" s="34"/>
      <c r="AK404" s="34" t="str">
        <f>IFERROR(__xludf.DUMMYFUNCTION("""COMPUTED_VALUE"""),"E")</f>
        <v>E</v>
      </c>
      <c r="AL404">
        <f>IFERROR(__xludf.DUMMYFUNCTION("""COMPUTED_VALUE"""),29.0)</f>
        <v>29</v>
      </c>
      <c r="AM404">
        <f>IFERROR(__xludf.DUMMYFUNCTION("""COMPUTED_VALUE"""),2016.0)</f>
        <v>2016</v>
      </c>
      <c r="AN404" t="str">
        <f t="shared" si="1"/>
        <v>17286770-7</v>
      </c>
    </row>
    <row r="405">
      <c r="A405" s="33">
        <f>IFERROR(__xludf.DUMMYFUNCTION("""COMPUTED_VALUE"""),1.4534753E7)</f>
        <v>14534753</v>
      </c>
      <c r="B405" s="33">
        <f>IFERROR(__xludf.DUMMYFUNCTION("""COMPUTED_VALUE"""),63.0)</f>
        <v>63</v>
      </c>
      <c r="C405" s="33"/>
      <c r="D405" s="34" t="str">
        <f>IFERROR(__xludf.DUMMYFUNCTION("""COMPUTED_VALUE"""),"INGRESAR CENTRO DE COSTO A LA DERECHA")</f>
        <v>INGRESAR CENTRO DE COSTO A LA DERECHA</v>
      </c>
      <c r="E405" s="34" t="str">
        <f>IFERROR(__xludf.DUMMYFUNCTION("""COMPUTED_VALUE"""),"DPTO. DE RECURSOS HUMANOS")</f>
        <v>DPTO. DE RECURSOS HUMANOS</v>
      </c>
      <c r="F405" s="34" t="str">
        <f>IFERROR(__xludf.DUMMYFUNCTION("""COMPUTED_VALUE"""),"Secretario(a) B")</f>
        <v>Secretario(a) B</v>
      </c>
      <c r="G405" s="33" t="str">
        <f>IFERROR(__xludf.DUMMYFUNCTION("""COMPUTED_VALUE"""),"SECRETARIA DE UNIDAD ")</f>
        <v>SECRETARIA DE UNIDAD </v>
      </c>
      <c r="H405">
        <f>IFERROR(__xludf.DUMMYFUNCTION("""COMPUTED_VALUE"""),17.0)</f>
        <v>17</v>
      </c>
      <c r="I405" s="34" t="str">
        <f>IFERROR(__xludf.DUMMYFUNCTION("""COMPUTED_VALUE"""),"Jornada Completa")</f>
        <v>Jornada Completa</v>
      </c>
      <c r="J405" s="33" t="str">
        <f>IFERROR(__xludf.DUMMYFUNCTION("""COMPUTED_VALUE"""),"A CONTRATA")</f>
        <v>A CONTRATA</v>
      </c>
      <c r="K405" s="33" t="str">
        <f>IFERROR(__xludf.DUMMYFUNCTION("""COMPUTED_VALUE"""),"ADMINISTRATIVO")</f>
        <v>ADMINISTRATIVO</v>
      </c>
      <c r="L405" s="34" t="str">
        <f>IFERROR(__xludf.DUMMYFUNCTION("""COMPUTED_VALUE"""),"INTERNO")</f>
        <v>INTERNO</v>
      </c>
      <c r="M405" s="34">
        <f>IFERROR(__xludf.DUMMYFUNCTION("""COMPUTED_VALUE"""),1.0)</f>
        <v>1</v>
      </c>
      <c r="N405" s="34" t="str">
        <f>IFERROR(__xludf.DUMMYFUNCTION("""COMPUTED_VALUE"""),"EXTERNO")</f>
        <v>EXTERNO</v>
      </c>
      <c r="O405">
        <f>IFERROR(__xludf.DUMMYFUNCTION("""COMPUTED_VALUE"""),9.0)</f>
        <v>9</v>
      </c>
      <c r="P405">
        <f>IFERROR(__xludf.DUMMYFUNCTION("""COMPUTED_VALUE"""),1.0)</f>
        <v>1</v>
      </c>
      <c r="Q405" s="35">
        <f>IFERROR(__xludf.DUMMYFUNCTION("""COMPUTED_VALUE"""),1.0)</f>
        <v>1</v>
      </c>
      <c r="R405" s="36" t="str">
        <f>IFERROR(__xludf.DUMMYFUNCTION("""COMPUTED_VALUE"""),"SELECCIONADA")</f>
        <v>SELECCIONADA</v>
      </c>
      <c r="S405" s="37">
        <f>IFERROR(__xludf.DUMMYFUNCTION("""COMPUTED_VALUE"""),42604.0)</f>
        <v>42604</v>
      </c>
      <c r="T405" s="34"/>
      <c r="U405" t="str">
        <f>IFERROR(__xludf.DUMMYFUNCTION("""COMPUTED_VALUE"""),"VERONICA CANTELLANO MARTINEZ")</f>
        <v>VERONICA CANTELLANO MARTINEZ</v>
      </c>
      <c r="V405" t="str">
        <f>IFERROR(__xludf.DUMMYFUNCTION("""COMPUTED_VALUE"""),"14534753-K")</f>
        <v>14534753-K</v>
      </c>
      <c r="W405" t="str">
        <f>IFERROR(__xludf.DUMMYFUNCTION("""COMPUTED_VALUE"""),"NO")</f>
        <v>NO</v>
      </c>
      <c r="AA405" s="38">
        <f>IFERROR(__xludf.DUMMYFUNCTION("""COMPUTED_VALUE"""),42572.0)</f>
        <v>42572</v>
      </c>
      <c r="AB405" s="38">
        <f>IFERROR(__xludf.DUMMYFUNCTION("""COMPUTED_VALUE"""),42579.0)</f>
        <v>42579</v>
      </c>
      <c r="AF405" s="39"/>
      <c r="AG405" s="39"/>
      <c r="AH405" s="34" t="str">
        <f>IFERROR(__xludf.DUMMYFUNCTION("""COMPUTED_VALUE"""),"PROCESO DE SELECCIÓN")</f>
        <v>PROCESO DE SELECCIÓN</v>
      </c>
      <c r="AI405" s="34" t="str">
        <f>IFERROR(__xludf.DUMMYFUNCTION("""COMPUTED_VALUE"""),"AUTORIZADO 2016")</f>
        <v>AUTORIZADO 2016</v>
      </c>
      <c r="AJ405" s="34"/>
      <c r="AK405" s="34" t="str">
        <f>IFERROR(__xludf.DUMMYFUNCTION("""COMPUTED_VALUE"""),"E")</f>
        <v>E</v>
      </c>
      <c r="AL405">
        <f>IFERROR(__xludf.DUMMYFUNCTION("""COMPUTED_VALUE"""),18.0)</f>
        <v>18</v>
      </c>
      <c r="AM405">
        <f>IFERROR(__xludf.DUMMYFUNCTION("""COMPUTED_VALUE"""),2016.0)</f>
        <v>2016</v>
      </c>
      <c r="AN405" t="str">
        <f t="shared" si="1"/>
        <v>14534753-K</v>
      </c>
    </row>
    <row r="406">
      <c r="A406" s="33">
        <f>IFERROR(__xludf.DUMMYFUNCTION("""COMPUTED_VALUE"""),8121793.0)</f>
        <v>8121793</v>
      </c>
      <c r="B406" s="33">
        <f>IFERROR(__xludf.DUMMYFUNCTION("""COMPUTED_VALUE"""),64.0)</f>
        <v>64</v>
      </c>
      <c r="C406" s="33"/>
      <c r="D406" s="34" t="str">
        <f>IFERROR(__xludf.DUMMYFUNCTION("""COMPUTED_VALUE"""),"INGRESAR CENTRO DE COSTO A LA DERECHA")</f>
        <v>INGRESAR CENTRO DE COSTO A LA DERECHA</v>
      </c>
      <c r="E406" s="34" t="str">
        <f>IFERROR(__xludf.DUMMYFUNCTION("""COMPUTED_VALUE"""),"UNIDAD DE ATENCION DE SALUD")</f>
        <v>UNIDAD DE ATENCION DE SALUD</v>
      </c>
      <c r="F406" s="34" t="str">
        <f>IFERROR(__xludf.DUMMYFUNCTION("""COMPUTED_VALUE"""),"Cajero(a) A 1º categoria")</f>
        <v>Cajero(a) A 1º categoria</v>
      </c>
      <c r="G406" s="33" t="str">
        <f>IFERROR(__xludf.DUMMYFUNCTION("""COMPUTED_VALUE"""),"CAJERO A_ 1CATEG")</f>
        <v>CAJERO A_ 1CATEG</v>
      </c>
      <c r="H406">
        <f>IFERROR(__xludf.DUMMYFUNCTION("""COMPUTED_VALUE"""),17.0)</f>
        <v>17</v>
      </c>
      <c r="I406" s="34" t="str">
        <f>IFERROR(__xludf.DUMMYFUNCTION("""COMPUTED_VALUE"""),"Jornada Completa")</f>
        <v>Jornada Completa</v>
      </c>
      <c r="J406" s="33" t="str">
        <f>IFERROR(__xludf.DUMMYFUNCTION("""COMPUTED_VALUE"""),"A CONTRATA")</f>
        <v>A CONTRATA</v>
      </c>
      <c r="K406" s="33" t="str">
        <f>IFERROR(__xludf.DUMMYFUNCTION("""COMPUTED_VALUE"""),"TECNICO")</f>
        <v>TECNICO</v>
      </c>
      <c r="L406" s="34" t="str">
        <f>IFERROR(__xludf.DUMMYFUNCTION("""COMPUTED_VALUE"""),"NO")</f>
        <v>NO</v>
      </c>
      <c r="M406" s="34">
        <f>IFERROR(__xludf.DUMMYFUNCTION("""COMPUTED_VALUE"""),0.0)</f>
        <v>0</v>
      </c>
      <c r="N406" s="34" t="str">
        <f>IFERROR(__xludf.DUMMYFUNCTION("""COMPUTED_VALUE"""),"EXTERNO")</f>
        <v>EXTERNO</v>
      </c>
      <c r="O406">
        <f>IFERROR(__xludf.DUMMYFUNCTION("""COMPUTED_VALUE"""),5.0)</f>
        <v>5</v>
      </c>
      <c r="P406">
        <f>IFERROR(__xludf.DUMMYFUNCTION("""COMPUTED_VALUE"""),2.0)</f>
        <v>2</v>
      </c>
      <c r="Q406" s="35">
        <f>IFERROR(__xludf.DUMMYFUNCTION("""COMPUTED_VALUE"""),1.0)</f>
        <v>1</v>
      </c>
      <c r="R406" s="36" t="str">
        <f>IFERROR(__xludf.DUMMYFUNCTION("""COMPUTED_VALUE"""),"SELECCIONADA")</f>
        <v>SELECCIONADA</v>
      </c>
      <c r="S406" s="37">
        <f>IFERROR(__xludf.DUMMYFUNCTION("""COMPUTED_VALUE"""),42593.0)</f>
        <v>42593</v>
      </c>
      <c r="T406" s="34"/>
      <c r="U406" t="str">
        <f>IFERROR(__xludf.DUMMYFUNCTION("""COMPUTED_VALUE"""),"GLORIA DAVIS MARIN")</f>
        <v>GLORIA DAVIS MARIN</v>
      </c>
      <c r="V406" t="str">
        <f>IFERROR(__xludf.DUMMYFUNCTION("""COMPUTED_VALUE"""),"8121793-9")</f>
        <v>8121793-9</v>
      </c>
      <c r="W406" t="str">
        <f>IFERROR(__xludf.DUMMYFUNCTION("""COMPUTED_VALUE"""),"NO")</f>
        <v>NO</v>
      </c>
      <c r="AA406" s="38">
        <f>IFERROR(__xludf.DUMMYFUNCTION("""COMPUTED_VALUE"""),42578.0)</f>
        <v>42578</v>
      </c>
      <c r="AB406" s="38">
        <f>IFERROR(__xludf.DUMMYFUNCTION("""COMPUTED_VALUE"""),42583.0)</f>
        <v>42583</v>
      </c>
      <c r="AF406" s="39"/>
      <c r="AG406" s="39"/>
      <c r="AH406" s="34" t="str">
        <f>IFERROR(__xludf.DUMMYFUNCTION("""COMPUTED_VALUE"""),"PROCESO DE SELECCIÓN")</f>
        <v>PROCESO DE SELECCIÓN</v>
      </c>
      <c r="AI406" s="34" t="str">
        <f>IFERROR(__xludf.DUMMYFUNCTION("""COMPUTED_VALUE"""),"NORA OLIVARES TAPIA")</f>
        <v>NORA OLIVARES TAPIA</v>
      </c>
      <c r="AJ406" s="34"/>
      <c r="AK406" s="34" t="str">
        <f>IFERROR(__xludf.DUMMYFUNCTION("""COMPUTED_VALUE"""),"E")</f>
        <v>E</v>
      </c>
      <c r="AL406">
        <f>IFERROR(__xludf.DUMMYFUNCTION("""COMPUTED_VALUE"""),9.0)</f>
        <v>9</v>
      </c>
      <c r="AM406">
        <f>IFERROR(__xludf.DUMMYFUNCTION("""COMPUTED_VALUE"""),2016.0)</f>
        <v>2016</v>
      </c>
      <c r="AN406" t="str">
        <f t="shared" si="1"/>
        <v>08121793-9</v>
      </c>
    </row>
    <row r="407">
      <c r="A407" s="33">
        <f>IFERROR(__xludf.DUMMYFUNCTION("""COMPUTED_VALUE"""),1.5476569E7)</f>
        <v>15476569</v>
      </c>
      <c r="B407" s="33">
        <f>IFERROR(__xludf.DUMMYFUNCTION("""COMPUTED_VALUE"""),65.0)</f>
        <v>65</v>
      </c>
      <c r="C407" s="33"/>
      <c r="D407" s="34" t="str">
        <f>IFERROR(__xludf.DUMMYFUNCTION("""COMPUTED_VALUE"""),"INGRESAR CENTRO DE COSTO A LA DERECHA")</f>
        <v>INGRESAR CENTRO DE COSTO A LA DERECHA</v>
      </c>
      <c r="E407" s="34" t="str">
        <f>IFERROR(__xludf.DUMMYFUNCTION("""COMPUTED_VALUE"""),"UNIDAD DE GESTION DEL CAMPUS")</f>
        <v>UNIDAD DE GESTION DEL CAMPUS</v>
      </c>
      <c r="F407" s="34" t="str">
        <f>IFERROR(__xludf.DUMMYFUNCTION("""COMPUTED_VALUE"""),"Técnico(a) de Bodega")</f>
        <v>Técnico(a) de Bodega</v>
      </c>
      <c r="G407" s="33" t="str">
        <f>IFERROR(__xludf.DUMMYFUNCTION("""COMPUTED_VALUE"""),"TECNICO DE BODEGA")</f>
        <v>TECNICO DE BODEGA</v>
      </c>
      <c r="H407">
        <f>IFERROR(__xludf.DUMMYFUNCTION("""COMPUTED_VALUE"""),17.0)</f>
        <v>17</v>
      </c>
      <c r="I407" s="34" t="str">
        <f>IFERROR(__xludf.DUMMYFUNCTION("""COMPUTED_VALUE"""),"Jornada Completa")</f>
        <v>Jornada Completa</v>
      </c>
      <c r="J407" s="33" t="str">
        <f>IFERROR(__xludf.DUMMYFUNCTION("""COMPUTED_VALUE"""),"A CONTRATA")</f>
        <v>A CONTRATA</v>
      </c>
      <c r="K407" s="33" t="str">
        <f>IFERROR(__xludf.DUMMYFUNCTION("""COMPUTED_VALUE"""),"TECNICO")</f>
        <v>TECNICO</v>
      </c>
      <c r="L407" s="34" t="str">
        <f>IFERROR(__xludf.DUMMYFUNCTION("""COMPUTED_VALUE"""),"NO")</f>
        <v>NO</v>
      </c>
      <c r="M407" s="34">
        <f>IFERROR(__xludf.DUMMYFUNCTION("""COMPUTED_VALUE"""),0.0)</f>
        <v>0</v>
      </c>
      <c r="N407" s="34" t="str">
        <f>IFERROR(__xludf.DUMMYFUNCTION("""COMPUTED_VALUE"""),"EXTERNO")</f>
        <v>EXTERNO</v>
      </c>
      <c r="O407">
        <f>IFERROR(__xludf.DUMMYFUNCTION("""COMPUTED_VALUE"""),12.0)</f>
        <v>12</v>
      </c>
      <c r="P407">
        <f>IFERROR(__xludf.DUMMYFUNCTION("""COMPUTED_VALUE"""),1.0)</f>
        <v>1</v>
      </c>
      <c r="Q407" s="35">
        <f>IFERROR(__xludf.DUMMYFUNCTION("""COMPUTED_VALUE"""),2.0)</f>
        <v>2</v>
      </c>
      <c r="R407" s="36" t="str">
        <f>IFERROR(__xludf.DUMMYFUNCTION("""COMPUTED_VALUE"""),"SELECCIONADO")</f>
        <v>SELECCIONADO</v>
      </c>
      <c r="S407" s="37">
        <f>IFERROR(__xludf.DUMMYFUNCTION("""COMPUTED_VALUE"""),42611.0)</f>
        <v>42611</v>
      </c>
      <c r="T407" s="34"/>
      <c r="U407" t="str">
        <f>IFERROR(__xludf.DUMMYFUNCTION("""COMPUTED_VALUE"""),"CLAUDIO REED ROMO")</f>
        <v>CLAUDIO REED ROMO</v>
      </c>
      <c r="V407" t="str">
        <f>IFERROR(__xludf.DUMMYFUNCTION("""COMPUTED_VALUE"""),"15476569-7")</f>
        <v>15476569-7</v>
      </c>
      <c r="W407" t="str">
        <f>IFERROR(__xludf.DUMMYFUNCTION("""COMPUTED_VALUE"""),"NO")</f>
        <v>NO</v>
      </c>
      <c r="AA407" s="38">
        <f>IFERROR(__xludf.DUMMYFUNCTION("""COMPUTED_VALUE"""),42570.0)</f>
        <v>42570</v>
      </c>
      <c r="AB407" s="38">
        <f>IFERROR(__xludf.DUMMYFUNCTION("""COMPUTED_VALUE"""),42577.0)</f>
        <v>42577</v>
      </c>
      <c r="AF407" s="39"/>
      <c r="AG407" s="39"/>
      <c r="AH407" s="34" t="str">
        <f>IFERROR(__xludf.DUMMYFUNCTION("""COMPUTED_VALUE"""),"PROCESO DE SELECCIÓN")</f>
        <v>PROCESO DE SELECCIÓN</v>
      </c>
      <c r="AI407" s="34" t="str">
        <f>IFERROR(__xludf.DUMMYFUNCTION("""COMPUTED_VALUE"""),"JULIO SEGURA RAMIREZ")</f>
        <v>JULIO SEGURA RAMIREZ</v>
      </c>
      <c r="AJ407" s="34"/>
      <c r="AK407" s="34" t="str">
        <f>IFERROR(__xludf.DUMMYFUNCTION("""COMPUTED_VALUE"""),"E")</f>
        <v>E</v>
      </c>
      <c r="AL407">
        <f>IFERROR(__xludf.DUMMYFUNCTION("""COMPUTED_VALUE"""),25.0)</f>
        <v>25</v>
      </c>
      <c r="AM407">
        <f>IFERROR(__xludf.DUMMYFUNCTION("""COMPUTED_VALUE"""),2016.0)</f>
        <v>2016</v>
      </c>
      <c r="AN407" t="str">
        <f t="shared" si="1"/>
        <v>15476569-7</v>
      </c>
    </row>
    <row r="408">
      <c r="A408" s="33">
        <f>IFERROR(__xludf.DUMMYFUNCTION("""COMPUTED_VALUE"""),1.6675958E7)</f>
        <v>16675958</v>
      </c>
      <c r="B408" s="33">
        <f>IFERROR(__xludf.DUMMYFUNCTION("""COMPUTED_VALUE"""),66.0)</f>
        <v>66</v>
      </c>
      <c r="C408" s="33"/>
      <c r="D408" s="34" t="str">
        <f>IFERROR(__xludf.DUMMYFUNCTION("""COMPUTED_VALUE"""),"INGRESAR CENTRO DE COSTO A LA DERECHA")</f>
        <v>INGRESAR CENTRO DE COSTO A LA DERECHA</v>
      </c>
      <c r="E408" s="34" t="str">
        <f>IFERROR(__xludf.DUMMYFUNCTION("""COMPUTED_VALUE"""),"UNIDAD DE GESTION DEL CAMPUS")</f>
        <v>UNIDAD DE GESTION DEL CAMPUS</v>
      </c>
      <c r="F408" s="34" t="str">
        <f>IFERROR(__xludf.DUMMYFUNCTION("""COMPUTED_VALUE"""),"Operador(a) de Caldera")</f>
        <v>Operador(a) de Caldera</v>
      </c>
      <c r="G408" s="33" t="str">
        <f>IFERROR(__xludf.DUMMYFUNCTION("""COMPUTED_VALUE"""),"OPERADOR DE CALDERA")</f>
        <v>OPERADOR DE CALDERA</v>
      </c>
      <c r="H408">
        <f>IFERROR(__xludf.DUMMYFUNCTION("""COMPUTED_VALUE"""),17.0)</f>
        <v>17</v>
      </c>
      <c r="I408" s="34" t="str">
        <f>IFERROR(__xludf.DUMMYFUNCTION("""COMPUTED_VALUE"""),"Jornada Completa")</f>
        <v>Jornada Completa</v>
      </c>
      <c r="J408" s="33" t="str">
        <f>IFERROR(__xludf.DUMMYFUNCTION("""COMPUTED_VALUE"""),"A CONTRATA")</f>
        <v>A CONTRATA</v>
      </c>
      <c r="K408" s="33" t="str">
        <f>IFERROR(__xludf.DUMMYFUNCTION("""COMPUTED_VALUE"""),"TECNICO")</f>
        <v>TECNICO</v>
      </c>
      <c r="L408" s="34" t="str">
        <f>IFERROR(__xludf.DUMMYFUNCTION("""COMPUTED_VALUE"""),"INTERNO")</f>
        <v>INTERNO</v>
      </c>
      <c r="M408" s="34">
        <f>IFERROR(__xludf.DUMMYFUNCTION("""COMPUTED_VALUE"""),0.0)</f>
        <v>0</v>
      </c>
      <c r="N408" s="34" t="str">
        <f>IFERROR(__xludf.DUMMYFUNCTION("""COMPUTED_VALUE"""),"EXTERNO")</f>
        <v>EXTERNO</v>
      </c>
      <c r="O408">
        <f>IFERROR(__xludf.DUMMYFUNCTION("""COMPUTED_VALUE"""),3.0)</f>
        <v>3</v>
      </c>
      <c r="P408">
        <f>IFERROR(__xludf.DUMMYFUNCTION("""COMPUTED_VALUE"""),1.0)</f>
        <v>1</v>
      </c>
      <c r="Q408" s="35">
        <f>IFERROR(__xludf.DUMMYFUNCTION("""COMPUTED_VALUE"""),3.0)</f>
        <v>3</v>
      </c>
      <c r="R408" s="36" t="str">
        <f>IFERROR(__xludf.DUMMYFUNCTION("""COMPUTED_VALUE"""),"SELECCIONADO")</f>
        <v>SELECCIONADO</v>
      </c>
      <c r="S408" s="37">
        <f>IFERROR(__xludf.DUMMYFUNCTION("""COMPUTED_VALUE"""),42611.0)</f>
        <v>42611</v>
      </c>
      <c r="T408" s="34"/>
      <c r="U408" t="str">
        <f>IFERROR(__xludf.DUMMYFUNCTION("""COMPUTED_VALUE"""),"NELSON CID DONOSO")</f>
        <v>NELSON CID DONOSO</v>
      </c>
      <c r="V408" t="str">
        <f>IFERROR(__xludf.DUMMYFUNCTION("""COMPUTED_VALUE"""),"16675958-7")</f>
        <v>16675958-7</v>
      </c>
      <c r="W408" t="str">
        <f>IFERROR(__xludf.DUMMYFUNCTION("""COMPUTED_VALUE"""),"NO")</f>
        <v>NO</v>
      </c>
      <c r="AA408" s="38">
        <f>IFERROR(__xludf.DUMMYFUNCTION("""COMPUTED_VALUE"""),42559.0)</f>
        <v>42559</v>
      </c>
      <c r="AB408" s="38">
        <f>IFERROR(__xludf.DUMMYFUNCTION("""COMPUTED_VALUE"""),42566.0)</f>
        <v>42566</v>
      </c>
      <c r="AF408" s="39"/>
      <c r="AG408" s="39"/>
      <c r="AH408" s="34" t="str">
        <f>IFERROR(__xludf.DUMMYFUNCTION("""COMPUTED_VALUE"""),"PROCESO DE SELECCIÓN")</f>
        <v>PROCESO DE SELECCIÓN</v>
      </c>
      <c r="AI408" s="34" t="str">
        <f>IFERROR(__xludf.DUMMYFUNCTION("""COMPUTED_VALUE"""),"ERICK RAMIREZ ALMARZA")</f>
        <v>ERICK RAMIREZ ALMARZA</v>
      </c>
      <c r="AJ408" s="34"/>
      <c r="AK408" s="34" t="str">
        <f>IFERROR(__xludf.DUMMYFUNCTION("""COMPUTED_VALUE"""),"E")</f>
        <v>E</v>
      </c>
      <c r="AL408">
        <f>IFERROR(__xludf.DUMMYFUNCTION("""COMPUTED_VALUE"""),32.0)</f>
        <v>32</v>
      </c>
      <c r="AM408">
        <f>IFERROR(__xludf.DUMMYFUNCTION("""COMPUTED_VALUE"""),2016.0)</f>
        <v>2016</v>
      </c>
      <c r="AN408" t="str">
        <f t="shared" si="1"/>
        <v>16675958-7</v>
      </c>
    </row>
    <row r="409">
      <c r="A409" s="33">
        <f>IFERROR(__xludf.DUMMYFUNCTION("""COMPUTED_VALUE"""),1.5045222E7)</f>
        <v>15045222</v>
      </c>
      <c r="B409" s="33">
        <f>IFERROR(__xludf.DUMMYFUNCTION("""COMPUTED_VALUE"""),67.0)</f>
        <v>67</v>
      </c>
      <c r="C409" s="33"/>
      <c r="D409" s="34" t="str">
        <f>IFERROR(__xludf.DUMMYFUNCTION("""COMPUTED_VALUE"""),"INGRESAR CENTRO DE COSTO A LA DERECHA")</f>
        <v>INGRESAR CENTRO DE COSTO A LA DERECHA</v>
      </c>
      <c r="E409" s="34" t="str">
        <f>IFERROR(__xludf.DUMMYFUNCTION("""COMPUTED_VALUE"""),"SECRETARIA GENERAL")</f>
        <v>SECRETARIA GENERAL</v>
      </c>
      <c r="F409" s="34" t="str">
        <f>IFERROR(__xludf.DUMMYFUNCTION("""COMPUTED_VALUE"""),"Administrativo(a) de Apoyo")</f>
        <v>Administrativo(a) de Apoyo</v>
      </c>
      <c r="G409" s="33" t="str">
        <f>IFERROR(__xludf.DUMMYFUNCTION("""COMPUTED_VALUE"""),"ADMINISTRATIVO DE APOYO")</f>
        <v>ADMINISTRATIVO DE APOYO</v>
      </c>
      <c r="H409">
        <f>IFERROR(__xludf.DUMMYFUNCTION("""COMPUTED_VALUE"""),20.0)</f>
        <v>20</v>
      </c>
      <c r="I409" s="34" t="str">
        <f>IFERROR(__xludf.DUMMYFUNCTION("""COMPUTED_VALUE"""),"Jornada Completa")</f>
        <v>Jornada Completa</v>
      </c>
      <c r="J409" s="33" t="str">
        <f>IFERROR(__xludf.DUMMYFUNCTION("""COMPUTED_VALUE"""),"A CONTRATA")</f>
        <v>A CONTRATA</v>
      </c>
      <c r="K409" s="33" t="str">
        <f>IFERROR(__xludf.DUMMYFUNCTION("""COMPUTED_VALUE"""),"ADMINISTRATIVO")</f>
        <v>ADMINISTRATIVO</v>
      </c>
      <c r="L409" s="34" t="str">
        <f>IFERROR(__xludf.DUMMYFUNCTION("""COMPUTED_VALUE"""),"INTERNO")</f>
        <v>INTERNO</v>
      </c>
      <c r="M409" s="34">
        <f>IFERROR(__xludf.DUMMYFUNCTION("""COMPUTED_VALUE"""),0.0)</f>
        <v>0</v>
      </c>
      <c r="N409" s="34" t="str">
        <f>IFERROR(__xludf.DUMMYFUNCTION("""COMPUTED_VALUE"""),"EXTERNO")</f>
        <v>EXTERNO</v>
      </c>
      <c r="O409">
        <f>IFERROR(__xludf.DUMMYFUNCTION("""COMPUTED_VALUE"""),16.0)</f>
        <v>16</v>
      </c>
      <c r="P409">
        <f>IFERROR(__xludf.DUMMYFUNCTION("""COMPUTED_VALUE"""),2.0)</f>
        <v>2</v>
      </c>
      <c r="Q409" s="35">
        <f>IFERROR(__xludf.DUMMYFUNCTION("""COMPUTED_VALUE"""),2.0)</f>
        <v>2</v>
      </c>
      <c r="R409" s="36" t="str">
        <f>IFERROR(__xludf.DUMMYFUNCTION("""COMPUTED_VALUE"""),"SELECCIONADA")</f>
        <v>SELECCIONADA</v>
      </c>
      <c r="S409" s="37">
        <f>IFERROR(__xludf.DUMMYFUNCTION("""COMPUTED_VALUE"""),42515.0)</f>
        <v>42515</v>
      </c>
      <c r="T409" s="34"/>
      <c r="U409" t="str">
        <f>IFERROR(__xludf.DUMMYFUNCTION("""COMPUTED_VALUE"""),"FERNANDA ARAYA VERGARA")</f>
        <v>FERNANDA ARAYA VERGARA</v>
      </c>
      <c r="V409" t="str">
        <f>IFERROR(__xludf.DUMMYFUNCTION("""COMPUTED_VALUE"""),"15045222-8")</f>
        <v>15045222-8</v>
      </c>
      <c r="W409" t="str">
        <f>IFERROR(__xludf.DUMMYFUNCTION("""COMPUTED_VALUE"""),"NO")</f>
        <v>NO</v>
      </c>
      <c r="AA409" s="38">
        <f>IFERROR(__xludf.DUMMYFUNCTION("""COMPUTED_VALUE"""),42453.0)</f>
        <v>42453</v>
      </c>
      <c r="AB409" s="38">
        <f>IFERROR(__xludf.DUMMYFUNCTION("""COMPUTED_VALUE"""),42460.0)</f>
        <v>42460</v>
      </c>
      <c r="AF409" s="39"/>
      <c r="AG409" s="39"/>
      <c r="AH409" s="34" t="str">
        <f>IFERROR(__xludf.DUMMYFUNCTION("""COMPUTED_VALUE"""),"PROCESO DE SELECCIÓN")</f>
        <v>PROCESO DE SELECCIÓN</v>
      </c>
      <c r="AI409" s="34" t="str">
        <f>IFERROR(__xludf.DUMMYFUNCTION("""COMPUTED_VALUE"""),"AUTORIZADO 2015")</f>
        <v>AUTORIZADO 2015</v>
      </c>
      <c r="AJ409" s="34"/>
      <c r="AK409" s="34" t="str">
        <f>IFERROR(__xludf.DUMMYFUNCTION("""COMPUTED_VALUE"""),"E")</f>
        <v>E</v>
      </c>
      <c r="AL409">
        <f>IFERROR(__xludf.DUMMYFUNCTION("""COMPUTED_VALUE"""),40.0)</f>
        <v>40</v>
      </c>
      <c r="AM409">
        <f>IFERROR(__xludf.DUMMYFUNCTION("""COMPUTED_VALUE"""),2016.0)</f>
        <v>2016</v>
      </c>
      <c r="AN409" t="str">
        <f t="shared" si="1"/>
        <v>15045222-8</v>
      </c>
    </row>
    <row r="410">
      <c r="A410" s="33">
        <f>IFERROR(__xludf.DUMMYFUNCTION("""COMPUTED_VALUE"""),7683909.0)</f>
        <v>7683909</v>
      </c>
      <c r="B410" s="33">
        <f>IFERROR(__xludf.DUMMYFUNCTION("""COMPUTED_VALUE"""),68.0)</f>
        <v>68</v>
      </c>
      <c r="C410" s="33"/>
      <c r="D410" s="34" t="str">
        <f>IFERROR(__xludf.DUMMYFUNCTION("""COMPUTED_VALUE"""),"INGRESAR CENTRO DE COSTO A LA DERECHA")</f>
        <v>INGRESAR CENTRO DE COSTO A LA DERECHA</v>
      </c>
      <c r="E410" s="34" t="str">
        <f>IFERROR(__xludf.DUMMYFUNCTION("""COMPUTED_VALUE"""),"DPTO. DE FISICA")</f>
        <v>DPTO. DE FISICA</v>
      </c>
      <c r="F410" s="34" t="str">
        <f>IFERROR(__xludf.DUMMYFUNCTION("""COMPUTED_VALUE"""),"Administrativo(a) Especializado")</f>
        <v>Administrativo(a) Especializado</v>
      </c>
      <c r="G410" s="33" t="str">
        <f>IFERROR(__xludf.DUMMYFUNCTION("""COMPUTED_VALUE"""),"ADMINISTRATIVO ESPECIALIZADO")</f>
        <v>ADMINISTRATIVO ESPECIALIZADO</v>
      </c>
      <c r="H410">
        <f>IFERROR(__xludf.DUMMYFUNCTION("""COMPUTED_VALUE"""),17.0)</f>
        <v>17</v>
      </c>
      <c r="I410" s="34" t="str">
        <f>IFERROR(__xludf.DUMMYFUNCTION("""COMPUTED_VALUE"""),"Jornada Completa")</f>
        <v>Jornada Completa</v>
      </c>
      <c r="J410" s="33" t="str">
        <f>IFERROR(__xludf.DUMMYFUNCTION("""COMPUTED_VALUE"""),"A CONTRATA")</f>
        <v>A CONTRATA</v>
      </c>
      <c r="K410" s="33" t="str">
        <f>IFERROR(__xludf.DUMMYFUNCTION("""COMPUTED_VALUE"""),"ADMINISTRATIVO")</f>
        <v>ADMINISTRATIVO</v>
      </c>
      <c r="L410" s="34" t="str">
        <f>IFERROR(__xludf.DUMMYFUNCTION("""COMPUTED_VALUE"""),"INTERNO")</f>
        <v>INTERNO</v>
      </c>
      <c r="M410" s="34">
        <f>IFERROR(__xludf.DUMMYFUNCTION("""COMPUTED_VALUE"""),7.0)</f>
        <v>7</v>
      </c>
      <c r="N410" s="34" t="str">
        <f>IFERROR(__xludf.DUMMYFUNCTION("""COMPUTED_VALUE"""),"EXTERNO")</f>
        <v>EXTERNO</v>
      </c>
      <c r="O410">
        <f>IFERROR(__xludf.DUMMYFUNCTION("""COMPUTED_VALUE"""),14.0)</f>
        <v>14</v>
      </c>
      <c r="P410">
        <f>IFERROR(__xludf.DUMMYFUNCTION("""COMPUTED_VALUE"""),2.0)</f>
        <v>2</v>
      </c>
      <c r="Q410" s="35">
        <f>IFERROR(__xludf.DUMMYFUNCTION("""COMPUTED_VALUE"""),2.0)</f>
        <v>2</v>
      </c>
      <c r="R410" s="36" t="str">
        <f>IFERROR(__xludf.DUMMYFUNCTION("""COMPUTED_VALUE"""),"SELECCIONADA")</f>
        <v>SELECCIONADA</v>
      </c>
      <c r="S410" s="37">
        <f>IFERROR(__xludf.DUMMYFUNCTION("""COMPUTED_VALUE"""),42541.0)</f>
        <v>42541</v>
      </c>
      <c r="T410" s="34"/>
      <c r="U410" t="str">
        <f>IFERROR(__xludf.DUMMYFUNCTION("""COMPUTED_VALUE"""),"ERIKA INOSTROZA SEPULVEDA")</f>
        <v>ERIKA INOSTROZA SEPULVEDA</v>
      </c>
      <c r="V410" t="str">
        <f>IFERROR(__xludf.DUMMYFUNCTION("""COMPUTED_VALUE"""),"7683909-3")</f>
        <v>7683909-3</v>
      </c>
      <c r="W410" t="str">
        <f>IFERROR(__xludf.DUMMYFUNCTION("""COMPUTED_VALUE"""),"NO")</f>
        <v>NO</v>
      </c>
      <c r="AA410" s="38">
        <f>IFERROR(__xludf.DUMMYFUNCTION("""COMPUTED_VALUE"""),42439.0)</f>
        <v>42439</v>
      </c>
      <c r="AB410" s="38">
        <f>IFERROR(__xludf.DUMMYFUNCTION("""COMPUTED_VALUE"""),42446.0)</f>
        <v>42446</v>
      </c>
      <c r="AF410" s="39"/>
      <c r="AG410" s="39"/>
      <c r="AH410" s="34" t="str">
        <f>IFERROR(__xludf.DUMMYFUNCTION("""COMPUTED_VALUE"""),"PROCESO DE SELECCIÓN")</f>
        <v>PROCESO DE SELECCIÓN</v>
      </c>
      <c r="AI410" s="34" t="str">
        <f>IFERROR(__xludf.DUMMYFUNCTION("""COMPUTED_VALUE"""),"EMILINA BRONTE")</f>
        <v>EMILINA BRONTE</v>
      </c>
      <c r="AJ410" s="34"/>
      <c r="AK410" s="34" t="str">
        <f>IFERROR(__xludf.DUMMYFUNCTION("""COMPUTED_VALUE"""),"P")</f>
        <v>P</v>
      </c>
      <c r="AL410">
        <f>IFERROR(__xludf.DUMMYFUNCTION("""COMPUTED_VALUE"""),68.0)</f>
        <v>68</v>
      </c>
      <c r="AM410">
        <f>IFERROR(__xludf.DUMMYFUNCTION("""COMPUTED_VALUE"""),2016.0)</f>
        <v>2016</v>
      </c>
      <c r="AN410" t="str">
        <f t="shared" si="1"/>
        <v>07683909-3</v>
      </c>
    </row>
    <row r="411">
      <c r="A411" s="33">
        <f>IFERROR(__xludf.DUMMYFUNCTION("""COMPUTED_VALUE"""),1.4197589E7)</f>
        <v>14197589</v>
      </c>
      <c r="B411" s="33">
        <f>IFERROR(__xludf.DUMMYFUNCTION("""COMPUTED_VALUE"""),69.0)</f>
        <v>69</v>
      </c>
      <c r="C411" s="33"/>
      <c r="D411" s="34" t="str">
        <f>IFERROR(__xludf.DUMMYFUNCTION("""COMPUTED_VALUE"""),"INGRESAR CENTRO DE COSTO A LA DERECHA")</f>
        <v>INGRESAR CENTRO DE COSTO A LA DERECHA</v>
      </c>
      <c r="E411" s="34" t="str">
        <f>IFERROR(__xludf.DUMMYFUNCTION("""COMPUTED_VALUE"""),"DPTO. DE FISICA")</f>
        <v>DPTO. DE FISICA</v>
      </c>
      <c r="F411" s="34" t="str">
        <f>IFERROR(__xludf.DUMMYFUNCTION("""COMPUTED_VALUE"""),"Asistente de Laboratorio")</f>
        <v>Asistente de Laboratorio</v>
      </c>
      <c r="G411" s="33" t="str">
        <f>IFERROR(__xludf.DUMMYFUNCTION("""COMPUTED_VALUE"""),"ASISTENTE DE LABORATORIO")</f>
        <v>ASISTENTE DE LABORATORIO</v>
      </c>
      <c r="H411">
        <f>IFERROR(__xludf.DUMMYFUNCTION("""COMPUTED_VALUE"""),20.0)</f>
        <v>20</v>
      </c>
      <c r="I411" s="34" t="str">
        <f>IFERROR(__xludf.DUMMYFUNCTION("""COMPUTED_VALUE"""),"Jornada Completa")</f>
        <v>Jornada Completa</v>
      </c>
      <c r="J411" s="33" t="str">
        <f>IFERROR(__xludf.DUMMYFUNCTION("""COMPUTED_VALUE"""),"A CONTRATA")</f>
        <v>A CONTRATA</v>
      </c>
      <c r="K411" s="33" t="str">
        <f>IFERROR(__xludf.DUMMYFUNCTION("""COMPUTED_VALUE"""),"TECNICO")</f>
        <v>TECNICO</v>
      </c>
      <c r="L411" s="34" t="str">
        <f>IFERROR(__xludf.DUMMYFUNCTION("""COMPUTED_VALUE"""),"INTERNO")</f>
        <v>INTERNO</v>
      </c>
      <c r="M411" s="34">
        <f>IFERROR(__xludf.DUMMYFUNCTION("""COMPUTED_VALUE"""),0.0)</f>
        <v>0</v>
      </c>
      <c r="N411" s="34" t="str">
        <f>IFERROR(__xludf.DUMMYFUNCTION("""COMPUTED_VALUE"""),"EXTERNO")</f>
        <v>EXTERNO</v>
      </c>
      <c r="O411">
        <f>IFERROR(__xludf.DUMMYFUNCTION("""COMPUTED_VALUE"""),13.0)</f>
        <v>13</v>
      </c>
      <c r="P411">
        <f>IFERROR(__xludf.DUMMYFUNCTION("""COMPUTED_VALUE"""),2.0)</f>
        <v>2</v>
      </c>
      <c r="Q411" s="35">
        <f>IFERROR(__xludf.DUMMYFUNCTION("""COMPUTED_VALUE"""),3.0)</f>
        <v>3</v>
      </c>
      <c r="R411" s="36" t="str">
        <f>IFERROR(__xludf.DUMMYFUNCTION("""COMPUTED_VALUE"""),"SELECCIONADA")</f>
        <v>SELECCIONADA</v>
      </c>
      <c r="S411" s="37">
        <f>IFERROR(__xludf.DUMMYFUNCTION("""COMPUTED_VALUE"""),42614.0)</f>
        <v>42614</v>
      </c>
      <c r="T411" s="34"/>
      <c r="U411" t="str">
        <f>IFERROR(__xludf.DUMMYFUNCTION("""COMPUTED_VALUE"""),"NATALIA GONZALEZ SANTANDER")</f>
        <v>NATALIA GONZALEZ SANTANDER</v>
      </c>
      <c r="V411" t="str">
        <f>IFERROR(__xludf.DUMMYFUNCTION("""COMPUTED_VALUE"""),"14197589-7")</f>
        <v>14197589-7</v>
      </c>
      <c r="W411" t="str">
        <f>IFERROR(__xludf.DUMMYFUNCTION("""COMPUTED_VALUE"""),"SI")</f>
        <v>SI</v>
      </c>
      <c r="X411" t="str">
        <f>IFERROR(__xludf.DUMMYFUNCTION("""COMPUTED_VALUE"""),"TRABAJO EN EQUIPO")</f>
        <v>TRABAJO EN EQUIPO</v>
      </c>
      <c r="AA411" s="38">
        <f>IFERROR(__xludf.DUMMYFUNCTION("""COMPUTED_VALUE"""),42559.0)</f>
        <v>42559</v>
      </c>
      <c r="AB411" s="38">
        <f>IFERROR(__xludf.DUMMYFUNCTION("""COMPUTED_VALUE"""),42566.0)</f>
        <v>42566</v>
      </c>
      <c r="AF411" s="39"/>
      <c r="AG411" s="39"/>
      <c r="AH411" s="34" t="str">
        <f>IFERROR(__xludf.DUMMYFUNCTION("""COMPUTED_VALUE"""),"PROCESO DE SELECCIÓN")</f>
        <v>PROCESO DE SELECCIÓN</v>
      </c>
      <c r="AI411" s="34" t="str">
        <f>IFERROR(__xludf.DUMMYFUNCTION("""COMPUTED_VALUE"""),"RODOLFO QUINTERO")</f>
        <v>RODOLFO QUINTERO</v>
      </c>
      <c r="AJ411" s="34"/>
      <c r="AK411" s="34" t="str">
        <f>IFERROR(__xludf.DUMMYFUNCTION("""COMPUTED_VALUE"""),"E")</f>
        <v>E</v>
      </c>
      <c r="AL411">
        <f>IFERROR(__xludf.DUMMYFUNCTION("""COMPUTED_VALUE"""),35.0)</f>
        <v>35</v>
      </c>
      <c r="AM411">
        <f>IFERROR(__xludf.DUMMYFUNCTION("""COMPUTED_VALUE"""),2016.0)</f>
        <v>2016</v>
      </c>
      <c r="AN411" t="str">
        <f t="shared" si="1"/>
        <v>14197589-7</v>
      </c>
    </row>
    <row r="412">
      <c r="A412" s="33">
        <f>IFERROR(__xludf.DUMMYFUNCTION("""COMPUTED_VALUE"""),8860929.0)</f>
        <v>8860929</v>
      </c>
      <c r="B412" s="33">
        <f>IFERROR(__xludf.DUMMYFUNCTION("""COMPUTED_VALUE"""),70.0)</f>
        <v>70</v>
      </c>
      <c r="C412" s="33"/>
      <c r="D412" s="34" t="str">
        <f>IFERROR(__xludf.DUMMYFUNCTION("""COMPUTED_VALUE"""),"INGRESAR CENTRO DE COSTO A LA DERECHA")</f>
        <v>INGRESAR CENTRO DE COSTO A LA DERECHA</v>
      </c>
      <c r="E412" s="34" t="str">
        <f>IFERROR(__xludf.DUMMYFUNCTION("""COMPUTED_VALUE"""),"FACULTAD DE QUIMICA Y BIOLOGIA")</f>
        <v>FACULTAD DE QUIMICA Y BIOLOGIA</v>
      </c>
      <c r="F412" s="34" t="str">
        <f>IFERROR(__xludf.DUMMYFUNCTION("""COMPUTED_VALUE"""),"Mayordomo(a)")</f>
        <v>Mayordomo(a)</v>
      </c>
      <c r="G412" s="33" t="str">
        <f>IFERROR(__xludf.DUMMYFUNCTION("""COMPUTED_VALUE"""),"MAYORDOMO")</f>
        <v>MAYORDOMO</v>
      </c>
      <c r="H412">
        <f>IFERROR(__xludf.DUMMYFUNCTION("""COMPUTED_VALUE"""),21.0)</f>
        <v>21</v>
      </c>
      <c r="I412" s="34" t="str">
        <f>IFERROR(__xludf.DUMMYFUNCTION("""COMPUTED_VALUE"""),"Jornada Completa")</f>
        <v>Jornada Completa</v>
      </c>
      <c r="J412" s="33" t="str">
        <f>IFERROR(__xludf.DUMMYFUNCTION("""COMPUTED_VALUE"""),"A CONTRATA")</f>
        <v>A CONTRATA</v>
      </c>
      <c r="K412" s="33" t="str">
        <f>IFERROR(__xludf.DUMMYFUNCTION("""COMPUTED_VALUE"""),"AUXILIAR")</f>
        <v>AUXILIAR</v>
      </c>
      <c r="L412" s="34" t="str">
        <f>IFERROR(__xludf.DUMMYFUNCTION("""COMPUTED_VALUE"""),"INTERNO")</f>
        <v>INTERNO</v>
      </c>
      <c r="M412" s="34">
        <f>IFERROR(__xludf.DUMMYFUNCTION("""COMPUTED_VALUE"""),0.0)</f>
        <v>0</v>
      </c>
      <c r="N412" s="34" t="str">
        <f>IFERROR(__xludf.DUMMYFUNCTION("""COMPUTED_VALUE"""),"EXTERNO")</f>
        <v>EXTERNO</v>
      </c>
      <c r="O412">
        <f>IFERROR(__xludf.DUMMYFUNCTION("""COMPUTED_VALUE"""),7.0)</f>
        <v>7</v>
      </c>
      <c r="P412">
        <f>IFERROR(__xludf.DUMMYFUNCTION("""COMPUTED_VALUE"""),1.0)</f>
        <v>1</v>
      </c>
      <c r="Q412" s="35">
        <f>IFERROR(__xludf.DUMMYFUNCTION("""COMPUTED_VALUE"""),1.0)</f>
        <v>1</v>
      </c>
      <c r="R412" s="36" t="str">
        <f>IFERROR(__xludf.DUMMYFUNCTION("""COMPUTED_VALUE"""),"SELECCIONADO")</f>
        <v>SELECCIONADO</v>
      </c>
      <c r="S412" s="37">
        <f>IFERROR(__xludf.DUMMYFUNCTION("""COMPUTED_VALUE"""),42606.0)</f>
        <v>42606</v>
      </c>
      <c r="T412" s="34"/>
      <c r="U412" t="str">
        <f>IFERROR(__xludf.DUMMYFUNCTION("""COMPUTED_VALUE"""),"EDUARDO DOÑAS OPAZO")</f>
        <v>EDUARDO DOÑAS OPAZO</v>
      </c>
      <c r="V412" t="str">
        <f>IFERROR(__xludf.DUMMYFUNCTION("""COMPUTED_VALUE"""),"8860929-8")</f>
        <v>8860929-8</v>
      </c>
      <c r="W412" t="str">
        <f>IFERROR(__xludf.DUMMYFUNCTION("""COMPUTED_VALUE"""),"NO")</f>
        <v>NO</v>
      </c>
      <c r="AA412" s="38">
        <f>IFERROR(__xludf.DUMMYFUNCTION("""COMPUTED_VALUE"""),42516.0)</f>
        <v>42516</v>
      </c>
      <c r="AB412" s="38">
        <f>IFERROR(__xludf.DUMMYFUNCTION("""COMPUTED_VALUE"""),42523.0)</f>
        <v>42523</v>
      </c>
      <c r="AF412" s="39"/>
      <c r="AG412" s="39"/>
      <c r="AH412" s="34" t="str">
        <f>IFERROR(__xludf.DUMMYFUNCTION("""COMPUTED_VALUE"""),"PROCESO DE SELECCIÓN")</f>
        <v>PROCESO DE SELECCIÓN</v>
      </c>
      <c r="AI412" s="34" t="str">
        <f>IFERROR(__xludf.DUMMYFUNCTION("""COMPUTED_VALUE"""),"ROBERTO BRITO PAREDES")</f>
        <v>ROBERTO BRITO PAREDES</v>
      </c>
      <c r="AJ412" s="34"/>
      <c r="AK412" s="34" t="str">
        <f>IFERROR(__xludf.DUMMYFUNCTION("""COMPUTED_VALUE"""),"E")</f>
        <v>E</v>
      </c>
      <c r="AL412">
        <f>IFERROR(__xludf.DUMMYFUNCTION("""COMPUTED_VALUE"""),60.0)</f>
        <v>60</v>
      </c>
      <c r="AM412">
        <f>IFERROR(__xludf.DUMMYFUNCTION("""COMPUTED_VALUE"""),2016.0)</f>
        <v>2016</v>
      </c>
      <c r="AN412" t="str">
        <f t="shared" si="1"/>
        <v>08860929-8</v>
      </c>
    </row>
    <row r="413">
      <c r="A413" s="33">
        <f>IFERROR(__xludf.DUMMYFUNCTION("""COMPUTED_VALUE"""),1.9171399E7)</f>
        <v>19171399</v>
      </c>
      <c r="B413" s="33">
        <f>IFERROR(__xludf.DUMMYFUNCTION("""COMPUTED_VALUE"""),71.0)</f>
        <v>71</v>
      </c>
      <c r="C413" s="33"/>
      <c r="D413" s="34" t="str">
        <f>IFERROR(__xludf.DUMMYFUNCTION("""COMPUTED_VALUE"""),"INGRESAR CENTRO DE COSTO A LA DERECHA")</f>
        <v>INGRESAR CENTRO DE COSTO A LA DERECHA</v>
      </c>
      <c r="E413" s="34" t="str">
        <f>IFERROR(__xludf.DUMMYFUNCTION("""COMPUTED_VALUE"""),"UNIDAD DE GESTION DEL CAMPUS")</f>
        <v>UNIDAD DE GESTION DEL CAMPUS</v>
      </c>
      <c r="F413" s="34" t="str">
        <f>IFERROR(__xludf.DUMMYFUNCTION("""COMPUTED_VALUE"""),"Técnico(a) Eléctrico")</f>
        <v>Técnico(a) Eléctrico</v>
      </c>
      <c r="G413" s="41" t="str">
        <f>IFERROR(__xludf.DUMMYFUNCTION("""COMPUTED_VALUE"""),"TECNICO ELECTRICO")</f>
        <v>TECNICO ELECTRICO</v>
      </c>
      <c r="H413">
        <f>IFERROR(__xludf.DUMMYFUNCTION("""COMPUTED_VALUE"""),17.0)</f>
        <v>17</v>
      </c>
      <c r="I413" s="34" t="str">
        <f>IFERROR(__xludf.DUMMYFUNCTION("""COMPUTED_VALUE"""),"Jornada Completa")</f>
        <v>Jornada Completa</v>
      </c>
      <c r="J413" s="33" t="str">
        <f>IFERROR(__xludf.DUMMYFUNCTION("""COMPUTED_VALUE"""),"A CONTRATA")</f>
        <v>A CONTRATA</v>
      </c>
      <c r="K413" s="33" t="str">
        <f>IFERROR(__xludf.DUMMYFUNCTION("""COMPUTED_VALUE"""),"TECNICO")</f>
        <v>TECNICO</v>
      </c>
      <c r="L413" s="34" t="str">
        <f>IFERROR(__xludf.DUMMYFUNCTION("""COMPUTED_VALUE"""),"INTERNO")</f>
        <v>INTERNO</v>
      </c>
      <c r="M413" s="34">
        <f>IFERROR(__xludf.DUMMYFUNCTION("""COMPUTED_VALUE"""),0.0)</f>
        <v>0</v>
      </c>
      <c r="N413" s="34" t="str">
        <f>IFERROR(__xludf.DUMMYFUNCTION("""COMPUTED_VALUE"""),"EXTERNO")</f>
        <v>EXTERNO</v>
      </c>
      <c r="O413">
        <f>IFERROR(__xludf.DUMMYFUNCTION("""COMPUTED_VALUE"""),1.0)</f>
        <v>1</v>
      </c>
      <c r="P413">
        <f>IFERROR(__xludf.DUMMYFUNCTION("""COMPUTED_VALUE"""),1.0)</f>
        <v>1</v>
      </c>
      <c r="Q413" s="35">
        <f>IFERROR(__xludf.DUMMYFUNCTION("""COMPUTED_VALUE"""),2.0)</f>
        <v>2</v>
      </c>
      <c r="R413" s="36" t="str">
        <f>IFERROR(__xludf.DUMMYFUNCTION("""COMPUTED_VALUE"""),"SELECCIONADO")</f>
        <v>SELECCIONADO</v>
      </c>
      <c r="S413" s="37">
        <f>IFERROR(__xludf.DUMMYFUNCTION("""COMPUTED_VALUE"""),42614.0)</f>
        <v>42614</v>
      </c>
      <c r="T413" s="34"/>
      <c r="U413" t="str">
        <f>IFERROR(__xludf.DUMMYFUNCTION("""COMPUTED_VALUE"""),"NICOLAS ORELLANA TORO")</f>
        <v>NICOLAS ORELLANA TORO</v>
      </c>
      <c r="V413" t="str">
        <f>IFERROR(__xludf.DUMMYFUNCTION("""COMPUTED_VALUE"""),"19171399-0")</f>
        <v>19171399-0</v>
      </c>
      <c r="W413" t="str">
        <f>IFERROR(__xludf.DUMMYFUNCTION("""COMPUTED_VALUE"""),"NO")</f>
        <v>NO</v>
      </c>
      <c r="AA413" s="38">
        <f>IFERROR(__xludf.DUMMYFUNCTION("""COMPUTED_VALUE"""),42569.0)</f>
        <v>42569</v>
      </c>
      <c r="AB413" s="38">
        <f>IFERROR(__xludf.DUMMYFUNCTION("""COMPUTED_VALUE"""),42583.0)</f>
        <v>42583</v>
      </c>
      <c r="AF413" s="39"/>
      <c r="AG413" s="39"/>
      <c r="AH413" s="34" t="str">
        <f>IFERROR(__xludf.DUMMYFUNCTION("""COMPUTED_VALUE"""),"PROCESO DE SELECCIÓN")</f>
        <v>PROCESO DE SELECCIÓN</v>
      </c>
      <c r="AI413" s="34" t="str">
        <f>IFERROR(__xludf.DUMMYFUNCTION("""COMPUTED_VALUE"""),"AUTORIZADO 2016")</f>
        <v>AUTORIZADO 2016</v>
      </c>
      <c r="AJ413" s="34"/>
      <c r="AK413" s="34" t="str">
        <f>IFERROR(__xludf.DUMMYFUNCTION("""COMPUTED_VALUE"""),"E")</f>
        <v>E</v>
      </c>
      <c r="AL413">
        <f>IFERROR(__xludf.DUMMYFUNCTION("""COMPUTED_VALUE"""),24.0)</f>
        <v>24</v>
      </c>
      <c r="AM413">
        <f>IFERROR(__xludf.DUMMYFUNCTION("""COMPUTED_VALUE"""),2016.0)</f>
        <v>2016</v>
      </c>
      <c r="AN413" t="str">
        <f t="shared" si="1"/>
        <v>19171399-0</v>
      </c>
    </row>
    <row r="414">
      <c r="A414" s="33">
        <f>IFERROR(__xludf.DUMMYFUNCTION("""COMPUTED_VALUE"""),9982687.0)</f>
        <v>9982687</v>
      </c>
      <c r="B414" s="33">
        <f>IFERROR(__xludf.DUMMYFUNCTION("""COMPUTED_VALUE"""),72.0)</f>
        <v>72</v>
      </c>
      <c r="C414" s="33"/>
      <c r="D414" s="34" t="str">
        <f>IFERROR(__xludf.DUMMYFUNCTION("""COMPUTED_VALUE"""),"INGRESAR CENTRO DE COSTO A LA DERECHA")</f>
        <v>INGRESAR CENTRO DE COSTO A LA DERECHA</v>
      </c>
      <c r="E414" s="34" t="str">
        <f>IFERROR(__xludf.DUMMYFUNCTION("""COMPUTED_VALUE"""),"CONTRALORIA UNIVERSITARIA")</f>
        <v>CONTRALORIA UNIVERSITARIA</v>
      </c>
      <c r="F414" s="34" t="str">
        <f>IFERROR(__xludf.DUMMYFUNCTION("""COMPUTED_VALUE"""),"Abogado(a) Contraloria Universitaria")</f>
        <v>Abogado(a) Contraloria Universitaria</v>
      </c>
      <c r="G414" s="33" t="str">
        <f>IFERROR(__xludf.DUMMYFUNCTION("""COMPUTED_VALUE"""),"ABOGADO")</f>
        <v>ABOGADO</v>
      </c>
      <c r="H414">
        <f>IFERROR(__xludf.DUMMYFUNCTION("""COMPUTED_VALUE"""),6.0)</f>
        <v>6</v>
      </c>
      <c r="I414" s="34" t="str">
        <f>IFERROR(__xludf.DUMMYFUNCTION("""COMPUTED_VALUE"""),"Jornada Completa")</f>
        <v>Jornada Completa</v>
      </c>
      <c r="J414" s="33" t="str">
        <f>IFERROR(__xludf.DUMMYFUNCTION("""COMPUTED_VALUE"""),"A CONTRATA")</f>
        <v>A CONTRATA</v>
      </c>
      <c r="K414" s="33" t="str">
        <f>IFERROR(__xludf.DUMMYFUNCTION("""COMPUTED_VALUE"""),"PROFESIONAL")</f>
        <v>PROFESIONAL</v>
      </c>
      <c r="L414" s="34" t="str">
        <f>IFERROR(__xludf.DUMMYFUNCTION("""COMPUTED_VALUE"""),"INTERNO")</f>
        <v>INTERNO</v>
      </c>
      <c r="M414" s="34">
        <f>IFERROR(__xludf.DUMMYFUNCTION("""COMPUTED_VALUE"""),0.0)</f>
        <v>0</v>
      </c>
      <c r="N414" s="34" t="str">
        <f>IFERROR(__xludf.DUMMYFUNCTION("""COMPUTED_VALUE"""),"EXTERNO")</f>
        <v>EXTERNO</v>
      </c>
      <c r="O414">
        <f>IFERROR(__xludf.DUMMYFUNCTION("""COMPUTED_VALUE"""),40.0)</f>
        <v>40</v>
      </c>
      <c r="P414">
        <f>IFERROR(__xludf.DUMMYFUNCTION("""COMPUTED_VALUE"""),2.0)</f>
        <v>2</v>
      </c>
      <c r="Q414" s="35">
        <f>IFERROR(__xludf.DUMMYFUNCTION("""COMPUTED_VALUE"""),2.0)</f>
        <v>2</v>
      </c>
      <c r="R414" s="36" t="str">
        <f>IFERROR(__xludf.DUMMYFUNCTION("""COMPUTED_VALUE"""),"SELECCIONADO")</f>
        <v>SELECCIONADO</v>
      </c>
      <c r="S414" s="37">
        <f>IFERROR(__xludf.DUMMYFUNCTION("""COMPUTED_VALUE"""),42618.0)</f>
        <v>42618</v>
      </c>
      <c r="T414" s="34"/>
      <c r="U414" t="str">
        <f>IFERROR(__xludf.DUMMYFUNCTION("""COMPUTED_VALUE"""),"ALEX ARAYA LILLO")</f>
        <v>ALEX ARAYA LILLO</v>
      </c>
      <c r="V414" t="str">
        <f>IFERROR(__xludf.DUMMYFUNCTION("""COMPUTED_VALUE"""),"9982687-8")</f>
        <v>9982687-8</v>
      </c>
      <c r="W414" t="str">
        <f>IFERROR(__xludf.DUMMYFUNCTION("""COMPUTED_VALUE"""),"SI")</f>
        <v>SI</v>
      </c>
      <c r="X414" t="str">
        <f>IFERROR(__xludf.DUMMYFUNCTION("""COMPUTED_VALUE"""),"PENSAMIENTO ANALITICO")</f>
        <v>PENSAMIENTO ANALITICO</v>
      </c>
      <c r="Y414" t="str">
        <f>IFERROR(__xludf.DUMMYFUNCTION("""COMPUTED_VALUE"""),"ORIENTACION A LOS RESULTADOS")</f>
        <v>ORIENTACION A LOS RESULTADOS</v>
      </c>
      <c r="AA414" s="38">
        <f>IFERROR(__xludf.DUMMYFUNCTION("""COMPUTED_VALUE"""),42599.0)</f>
        <v>42599</v>
      </c>
      <c r="AB414" s="38">
        <f>IFERROR(__xludf.DUMMYFUNCTION("""COMPUTED_VALUE"""),42601.0)</f>
        <v>42601</v>
      </c>
      <c r="AF414" s="39"/>
      <c r="AG414" s="39"/>
      <c r="AH414" s="34" t="str">
        <f>IFERROR(__xludf.DUMMYFUNCTION("""COMPUTED_VALUE"""),"PROCESO DE SELECCIÓN")</f>
        <v>PROCESO DE SELECCIÓN</v>
      </c>
      <c r="AI414" s="34" t="str">
        <f>IFERROR(__xludf.DUMMYFUNCTION("""COMPUTED_VALUE"""),"AUTORIZADO 2016")</f>
        <v>AUTORIZADO 2016</v>
      </c>
      <c r="AJ414" s="34"/>
      <c r="AK414" s="34" t="str">
        <f>IFERROR(__xludf.DUMMYFUNCTION("""COMPUTED_VALUE"""),"E")</f>
        <v>E</v>
      </c>
      <c r="AL414">
        <f>IFERROR(__xludf.DUMMYFUNCTION("""COMPUTED_VALUE"""),12.0)</f>
        <v>12</v>
      </c>
      <c r="AM414">
        <f>IFERROR(__xludf.DUMMYFUNCTION("""COMPUTED_VALUE"""),2016.0)</f>
        <v>2016</v>
      </c>
      <c r="AN414" t="str">
        <f t="shared" si="1"/>
        <v>09982687-8</v>
      </c>
    </row>
    <row r="415">
      <c r="A415" s="33">
        <f>IFERROR(__xludf.DUMMYFUNCTION("""COMPUTED_VALUE"""),1.3438026E7)</f>
        <v>13438026</v>
      </c>
      <c r="B415" s="33">
        <f>IFERROR(__xludf.DUMMYFUNCTION("""COMPUTED_VALUE"""),73.0)</f>
        <v>73</v>
      </c>
      <c r="C415" s="33"/>
      <c r="D415" s="34" t="str">
        <f>IFERROR(__xludf.DUMMYFUNCTION("""COMPUTED_VALUE"""),"INGRESAR CENTRO DE COSTO A LA DERECHA")</f>
        <v>INGRESAR CENTRO DE COSTO A LA DERECHA</v>
      </c>
      <c r="E415" s="34" t="str">
        <f>IFERROR(__xludf.DUMMYFUNCTION("""COMPUTED_VALUE"""),"UNIDAD DE COORDINACION INSTIT.")</f>
        <v>UNIDAD DE COORDINACION INSTIT.</v>
      </c>
      <c r="F415" s="34" t="str">
        <f>IFERROR(__xludf.DUMMYFUNCTION("""COMPUTED_VALUE"""),"Analista de Gestión II")</f>
        <v>Analista de Gestión II</v>
      </c>
      <c r="G415" s="33" t="str">
        <f>IFERROR(__xludf.DUMMYFUNCTION("""COMPUTED_VALUE"""),"ANALISTA II")</f>
        <v>ANALISTA II</v>
      </c>
      <c r="H415">
        <f>IFERROR(__xludf.DUMMYFUNCTION("""COMPUTED_VALUE"""),13.0)</f>
        <v>13</v>
      </c>
      <c r="I415" s="34" t="str">
        <f>IFERROR(__xludf.DUMMYFUNCTION("""COMPUTED_VALUE"""),"Jornada Completa")</f>
        <v>Jornada Completa</v>
      </c>
      <c r="J415" s="33" t="str">
        <f>IFERROR(__xludf.DUMMYFUNCTION("""COMPUTED_VALUE"""),"A CONTRATA")</f>
        <v>A CONTRATA</v>
      </c>
      <c r="K415" s="33" t="str">
        <f>IFERROR(__xludf.DUMMYFUNCTION("""COMPUTED_VALUE"""),"PROFESIONAL")</f>
        <v>PROFESIONAL</v>
      </c>
      <c r="L415" s="34" t="str">
        <f>IFERROR(__xludf.DUMMYFUNCTION("""COMPUTED_VALUE"""),"INTERNO")</f>
        <v>INTERNO</v>
      </c>
      <c r="M415" s="34">
        <f>IFERROR(__xludf.DUMMYFUNCTION("""COMPUTED_VALUE"""),5.0)</f>
        <v>5</v>
      </c>
      <c r="N415" s="34" t="str">
        <f>IFERROR(__xludf.DUMMYFUNCTION("""COMPUTED_VALUE"""),"NO")</f>
        <v>NO</v>
      </c>
      <c r="O415">
        <f>IFERROR(__xludf.DUMMYFUNCTION("""COMPUTED_VALUE"""),0.0)</f>
        <v>0</v>
      </c>
      <c r="P415">
        <f>IFERROR(__xludf.DUMMYFUNCTION("""COMPUTED_VALUE"""),3.0)</f>
        <v>3</v>
      </c>
      <c r="Q415" s="35">
        <f>IFERROR(__xludf.DUMMYFUNCTION("""COMPUTED_VALUE"""),1.0)</f>
        <v>1</v>
      </c>
      <c r="R415" s="36" t="str">
        <f>IFERROR(__xludf.DUMMYFUNCTION("""COMPUTED_VALUE"""),"SELECCIONADA")</f>
        <v>SELECCIONADA</v>
      </c>
      <c r="S415" s="37">
        <f>IFERROR(__xludf.DUMMYFUNCTION("""COMPUTED_VALUE"""),42614.0)</f>
        <v>42614</v>
      </c>
      <c r="T415" s="34" t="str">
        <f>IFERROR(__xludf.DUMMYFUNCTION("""COMPUTED_VALUE"""),"AGUILERA SILVA JAZMIN ALEJANDRA")</f>
        <v>AGUILERA SILVA JAZMIN ALEJANDRA</v>
      </c>
      <c r="V415" t="str">
        <f>IFERROR(__xludf.DUMMYFUNCTION("""COMPUTED_VALUE"""),"13438026-8")</f>
        <v>13438026-8</v>
      </c>
      <c r="W415" t="str">
        <f>IFERROR(__xludf.DUMMYFUNCTION("""COMPUTED_VALUE"""),"SI")</f>
        <v>SI</v>
      </c>
      <c r="X415" t="str">
        <f>IFERROR(__xludf.DUMMYFUNCTION("""COMPUTED_VALUE"""),"CAPACIDAD DE PLANIFICACION Y ORGANIZACION")</f>
        <v>CAPACIDAD DE PLANIFICACION Y ORGANIZACION</v>
      </c>
      <c r="AA415" s="38">
        <f>IFERROR(__xludf.DUMMYFUNCTION("""COMPUTED_VALUE"""),42545.0)</f>
        <v>42545</v>
      </c>
      <c r="AB415" s="38">
        <f>IFERROR(__xludf.DUMMYFUNCTION("""COMPUTED_VALUE"""),42552.0)</f>
        <v>42552</v>
      </c>
      <c r="AF415" s="39"/>
      <c r="AG415" s="39"/>
      <c r="AH415" s="34" t="str">
        <f>IFERROR(__xludf.DUMMYFUNCTION("""COMPUTED_VALUE"""),"PROCESO DE SELECCIÓN")</f>
        <v>PROCESO DE SELECCIÓN</v>
      </c>
      <c r="AI415" s="34" t="str">
        <f>IFERROR(__xludf.DUMMYFUNCTION("""COMPUTED_VALUE"""),"AUTORIZADO 2016")</f>
        <v>AUTORIZADO 2016</v>
      </c>
      <c r="AJ415" s="34"/>
      <c r="AK415" s="34" t="str">
        <f>IFERROR(__xludf.DUMMYFUNCTION("""COMPUTED_VALUE"""),"P")</f>
        <v>P</v>
      </c>
      <c r="AL415">
        <f>IFERROR(__xludf.DUMMYFUNCTION("""COMPUTED_VALUE"""),45.0)</f>
        <v>45</v>
      </c>
      <c r="AM415">
        <f>IFERROR(__xludf.DUMMYFUNCTION("""COMPUTED_VALUE"""),2016.0)</f>
        <v>2016</v>
      </c>
      <c r="AN415" t="str">
        <f t="shared" si="1"/>
        <v>13438026-8</v>
      </c>
    </row>
    <row r="416">
      <c r="A416" s="33">
        <f>IFERROR(__xludf.DUMMYFUNCTION("""COMPUTED_VALUE"""),9864987.0)</f>
        <v>9864987</v>
      </c>
      <c r="B416" s="33">
        <f>IFERROR(__xludf.DUMMYFUNCTION("""COMPUTED_VALUE"""),74.0)</f>
        <v>74</v>
      </c>
      <c r="C416" s="33"/>
      <c r="D416" s="34" t="str">
        <f>IFERROR(__xludf.DUMMYFUNCTION("""COMPUTED_VALUE"""),"INGRESAR CENTRO DE COSTO A LA DERECHA")</f>
        <v>INGRESAR CENTRO DE COSTO A LA DERECHA</v>
      </c>
      <c r="E416" s="34" t="str">
        <f>IFERROR(__xludf.DUMMYFUNCTION("""COMPUTED_VALUE"""),"UNIDAD DE ATENCION DE SALUD")</f>
        <v>UNIDAD DE ATENCION DE SALUD</v>
      </c>
      <c r="F416" s="34" t="str">
        <f>IFERROR(__xludf.DUMMYFUNCTION("""COMPUTED_VALUE"""),"Chofer")</f>
        <v>Chofer</v>
      </c>
      <c r="G416" s="33" t="str">
        <f>IFERROR(__xludf.DUMMYFUNCTION("""COMPUTED_VALUE"""),"CHOFER")</f>
        <v>CHOFER</v>
      </c>
      <c r="H416">
        <f>IFERROR(__xludf.DUMMYFUNCTION("""COMPUTED_VALUE"""),20.0)</f>
        <v>20</v>
      </c>
      <c r="I416" s="34" t="str">
        <f>IFERROR(__xludf.DUMMYFUNCTION("""COMPUTED_VALUE"""),"Jornada Completa")</f>
        <v>Jornada Completa</v>
      </c>
      <c r="J416" s="33" t="str">
        <f>IFERROR(__xludf.DUMMYFUNCTION("""COMPUTED_VALUE"""),"A CONTRATA")</f>
        <v>A CONTRATA</v>
      </c>
      <c r="K416" s="33" t="str">
        <f>IFERROR(__xludf.DUMMYFUNCTION("""COMPUTED_VALUE"""),"TECNICO")</f>
        <v>TECNICO</v>
      </c>
      <c r="L416" s="34" t="str">
        <f>IFERROR(__xludf.DUMMYFUNCTION("""COMPUTED_VALUE"""),"INTERNO")</f>
        <v>INTERNO</v>
      </c>
      <c r="M416" s="34">
        <f>IFERROR(__xludf.DUMMYFUNCTION("""COMPUTED_VALUE"""),0.0)</f>
        <v>0</v>
      </c>
      <c r="N416" s="34" t="str">
        <f>IFERROR(__xludf.DUMMYFUNCTION("""COMPUTED_VALUE"""),"EXTERNO")</f>
        <v>EXTERNO</v>
      </c>
      <c r="O416">
        <f>IFERROR(__xludf.DUMMYFUNCTION("""COMPUTED_VALUE"""),31.0)</f>
        <v>31</v>
      </c>
      <c r="P416">
        <f>IFERROR(__xludf.DUMMYFUNCTION("""COMPUTED_VALUE"""),3.0)</f>
        <v>3</v>
      </c>
      <c r="Q416" s="35">
        <f>IFERROR(__xludf.DUMMYFUNCTION("""COMPUTED_VALUE"""),6.0)</f>
        <v>6</v>
      </c>
      <c r="R416" s="36" t="str">
        <f>IFERROR(__xludf.DUMMYFUNCTION("""COMPUTED_VALUE"""),"SELECCIONADO")</f>
        <v>SELECCIONADO</v>
      </c>
      <c r="S416" s="37">
        <f>IFERROR(__xludf.DUMMYFUNCTION("""COMPUTED_VALUE"""),42634.0)</f>
        <v>42634</v>
      </c>
      <c r="T416" s="34"/>
      <c r="U416" t="str">
        <f>IFERROR(__xludf.DUMMYFUNCTION("""COMPUTED_VALUE"""),"HECTOR SILVA HERNANDEZ")</f>
        <v>HECTOR SILVA HERNANDEZ</v>
      </c>
      <c r="V416" t="str">
        <f>IFERROR(__xludf.DUMMYFUNCTION("""COMPUTED_VALUE"""),"9864987-5")</f>
        <v>9864987-5</v>
      </c>
      <c r="W416" t="str">
        <f>IFERROR(__xludf.DUMMYFUNCTION("""COMPUTED_VALUE"""),"NO")</f>
        <v>NO</v>
      </c>
      <c r="AA416" s="38">
        <f>IFERROR(__xludf.DUMMYFUNCTION("""COMPUTED_VALUE"""),42607.0)</f>
        <v>42607</v>
      </c>
      <c r="AB416" s="38">
        <f>IFERROR(__xludf.DUMMYFUNCTION("""COMPUTED_VALUE"""),42614.0)</f>
        <v>42614</v>
      </c>
      <c r="AF416" s="39"/>
      <c r="AG416" s="39"/>
      <c r="AH416" s="34" t="str">
        <f>IFERROR(__xludf.DUMMYFUNCTION("""COMPUTED_VALUE"""),"PROCESO DE SELECCIÓN")</f>
        <v>PROCESO DE SELECCIÓN</v>
      </c>
      <c r="AI416" s="34" t="str">
        <f>IFERROR(__xludf.DUMMYFUNCTION("""COMPUTED_VALUE"""),"JUAN INOSTROZA PEREZ")</f>
        <v>JUAN INOSTROZA PEREZ</v>
      </c>
      <c r="AJ416" s="34"/>
      <c r="AK416" s="34" t="str">
        <f>IFERROR(__xludf.DUMMYFUNCTION("""COMPUTED_VALUE"""),"E")</f>
        <v>E</v>
      </c>
      <c r="AL416">
        <f>IFERROR(__xludf.DUMMYFUNCTION("""COMPUTED_VALUE"""),15.0)</f>
        <v>15</v>
      </c>
      <c r="AM416">
        <f>IFERROR(__xludf.DUMMYFUNCTION("""COMPUTED_VALUE"""),2016.0)</f>
        <v>2016</v>
      </c>
      <c r="AN416" t="str">
        <f t="shared" si="1"/>
        <v>09864987-5</v>
      </c>
    </row>
    <row r="417">
      <c r="A417" s="33">
        <f>IFERROR(__xludf.DUMMYFUNCTION("""COMPUTED_VALUE"""),1.4521348E7)</f>
        <v>14521348</v>
      </c>
      <c r="B417" s="33">
        <f>IFERROR(__xludf.DUMMYFUNCTION("""COMPUTED_VALUE"""),75.0)</f>
        <v>75</v>
      </c>
      <c r="C417" s="33"/>
      <c r="D417" s="34" t="str">
        <f>IFERROR(__xludf.DUMMYFUNCTION("""COMPUTED_VALUE"""),"INGRESAR CENTRO DE COSTO A LA DERECHA")</f>
        <v>INGRESAR CENTRO DE COSTO A LA DERECHA</v>
      </c>
      <c r="E417" s="34" t="str">
        <f>IFERROR(__xludf.DUMMYFUNCTION("""COMPUTED_VALUE"""),"UNIDAD DE GESTION DEL CAMPUS")</f>
        <v>UNIDAD DE GESTION DEL CAMPUS</v>
      </c>
      <c r="F417" s="34" t="str">
        <f>IFERROR(__xludf.DUMMYFUNCTION("""COMPUTED_VALUE"""),"Chofer")</f>
        <v>Chofer</v>
      </c>
      <c r="G417" s="33" t="str">
        <f>IFERROR(__xludf.DUMMYFUNCTION("""COMPUTED_VALUE"""),"CHOFER")</f>
        <v>CHOFER</v>
      </c>
      <c r="H417">
        <f>IFERROR(__xludf.DUMMYFUNCTION("""COMPUTED_VALUE"""),20.0)</f>
        <v>20</v>
      </c>
      <c r="I417" s="34" t="str">
        <f>IFERROR(__xludf.DUMMYFUNCTION("""COMPUTED_VALUE"""),"Jornada Completa")</f>
        <v>Jornada Completa</v>
      </c>
      <c r="J417" s="33" t="str">
        <f>IFERROR(__xludf.DUMMYFUNCTION("""COMPUTED_VALUE"""),"A CONTRATA")</f>
        <v>A CONTRATA</v>
      </c>
      <c r="K417" s="33" t="str">
        <f>IFERROR(__xludf.DUMMYFUNCTION("""COMPUTED_VALUE"""),"TECNICO")</f>
        <v>TECNICO</v>
      </c>
      <c r="L417" s="34" t="str">
        <f>IFERROR(__xludf.DUMMYFUNCTION("""COMPUTED_VALUE"""),"INTERNO")</f>
        <v>INTERNO</v>
      </c>
      <c r="M417" s="34">
        <f>IFERROR(__xludf.DUMMYFUNCTION("""COMPUTED_VALUE"""),1.0)</f>
        <v>1</v>
      </c>
      <c r="N417" s="34" t="str">
        <f>IFERROR(__xludf.DUMMYFUNCTION("""COMPUTED_VALUE"""),"NO")</f>
        <v>NO</v>
      </c>
      <c r="O417">
        <f>IFERROR(__xludf.DUMMYFUNCTION("""COMPUTED_VALUE"""),0.0)</f>
        <v>0</v>
      </c>
      <c r="P417">
        <f>IFERROR(__xludf.DUMMYFUNCTION("""COMPUTED_VALUE"""),1.0)</f>
        <v>1</v>
      </c>
      <c r="Q417" s="35">
        <f>IFERROR(__xludf.DUMMYFUNCTION("""COMPUTED_VALUE"""),0.0)</f>
        <v>0</v>
      </c>
      <c r="R417" s="36" t="str">
        <f>IFERROR(__xludf.DUMMYFUNCTION("""COMPUTED_VALUE"""),"SELECCIONADO")</f>
        <v>SELECCIONADO</v>
      </c>
      <c r="S417" s="37">
        <f>IFERROR(__xludf.DUMMYFUNCTION("""COMPUTED_VALUE"""),42633.0)</f>
        <v>42633</v>
      </c>
      <c r="T417" s="34" t="str">
        <f>IFERROR(__xludf.DUMMYFUNCTION("""COMPUTED_VALUE"""),"AYALA CABRERA JUAN CARLOS")</f>
        <v>AYALA CABRERA JUAN CARLOS</v>
      </c>
      <c r="V417" t="str">
        <f>IFERROR(__xludf.DUMMYFUNCTION("""COMPUTED_VALUE"""),"14521348-7")</f>
        <v>14521348-7</v>
      </c>
      <c r="W417" t="str">
        <f>IFERROR(__xludf.DUMMYFUNCTION("""COMPUTED_VALUE"""),"NO")</f>
        <v>NO</v>
      </c>
      <c r="AA417" s="38">
        <f>IFERROR(__xludf.DUMMYFUNCTION("""COMPUTED_VALUE"""),42558.0)</f>
        <v>42558</v>
      </c>
      <c r="AB417" s="38">
        <f>IFERROR(__xludf.DUMMYFUNCTION("""COMPUTED_VALUE"""),42565.0)</f>
        <v>42565</v>
      </c>
      <c r="AF417" s="39"/>
      <c r="AG417" s="39"/>
      <c r="AH417" s="34" t="str">
        <f>IFERROR(__xludf.DUMMYFUNCTION("""COMPUTED_VALUE"""),"PROCESO DE SELECCIÓN")</f>
        <v>PROCESO DE SELECCIÓN</v>
      </c>
      <c r="AI417" s="34" t="str">
        <f>IFERROR(__xludf.DUMMYFUNCTION("""COMPUTED_VALUE"""),"AUTORIZADO 2016")</f>
        <v>AUTORIZADO 2016</v>
      </c>
      <c r="AJ417" s="34"/>
      <c r="AK417" s="34" t="str">
        <f>IFERROR(__xludf.DUMMYFUNCTION("""COMPUTED_VALUE"""),"C")</f>
        <v>C</v>
      </c>
      <c r="AL417">
        <f>IFERROR(__xludf.DUMMYFUNCTION("""COMPUTED_VALUE"""),49.0)</f>
        <v>49</v>
      </c>
      <c r="AM417">
        <f>IFERROR(__xludf.DUMMYFUNCTION("""COMPUTED_VALUE"""),2016.0)</f>
        <v>2016</v>
      </c>
      <c r="AN417" t="str">
        <f t="shared" si="1"/>
        <v>14521348-7</v>
      </c>
    </row>
    <row r="418">
      <c r="A418" s="33">
        <f>IFERROR(__xludf.DUMMYFUNCTION("""COMPUTED_VALUE"""),7980395.0)</f>
        <v>7980395</v>
      </c>
      <c r="B418" s="33">
        <f>IFERROR(__xludf.DUMMYFUNCTION("""COMPUTED_VALUE"""),76.0)</f>
        <v>76</v>
      </c>
      <c r="C418" s="33"/>
      <c r="D418" s="34" t="str">
        <f>IFERROR(__xludf.DUMMYFUNCTION("""COMPUTED_VALUE"""),"INGRESAR CENTRO DE COSTO A LA DERECHA")</f>
        <v>INGRESAR CENTRO DE COSTO A LA DERECHA</v>
      </c>
      <c r="E418" s="34" t="str">
        <f>IFERROR(__xludf.DUMMYFUNCTION("""COMPUTED_VALUE"""),"PRORRECTORIA")</f>
        <v>PRORRECTORIA</v>
      </c>
      <c r="F418" s="34" t="str">
        <f>IFERROR(__xludf.DUMMYFUNCTION("""COMPUTED_VALUE"""),"Secretario(a) A")</f>
        <v>Secretario(a) A</v>
      </c>
      <c r="G418" s="33" t="str">
        <f>IFERROR(__xludf.DUMMYFUNCTION("""COMPUTED_VALUE"""),"SECRETARIA(O) A")</f>
        <v>SECRETARIA(O) A</v>
      </c>
      <c r="H418">
        <f>IFERROR(__xludf.DUMMYFUNCTION("""COMPUTED_VALUE"""),11.0)</f>
        <v>11</v>
      </c>
      <c r="I418" s="34" t="str">
        <f>IFERROR(__xludf.DUMMYFUNCTION("""COMPUTED_VALUE"""),"Jornada Completa")</f>
        <v>Jornada Completa</v>
      </c>
      <c r="J418" s="33" t="str">
        <f>IFERROR(__xludf.DUMMYFUNCTION("""COMPUTED_VALUE"""),"A CONTRATA")</f>
        <v>A CONTRATA</v>
      </c>
      <c r="K418" s="33" t="str">
        <f>IFERROR(__xludf.DUMMYFUNCTION("""COMPUTED_VALUE"""),"ADMINISTRATIVO")</f>
        <v>ADMINISTRATIVO</v>
      </c>
      <c r="L418" s="34" t="str">
        <f>IFERROR(__xludf.DUMMYFUNCTION("""COMPUTED_VALUE"""),"INTERNO")</f>
        <v>INTERNO</v>
      </c>
      <c r="M418" s="34">
        <f>IFERROR(__xludf.DUMMYFUNCTION("""COMPUTED_VALUE"""),12.0)</f>
        <v>12</v>
      </c>
      <c r="N418" s="34" t="str">
        <f>IFERROR(__xludf.DUMMYFUNCTION("""COMPUTED_VALUE"""),"NO")</f>
        <v>NO</v>
      </c>
      <c r="O418">
        <f>IFERROR(__xludf.DUMMYFUNCTION("""COMPUTED_VALUE"""),0.0)</f>
        <v>0</v>
      </c>
      <c r="P418">
        <f>IFERROR(__xludf.DUMMYFUNCTION("""COMPUTED_VALUE"""),5.0)</f>
        <v>5</v>
      </c>
      <c r="Q418" s="35">
        <f>IFERROR(__xludf.DUMMYFUNCTION("""COMPUTED_VALUE"""),0.0)</f>
        <v>0</v>
      </c>
      <c r="R418" s="36" t="str">
        <f>IFERROR(__xludf.DUMMYFUNCTION("""COMPUTED_VALUE"""),"SELECCIONADA")</f>
        <v>SELECCIONADA</v>
      </c>
      <c r="S418" s="37">
        <f>IFERROR(__xludf.DUMMYFUNCTION("""COMPUTED_VALUE"""),42633.0)</f>
        <v>42633</v>
      </c>
      <c r="T418" s="34" t="str">
        <f>IFERROR(__xludf.DUMMYFUNCTION("""COMPUTED_VALUE"""),"UMANA HERRERA ENRIQUETA DEL CARMEN")</f>
        <v>UMANA HERRERA ENRIQUETA DEL CARMEN</v>
      </c>
      <c r="V418" t="str">
        <f>IFERROR(__xludf.DUMMYFUNCTION("""COMPUTED_VALUE"""),"7980395-2")</f>
        <v>7980395-2</v>
      </c>
      <c r="W418" t="str">
        <f>IFERROR(__xludf.DUMMYFUNCTION("""COMPUTED_VALUE"""),"SI")</f>
        <v>SI</v>
      </c>
      <c r="X418" t="str">
        <f>IFERROR(__xludf.DUMMYFUNCTION("""COMPUTED_VALUE"""),"Franqueza- Confiabilidad- Integridad")</f>
        <v>Franqueza- Confiabilidad- Integridad</v>
      </c>
      <c r="AA418" s="38">
        <f>IFERROR(__xludf.DUMMYFUNCTION("""COMPUTED_VALUE"""),42593.0)</f>
        <v>42593</v>
      </c>
      <c r="AB418" s="38">
        <f>IFERROR(__xludf.DUMMYFUNCTION("""COMPUTED_VALUE"""),42600.0)</f>
        <v>42600</v>
      </c>
      <c r="AF418" s="39"/>
      <c r="AG418" s="39"/>
      <c r="AH418" s="34" t="str">
        <f>IFERROR(__xludf.DUMMYFUNCTION("""COMPUTED_VALUE"""),"PROCESO DE SELECCIÓN")</f>
        <v>PROCESO DE SELECCIÓN</v>
      </c>
      <c r="AI418" s="34" t="str">
        <f>IFERROR(__xludf.DUMMYFUNCTION("""COMPUTED_VALUE"""),"MAGALY SILVA BUCAREY")</f>
        <v>MAGALY SILVA BUCAREY</v>
      </c>
      <c r="AJ418" s="34"/>
      <c r="AK418" s="34" t="str">
        <f>IFERROR(__xludf.DUMMYFUNCTION("""COMPUTED_VALUE"""),"C")</f>
        <v>C</v>
      </c>
      <c r="AL418">
        <f>IFERROR(__xludf.DUMMYFUNCTION("""COMPUTED_VALUE"""),24.0)</f>
        <v>24</v>
      </c>
      <c r="AM418">
        <f>IFERROR(__xludf.DUMMYFUNCTION("""COMPUTED_VALUE"""),2016.0)</f>
        <v>2016</v>
      </c>
      <c r="AN418" t="str">
        <f t="shared" si="1"/>
        <v>07980395-2</v>
      </c>
    </row>
    <row r="419">
      <c r="A419" s="33">
        <f>IFERROR(__xludf.DUMMYFUNCTION("""COMPUTED_VALUE"""),1.560123E7)</f>
        <v>15601230</v>
      </c>
      <c r="B419" s="33">
        <f>IFERROR(__xludf.DUMMYFUNCTION("""COMPUTED_VALUE"""),77.0)</f>
        <v>77</v>
      </c>
      <c r="C419" s="33"/>
      <c r="D419" s="34" t="str">
        <f>IFERROR(__xludf.DUMMYFUNCTION("""COMPUTED_VALUE"""),"INGRESAR CENTRO DE COSTO A LA DERECHA")</f>
        <v>INGRESAR CENTRO DE COSTO A LA DERECHA</v>
      </c>
      <c r="E419" s="34" t="str">
        <f>IFERROR(__xludf.DUMMYFUNCTION("""COMPUTED_VALUE"""),"DPTO. DE FINANZAS Y TESORERIA")</f>
        <v>DPTO. DE FINANZAS Y TESORERIA</v>
      </c>
      <c r="F419" s="34" t="str">
        <f>IFERROR(__xludf.DUMMYFUNCTION("""COMPUTED_VALUE"""),"Analista Contable II")</f>
        <v>Analista Contable II</v>
      </c>
      <c r="G419" s="33" t="str">
        <f>IFERROR(__xludf.DUMMYFUNCTION("""COMPUTED_VALUE"""),"ANALISTA DE EGRESOS")</f>
        <v>ANALISTA DE EGRESOS</v>
      </c>
      <c r="H419">
        <f>IFERROR(__xludf.DUMMYFUNCTION("""COMPUTED_VALUE"""),13.0)</f>
        <v>13</v>
      </c>
      <c r="I419" s="34" t="str">
        <f>IFERROR(__xludf.DUMMYFUNCTION("""COMPUTED_VALUE"""),"Jornada Completa")</f>
        <v>Jornada Completa</v>
      </c>
      <c r="J419" s="33" t="str">
        <f>IFERROR(__xludf.DUMMYFUNCTION("""COMPUTED_VALUE"""),"A CONTRATA")</f>
        <v>A CONTRATA</v>
      </c>
      <c r="K419" s="33" t="str">
        <f>IFERROR(__xludf.DUMMYFUNCTION("""COMPUTED_VALUE"""),"PROFESIONAL")</f>
        <v>PROFESIONAL</v>
      </c>
      <c r="L419" s="34" t="str">
        <f>IFERROR(__xludf.DUMMYFUNCTION("""COMPUTED_VALUE"""),"INTERNO")</f>
        <v>INTERNO</v>
      </c>
      <c r="M419" s="34">
        <f>IFERROR(__xludf.DUMMYFUNCTION("""COMPUTED_VALUE"""),0.0)</f>
        <v>0</v>
      </c>
      <c r="N419" s="34" t="str">
        <f>IFERROR(__xludf.DUMMYFUNCTION("""COMPUTED_VALUE"""),"EXTERNO")</f>
        <v>EXTERNO</v>
      </c>
      <c r="O419">
        <f>IFERROR(__xludf.DUMMYFUNCTION("""COMPUTED_VALUE"""),22.0)</f>
        <v>22</v>
      </c>
      <c r="P419">
        <f>IFERROR(__xludf.DUMMYFUNCTION("""COMPUTED_VALUE"""),2.0)</f>
        <v>2</v>
      </c>
      <c r="Q419" s="35">
        <f>IFERROR(__xludf.DUMMYFUNCTION("""COMPUTED_VALUE"""),3.0)</f>
        <v>3</v>
      </c>
      <c r="R419" s="36" t="str">
        <f>IFERROR(__xludf.DUMMYFUNCTION("""COMPUTED_VALUE"""),"SELECCIONADO")</f>
        <v>SELECCIONADO</v>
      </c>
      <c r="S419" s="37">
        <f>IFERROR(__xludf.DUMMYFUNCTION("""COMPUTED_VALUE"""),42646.0)</f>
        <v>42646</v>
      </c>
      <c r="T419" s="34"/>
      <c r="U419" t="str">
        <f>IFERROR(__xludf.DUMMYFUNCTION("""COMPUTED_VALUE"""),"GABRIEL HENRIQUEZ GORDONIZ")</f>
        <v>GABRIEL HENRIQUEZ GORDONIZ</v>
      </c>
      <c r="V419" t="str">
        <f>IFERROR(__xludf.DUMMYFUNCTION("""COMPUTED_VALUE"""),"15601230-0")</f>
        <v>15601230-0</v>
      </c>
      <c r="W419" t="str">
        <f>IFERROR(__xludf.DUMMYFUNCTION("""COMPUTED_VALUE"""),"NO")</f>
        <v>NO</v>
      </c>
      <c r="AA419" s="38">
        <f>IFERROR(__xludf.DUMMYFUNCTION("""COMPUTED_VALUE"""),42618.0)</f>
        <v>42618</v>
      </c>
      <c r="AB419" s="38">
        <f>IFERROR(__xludf.DUMMYFUNCTION("""COMPUTED_VALUE"""),42621.0)</f>
        <v>42621</v>
      </c>
      <c r="AF419" s="39"/>
      <c r="AG419" s="39"/>
      <c r="AH419" s="34" t="str">
        <f>IFERROR(__xludf.DUMMYFUNCTION("""COMPUTED_VALUE"""),"PROCESO DE SELECCIÓN")</f>
        <v>PROCESO DE SELECCIÓN</v>
      </c>
      <c r="AI419" s="34" t="str">
        <f>IFERROR(__xludf.DUMMYFUNCTION("""COMPUTED_VALUE"""),"AUTORIZADO 2015")</f>
        <v>AUTORIZADO 2015</v>
      </c>
      <c r="AJ419" s="34"/>
      <c r="AK419" s="34" t="str">
        <f>IFERROR(__xludf.DUMMYFUNCTION("""COMPUTED_VALUE"""),"E")</f>
        <v>E</v>
      </c>
      <c r="AL419">
        <f>IFERROR(__xludf.DUMMYFUNCTION("""COMPUTED_VALUE"""),18.0)</f>
        <v>18</v>
      </c>
      <c r="AM419">
        <f>IFERROR(__xludf.DUMMYFUNCTION("""COMPUTED_VALUE"""),2016.0)</f>
        <v>2016</v>
      </c>
      <c r="AN419" t="str">
        <f t="shared" si="1"/>
        <v>15601230-0</v>
      </c>
    </row>
    <row r="420">
      <c r="A420" s="33">
        <f>IFERROR(__xludf.DUMMYFUNCTION("""COMPUTED_VALUE"""),1.5617477E7)</f>
        <v>15617477</v>
      </c>
      <c r="B420" s="33">
        <f>IFERROR(__xludf.DUMMYFUNCTION("""COMPUTED_VALUE"""),78.0)</f>
        <v>78</v>
      </c>
      <c r="C420" s="33"/>
      <c r="D420" s="34" t="str">
        <f>IFERROR(__xludf.DUMMYFUNCTION("""COMPUTED_VALUE"""),"INGRESAR CENTRO DE COSTO A LA DERECHA")</f>
        <v>INGRESAR CENTRO DE COSTO A LA DERECHA</v>
      </c>
      <c r="E420" s="34" t="str">
        <f>IFERROR(__xludf.DUMMYFUNCTION("""COMPUTED_VALUE"""),"UNIDAD DE RADIO")</f>
        <v>UNIDAD DE RADIO</v>
      </c>
      <c r="F420" s="34" t="str">
        <f>IFERROR(__xludf.DUMMYFUNCTION("""COMPUTED_VALUE"""),"Periodista")</f>
        <v>Periodista</v>
      </c>
      <c r="G420" s="33" t="str">
        <f>IFERROR(__xludf.DUMMYFUNCTION("""COMPUTED_VALUE"""),"PERIODISTA")</f>
        <v>PERIODISTA</v>
      </c>
      <c r="H420">
        <f>IFERROR(__xludf.DUMMYFUNCTION("""COMPUTED_VALUE"""),13.0)</f>
        <v>13</v>
      </c>
      <c r="I420" s="34" t="str">
        <f>IFERROR(__xludf.DUMMYFUNCTION("""COMPUTED_VALUE"""),"Jornada Completa")</f>
        <v>Jornada Completa</v>
      </c>
      <c r="J420" s="33" t="str">
        <f>IFERROR(__xludf.DUMMYFUNCTION("""COMPUTED_VALUE"""),"A CONTRATA")</f>
        <v>A CONTRATA</v>
      </c>
      <c r="K420" s="33" t="str">
        <f>IFERROR(__xludf.DUMMYFUNCTION("""COMPUTED_VALUE"""),"PROFESIONAL")</f>
        <v>PROFESIONAL</v>
      </c>
      <c r="L420" s="34" t="str">
        <f>IFERROR(__xludf.DUMMYFUNCTION("""COMPUTED_VALUE"""),"INTERNO")</f>
        <v>INTERNO</v>
      </c>
      <c r="M420" s="34">
        <f>IFERROR(__xludf.DUMMYFUNCTION("""COMPUTED_VALUE"""),0.0)</f>
        <v>0</v>
      </c>
      <c r="N420" s="34" t="str">
        <f>IFERROR(__xludf.DUMMYFUNCTION("""COMPUTED_VALUE"""),"EXTERNO")</f>
        <v>EXTERNO</v>
      </c>
      <c r="O420">
        <f>IFERROR(__xludf.DUMMYFUNCTION("""COMPUTED_VALUE"""),10.0)</f>
        <v>10</v>
      </c>
      <c r="P420">
        <f>IFERROR(__xludf.DUMMYFUNCTION("""COMPUTED_VALUE"""),3.0)</f>
        <v>3</v>
      </c>
      <c r="Q420" s="35">
        <f>IFERROR(__xludf.DUMMYFUNCTION("""COMPUTED_VALUE"""),1.0)</f>
        <v>1</v>
      </c>
      <c r="R420" s="36" t="str">
        <f>IFERROR(__xludf.DUMMYFUNCTION("""COMPUTED_VALUE"""),"SELECCIONADA")</f>
        <v>SELECCIONADA</v>
      </c>
      <c r="S420" s="37">
        <f>IFERROR(__xludf.DUMMYFUNCTION("""COMPUTED_VALUE"""),42604.0)</f>
        <v>42604</v>
      </c>
      <c r="T420" s="34"/>
      <c r="U420" t="str">
        <f>IFERROR(__xludf.DUMMYFUNCTION("""COMPUTED_VALUE"""),"ANTONELLA GALARCE DENNINGER")</f>
        <v>ANTONELLA GALARCE DENNINGER</v>
      </c>
      <c r="V420" t="str">
        <f>IFERROR(__xludf.DUMMYFUNCTION("""COMPUTED_VALUE"""),"15617477-7")</f>
        <v>15617477-7</v>
      </c>
      <c r="W420" t="str">
        <f>IFERROR(__xludf.DUMMYFUNCTION("""COMPUTED_VALUE"""),"SI")</f>
        <v>SI</v>
      </c>
      <c r="X420" t="str">
        <f>IFERROR(__xludf.DUMMYFUNCTION("""COMPUTED_VALUE"""),"CAPACIDAD DE PLANIFICACION Y ORGANIZACION")</f>
        <v>CAPACIDAD DE PLANIFICACION Y ORGANIZACION</v>
      </c>
      <c r="AA420" s="38">
        <f>IFERROR(__xludf.DUMMYFUNCTION("""COMPUTED_VALUE"""),42537.0)</f>
        <v>42537</v>
      </c>
      <c r="AB420" s="38">
        <f>IFERROR(__xludf.DUMMYFUNCTION("""COMPUTED_VALUE"""),42544.0)</f>
        <v>42544</v>
      </c>
      <c r="AF420" s="39"/>
      <c r="AG420" s="39"/>
      <c r="AH420" s="34" t="str">
        <f>IFERROR(__xludf.DUMMYFUNCTION("""COMPUTED_VALUE"""),"PROCESO DE SELECCIÓN")</f>
        <v>PROCESO DE SELECCIÓN</v>
      </c>
      <c r="AI420" s="34" t="str">
        <f>IFERROR(__xludf.DUMMYFUNCTION("""COMPUTED_VALUE"""),"AUTORIZADO 2016")</f>
        <v>AUTORIZADO 2016</v>
      </c>
      <c r="AJ420" s="34"/>
      <c r="AK420" s="34" t="str">
        <f>IFERROR(__xludf.DUMMYFUNCTION("""COMPUTED_VALUE"""),"E")</f>
        <v>E</v>
      </c>
      <c r="AL420">
        <f>IFERROR(__xludf.DUMMYFUNCTION("""COMPUTED_VALUE"""),43.0)</f>
        <v>43</v>
      </c>
      <c r="AM420">
        <f>IFERROR(__xludf.DUMMYFUNCTION("""COMPUTED_VALUE"""),2016.0)</f>
        <v>2016</v>
      </c>
      <c r="AN420" t="str">
        <f t="shared" si="1"/>
        <v>15617477-7</v>
      </c>
    </row>
    <row r="421">
      <c r="A421" s="33">
        <f>IFERROR(__xludf.DUMMYFUNCTION("""COMPUTED_VALUE"""),1.7817645E7)</f>
        <v>17817645</v>
      </c>
      <c r="B421" s="33">
        <f>IFERROR(__xludf.DUMMYFUNCTION("""COMPUTED_VALUE"""),79.0)</f>
        <v>79</v>
      </c>
      <c r="C421" s="33"/>
      <c r="D421" s="34" t="str">
        <f>IFERROR(__xludf.DUMMYFUNCTION("""COMPUTED_VALUE"""),"INGRESAR CENTRO DE COSTO A LA DERECHA")</f>
        <v>INGRESAR CENTRO DE COSTO A LA DERECHA</v>
      </c>
      <c r="E421" s="34" t="str">
        <f>IFERROR(__xludf.DUMMYFUNCTION("""COMPUTED_VALUE"""),"DPTO. DE COMUNICACIONES")</f>
        <v>DPTO. DE COMUNICACIONES</v>
      </c>
      <c r="F421" s="34" t="str">
        <f>IFERROR(__xludf.DUMMYFUNCTION("""COMPUTED_VALUE"""),"Periodista")</f>
        <v>Periodista</v>
      </c>
      <c r="G421" s="33" t="str">
        <f>IFERROR(__xludf.DUMMYFUNCTION("""COMPUTED_VALUE"""),"PERIODISTA")</f>
        <v>PERIODISTA</v>
      </c>
      <c r="H421">
        <f>IFERROR(__xludf.DUMMYFUNCTION("""COMPUTED_VALUE"""),13.0)</f>
        <v>13</v>
      </c>
      <c r="I421" s="34" t="str">
        <f>IFERROR(__xludf.DUMMYFUNCTION("""COMPUTED_VALUE"""),"Jornada Completa")</f>
        <v>Jornada Completa</v>
      </c>
      <c r="J421" s="33" t="str">
        <f>IFERROR(__xludf.DUMMYFUNCTION("""COMPUTED_VALUE"""),"A CONTRATA")</f>
        <v>A CONTRATA</v>
      </c>
      <c r="K421" s="33" t="str">
        <f>IFERROR(__xludf.DUMMYFUNCTION("""COMPUTED_VALUE"""),"PROFESIONAL")</f>
        <v>PROFESIONAL</v>
      </c>
      <c r="L421" s="34" t="str">
        <f>IFERROR(__xludf.DUMMYFUNCTION("""COMPUTED_VALUE"""),"INTERNO")</f>
        <v>INTERNO</v>
      </c>
      <c r="M421" s="34">
        <f>IFERROR(__xludf.DUMMYFUNCTION("""COMPUTED_VALUE"""),0.0)</f>
        <v>0</v>
      </c>
      <c r="N421" s="34" t="str">
        <f>IFERROR(__xludf.DUMMYFUNCTION("""COMPUTED_VALUE"""),"EXTERNO")</f>
        <v>EXTERNO</v>
      </c>
      <c r="O421">
        <f>IFERROR(__xludf.DUMMYFUNCTION("""COMPUTED_VALUE"""),25.0)</f>
        <v>25</v>
      </c>
      <c r="P421">
        <f>IFERROR(__xludf.DUMMYFUNCTION("""COMPUTED_VALUE"""),3.0)</f>
        <v>3</v>
      </c>
      <c r="Q421" s="35">
        <f>IFERROR(__xludf.DUMMYFUNCTION("""COMPUTED_VALUE"""),2.0)</f>
        <v>2</v>
      </c>
      <c r="R421" s="36" t="str">
        <f>IFERROR(__xludf.DUMMYFUNCTION("""COMPUTED_VALUE"""),"SELECCIONADA")</f>
        <v>SELECCIONADA</v>
      </c>
      <c r="S421" s="37">
        <f>IFERROR(__xludf.DUMMYFUNCTION("""COMPUTED_VALUE"""),42614.0)</f>
        <v>42614</v>
      </c>
      <c r="T421" s="34"/>
      <c r="U421" t="str">
        <f>IFERROR(__xludf.DUMMYFUNCTION("""COMPUTED_VALUE"""),"GLORIA FUENTES MANSILLA")</f>
        <v>GLORIA FUENTES MANSILLA</v>
      </c>
      <c r="V421" t="str">
        <f>IFERROR(__xludf.DUMMYFUNCTION("""COMPUTED_VALUE"""),"17817645-5")</f>
        <v>17817645-5</v>
      </c>
      <c r="W421" t="str">
        <f>IFERROR(__xludf.DUMMYFUNCTION("""COMPUTED_VALUE"""),"NO")</f>
        <v>NO</v>
      </c>
      <c r="AA421" s="38">
        <f>IFERROR(__xludf.DUMMYFUNCTION("""COMPUTED_VALUE"""),42551.0)</f>
        <v>42551</v>
      </c>
      <c r="AB421" s="38">
        <f>IFERROR(__xludf.DUMMYFUNCTION("""COMPUTED_VALUE"""),42558.0)</f>
        <v>42558</v>
      </c>
      <c r="AF421" s="39"/>
      <c r="AG421" s="39"/>
      <c r="AH421" s="34" t="str">
        <f>IFERROR(__xludf.DUMMYFUNCTION("""COMPUTED_VALUE"""),"PROCESO DE SELECCIÓN")</f>
        <v>PROCESO DE SELECCIÓN</v>
      </c>
      <c r="AI421" s="34" t="str">
        <f>IFERROR(__xludf.DUMMYFUNCTION("""COMPUTED_VALUE"""),"AUTORIZADO 2016")</f>
        <v>AUTORIZADO 2016</v>
      </c>
      <c r="AJ421" s="34"/>
      <c r="AK421" s="34" t="str">
        <f>IFERROR(__xludf.DUMMYFUNCTION("""COMPUTED_VALUE"""),"E")</f>
        <v>E</v>
      </c>
      <c r="AL421">
        <f>IFERROR(__xludf.DUMMYFUNCTION("""COMPUTED_VALUE"""),41.0)</f>
        <v>41</v>
      </c>
      <c r="AM421">
        <f>IFERROR(__xludf.DUMMYFUNCTION("""COMPUTED_VALUE"""),2016.0)</f>
        <v>2016</v>
      </c>
      <c r="AN421" t="str">
        <f t="shared" si="1"/>
        <v>17817645-5</v>
      </c>
    </row>
    <row r="422">
      <c r="A422" s="33">
        <f>IFERROR(__xludf.DUMMYFUNCTION("""COMPUTED_VALUE"""),1.5067539E7)</f>
        <v>15067539</v>
      </c>
      <c r="B422" s="33">
        <f>IFERROR(__xludf.DUMMYFUNCTION("""COMPUTED_VALUE"""),80.0)</f>
        <v>80</v>
      </c>
      <c r="C422" s="33"/>
      <c r="D422" s="34" t="str">
        <f>IFERROR(__xludf.DUMMYFUNCTION("""COMPUTED_VALUE"""),"INGRESAR CENTRO DE COSTO A LA DERECHA")</f>
        <v>INGRESAR CENTRO DE COSTO A LA DERECHA</v>
      </c>
      <c r="E422" s="34" t="str">
        <f>IFERROR(__xludf.DUMMYFUNCTION("""COMPUTED_VALUE"""),"DPTO. DE COMUNICACIONES")</f>
        <v>DPTO. DE COMUNICACIONES</v>
      </c>
      <c r="F422" s="34" t="str">
        <f>IFERROR(__xludf.DUMMYFUNCTION("""COMPUTED_VALUE"""),"Periodista")</f>
        <v>Periodista</v>
      </c>
      <c r="G422" s="33" t="str">
        <f>IFERROR(__xludf.DUMMYFUNCTION("""COMPUTED_VALUE"""),"COMUNICADOR AUDIOVISUAL")</f>
        <v>COMUNICADOR AUDIOVISUAL</v>
      </c>
      <c r="H422">
        <f>IFERROR(__xludf.DUMMYFUNCTION("""COMPUTED_VALUE"""),13.0)</f>
        <v>13</v>
      </c>
      <c r="I422" s="34" t="str">
        <f>IFERROR(__xludf.DUMMYFUNCTION("""COMPUTED_VALUE"""),"Jornada Completa")</f>
        <v>Jornada Completa</v>
      </c>
      <c r="J422" s="33" t="str">
        <f>IFERROR(__xludf.DUMMYFUNCTION("""COMPUTED_VALUE"""),"A CONTRATA")</f>
        <v>A CONTRATA</v>
      </c>
      <c r="K422" s="33" t="str">
        <f>IFERROR(__xludf.DUMMYFUNCTION("""COMPUTED_VALUE"""),"PROFESIONAL")</f>
        <v>PROFESIONAL</v>
      </c>
      <c r="L422" s="34" t="str">
        <f>IFERROR(__xludf.DUMMYFUNCTION("""COMPUTED_VALUE"""),"INTERNO")</f>
        <v>INTERNO</v>
      </c>
      <c r="M422" s="34">
        <f>IFERROR(__xludf.DUMMYFUNCTION("""COMPUTED_VALUE"""),1.0)</f>
        <v>1</v>
      </c>
      <c r="N422" s="34" t="str">
        <f>IFERROR(__xludf.DUMMYFUNCTION("""COMPUTED_VALUE"""),"EXTERNO")</f>
        <v>EXTERNO</v>
      </c>
      <c r="O422">
        <f>IFERROR(__xludf.DUMMYFUNCTION("""COMPUTED_VALUE"""),22.0)</f>
        <v>22</v>
      </c>
      <c r="P422">
        <f>IFERROR(__xludf.DUMMYFUNCTION("""COMPUTED_VALUE"""),2.0)</f>
        <v>2</v>
      </c>
      <c r="Q422" s="35">
        <f>IFERROR(__xludf.DUMMYFUNCTION("""COMPUTED_VALUE"""),1.0)</f>
        <v>1</v>
      </c>
      <c r="R422" s="36" t="str">
        <f>IFERROR(__xludf.DUMMYFUNCTION("""COMPUTED_VALUE"""),"SELECCIONADO")</f>
        <v>SELECCIONADO</v>
      </c>
      <c r="S422" s="37">
        <f>IFERROR(__xludf.DUMMYFUNCTION("""COMPUTED_VALUE"""),42646.0)</f>
        <v>42646</v>
      </c>
      <c r="T422" s="34"/>
      <c r="U422" t="str">
        <f>IFERROR(__xludf.DUMMYFUNCTION("""COMPUTED_VALUE"""),"RICARDO RIQUELME SEPULVEDA")</f>
        <v>RICARDO RIQUELME SEPULVEDA</v>
      </c>
      <c r="V422" t="str">
        <f>IFERROR(__xludf.DUMMYFUNCTION("""COMPUTED_VALUE"""),"15067539-1")</f>
        <v>15067539-1</v>
      </c>
      <c r="W422" t="str">
        <f>IFERROR(__xludf.DUMMYFUNCTION("""COMPUTED_VALUE"""),"SI")</f>
        <v>SI</v>
      </c>
      <c r="X422" t="str">
        <f>IFERROR(__xludf.DUMMYFUNCTION("""COMPUTED_VALUE"""),"CAPACIDAD DE PLANIFICACION Y ORGANIZACION")</f>
        <v>CAPACIDAD DE PLANIFICACION Y ORGANIZACION</v>
      </c>
      <c r="AA422" s="38">
        <f>IFERROR(__xludf.DUMMYFUNCTION("""COMPUTED_VALUE"""),42614.0)</f>
        <v>42614</v>
      </c>
      <c r="AB422" s="38">
        <f>IFERROR(__xludf.DUMMYFUNCTION("""COMPUTED_VALUE"""),42621.0)</f>
        <v>42621</v>
      </c>
      <c r="AF422" s="39"/>
      <c r="AG422" s="39"/>
      <c r="AH422" s="34" t="str">
        <f>IFERROR(__xludf.DUMMYFUNCTION("""COMPUTED_VALUE"""),"PROCESO DE SELECCIÓN")</f>
        <v>PROCESO DE SELECCIÓN</v>
      </c>
      <c r="AI422" s="34" t="str">
        <f>IFERROR(__xludf.DUMMYFUNCTION("""COMPUTED_VALUE"""),"JAVIER HERRERA BECERRA")</f>
        <v>JAVIER HERRERA BECERRA</v>
      </c>
      <c r="AJ422" s="34"/>
      <c r="AK422" s="34" t="str">
        <f>IFERROR(__xludf.DUMMYFUNCTION("""COMPUTED_VALUE"""),"E")</f>
        <v>E</v>
      </c>
      <c r="AL422">
        <f>IFERROR(__xludf.DUMMYFUNCTION("""COMPUTED_VALUE"""),18.0)</f>
        <v>18</v>
      </c>
      <c r="AM422">
        <f>IFERROR(__xludf.DUMMYFUNCTION("""COMPUTED_VALUE"""),2016.0)</f>
        <v>2016</v>
      </c>
      <c r="AN422" t="str">
        <f t="shared" si="1"/>
        <v>15067539-1</v>
      </c>
    </row>
    <row r="423">
      <c r="A423" s="33">
        <f>IFERROR(__xludf.DUMMYFUNCTION("""COMPUTED_VALUE"""),1.713887E7)</f>
        <v>17138870</v>
      </c>
      <c r="B423" s="33">
        <f>IFERROR(__xludf.DUMMYFUNCTION("""COMPUTED_VALUE"""),81.0)</f>
        <v>81</v>
      </c>
      <c r="C423" s="33"/>
      <c r="D423" s="34" t="str">
        <f>IFERROR(__xludf.DUMMYFUNCTION("""COMPUTED_VALUE"""),"INGRESAR CENTRO DE COSTO A LA DERECHA")</f>
        <v>INGRESAR CENTRO DE COSTO A LA DERECHA</v>
      </c>
      <c r="E423" s="34" t="str">
        <f>IFERROR(__xludf.DUMMYFUNCTION("""COMPUTED_VALUE"""),"UNIDAD DE BIENESTAR DEL PERSONAL")</f>
        <v>UNIDAD DE BIENESTAR DEL PERSONAL</v>
      </c>
      <c r="F423" s="34" t="str">
        <f>IFERROR(__xludf.DUMMYFUNCTION("""COMPUTED_VALUE"""),"Educador(a) de Párvulos")</f>
        <v>Educador(a) de Párvulos</v>
      </c>
      <c r="G423" s="33" t="str">
        <f>IFERROR(__xludf.DUMMYFUNCTION("""COMPUTED_VALUE"""),"TECNICO DE PARVULOS")</f>
        <v>TECNICO DE PARVULOS</v>
      </c>
      <c r="H423">
        <f>IFERROR(__xludf.DUMMYFUNCTION("""COMPUTED_VALUE"""),17.0)</f>
        <v>17</v>
      </c>
      <c r="I423" s="34" t="str">
        <f>IFERROR(__xludf.DUMMYFUNCTION("""COMPUTED_VALUE"""),"Jornada Completa")</f>
        <v>Jornada Completa</v>
      </c>
      <c r="J423" s="33" t="str">
        <f>IFERROR(__xludf.DUMMYFUNCTION("""COMPUTED_VALUE"""),"A CONTRATA")</f>
        <v>A CONTRATA</v>
      </c>
      <c r="K423" s="33" t="str">
        <f>IFERROR(__xludf.DUMMYFUNCTION("""COMPUTED_VALUE"""),"TECNICO")</f>
        <v>TECNICO</v>
      </c>
      <c r="L423" s="34" t="str">
        <f>IFERROR(__xludf.DUMMYFUNCTION("""COMPUTED_VALUE"""),"INTERNO")</f>
        <v>INTERNO</v>
      </c>
      <c r="M423" s="34">
        <f>IFERROR(__xludf.DUMMYFUNCTION("""COMPUTED_VALUE"""),0.0)</f>
        <v>0</v>
      </c>
      <c r="N423" s="34" t="str">
        <f>IFERROR(__xludf.DUMMYFUNCTION("""COMPUTED_VALUE"""),"EXTERNO")</f>
        <v>EXTERNO</v>
      </c>
      <c r="O423">
        <f>IFERROR(__xludf.DUMMYFUNCTION("""COMPUTED_VALUE"""),10.0)</f>
        <v>10</v>
      </c>
      <c r="P423">
        <f>IFERROR(__xludf.DUMMYFUNCTION("""COMPUTED_VALUE"""),3.0)</f>
        <v>3</v>
      </c>
      <c r="Q423" s="35">
        <f>IFERROR(__xludf.DUMMYFUNCTION("""COMPUTED_VALUE"""),1.0)</f>
        <v>1</v>
      </c>
      <c r="R423" s="36" t="str">
        <f>IFERROR(__xludf.DUMMYFUNCTION("""COMPUTED_VALUE"""),"SELECCIONADA")</f>
        <v>SELECCIONADA</v>
      </c>
      <c r="S423" s="37">
        <f>IFERROR(__xludf.DUMMYFUNCTION("""COMPUTED_VALUE"""),42646.0)</f>
        <v>42646</v>
      </c>
      <c r="T423" s="34"/>
      <c r="U423" t="str">
        <f>IFERROR(__xludf.DUMMYFUNCTION("""COMPUTED_VALUE"""),"SOLEDAD RIVERA BERNALES")</f>
        <v>SOLEDAD RIVERA BERNALES</v>
      </c>
      <c r="V423" t="str">
        <f>IFERROR(__xludf.DUMMYFUNCTION("""COMPUTED_VALUE"""),"17138870-8")</f>
        <v>17138870-8</v>
      </c>
      <c r="W423" t="str">
        <f>IFERROR(__xludf.DUMMYFUNCTION("""COMPUTED_VALUE"""),"SI")</f>
        <v>SI</v>
      </c>
      <c r="X423" t="str">
        <f>IFERROR(__xludf.DUMMYFUNCTION("""COMPUTED_VALUE"""),"Tolerancia a la presion")</f>
        <v>Tolerancia a la presion</v>
      </c>
      <c r="AA423" s="38">
        <f>IFERROR(__xludf.DUMMYFUNCTION("""COMPUTED_VALUE"""),42534.0)</f>
        <v>42534</v>
      </c>
      <c r="AB423" s="38">
        <f>IFERROR(__xludf.DUMMYFUNCTION("""COMPUTED_VALUE"""),42541.0)</f>
        <v>42541</v>
      </c>
      <c r="AF423" s="39"/>
      <c r="AG423" s="39"/>
      <c r="AH423" s="34" t="str">
        <f>IFERROR(__xludf.DUMMYFUNCTION("""COMPUTED_VALUE"""),"PROCESO DE SELECCIÓN")</f>
        <v>PROCESO DE SELECCIÓN</v>
      </c>
      <c r="AI423" s="34" t="str">
        <f>IFERROR(__xludf.DUMMYFUNCTION("""COMPUTED_VALUE"""),"AUTORIZADO 2016")</f>
        <v>AUTORIZADO 2016</v>
      </c>
      <c r="AJ423" s="34"/>
      <c r="AK423" s="34" t="str">
        <f>IFERROR(__xludf.DUMMYFUNCTION("""COMPUTED_VALUE"""),"E")</f>
        <v>E</v>
      </c>
      <c r="AL423">
        <f>IFERROR(__xludf.DUMMYFUNCTION("""COMPUTED_VALUE"""),76.0)</f>
        <v>76</v>
      </c>
      <c r="AM423">
        <f>IFERROR(__xludf.DUMMYFUNCTION("""COMPUTED_VALUE"""),2016.0)</f>
        <v>2016</v>
      </c>
      <c r="AN423" t="str">
        <f t="shared" si="1"/>
        <v>17138870-8</v>
      </c>
    </row>
    <row r="424">
      <c r="A424" s="33">
        <f>IFERROR(__xludf.DUMMYFUNCTION("""COMPUTED_VALUE"""),9662880.0)</f>
        <v>9662880</v>
      </c>
      <c r="B424" s="33">
        <f>IFERROR(__xludf.DUMMYFUNCTION("""COMPUTED_VALUE"""),82.0)</f>
        <v>82</v>
      </c>
      <c r="C424" s="33"/>
      <c r="D424" s="34" t="str">
        <f>IFERROR(__xludf.DUMMYFUNCTION("""COMPUTED_VALUE"""),"INGRESAR CENTRO DE COSTO A LA DERECHA")</f>
        <v>INGRESAR CENTRO DE COSTO A LA DERECHA</v>
      </c>
      <c r="E424" s="34" t="str">
        <f>IFERROR(__xludf.DUMMYFUNCTION("""COMPUTED_VALUE"""),"UNIDAD DE VOCACION ARTISTICA")</f>
        <v>UNIDAD DE VOCACION ARTISTICA</v>
      </c>
      <c r="F424" s="34" t="str">
        <f>IFERROR(__xludf.DUMMYFUNCTION("""COMPUTED_VALUE"""),"Auxiliar de Servicios")</f>
        <v>Auxiliar de Servicios</v>
      </c>
      <c r="G424" s="33" t="str">
        <f>IFERROR(__xludf.DUMMYFUNCTION("""COMPUTED_VALUE"""),"AUXILIAR DE SERVICIOS")</f>
        <v>AUXILIAR DE SERVICIOS</v>
      </c>
      <c r="H424">
        <f>IFERROR(__xludf.DUMMYFUNCTION("""COMPUTED_VALUE"""),23.0)</f>
        <v>23</v>
      </c>
      <c r="I424" s="34" t="str">
        <f>IFERROR(__xludf.DUMMYFUNCTION("""COMPUTED_VALUE"""),"Jornada Completa")</f>
        <v>Jornada Completa</v>
      </c>
      <c r="J424" s="33" t="str">
        <f>IFERROR(__xludf.DUMMYFUNCTION("""COMPUTED_VALUE"""),"A CONTRATA")</f>
        <v>A CONTRATA</v>
      </c>
      <c r="K424" s="33" t="str">
        <f>IFERROR(__xludf.DUMMYFUNCTION("""COMPUTED_VALUE"""),"AUXILIAR")</f>
        <v>AUXILIAR</v>
      </c>
      <c r="L424" s="34" t="str">
        <f>IFERROR(__xludf.DUMMYFUNCTION("""COMPUTED_VALUE"""),"INTERNO")</f>
        <v>INTERNO</v>
      </c>
      <c r="M424" s="34">
        <f>IFERROR(__xludf.DUMMYFUNCTION("""COMPUTED_VALUE"""),0.0)</f>
        <v>0</v>
      </c>
      <c r="N424" s="34" t="str">
        <f>IFERROR(__xludf.DUMMYFUNCTION("""COMPUTED_VALUE"""),"EXTERNO")</f>
        <v>EXTERNO</v>
      </c>
      <c r="O424">
        <f>IFERROR(__xludf.DUMMYFUNCTION("""COMPUTED_VALUE"""),8.0)</f>
        <v>8</v>
      </c>
      <c r="P424">
        <f>IFERROR(__xludf.DUMMYFUNCTION("""COMPUTED_VALUE"""),2.0)</f>
        <v>2</v>
      </c>
      <c r="Q424" s="35">
        <f>IFERROR(__xludf.DUMMYFUNCTION("""COMPUTED_VALUE"""),1.0)</f>
        <v>1</v>
      </c>
      <c r="R424" s="36" t="str">
        <f>IFERROR(__xludf.DUMMYFUNCTION("""COMPUTED_VALUE"""),"SELECCIONADO")</f>
        <v>SELECCIONADO</v>
      </c>
      <c r="S424" s="37">
        <f>IFERROR(__xludf.DUMMYFUNCTION("""COMPUTED_VALUE"""),42660.0)</f>
        <v>42660</v>
      </c>
      <c r="T424" s="34"/>
      <c r="U424" t="str">
        <f>IFERROR(__xludf.DUMMYFUNCTION("""COMPUTED_VALUE"""),"FERNANDO RODRIGUEZ COLLIO")</f>
        <v>FERNANDO RODRIGUEZ COLLIO</v>
      </c>
      <c r="V424" t="str">
        <f>IFERROR(__xludf.DUMMYFUNCTION("""COMPUTED_VALUE"""),"9662880-3")</f>
        <v>9662880-3</v>
      </c>
      <c r="W424" t="str">
        <f>IFERROR(__xludf.DUMMYFUNCTION("""COMPUTED_VALUE"""),"SI")</f>
        <v>SI</v>
      </c>
      <c r="X424" t="str">
        <f>IFERROR(__xludf.DUMMYFUNCTION("""COMPUTED_VALUE"""),"COMUNICACION")</f>
        <v>COMUNICACION</v>
      </c>
      <c r="AA424" s="38">
        <f>IFERROR(__xludf.DUMMYFUNCTION("""COMPUTED_VALUE"""),42634.0)</f>
        <v>42634</v>
      </c>
      <c r="AB424" s="38">
        <f>IFERROR(__xludf.DUMMYFUNCTION("""COMPUTED_VALUE"""),42641.0)</f>
        <v>42641</v>
      </c>
      <c r="AF424" s="39"/>
      <c r="AG424" s="39"/>
      <c r="AH424" s="34" t="str">
        <f>IFERROR(__xludf.DUMMYFUNCTION("""COMPUTED_VALUE"""),"PROCESO DE SELECCIÓN")</f>
        <v>PROCESO DE SELECCIÓN</v>
      </c>
      <c r="AI424" s="34" t="str">
        <f>IFERROR(__xludf.DUMMYFUNCTION("""COMPUTED_VALUE"""),"JUAN CARLOS AYALA")</f>
        <v>JUAN CARLOS AYALA</v>
      </c>
      <c r="AJ424" s="34"/>
      <c r="AK424" s="34" t="str">
        <f>IFERROR(__xludf.DUMMYFUNCTION("""COMPUTED_VALUE"""),"E")</f>
        <v>E</v>
      </c>
      <c r="AL424">
        <f>IFERROR(__xludf.DUMMYFUNCTION("""COMPUTED_VALUE"""),14.0)</f>
        <v>14</v>
      </c>
      <c r="AM424">
        <f>IFERROR(__xludf.DUMMYFUNCTION("""COMPUTED_VALUE"""),2016.0)</f>
        <v>2016</v>
      </c>
      <c r="AN424" t="str">
        <f t="shared" si="1"/>
        <v>09662880-3</v>
      </c>
    </row>
    <row r="425">
      <c r="A425" s="33">
        <f>IFERROR(__xludf.DUMMYFUNCTION("""COMPUTED_VALUE"""),1.9208931E7)</f>
        <v>19208931</v>
      </c>
      <c r="B425" s="33">
        <f>IFERROR(__xludf.DUMMYFUNCTION("""COMPUTED_VALUE"""),83.0)</f>
        <v>83</v>
      </c>
      <c r="C425" s="33"/>
      <c r="D425" s="34" t="str">
        <f>IFERROR(__xludf.DUMMYFUNCTION("""COMPUTED_VALUE"""),"INGRESAR CENTRO DE COSTO A LA DERECHA")</f>
        <v>INGRESAR CENTRO DE COSTO A LA DERECHA</v>
      </c>
      <c r="E425" s="34" t="str">
        <f>IFERROR(__xludf.DUMMYFUNCTION("""COMPUTED_VALUE"""),"CITECAMP")</f>
        <v>CITECAMP</v>
      </c>
      <c r="F425" s="34" t="str">
        <f>IFERROR(__xludf.DUMMYFUNCTION("""COMPUTED_VALUE"""),"Administrativo(a) de Apoyo")</f>
        <v>Administrativo(a) de Apoyo</v>
      </c>
      <c r="G425" s="33" t="str">
        <f>IFERROR(__xludf.DUMMYFUNCTION("""COMPUTED_VALUE"""),"ADMINISTRATIVO DE APOYO")</f>
        <v>ADMINISTRATIVO DE APOYO</v>
      </c>
      <c r="H425">
        <f>IFERROR(__xludf.DUMMYFUNCTION("""COMPUTED_VALUE"""),20.0)</f>
        <v>20</v>
      </c>
      <c r="I425" s="34" t="str">
        <f>IFERROR(__xludf.DUMMYFUNCTION("""COMPUTED_VALUE"""),"Jornada Completa")</f>
        <v>Jornada Completa</v>
      </c>
      <c r="J425" s="33" t="str">
        <f>IFERROR(__xludf.DUMMYFUNCTION("""COMPUTED_VALUE"""),"A CONTRATA")</f>
        <v>A CONTRATA</v>
      </c>
      <c r="K425" s="33" t="str">
        <f>IFERROR(__xludf.DUMMYFUNCTION("""COMPUTED_VALUE"""),"ADMINISTRATIVO")</f>
        <v>ADMINISTRATIVO</v>
      </c>
      <c r="L425" s="34" t="str">
        <f>IFERROR(__xludf.DUMMYFUNCTION("""COMPUTED_VALUE"""),"INTERNO")</f>
        <v>INTERNO</v>
      </c>
      <c r="M425" s="34">
        <f>IFERROR(__xludf.DUMMYFUNCTION("""COMPUTED_VALUE"""),1.0)</f>
        <v>1</v>
      </c>
      <c r="N425" s="34" t="str">
        <f>IFERROR(__xludf.DUMMYFUNCTION("""COMPUTED_VALUE"""),"EXTERNO")</f>
        <v>EXTERNO</v>
      </c>
      <c r="O425">
        <f>IFERROR(__xludf.DUMMYFUNCTION("""COMPUTED_VALUE"""),12.0)</f>
        <v>12</v>
      </c>
      <c r="P425">
        <f>IFERROR(__xludf.DUMMYFUNCTION("""COMPUTED_VALUE"""),3.0)</f>
        <v>3</v>
      </c>
      <c r="Q425" s="35">
        <f>IFERROR(__xludf.DUMMYFUNCTION("""COMPUTED_VALUE"""),1.0)</f>
        <v>1</v>
      </c>
      <c r="R425" s="36" t="str">
        <f>IFERROR(__xludf.DUMMYFUNCTION("""COMPUTED_VALUE"""),"SELECCIONADA")</f>
        <v>SELECCIONADA</v>
      </c>
      <c r="S425" s="37">
        <f>IFERROR(__xludf.DUMMYFUNCTION("""COMPUTED_VALUE"""),42660.0)</f>
        <v>42660</v>
      </c>
      <c r="T425" s="34"/>
      <c r="U425" t="str">
        <f>IFERROR(__xludf.DUMMYFUNCTION("""COMPUTED_VALUE"""),"ROMINA LABRIN VALENZUELA")</f>
        <v>ROMINA LABRIN VALENZUELA</v>
      </c>
      <c r="V425" t="str">
        <f>IFERROR(__xludf.DUMMYFUNCTION("""COMPUTED_VALUE"""),"19208931-K")</f>
        <v>19208931-K</v>
      </c>
      <c r="W425" t="str">
        <f>IFERROR(__xludf.DUMMYFUNCTION("""COMPUTED_VALUE"""),"SI")</f>
        <v>SI</v>
      </c>
      <c r="AA425" s="38">
        <f>IFERROR(__xludf.DUMMYFUNCTION("""COMPUTED_VALUE"""),42607.0)</f>
        <v>42607</v>
      </c>
      <c r="AB425" s="38">
        <f>IFERROR(__xludf.DUMMYFUNCTION("""COMPUTED_VALUE"""),42614.0)</f>
        <v>42614</v>
      </c>
      <c r="AF425" s="39"/>
      <c r="AG425" s="39"/>
      <c r="AH425" s="34" t="str">
        <f>IFERROR(__xludf.DUMMYFUNCTION("""COMPUTED_VALUE"""),"PROCESO DE SELECCIÓN")</f>
        <v>PROCESO DE SELECCIÓN</v>
      </c>
      <c r="AI425" s="34" t="str">
        <f>IFERROR(__xludf.DUMMYFUNCTION("""COMPUTED_VALUE"""),"PAOLA SIRANDONI POLITIS")</f>
        <v>PAOLA SIRANDONI POLITIS</v>
      </c>
      <c r="AJ425" s="34"/>
      <c r="AK425" s="34" t="str">
        <f>IFERROR(__xludf.DUMMYFUNCTION("""COMPUTED_VALUE"""),"P")</f>
        <v>P</v>
      </c>
      <c r="AL425">
        <f>IFERROR(__xludf.DUMMYFUNCTION("""COMPUTED_VALUE"""),33.0)</f>
        <v>33</v>
      </c>
      <c r="AM425">
        <f>IFERROR(__xludf.DUMMYFUNCTION("""COMPUTED_VALUE"""),2016.0)</f>
        <v>2016</v>
      </c>
      <c r="AN425" t="str">
        <f t="shared" si="1"/>
        <v>19208931-K</v>
      </c>
    </row>
    <row r="426">
      <c r="A426" s="33">
        <f>IFERROR(__xludf.DUMMYFUNCTION("""COMPUTED_VALUE"""),1.1299063E7)</f>
        <v>11299063</v>
      </c>
      <c r="B426" s="33">
        <f>IFERROR(__xludf.DUMMYFUNCTION("""COMPUTED_VALUE"""),84.0)</f>
        <v>84</v>
      </c>
      <c r="C426" s="33"/>
      <c r="D426" s="34" t="str">
        <f>IFERROR(__xludf.DUMMYFUNCTION("""COMPUTED_VALUE"""),"INGRESAR CENTRO DE COSTO A LA DERECHA")</f>
        <v>INGRESAR CENTRO DE COSTO A LA DERECHA</v>
      </c>
      <c r="E426" s="34" t="str">
        <f>IFERROR(__xludf.DUMMYFUNCTION("""COMPUTED_VALUE"""),"UNIDAD DE GESTION DEL CAMPUS")</f>
        <v>UNIDAD DE GESTION DEL CAMPUS</v>
      </c>
      <c r="F426" s="34" t="str">
        <f>IFERROR(__xludf.DUMMYFUNCTION("""COMPUTED_VALUE"""),"Vigilante")</f>
        <v>Vigilante</v>
      </c>
      <c r="G426" s="33" t="str">
        <f>IFERROR(__xludf.DUMMYFUNCTION("""COMPUTED_VALUE"""),"VIGILANTE")</f>
        <v>VIGILANTE</v>
      </c>
      <c r="H426">
        <f>IFERROR(__xludf.DUMMYFUNCTION("""COMPUTED_VALUE"""),21.0)</f>
        <v>21</v>
      </c>
      <c r="I426" s="34" t="str">
        <f>IFERROR(__xludf.DUMMYFUNCTION("""COMPUTED_VALUE"""),"Jornada Completa")</f>
        <v>Jornada Completa</v>
      </c>
      <c r="J426" s="33" t="str">
        <f>IFERROR(__xludf.DUMMYFUNCTION("""COMPUTED_VALUE"""),"A CONTRATA")</f>
        <v>A CONTRATA</v>
      </c>
      <c r="K426" s="33" t="str">
        <f>IFERROR(__xludf.DUMMYFUNCTION("""COMPUTED_VALUE"""),"AUXILIAR")</f>
        <v>AUXILIAR</v>
      </c>
      <c r="L426" s="34" t="str">
        <f>IFERROR(__xludf.DUMMYFUNCTION("""COMPUTED_VALUE"""),"INTERNO")</f>
        <v>INTERNO</v>
      </c>
      <c r="M426" s="34">
        <f>IFERROR(__xludf.DUMMYFUNCTION("""COMPUTED_VALUE"""),0.0)</f>
        <v>0</v>
      </c>
      <c r="N426" s="34" t="str">
        <f>IFERROR(__xludf.DUMMYFUNCTION("""COMPUTED_VALUE"""),"EXTERNO")</f>
        <v>EXTERNO</v>
      </c>
      <c r="O426">
        <f>IFERROR(__xludf.DUMMYFUNCTION("""COMPUTED_VALUE"""),16.0)</f>
        <v>16</v>
      </c>
      <c r="P426">
        <f>IFERROR(__xludf.DUMMYFUNCTION("""COMPUTED_VALUE"""),1.0)</f>
        <v>1</v>
      </c>
      <c r="Q426" s="35">
        <f>IFERROR(__xludf.DUMMYFUNCTION("""COMPUTED_VALUE"""),2.0)</f>
        <v>2</v>
      </c>
      <c r="R426" s="36" t="str">
        <f>IFERROR(__xludf.DUMMYFUNCTION("""COMPUTED_VALUE"""),"SELECCIONADO")</f>
        <v>SELECCIONADO</v>
      </c>
      <c r="S426" s="37">
        <f>IFERROR(__xludf.DUMMYFUNCTION("""COMPUTED_VALUE"""),42654.0)</f>
        <v>42654</v>
      </c>
      <c r="T426" s="34"/>
      <c r="U426" t="str">
        <f>IFERROR(__xludf.DUMMYFUNCTION("""COMPUTED_VALUE"""),"LUIS VARGAS SERRANO")</f>
        <v>LUIS VARGAS SERRANO</v>
      </c>
      <c r="V426" t="str">
        <f>IFERROR(__xludf.DUMMYFUNCTION("""COMPUTED_VALUE"""),"11299063-1")</f>
        <v>11299063-1</v>
      </c>
      <c r="W426" t="str">
        <f>IFERROR(__xludf.DUMMYFUNCTION("""COMPUTED_VALUE"""),"NO")</f>
        <v>NO</v>
      </c>
      <c r="AA426" s="38">
        <f>IFERROR(__xludf.DUMMYFUNCTION("""COMPUTED_VALUE"""),42558.0)</f>
        <v>42558</v>
      </c>
      <c r="AB426" s="38">
        <f>IFERROR(__xludf.DUMMYFUNCTION("""COMPUTED_VALUE"""),42572.0)</f>
        <v>42572</v>
      </c>
      <c r="AF426" s="39"/>
      <c r="AG426" s="39"/>
      <c r="AH426" s="34" t="str">
        <f>IFERROR(__xludf.DUMMYFUNCTION("""COMPUTED_VALUE"""),"PROCESO DE SELECCIÓN")</f>
        <v>PROCESO DE SELECCIÓN</v>
      </c>
      <c r="AI426" s="34" t="str">
        <f>IFERROR(__xludf.DUMMYFUNCTION("""COMPUTED_VALUE"""),"AUTORIZADO 2016")</f>
        <v>AUTORIZADO 2016</v>
      </c>
      <c r="AJ426" s="34"/>
      <c r="AK426" s="34" t="str">
        <f>IFERROR(__xludf.DUMMYFUNCTION("""COMPUTED_VALUE"""),"E")</f>
        <v>E</v>
      </c>
      <c r="AL426">
        <f>IFERROR(__xludf.DUMMYFUNCTION("""COMPUTED_VALUE"""),59.0)</f>
        <v>59</v>
      </c>
      <c r="AM426">
        <f>IFERROR(__xludf.DUMMYFUNCTION("""COMPUTED_VALUE"""),2016.0)</f>
        <v>2016</v>
      </c>
      <c r="AN426" t="str">
        <f t="shared" si="1"/>
        <v>11299063-1</v>
      </c>
    </row>
    <row r="427">
      <c r="A427" s="33">
        <f>IFERROR(__xludf.DUMMYFUNCTION("""COMPUTED_VALUE"""),1.5352848E7)</f>
        <v>15352848</v>
      </c>
      <c r="B427" s="33">
        <f>IFERROR(__xludf.DUMMYFUNCTION("""COMPUTED_VALUE"""),85.0)</f>
        <v>85</v>
      </c>
      <c r="C427" s="33"/>
      <c r="D427" s="34" t="str">
        <f>IFERROR(__xludf.DUMMYFUNCTION("""COMPUTED_VALUE"""),"INGRESAR CENTRO DE COSTO A LA DERECHA")</f>
        <v>INGRESAR CENTRO DE COSTO A LA DERECHA</v>
      </c>
      <c r="E427" s="34" t="str">
        <f>IFERROR(__xludf.DUMMYFUNCTION("""COMPUTED_VALUE"""),"DPTO. DE INGENIERIA MECANICA")</f>
        <v>DPTO. DE INGENIERIA MECANICA</v>
      </c>
      <c r="F427" s="34" t="str">
        <f>IFERROR(__xludf.DUMMYFUNCTION("""COMPUTED_VALUE"""),"Estafeta")</f>
        <v>Estafeta</v>
      </c>
      <c r="G427" s="33" t="str">
        <f>IFERROR(__xludf.DUMMYFUNCTION("""COMPUTED_VALUE"""),"ESTAFETA")</f>
        <v>ESTAFETA</v>
      </c>
      <c r="H427">
        <f>IFERROR(__xludf.DUMMYFUNCTION("""COMPUTED_VALUE"""),23.0)</f>
        <v>23</v>
      </c>
      <c r="I427" s="34" t="str">
        <f>IFERROR(__xludf.DUMMYFUNCTION("""COMPUTED_VALUE"""),"Jornada Completa")</f>
        <v>Jornada Completa</v>
      </c>
      <c r="J427" s="33" t="str">
        <f>IFERROR(__xludf.DUMMYFUNCTION("""COMPUTED_VALUE"""),"A CONTRATA")</f>
        <v>A CONTRATA</v>
      </c>
      <c r="K427" s="33" t="str">
        <f>IFERROR(__xludf.DUMMYFUNCTION("""COMPUTED_VALUE"""),"AUXILIAR")</f>
        <v>AUXILIAR</v>
      </c>
      <c r="L427" s="34" t="str">
        <f>IFERROR(__xludf.DUMMYFUNCTION("""COMPUTED_VALUE"""),"INTERNO")</f>
        <v>INTERNO</v>
      </c>
      <c r="M427" s="34">
        <f>IFERROR(__xludf.DUMMYFUNCTION("""COMPUTED_VALUE"""),0.0)</f>
        <v>0</v>
      </c>
      <c r="N427" s="34" t="str">
        <f>IFERROR(__xludf.DUMMYFUNCTION("""COMPUTED_VALUE"""),"EXTERNO")</f>
        <v>EXTERNO</v>
      </c>
      <c r="O427">
        <f>IFERROR(__xludf.DUMMYFUNCTION("""COMPUTED_VALUE"""),10.0)</f>
        <v>10</v>
      </c>
      <c r="P427">
        <f>IFERROR(__xludf.DUMMYFUNCTION("""COMPUTED_VALUE"""),3.0)</f>
        <v>3</v>
      </c>
      <c r="Q427" s="35">
        <f>IFERROR(__xludf.DUMMYFUNCTION("""COMPUTED_VALUE"""),1.0)</f>
        <v>1</v>
      </c>
      <c r="R427" s="36" t="str">
        <f>IFERROR(__xludf.DUMMYFUNCTION("""COMPUTED_VALUE"""),"SELECCIONADO")</f>
        <v>SELECCIONADO</v>
      </c>
      <c r="S427" s="37">
        <f>IFERROR(__xludf.DUMMYFUNCTION("""COMPUTED_VALUE"""),42656.0)</f>
        <v>42656</v>
      </c>
      <c r="T427" s="34"/>
      <c r="U427" t="str">
        <f>IFERROR(__xludf.DUMMYFUNCTION("""COMPUTED_VALUE"""),"GUSTAVO DONOSO DONOSO")</f>
        <v>GUSTAVO DONOSO DONOSO</v>
      </c>
      <c r="V427" t="str">
        <f>IFERROR(__xludf.DUMMYFUNCTION("""COMPUTED_VALUE"""),"15352848-9")</f>
        <v>15352848-9</v>
      </c>
      <c r="W427" t="str">
        <f>IFERROR(__xludf.DUMMYFUNCTION("""COMPUTED_VALUE"""),"NO")</f>
        <v>NO</v>
      </c>
      <c r="AA427" s="38">
        <f>IFERROR(__xludf.DUMMYFUNCTION("""COMPUTED_VALUE"""),42437.0)</f>
        <v>42437</v>
      </c>
      <c r="AB427" s="38">
        <f>IFERROR(__xludf.DUMMYFUNCTION("""COMPUTED_VALUE"""),42444.0)</f>
        <v>42444</v>
      </c>
      <c r="AF427" s="39"/>
      <c r="AG427" s="39"/>
      <c r="AH427" s="34" t="str">
        <f>IFERROR(__xludf.DUMMYFUNCTION("""COMPUTED_VALUE"""),"PROCESO DE SELECCIÓN")</f>
        <v>PROCESO DE SELECCIÓN</v>
      </c>
      <c r="AI427" s="34" t="str">
        <f>IFERROR(__xludf.DUMMYFUNCTION("""COMPUTED_VALUE"""),"JOSE CANCINO")</f>
        <v>JOSE CANCINO</v>
      </c>
      <c r="AJ427" s="34"/>
      <c r="AK427" s="34" t="str">
        <f>IFERROR(__xludf.DUMMYFUNCTION("""COMPUTED_VALUE"""),"P")</f>
        <v>P</v>
      </c>
      <c r="AL427">
        <f>IFERROR(__xludf.DUMMYFUNCTION("""COMPUTED_VALUE"""),153.0)</f>
        <v>153</v>
      </c>
      <c r="AM427">
        <f>IFERROR(__xludf.DUMMYFUNCTION("""COMPUTED_VALUE"""),2016.0)</f>
        <v>2016</v>
      </c>
      <c r="AN427" t="str">
        <f t="shared" si="1"/>
        <v>15352848-9</v>
      </c>
    </row>
    <row r="428">
      <c r="A428" s="33">
        <f>IFERROR(__xludf.DUMMYFUNCTION("""COMPUTED_VALUE"""),1.9385989E7)</f>
        <v>19385989</v>
      </c>
      <c r="B428" s="33">
        <f>IFERROR(__xludf.DUMMYFUNCTION("""COMPUTED_VALUE"""),86.0)</f>
        <v>86</v>
      </c>
      <c r="C428" s="33"/>
      <c r="D428" s="34" t="str">
        <f>IFERROR(__xludf.DUMMYFUNCTION("""COMPUTED_VALUE"""),"INGRESAR CENTRO DE COSTO A LA DERECHA")</f>
        <v>INGRESAR CENTRO DE COSTO A LA DERECHA</v>
      </c>
      <c r="E428" s="34" t="str">
        <f>IFERROR(__xludf.DUMMYFUNCTION("""COMPUTED_VALUE"""),"UNIDAD DE BIBLIOTECAS")</f>
        <v>UNIDAD DE BIBLIOTECAS</v>
      </c>
      <c r="F428" s="34" t="str">
        <f>IFERROR(__xludf.DUMMYFUNCTION("""COMPUTED_VALUE"""),"Asistente de Biblioteca")</f>
        <v>Asistente de Biblioteca</v>
      </c>
      <c r="G428" s="33" t="str">
        <f>IFERROR(__xludf.DUMMYFUNCTION("""COMPUTED_VALUE"""),"ASISTENTE DE BIBLIOTECA")</f>
        <v>ASISTENTE DE BIBLIOTECA</v>
      </c>
      <c r="H428">
        <f>IFERROR(__xludf.DUMMYFUNCTION("""COMPUTED_VALUE"""),20.0)</f>
        <v>20</v>
      </c>
      <c r="I428" s="34" t="str">
        <f>IFERROR(__xludf.DUMMYFUNCTION("""COMPUTED_VALUE"""),"Jornada Completa")</f>
        <v>Jornada Completa</v>
      </c>
      <c r="J428" s="33" t="str">
        <f>IFERROR(__xludf.DUMMYFUNCTION("""COMPUTED_VALUE"""),"A CONTRATA")</f>
        <v>A CONTRATA</v>
      </c>
      <c r="K428" s="33" t="str">
        <f>IFERROR(__xludf.DUMMYFUNCTION("""COMPUTED_VALUE"""),"ADMINISTRATIVO")</f>
        <v>ADMINISTRATIVO</v>
      </c>
      <c r="L428" s="34" t="str">
        <f>IFERROR(__xludf.DUMMYFUNCTION("""COMPUTED_VALUE"""),"INTERNO")</f>
        <v>INTERNO</v>
      </c>
      <c r="M428" s="34">
        <f>IFERROR(__xludf.DUMMYFUNCTION("""COMPUTED_VALUE"""),0.0)</f>
        <v>0</v>
      </c>
      <c r="N428" s="34" t="str">
        <f>IFERROR(__xludf.DUMMYFUNCTION("""COMPUTED_VALUE"""),"EXTERNO")</f>
        <v>EXTERNO</v>
      </c>
      <c r="O428">
        <f>IFERROR(__xludf.DUMMYFUNCTION("""COMPUTED_VALUE"""),39.0)</f>
        <v>39</v>
      </c>
      <c r="P428">
        <f>IFERROR(__xludf.DUMMYFUNCTION("""COMPUTED_VALUE"""),2.0)</f>
        <v>2</v>
      </c>
      <c r="Q428" s="35">
        <f>IFERROR(__xludf.DUMMYFUNCTION("""COMPUTED_VALUE"""),4.0)</f>
        <v>4</v>
      </c>
      <c r="R428" s="36" t="str">
        <f>IFERROR(__xludf.DUMMYFUNCTION("""COMPUTED_VALUE"""),"SELECCIONADA")</f>
        <v>SELECCIONADA</v>
      </c>
      <c r="S428" s="37">
        <f>IFERROR(__xludf.DUMMYFUNCTION("""COMPUTED_VALUE"""),42668.0)</f>
        <v>42668</v>
      </c>
      <c r="T428" s="34"/>
      <c r="U428" t="str">
        <f>IFERROR(__xludf.DUMMYFUNCTION("""COMPUTED_VALUE"""),"ROCIO ORTEGA ARAYA")</f>
        <v>ROCIO ORTEGA ARAYA</v>
      </c>
      <c r="V428" t="str">
        <f>IFERROR(__xludf.DUMMYFUNCTION("""COMPUTED_VALUE"""),"19385989-5")</f>
        <v>19385989-5</v>
      </c>
      <c r="W428" t="str">
        <f>IFERROR(__xludf.DUMMYFUNCTION("""COMPUTED_VALUE"""),"NO")</f>
        <v>NO</v>
      </c>
      <c r="AA428" s="38">
        <f>IFERROR(__xludf.DUMMYFUNCTION("""COMPUTED_VALUE"""),42648.0)</f>
        <v>42648</v>
      </c>
      <c r="AB428" s="38">
        <f>IFERROR(__xludf.DUMMYFUNCTION("""COMPUTED_VALUE"""),42655.0)</f>
        <v>42655</v>
      </c>
      <c r="AF428" s="39"/>
      <c r="AG428" s="39"/>
      <c r="AH428" s="34" t="str">
        <f>IFERROR(__xludf.DUMMYFUNCTION("""COMPUTED_VALUE"""),"PROCESO DE SELECCIÓN")</f>
        <v>PROCESO DE SELECCIÓN</v>
      </c>
      <c r="AI428" s="34" t="str">
        <f>IFERROR(__xludf.DUMMYFUNCTION("""COMPUTED_VALUE"""),"HILDA VERA GONZALEZ")</f>
        <v>HILDA VERA GONZALEZ</v>
      </c>
      <c r="AJ428" s="34"/>
      <c r="AK428" s="34" t="str">
        <f>IFERROR(__xludf.DUMMYFUNCTION("""COMPUTED_VALUE"""),"P")</f>
        <v>P</v>
      </c>
      <c r="AL428">
        <f>IFERROR(__xludf.DUMMYFUNCTION("""COMPUTED_VALUE"""),10.0)</f>
        <v>10</v>
      </c>
      <c r="AM428">
        <f>IFERROR(__xludf.DUMMYFUNCTION("""COMPUTED_VALUE"""),2016.0)</f>
        <v>2016</v>
      </c>
      <c r="AN428" t="str">
        <f t="shared" si="1"/>
        <v>19385989-5</v>
      </c>
    </row>
    <row r="429">
      <c r="A429" s="33">
        <f>IFERROR(__xludf.DUMMYFUNCTION("""COMPUTED_VALUE"""),1.3938161E7)</f>
        <v>13938161</v>
      </c>
      <c r="B429" s="33">
        <f>IFERROR(__xludf.DUMMYFUNCTION("""COMPUTED_VALUE"""),87.0)</f>
        <v>87</v>
      </c>
      <c r="C429" s="33"/>
      <c r="D429" s="34" t="str">
        <f>IFERROR(__xludf.DUMMYFUNCTION("""COMPUTED_VALUE"""),"INGRESAR CENTRO DE COSTO A LA DERECHA")</f>
        <v>INGRESAR CENTRO DE COSTO A LA DERECHA</v>
      </c>
      <c r="E429" s="34" t="str">
        <f>IFERROR(__xludf.DUMMYFUNCTION("""COMPUTED_VALUE"""),"FACULTAD DE ADMINIST Y ECONOMI")</f>
        <v>FACULTAD DE ADMINIST Y ECONOMI</v>
      </c>
      <c r="F429" s="34" t="str">
        <f>IFERROR(__xludf.DUMMYFUNCTION("""COMPUTED_VALUE"""),"Bibliotecario(a)")</f>
        <v>Bibliotecario(a)</v>
      </c>
      <c r="G429" s="33" t="str">
        <f>IFERROR(__xludf.DUMMYFUNCTION("""COMPUTED_VALUE"""),"BIBLIOTECARIO")</f>
        <v>BIBLIOTECARIO</v>
      </c>
      <c r="H429">
        <f>IFERROR(__xludf.DUMMYFUNCTION("""COMPUTED_VALUE"""),14.0)</f>
        <v>14</v>
      </c>
      <c r="I429" s="34" t="str">
        <f>IFERROR(__xludf.DUMMYFUNCTION("""COMPUTED_VALUE"""),"Jornada Completa")</f>
        <v>Jornada Completa</v>
      </c>
      <c r="J429" s="33" t="str">
        <f>IFERROR(__xludf.DUMMYFUNCTION("""COMPUTED_VALUE"""),"A CONTRATA")</f>
        <v>A CONTRATA</v>
      </c>
      <c r="K429" s="33" t="str">
        <f>IFERROR(__xludf.DUMMYFUNCTION("""COMPUTED_VALUE"""),"PROFESIONAL")</f>
        <v>PROFESIONAL</v>
      </c>
      <c r="L429" s="34" t="str">
        <f>IFERROR(__xludf.DUMMYFUNCTION("""COMPUTED_VALUE"""),"INTERNO")</f>
        <v>INTERNO</v>
      </c>
      <c r="M429" s="34">
        <f>IFERROR(__xludf.DUMMYFUNCTION("""COMPUTED_VALUE"""),1.0)</f>
        <v>1</v>
      </c>
      <c r="N429" s="34" t="str">
        <f>IFERROR(__xludf.DUMMYFUNCTION("""COMPUTED_VALUE"""),"NO")</f>
        <v>NO</v>
      </c>
      <c r="O429">
        <f>IFERROR(__xludf.DUMMYFUNCTION("""COMPUTED_VALUE"""),0.0)</f>
        <v>0</v>
      </c>
      <c r="P429">
        <f>IFERROR(__xludf.DUMMYFUNCTION("""COMPUTED_VALUE"""),1.0)</f>
        <v>1</v>
      </c>
      <c r="Q429" s="35">
        <f>IFERROR(__xludf.DUMMYFUNCTION("""COMPUTED_VALUE"""),0.0)</f>
        <v>0</v>
      </c>
      <c r="R429" s="36" t="str">
        <f>IFERROR(__xludf.DUMMYFUNCTION("""COMPUTED_VALUE"""),"SELECCIONADA")</f>
        <v>SELECCIONADA</v>
      </c>
      <c r="S429" s="37">
        <f>IFERROR(__xludf.DUMMYFUNCTION("""COMPUTED_VALUE"""),42646.0)</f>
        <v>42646</v>
      </c>
      <c r="T429" s="34" t="str">
        <f>IFERROR(__xludf.DUMMYFUNCTION("""COMPUTED_VALUE"""),"FLORES FERNANDEZ CHERIE BERTA")</f>
        <v>FLORES FERNANDEZ CHERIE BERTA</v>
      </c>
      <c r="V429" t="str">
        <f>IFERROR(__xludf.DUMMYFUNCTION("""COMPUTED_VALUE"""),"13938161-0")</f>
        <v>13938161-0</v>
      </c>
      <c r="W429" t="str">
        <f>IFERROR(__xludf.DUMMYFUNCTION("""COMPUTED_VALUE"""),"NO")</f>
        <v>NO</v>
      </c>
      <c r="AA429" s="38">
        <f>IFERROR(__xludf.DUMMYFUNCTION("""COMPUTED_VALUE"""),42492.0)</f>
        <v>42492</v>
      </c>
      <c r="AB429" s="38">
        <f>IFERROR(__xludf.DUMMYFUNCTION("""COMPUTED_VALUE"""),42495.0)</f>
        <v>42495</v>
      </c>
      <c r="AF429" s="39"/>
      <c r="AG429" s="39"/>
      <c r="AH429" s="34" t="str">
        <f>IFERROR(__xludf.DUMMYFUNCTION("""COMPUTED_VALUE"""),"PROCESO DE SELECCIÓN")</f>
        <v>PROCESO DE SELECCIÓN</v>
      </c>
      <c r="AI429" s="34" t="str">
        <f>IFERROR(__xludf.DUMMYFUNCTION("""COMPUTED_VALUE"""),"MARCELA ZABALA")</f>
        <v>MARCELA ZABALA</v>
      </c>
      <c r="AJ429" s="34"/>
      <c r="AK429" s="34" t="str">
        <f>IFERROR(__xludf.DUMMYFUNCTION("""COMPUTED_VALUE"""),"P")</f>
        <v>P</v>
      </c>
      <c r="AL429">
        <f>IFERROR(__xludf.DUMMYFUNCTION("""COMPUTED_VALUE"""),108.0)</f>
        <v>108</v>
      </c>
      <c r="AM429">
        <f>IFERROR(__xludf.DUMMYFUNCTION("""COMPUTED_VALUE"""),2016.0)</f>
        <v>2016</v>
      </c>
      <c r="AN429" t="str">
        <f t="shared" si="1"/>
        <v>13938161-0</v>
      </c>
    </row>
    <row r="430">
      <c r="A430" s="33">
        <f>IFERROR(__xludf.DUMMYFUNCTION("""COMPUTED_VALUE"""),8039104.0)</f>
        <v>8039104</v>
      </c>
      <c r="B430" s="33">
        <f>IFERROR(__xludf.DUMMYFUNCTION("""COMPUTED_VALUE"""),88.0)</f>
        <v>88</v>
      </c>
      <c r="C430" s="33"/>
      <c r="D430" s="34" t="str">
        <f>IFERROR(__xludf.DUMMYFUNCTION("""COMPUTED_VALUE"""),"INGRESAR CENTRO DE COSTO A LA DERECHA")</f>
        <v>INGRESAR CENTRO DE COSTO A LA DERECHA</v>
      </c>
      <c r="E430" s="34" t="str">
        <f>IFERROR(__xludf.DUMMYFUNCTION("""COMPUTED_VALUE"""),"PROGRAMA BACHILLERATO")</f>
        <v>PROGRAMA BACHILLERATO</v>
      </c>
      <c r="F430" s="34" t="str">
        <f>IFERROR(__xludf.DUMMYFUNCTION("""COMPUTED_VALUE"""),"Administrativo(a) de Registro Curricular")</f>
        <v>Administrativo(a) de Registro Curricular</v>
      </c>
      <c r="G430" s="33" t="str">
        <f>IFERROR(__xludf.DUMMYFUNCTION("""COMPUTED_VALUE"""),"ADMINIST REGISTRO CURRICULAR")</f>
        <v>ADMINIST REGISTRO CURRICULAR</v>
      </c>
      <c r="H430">
        <f>IFERROR(__xludf.DUMMYFUNCTION("""COMPUTED_VALUE"""),17.0)</f>
        <v>17</v>
      </c>
      <c r="I430" s="34" t="str">
        <f>IFERROR(__xludf.DUMMYFUNCTION("""COMPUTED_VALUE"""),"Jornada Completa")</f>
        <v>Jornada Completa</v>
      </c>
      <c r="J430" s="33" t="str">
        <f>IFERROR(__xludf.DUMMYFUNCTION("""COMPUTED_VALUE"""),"A CONTRATA")</f>
        <v>A CONTRATA</v>
      </c>
      <c r="K430" s="33" t="str">
        <f>IFERROR(__xludf.DUMMYFUNCTION("""COMPUTED_VALUE"""),"ADMINISTRATIVO")</f>
        <v>ADMINISTRATIVO</v>
      </c>
      <c r="L430" s="34" t="str">
        <f>IFERROR(__xludf.DUMMYFUNCTION("""COMPUTED_VALUE"""),"INTERNO")</f>
        <v>INTERNO</v>
      </c>
      <c r="M430" s="34">
        <f>IFERROR(__xludf.DUMMYFUNCTION("""COMPUTED_VALUE"""),1.0)</f>
        <v>1</v>
      </c>
      <c r="N430" s="34" t="str">
        <f>IFERROR(__xludf.DUMMYFUNCTION("""COMPUTED_VALUE"""),"NO")</f>
        <v>NO</v>
      </c>
      <c r="O430">
        <f>IFERROR(__xludf.DUMMYFUNCTION("""COMPUTED_VALUE"""),0.0)</f>
        <v>0</v>
      </c>
      <c r="P430">
        <f>IFERROR(__xludf.DUMMYFUNCTION("""COMPUTED_VALUE"""),1.0)</f>
        <v>1</v>
      </c>
      <c r="Q430" s="35">
        <f>IFERROR(__xludf.DUMMYFUNCTION("""COMPUTED_VALUE"""),0.0)</f>
        <v>0</v>
      </c>
      <c r="R430" s="36" t="str">
        <f>IFERROR(__xludf.DUMMYFUNCTION("""COMPUTED_VALUE"""),"SELECCIONADA")</f>
        <v>SELECCIONADA</v>
      </c>
      <c r="S430" s="37">
        <f>IFERROR(__xludf.DUMMYFUNCTION("""COMPUTED_VALUE"""),42594.0)</f>
        <v>42594</v>
      </c>
      <c r="T430" s="34" t="str">
        <f>IFERROR(__xludf.DUMMYFUNCTION("""COMPUTED_VALUE"""),"SIRANDONI POLITIS PAOLA ALEJANDRA")</f>
        <v>SIRANDONI POLITIS PAOLA ALEJANDRA</v>
      </c>
      <c r="V430" t="str">
        <f>IFERROR(__xludf.DUMMYFUNCTION("""COMPUTED_VALUE"""),"8039104-8")</f>
        <v>8039104-8</v>
      </c>
      <c r="W430" t="str">
        <f>IFERROR(__xludf.DUMMYFUNCTION("""COMPUTED_VALUE"""),"SI")</f>
        <v>SI</v>
      </c>
      <c r="X430" t="str">
        <f>IFERROR(__xludf.DUMMYFUNCTION("""COMPUTED_VALUE"""),"TRABAJO EN EQUIPO")</f>
        <v>TRABAJO EN EQUIPO</v>
      </c>
      <c r="Y430" t="str">
        <f>IFERROR(__xludf.DUMMYFUNCTION("""COMPUTED_VALUE"""),"Preocupacion por el Orden y la Claridad")</f>
        <v>Preocupacion por el Orden y la Claridad</v>
      </c>
      <c r="Z430" t="str">
        <f>IFERROR(__xludf.DUMMYFUNCTION("""COMPUTED_VALUE"""),"ORIENTACION A LOS RESULTADOS")</f>
        <v>ORIENTACION A LOS RESULTADOS</v>
      </c>
      <c r="AA430" s="38">
        <f>IFERROR(__xludf.DUMMYFUNCTION("""COMPUTED_VALUE"""),42538.0)</f>
        <v>42538</v>
      </c>
      <c r="AB430" s="38">
        <f>IFERROR(__xludf.DUMMYFUNCTION("""COMPUTED_VALUE"""),42548.0)</f>
        <v>42548</v>
      </c>
      <c r="AF430" s="39"/>
      <c r="AG430" s="39"/>
      <c r="AH430" s="34" t="str">
        <f>IFERROR(__xludf.DUMMYFUNCTION("""COMPUTED_VALUE"""),"PROCESO DE SELECCIÓN")</f>
        <v>PROCESO DE SELECCIÓN</v>
      </c>
      <c r="AI430" s="34" t="str">
        <f>IFERROR(__xludf.DUMMYFUNCTION("""COMPUTED_VALUE"""),"NADIA PALMA CARCAMO")</f>
        <v>NADIA PALMA CARCAMO</v>
      </c>
      <c r="AJ430" s="34"/>
      <c r="AK430" s="34" t="str">
        <f>IFERROR(__xludf.DUMMYFUNCTION("""COMPUTED_VALUE"""),"C")</f>
        <v>C</v>
      </c>
      <c r="AL430">
        <f>IFERROR(__xludf.DUMMYFUNCTION("""COMPUTED_VALUE"""),35.0)</f>
        <v>35</v>
      </c>
      <c r="AM430">
        <f>IFERROR(__xludf.DUMMYFUNCTION("""COMPUTED_VALUE"""),2016.0)</f>
        <v>2016</v>
      </c>
      <c r="AN430" t="str">
        <f t="shared" si="1"/>
        <v>08039104-8</v>
      </c>
    </row>
    <row r="431">
      <c r="A431" s="33">
        <f>IFERROR(__xludf.DUMMYFUNCTION("""COMPUTED_VALUE"""),1.4179988E7)</f>
        <v>14179988</v>
      </c>
      <c r="B431" s="33">
        <f>IFERROR(__xludf.DUMMYFUNCTION("""COMPUTED_VALUE"""),89.0)</f>
        <v>89</v>
      </c>
      <c r="C431" s="33"/>
      <c r="D431" s="34" t="str">
        <f>IFERROR(__xludf.DUMMYFUNCTION("""COMPUTED_VALUE"""),"INGRESAR CENTRO DE COSTO A LA DERECHA")</f>
        <v>INGRESAR CENTRO DE COSTO A LA DERECHA</v>
      </c>
      <c r="E431" s="34" t="str">
        <f>IFERROR(__xludf.DUMMYFUNCTION("""COMPUTED_VALUE"""),"UNIDAD DE BIBLIOTECAS")</f>
        <v>UNIDAD DE BIBLIOTECAS</v>
      </c>
      <c r="F431" s="34" t="str">
        <f>IFERROR(__xludf.DUMMYFUNCTION("""COMPUTED_VALUE"""),"Asistente de Biblioteca")</f>
        <v>Asistente de Biblioteca</v>
      </c>
      <c r="G431" s="33" t="str">
        <f>IFERROR(__xludf.DUMMYFUNCTION("""COMPUTED_VALUE"""),"ASISTENTE DE BIBLIOTECA")</f>
        <v>ASISTENTE DE BIBLIOTECA</v>
      </c>
      <c r="H431">
        <f>IFERROR(__xludf.DUMMYFUNCTION("""COMPUTED_VALUE"""),20.0)</f>
        <v>20</v>
      </c>
      <c r="I431" s="34" t="str">
        <f>IFERROR(__xludf.DUMMYFUNCTION("""COMPUTED_VALUE"""),"Jornada Completa")</f>
        <v>Jornada Completa</v>
      </c>
      <c r="J431" s="33" t="str">
        <f>IFERROR(__xludf.DUMMYFUNCTION("""COMPUTED_VALUE"""),"A CONTRATA")</f>
        <v>A CONTRATA</v>
      </c>
      <c r="K431" s="33" t="str">
        <f>IFERROR(__xludf.DUMMYFUNCTION("""COMPUTED_VALUE"""),"ADMINISTRATIVO")</f>
        <v>ADMINISTRATIVO</v>
      </c>
      <c r="L431" s="34" t="str">
        <f>IFERROR(__xludf.DUMMYFUNCTION("""COMPUTED_VALUE"""),"INTERNO")</f>
        <v>INTERNO</v>
      </c>
      <c r="M431" s="34">
        <f>IFERROR(__xludf.DUMMYFUNCTION("""COMPUTED_VALUE"""),1.0)</f>
        <v>1</v>
      </c>
      <c r="N431" s="34" t="str">
        <f>IFERROR(__xludf.DUMMYFUNCTION("""COMPUTED_VALUE"""),"NO")</f>
        <v>NO</v>
      </c>
      <c r="O431">
        <f>IFERROR(__xludf.DUMMYFUNCTION("""COMPUTED_VALUE"""),0.0)</f>
        <v>0</v>
      </c>
      <c r="P431">
        <f>IFERROR(__xludf.DUMMYFUNCTION("""COMPUTED_VALUE"""),1.0)</f>
        <v>1</v>
      </c>
      <c r="Q431" s="35">
        <f>IFERROR(__xludf.DUMMYFUNCTION("""COMPUTED_VALUE"""),0.0)</f>
        <v>0</v>
      </c>
      <c r="R431" s="36" t="str">
        <f>IFERROR(__xludf.DUMMYFUNCTION("""COMPUTED_VALUE"""),"SELECCIONADO")</f>
        <v>SELECCIONADO</v>
      </c>
      <c r="S431" s="37">
        <f>IFERROR(__xludf.DUMMYFUNCTION("""COMPUTED_VALUE"""),42705.0)</f>
        <v>42705</v>
      </c>
      <c r="T431" s="34" t="str">
        <f>IFERROR(__xludf.DUMMYFUNCTION("""COMPUTED_VALUE"""),"MARTINEZ HERRERA CARLOS MANUEL")</f>
        <v>MARTINEZ HERRERA CARLOS MANUEL</v>
      </c>
      <c r="V431" t="str">
        <f>IFERROR(__xludf.DUMMYFUNCTION("""COMPUTED_VALUE"""),"14179988-0")</f>
        <v>14179988-0</v>
      </c>
      <c r="W431" t="str">
        <f>IFERROR(__xludf.DUMMYFUNCTION("""COMPUTED_VALUE"""),"SI")</f>
        <v>SI</v>
      </c>
      <c r="X431" t="str">
        <f>IFERROR(__xludf.DUMMYFUNCTION("""COMPUTED_VALUE"""),"COMUNICACION")</f>
        <v>COMUNICACION</v>
      </c>
      <c r="AA431" s="38">
        <f>IFERROR(__xludf.DUMMYFUNCTION("""COMPUTED_VALUE"""),42667.0)</f>
        <v>42667</v>
      </c>
      <c r="AB431" s="38">
        <f>IFERROR(__xludf.DUMMYFUNCTION("""COMPUTED_VALUE"""),42674.0)</f>
        <v>42674</v>
      </c>
      <c r="AF431" s="39"/>
      <c r="AG431" s="39"/>
      <c r="AH431" s="34" t="str">
        <f>IFERROR(__xludf.DUMMYFUNCTION("""COMPUTED_VALUE"""),"PROCESO DE SELECCIÓN")</f>
        <v>PROCESO DE SELECCIÓN</v>
      </c>
      <c r="AI431" s="34" t="str">
        <f>IFERROR(__xludf.DUMMYFUNCTION("""COMPUTED_VALUE"""),"RICARDO SANCHEZ NAVARRETE")</f>
        <v>RICARDO SANCHEZ NAVARRETE</v>
      </c>
      <c r="AJ431" s="34"/>
      <c r="AK431" s="34" t="str">
        <f>IFERROR(__xludf.DUMMYFUNCTION("""COMPUTED_VALUE"""),"P")</f>
        <v>P</v>
      </c>
      <c r="AL431">
        <f>IFERROR(__xludf.DUMMYFUNCTION("""COMPUTED_VALUE"""),24.0)</f>
        <v>24</v>
      </c>
      <c r="AM431">
        <f>IFERROR(__xludf.DUMMYFUNCTION("""COMPUTED_VALUE"""),2016.0)</f>
        <v>2016</v>
      </c>
      <c r="AN431" t="str">
        <f t="shared" si="1"/>
        <v>14179988-0</v>
      </c>
    </row>
    <row r="432">
      <c r="A432" s="33">
        <f>IFERROR(__xludf.DUMMYFUNCTION("""COMPUTED_VALUE"""),1.5139053E7)</f>
        <v>15139053</v>
      </c>
      <c r="B432" s="33">
        <f>IFERROR(__xludf.DUMMYFUNCTION("""COMPUTED_VALUE"""),90.0)</f>
        <v>90</v>
      </c>
      <c r="C432" s="33"/>
      <c r="D432" s="34" t="str">
        <f>IFERROR(__xludf.DUMMYFUNCTION("""COMPUTED_VALUE"""),"15")</f>
        <v>15</v>
      </c>
      <c r="E432" s="34" t="str">
        <f>IFERROR(__xludf.DUMMYFUNCTION("""COMPUTED_VALUE"""),"UNIDAD DE REGISTRO ACADEMICO Y CURRICULAR")</f>
        <v>UNIDAD DE REGISTRO ACADEMICO Y CURRICULAR</v>
      </c>
      <c r="F432" s="34" t="str">
        <f>IFERROR(__xludf.DUMMYFUNCTION("""COMPUTED_VALUE"""),"Secretario(a) B")</f>
        <v>Secretario(a) B</v>
      </c>
      <c r="G432" s="33" t="str">
        <f>IFERROR(__xludf.DUMMYFUNCTION("""COMPUTED_VALUE"""),"SECRETARIA(O) DE UNIDAD")</f>
        <v>SECRETARIA(O) DE UNIDAD</v>
      </c>
      <c r="H432">
        <f>IFERROR(__xludf.DUMMYFUNCTION("""COMPUTED_VALUE"""),17.0)</f>
        <v>17</v>
      </c>
      <c r="I432" s="34" t="str">
        <f>IFERROR(__xludf.DUMMYFUNCTION("""COMPUTED_VALUE"""),"Jornada Completa")</f>
        <v>Jornada Completa</v>
      </c>
      <c r="J432" s="33" t="str">
        <f>IFERROR(__xludf.DUMMYFUNCTION("""COMPUTED_VALUE"""),"A CONTRATA")</f>
        <v>A CONTRATA</v>
      </c>
      <c r="K432" s="33" t="str">
        <f>IFERROR(__xludf.DUMMYFUNCTION("""COMPUTED_VALUE"""),"ADMINISTRATIVO")</f>
        <v>ADMINISTRATIVO</v>
      </c>
      <c r="L432" s="34" t="str">
        <f>IFERROR(__xludf.DUMMYFUNCTION("""COMPUTED_VALUE"""),"INTERNO")</f>
        <v>INTERNO</v>
      </c>
      <c r="M432" s="34">
        <f>IFERROR(__xludf.DUMMYFUNCTION("""COMPUTED_VALUE"""),1.0)</f>
        <v>1</v>
      </c>
      <c r="N432" s="34" t="str">
        <f>IFERROR(__xludf.DUMMYFUNCTION("""COMPUTED_VALUE"""),"EXTERNO")</f>
        <v>EXTERNO</v>
      </c>
      <c r="O432">
        <f>IFERROR(__xludf.DUMMYFUNCTION("""COMPUTED_VALUE"""),16.0)</f>
        <v>16</v>
      </c>
      <c r="P432">
        <f>IFERROR(__xludf.DUMMYFUNCTION("""COMPUTED_VALUE"""),1.0)</f>
        <v>1</v>
      </c>
      <c r="Q432" s="35">
        <f>IFERROR(__xludf.DUMMYFUNCTION("""COMPUTED_VALUE"""),1.0)</f>
        <v>1</v>
      </c>
      <c r="R432" s="36" t="str">
        <f>IFERROR(__xludf.DUMMYFUNCTION("""COMPUTED_VALUE"""),"SELECCIONADA")</f>
        <v>SELECCIONADA</v>
      </c>
      <c r="S432" s="37">
        <f>IFERROR(__xludf.DUMMYFUNCTION("""COMPUTED_VALUE"""),42705.0)</f>
        <v>42705</v>
      </c>
      <c r="T432" s="34"/>
      <c r="U432" t="str">
        <f>IFERROR(__xludf.DUMMYFUNCTION("""COMPUTED_VALUE"""),"CECILIA CONTRERAS OYARZO")</f>
        <v>CECILIA CONTRERAS OYARZO</v>
      </c>
      <c r="V432" t="str">
        <f>IFERROR(__xludf.DUMMYFUNCTION("""COMPUTED_VALUE"""),"15139053-6")</f>
        <v>15139053-6</v>
      </c>
      <c r="W432" t="str">
        <f>IFERROR(__xludf.DUMMYFUNCTION("""COMPUTED_VALUE"""),"NO")</f>
        <v>NO</v>
      </c>
      <c r="AA432" s="38">
        <f>IFERROR(__xludf.DUMMYFUNCTION("""COMPUTED_VALUE"""),42648.0)</f>
        <v>42648</v>
      </c>
      <c r="AB432" s="38">
        <f>IFERROR(__xludf.DUMMYFUNCTION("""COMPUTED_VALUE"""),42655.0)</f>
        <v>42655</v>
      </c>
      <c r="AF432" s="39"/>
      <c r="AG432" s="39"/>
      <c r="AH432" s="34" t="str">
        <f>IFERROR(__xludf.DUMMYFUNCTION("""COMPUTED_VALUE"""),"PROCESO DE SELECCIÓN")</f>
        <v>PROCESO DE SELECCIÓN</v>
      </c>
      <c r="AI432" s="34" t="str">
        <f>IFERROR(__xludf.DUMMYFUNCTION("""COMPUTED_VALUE"""),"NANCY NORIN ANTILEO")</f>
        <v>NANCY NORIN ANTILEO</v>
      </c>
      <c r="AJ432" s="34"/>
      <c r="AK432" s="34" t="str">
        <f>IFERROR(__xludf.DUMMYFUNCTION("""COMPUTED_VALUE"""),"E")</f>
        <v>E</v>
      </c>
      <c r="AL432">
        <f>IFERROR(__xludf.DUMMYFUNCTION("""COMPUTED_VALUE"""),37.0)</f>
        <v>37</v>
      </c>
      <c r="AM432">
        <f>IFERROR(__xludf.DUMMYFUNCTION("""COMPUTED_VALUE"""),2016.0)</f>
        <v>2016</v>
      </c>
      <c r="AN432" t="str">
        <f t="shared" si="1"/>
        <v>15139053-6</v>
      </c>
    </row>
    <row r="433">
      <c r="A433" s="33">
        <f>IFERROR(__xludf.DUMMYFUNCTION("""COMPUTED_VALUE"""),1.5365361E7)</f>
        <v>15365361</v>
      </c>
      <c r="B433" s="33">
        <f>IFERROR(__xludf.DUMMYFUNCTION("""COMPUTED_VALUE"""),91.0)</f>
        <v>91</v>
      </c>
      <c r="C433" s="33"/>
      <c r="D433" s="34" t="str">
        <f>IFERROR(__xludf.DUMMYFUNCTION("""COMPUTED_VALUE"""),"INGRESAR CENTRO DE COSTO A LA DERECHA")</f>
        <v>INGRESAR CENTRO DE COSTO A LA DERECHA</v>
      </c>
      <c r="E433" s="34" t="str">
        <f>IFERROR(__xludf.DUMMYFUNCTION("""COMPUTED_VALUE"""),"DPTO. DE INVEST. CIENTIFICA")</f>
        <v>DPTO. DE INVEST. CIENTIFICA</v>
      </c>
      <c r="F433" s="34" t="str">
        <f>IFERROR(__xludf.DUMMYFUNCTION("""COMPUTED_VALUE"""),"Secretario(a) B")</f>
        <v>Secretario(a) B</v>
      </c>
      <c r="G433" s="33" t="str">
        <f>IFERROR(__xludf.DUMMYFUNCTION("""COMPUTED_VALUE"""),"SECRETARIA(O) DE DIRECCION")</f>
        <v>SECRETARIA(O) DE DIRECCION</v>
      </c>
      <c r="H433">
        <f>IFERROR(__xludf.DUMMYFUNCTION("""COMPUTED_VALUE"""),17.0)</f>
        <v>17</v>
      </c>
      <c r="I433" s="34" t="str">
        <f>IFERROR(__xludf.DUMMYFUNCTION("""COMPUTED_VALUE"""),"Jornada Completa")</f>
        <v>Jornada Completa</v>
      </c>
      <c r="J433" s="33" t="str">
        <f>IFERROR(__xludf.DUMMYFUNCTION("""COMPUTED_VALUE"""),"A CONTRATA")</f>
        <v>A CONTRATA</v>
      </c>
      <c r="K433" s="33" t="str">
        <f>IFERROR(__xludf.DUMMYFUNCTION("""COMPUTED_VALUE"""),"ADMINISTRATIVO")</f>
        <v>ADMINISTRATIVO</v>
      </c>
      <c r="L433" s="34" t="str">
        <f>IFERROR(__xludf.DUMMYFUNCTION("""COMPUTED_VALUE"""),"INTERNO")</f>
        <v>INTERNO</v>
      </c>
      <c r="M433" s="34">
        <f>IFERROR(__xludf.DUMMYFUNCTION("""COMPUTED_VALUE"""),0.0)</f>
        <v>0</v>
      </c>
      <c r="N433" s="34" t="str">
        <f>IFERROR(__xludf.DUMMYFUNCTION("""COMPUTED_VALUE"""),"EXTERNO")</f>
        <v>EXTERNO</v>
      </c>
      <c r="O433">
        <f>IFERROR(__xludf.DUMMYFUNCTION("""COMPUTED_VALUE"""),15.0)</f>
        <v>15</v>
      </c>
      <c r="P433">
        <f>IFERROR(__xludf.DUMMYFUNCTION("""COMPUTED_VALUE"""),1.0)</f>
        <v>1</v>
      </c>
      <c r="Q433" s="35">
        <f>IFERROR(__xludf.DUMMYFUNCTION("""COMPUTED_VALUE"""),1.0)</f>
        <v>1</v>
      </c>
      <c r="R433" s="36" t="str">
        <f>IFERROR(__xludf.DUMMYFUNCTION("""COMPUTED_VALUE"""),"SELECCIONADA")</f>
        <v>SELECCIONADA</v>
      </c>
      <c r="S433" s="37">
        <f>IFERROR(__xludf.DUMMYFUNCTION("""COMPUTED_VALUE"""),42583.0)</f>
        <v>42583</v>
      </c>
      <c r="T433" s="34"/>
      <c r="U433" t="str">
        <f>IFERROR(__xludf.DUMMYFUNCTION("""COMPUTED_VALUE"""),"ANGELA HERNANDEZ CATRILAO")</f>
        <v>ANGELA HERNANDEZ CATRILAO</v>
      </c>
      <c r="V433" t="str">
        <f>IFERROR(__xludf.DUMMYFUNCTION("""COMPUTED_VALUE"""),"15365361-5")</f>
        <v>15365361-5</v>
      </c>
      <c r="W433" t="str">
        <f>IFERROR(__xludf.DUMMYFUNCTION("""COMPUTED_VALUE"""),"SI")</f>
        <v>SI</v>
      </c>
      <c r="X433" t="str">
        <f>IFERROR(__xludf.DUMMYFUNCTION("""COMPUTED_VALUE"""),"Franqueza- Confiabilidad- Integridad")</f>
        <v>Franqueza- Confiabilidad- Integridad</v>
      </c>
      <c r="AA433" s="38">
        <f>IFERROR(__xludf.DUMMYFUNCTION("""COMPUTED_VALUE"""),42510.0)</f>
        <v>42510</v>
      </c>
      <c r="AB433" s="38">
        <f>IFERROR(__xludf.DUMMYFUNCTION("""COMPUTED_VALUE"""),42517.0)</f>
        <v>42517</v>
      </c>
      <c r="AF433" s="39"/>
      <c r="AG433" s="39"/>
      <c r="AH433" s="34" t="str">
        <f>IFERROR(__xludf.DUMMYFUNCTION("""COMPUTED_VALUE"""),"PROCESO DE SELECCIÓN")</f>
        <v>PROCESO DE SELECCIÓN</v>
      </c>
      <c r="AI433" s="34" t="str">
        <f>IFERROR(__xludf.DUMMYFUNCTION("""COMPUTED_VALUE"""),"AUTORIZADO 2016")</f>
        <v>AUTORIZADO 2016</v>
      </c>
      <c r="AJ433" s="34"/>
      <c r="AK433" s="34" t="str">
        <f>IFERROR(__xludf.DUMMYFUNCTION("""COMPUTED_VALUE"""),"E")</f>
        <v>E</v>
      </c>
      <c r="AL433">
        <f>IFERROR(__xludf.DUMMYFUNCTION("""COMPUTED_VALUE"""),47.0)</f>
        <v>47</v>
      </c>
      <c r="AM433">
        <f>IFERROR(__xludf.DUMMYFUNCTION("""COMPUTED_VALUE"""),2016.0)</f>
        <v>2016</v>
      </c>
      <c r="AN433" t="str">
        <f t="shared" si="1"/>
        <v>15365361-5</v>
      </c>
    </row>
    <row r="434">
      <c r="A434" s="33">
        <f>IFERROR(__xludf.DUMMYFUNCTION("""COMPUTED_VALUE"""),8451850.0)</f>
        <v>8451850</v>
      </c>
      <c r="B434" s="33">
        <f>IFERROR(__xludf.DUMMYFUNCTION("""COMPUTED_VALUE"""),92.0)</f>
        <v>92</v>
      </c>
      <c r="C434" s="33"/>
      <c r="D434" s="34" t="str">
        <f>IFERROR(__xludf.DUMMYFUNCTION("""COMPUTED_VALUE"""),"INGRESAR CENTRO DE COSTO A LA DERECHA")</f>
        <v>INGRESAR CENTRO DE COSTO A LA DERECHA</v>
      </c>
      <c r="E434" s="34" t="str">
        <f>IFERROR(__xludf.DUMMYFUNCTION("""COMPUTED_VALUE"""),"DPTO. DE RECURSOS HUMANOS")</f>
        <v>DPTO. DE RECURSOS HUMANOS</v>
      </c>
      <c r="F434" s="34" t="str">
        <f>IFERROR(__xludf.DUMMYFUNCTION("""COMPUTED_VALUE"""),"Administrativo(a) de Proceso")</f>
        <v>Administrativo(a) de Proceso</v>
      </c>
      <c r="G434" s="33" t="str">
        <f>IFERROR(__xludf.DUMMYFUNCTION("""COMPUTED_VALUE"""),"ADMINISTRATIVO DE PROCESO REMUNERACIONES")</f>
        <v>ADMINISTRATIVO DE PROCESO REMUNERACIONES</v>
      </c>
      <c r="H434">
        <f>IFERROR(__xludf.DUMMYFUNCTION("""COMPUTED_VALUE"""),17.0)</f>
        <v>17</v>
      </c>
      <c r="I434" s="34" t="str">
        <f>IFERROR(__xludf.DUMMYFUNCTION("""COMPUTED_VALUE"""),"Jornada Completa")</f>
        <v>Jornada Completa</v>
      </c>
      <c r="J434" s="33" t="str">
        <f>IFERROR(__xludf.DUMMYFUNCTION("""COMPUTED_VALUE"""),"A CONTRATA")</f>
        <v>A CONTRATA</v>
      </c>
      <c r="K434" s="33" t="str">
        <f>IFERROR(__xludf.DUMMYFUNCTION("""COMPUTED_VALUE"""),"ADMINISTRATIVO")</f>
        <v>ADMINISTRATIVO</v>
      </c>
      <c r="L434" s="34" t="str">
        <f>IFERROR(__xludf.DUMMYFUNCTION("""COMPUTED_VALUE"""),"INTERNO")</f>
        <v>INTERNO</v>
      </c>
      <c r="M434" s="34">
        <f>IFERROR(__xludf.DUMMYFUNCTION("""COMPUTED_VALUE"""),1.0)</f>
        <v>1</v>
      </c>
      <c r="N434" s="34" t="str">
        <f>IFERROR(__xludf.DUMMYFUNCTION("""COMPUTED_VALUE"""),"EXTERNO")</f>
        <v>EXTERNO</v>
      </c>
      <c r="O434">
        <f>IFERROR(__xludf.DUMMYFUNCTION("""COMPUTED_VALUE"""),17.0)</f>
        <v>17</v>
      </c>
      <c r="P434">
        <f>IFERROR(__xludf.DUMMYFUNCTION("""COMPUTED_VALUE"""),2.0)</f>
        <v>2</v>
      </c>
      <c r="Q434" s="35">
        <f>IFERROR(__xludf.DUMMYFUNCTION("""COMPUTED_VALUE"""),1.0)</f>
        <v>1</v>
      </c>
      <c r="R434" s="36" t="str">
        <f>IFERROR(__xludf.DUMMYFUNCTION("""COMPUTED_VALUE"""),"SELECCIONADA")</f>
        <v>SELECCIONADA</v>
      </c>
      <c r="S434" s="37">
        <f>IFERROR(__xludf.DUMMYFUNCTION("""COMPUTED_VALUE"""),42706.0)</f>
        <v>42706</v>
      </c>
      <c r="T434" s="34"/>
      <c r="U434" t="str">
        <f>IFERROR(__xludf.DUMMYFUNCTION("""COMPUTED_VALUE"""),"KATYA ORDENES GARAY")</f>
        <v>KATYA ORDENES GARAY</v>
      </c>
      <c r="V434" t="str">
        <f>IFERROR(__xludf.DUMMYFUNCTION("""COMPUTED_VALUE"""),"8451850-6")</f>
        <v>8451850-6</v>
      </c>
      <c r="W434" t="str">
        <f>IFERROR(__xludf.DUMMYFUNCTION("""COMPUTED_VALUE"""),"SI")</f>
        <v>SI</v>
      </c>
      <c r="X434" t="str">
        <f>IFERROR(__xludf.DUMMYFUNCTION("""COMPUTED_VALUE"""),"PREOCUPACION POR EL ORDEN Y LA CLARIDAD")</f>
        <v>PREOCUPACION POR EL ORDEN Y LA CLARIDAD</v>
      </c>
      <c r="AA434" s="38">
        <f>IFERROR(__xludf.DUMMYFUNCTION("""COMPUTED_VALUE"""),42634.0)</f>
        <v>42634</v>
      </c>
      <c r="AB434" s="38">
        <f>IFERROR(__xludf.DUMMYFUNCTION("""COMPUTED_VALUE"""),42641.0)</f>
        <v>42641</v>
      </c>
      <c r="AF434" s="39"/>
      <c r="AG434" s="39"/>
      <c r="AH434" s="34" t="str">
        <f>IFERROR(__xludf.DUMMYFUNCTION("""COMPUTED_VALUE"""),"PROCESO DE SELECCIÓN")</f>
        <v>PROCESO DE SELECCIÓN</v>
      </c>
      <c r="AI434" s="34" t="str">
        <f>IFERROR(__xludf.DUMMYFUNCTION("""COMPUTED_VALUE"""),"CARLOS TAIBA VALENZUELA")</f>
        <v>CARLOS TAIBA VALENZUELA</v>
      </c>
      <c r="AJ434" s="34"/>
      <c r="AK434" s="34" t="str">
        <f>IFERROR(__xludf.DUMMYFUNCTION("""COMPUTED_VALUE"""),"E")</f>
        <v>E</v>
      </c>
      <c r="AL434">
        <f>IFERROR(__xludf.DUMMYFUNCTION("""COMPUTED_VALUE"""),48.0)</f>
        <v>48</v>
      </c>
      <c r="AM434">
        <f>IFERROR(__xludf.DUMMYFUNCTION("""COMPUTED_VALUE"""),2016.0)</f>
        <v>2016</v>
      </c>
      <c r="AN434" t="str">
        <f t="shared" si="1"/>
        <v>08451850-6</v>
      </c>
    </row>
    <row r="435">
      <c r="A435" s="33">
        <f>IFERROR(__xludf.DUMMYFUNCTION("""COMPUTED_VALUE"""),1.6407416E7)</f>
        <v>16407416</v>
      </c>
      <c r="B435" s="33">
        <f>IFERROR(__xludf.DUMMYFUNCTION("""COMPUTED_VALUE"""),93.0)</f>
        <v>93</v>
      </c>
      <c r="C435" s="33"/>
      <c r="D435" s="34" t="str">
        <f>IFERROR(__xludf.DUMMYFUNCTION("""COMPUTED_VALUE"""),"INGRESAR CENTRO DE COSTO A LA DERECHA")</f>
        <v>INGRESAR CENTRO DE COSTO A LA DERECHA</v>
      </c>
      <c r="E435" s="34" t="str">
        <f>IFERROR(__xludf.DUMMYFUNCTION("""COMPUTED_VALUE"""),"DPTO. DE COMUNICACIONES")</f>
        <v>DPTO. DE COMUNICACIONES</v>
      </c>
      <c r="F435" s="34" t="str">
        <f>IFERROR(__xludf.DUMMYFUNCTION("""COMPUTED_VALUE"""),"Asistente de Mantención")</f>
        <v>Asistente de Mantención</v>
      </c>
      <c r="G435" s="33" t="str">
        <f>IFERROR(__xludf.DUMMYFUNCTION("""COMPUTED_VALUE"""),"ASISTENTE DE MANTENCION")</f>
        <v>ASISTENTE DE MANTENCION</v>
      </c>
      <c r="H435">
        <f>IFERROR(__xludf.DUMMYFUNCTION("""COMPUTED_VALUE"""),20.0)</f>
        <v>20</v>
      </c>
      <c r="I435" s="34" t="str">
        <f>IFERROR(__xludf.DUMMYFUNCTION("""COMPUTED_VALUE"""),"Jornada Completa")</f>
        <v>Jornada Completa</v>
      </c>
      <c r="J435" s="33" t="str">
        <f>IFERROR(__xludf.DUMMYFUNCTION("""COMPUTED_VALUE"""),"A CONTRATA")</f>
        <v>A CONTRATA</v>
      </c>
      <c r="K435" s="33" t="str">
        <f>IFERROR(__xludf.DUMMYFUNCTION("""COMPUTED_VALUE"""),"TECNICO")</f>
        <v>TECNICO</v>
      </c>
      <c r="L435" s="34" t="str">
        <f>IFERROR(__xludf.DUMMYFUNCTION("""COMPUTED_VALUE"""),"INTERNO")</f>
        <v>INTERNO</v>
      </c>
      <c r="M435" s="34">
        <f>IFERROR(__xludf.DUMMYFUNCTION("""COMPUTED_VALUE"""),0.0)</f>
        <v>0</v>
      </c>
      <c r="N435" s="34" t="str">
        <f>IFERROR(__xludf.DUMMYFUNCTION("""COMPUTED_VALUE"""),"EXTERNO")</f>
        <v>EXTERNO</v>
      </c>
      <c r="O435">
        <f>IFERROR(__xludf.DUMMYFUNCTION("""COMPUTED_VALUE"""),3.0)</f>
        <v>3</v>
      </c>
      <c r="P435">
        <f>IFERROR(__xludf.DUMMYFUNCTION("""COMPUTED_VALUE"""),1.0)</f>
        <v>1</v>
      </c>
      <c r="Q435" s="35">
        <f>IFERROR(__xludf.DUMMYFUNCTION("""COMPUTED_VALUE"""),1.0)</f>
        <v>1</v>
      </c>
      <c r="R435" s="36" t="str">
        <f>IFERROR(__xludf.DUMMYFUNCTION("""COMPUTED_VALUE"""),"SELECCIONADO")</f>
        <v>SELECCIONADO</v>
      </c>
      <c r="S435" s="37">
        <f>IFERROR(__xludf.DUMMYFUNCTION("""COMPUTED_VALUE"""),42705.0)</f>
        <v>42705</v>
      </c>
      <c r="T435" s="34"/>
      <c r="U435" t="str">
        <f>IFERROR(__xludf.DUMMYFUNCTION("""COMPUTED_VALUE"""),"JOSE ALVAREZ CAVIERES")</f>
        <v>JOSE ALVAREZ CAVIERES</v>
      </c>
      <c r="V435" t="str">
        <f>IFERROR(__xludf.DUMMYFUNCTION("""COMPUTED_VALUE"""),"16407416-1")</f>
        <v>16407416-1</v>
      </c>
      <c r="W435" t="str">
        <f>IFERROR(__xludf.DUMMYFUNCTION("""COMPUTED_VALUE"""),"NO")</f>
        <v>NO</v>
      </c>
      <c r="AA435" s="38">
        <f>IFERROR(__xludf.DUMMYFUNCTION("""COMPUTED_VALUE"""),42634.0)</f>
        <v>42634</v>
      </c>
      <c r="AB435" s="38">
        <f>IFERROR(__xludf.DUMMYFUNCTION("""COMPUTED_VALUE"""),42641.0)</f>
        <v>42641</v>
      </c>
      <c r="AF435" s="39"/>
      <c r="AG435" s="39"/>
      <c r="AH435" s="34" t="str">
        <f>IFERROR(__xludf.DUMMYFUNCTION("""COMPUTED_VALUE"""),"PROCESO DE SELECCIÓN")</f>
        <v>PROCESO DE SELECCIÓN</v>
      </c>
      <c r="AI435" s="34" t="str">
        <f>IFERROR(__xludf.DUMMYFUNCTION("""COMPUTED_VALUE"""),"CARLOS ARAOS MURAT")</f>
        <v>CARLOS ARAOS MURAT</v>
      </c>
      <c r="AJ435" s="34"/>
      <c r="AK435" s="34" t="str">
        <f>IFERROR(__xludf.DUMMYFUNCTION("""COMPUTED_VALUE"""),"P")</f>
        <v>P</v>
      </c>
      <c r="AL435">
        <f>IFERROR(__xludf.DUMMYFUNCTION("""COMPUTED_VALUE"""),47.0)</f>
        <v>47</v>
      </c>
      <c r="AM435">
        <f>IFERROR(__xludf.DUMMYFUNCTION("""COMPUTED_VALUE"""),2016.0)</f>
        <v>2016</v>
      </c>
      <c r="AN435" t="str">
        <f t="shared" si="1"/>
        <v>16407416-1</v>
      </c>
    </row>
    <row r="436">
      <c r="A436" s="33">
        <f>IFERROR(__xludf.DUMMYFUNCTION("""COMPUTED_VALUE"""),1.639018E7)</f>
        <v>16390180</v>
      </c>
      <c r="B436" s="33">
        <f>IFERROR(__xludf.DUMMYFUNCTION("""COMPUTED_VALUE"""),94.0)</f>
        <v>94</v>
      </c>
      <c r="C436" s="33"/>
      <c r="D436" s="34" t="str">
        <f>IFERROR(__xludf.DUMMYFUNCTION("""COMPUTED_VALUE"""),"INGRESAR CENTRO DE COSTO A LA DERECHA")</f>
        <v>INGRESAR CENTRO DE COSTO A LA DERECHA</v>
      </c>
      <c r="E436" s="34" t="str">
        <f>IFERROR(__xludf.DUMMYFUNCTION("""COMPUTED_VALUE"""),"FACULTAD DE DERECHO")</f>
        <v>FACULTAD DE DERECHO</v>
      </c>
      <c r="F436" s="34" t="str">
        <f>IFERROR(__xludf.DUMMYFUNCTION("""COMPUTED_VALUE"""),"Secretario(a) A")</f>
        <v>Secretario(a) A</v>
      </c>
      <c r="G436" s="33" t="str">
        <f>IFERROR(__xludf.DUMMYFUNCTION("""COMPUTED_VALUE"""),"SECRETARIA(O) DE DECANO")</f>
        <v>SECRETARIA(O) DE DECANO</v>
      </c>
      <c r="H436">
        <f>IFERROR(__xludf.DUMMYFUNCTION("""COMPUTED_VALUE"""),13.0)</f>
        <v>13</v>
      </c>
      <c r="I436" s="34" t="str">
        <f>IFERROR(__xludf.DUMMYFUNCTION("""COMPUTED_VALUE"""),"Jornada Completa")</f>
        <v>Jornada Completa</v>
      </c>
      <c r="J436" s="33" t="str">
        <f>IFERROR(__xludf.DUMMYFUNCTION("""COMPUTED_VALUE"""),"A CONTRATA")</f>
        <v>A CONTRATA</v>
      </c>
      <c r="K436" s="33" t="str">
        <f>IFERROR(__xludf.DUMMYFUNCTION("""COMPUTED_VALUE"""),"ADMINISTRATIVO")</f>
        <v>ADMINISTRATIVO</v>
      </c>
      <c r="L436" s="34" t="str">
        <f>IFERROR(__xludf.DUMMYFUNCTION("""COMPUTED_VALUE"""),"INTERNO")</f>
        <v>INTERNO</v>
      </c>
      <c r="M436" s="34">
        <f>IFERROR(__xludf.DUMMYFUNCTION("""COMPUTED_VALUE"""),10.0)</f>
        <v>10</v>
      </c>
      <c r="N436" s="34" t="str">
        <f>IFERROR(__xludf.DUMMYFUNCTION("""COMPUTED_VALUE"""),"NO")</f>
        <v>NO</v>
      </c>
      <c r="O436">
        <f>IFERROR(__xludf.DUMMYFUNCTION("""COMPUTED_VALUE"""),0.0)</f>
        <v>0</v>
      </c>
      <c r="P436">
        <f>IFERROR(__xludf.DUMMYFUNCTION("""COMPUTED_VALUE"""),2.0)</f>
        <v>2</v>
      </c>
      <c r="Q436" s="35">
        <f>IFERROR(__xludf.DUMMYFUNCTION("""COMPUTED_VALUE"""),1.0)</f>
        <v>1</v>
      </c>
      <c r="R436" s="36" t="str">
        <f>IFERROR(__xludf.DUMMYFUNCTION("""COMPUTED_VALUE"""),"SELECCIONADA")</f>
        <v>SELECCIONADA</v>
      </c>
      <c r="S436" s="37">
        <f>IFERROR(__xludf.DUMMYFUNCTION("""COMPUTED_VALUE"""),42719.0)</f>
        <v>42719</v>
      </c>
      <c r="T436" s="34" t="str">
        <f>IFERROR(__xludf.DUMMYFUNCTION("""COMPUTED_VALUE"""),"MUNOZ BARRERA KARINA ANDREA")</f>
        <v>MUNOZ BARRERA KARINA ANDREA</v>
      </c>
      <c r="V436" t="str">
        <f>IFERROR(__xludf.DUMMYFUNCTION("""COMPUTED_VALUE"""),"16390180-3")</f>
        <v>16390180-3</v>
      </c>
      <c r="W436" t="str">
        <f>IFERROR(__xludf.DUMMYFUNCTION("""COMPUTED_VALUE"""),"NO")</f>
        <v>NO</v>
      </c>
      <c r="AA436" s="38">
        <f>IFERROR(__xludf.DUMMYFUNCTION("""COMPUTED_VALUE"""),42662.0)</f>
        <v>42662</v>
      </c>
      <c r="AB436" s="38">
        <f>IFERROR(__xludf.DUMMYFUNCTION("""COMPUTED_VALUE"""),42669.0)</f>
        <v>42669</v>
      </c>
      <c r="AF436" s="39"/>
      <c r="AG436" s="39"/>
      <c r="AH436" s="34" t="str">
        <f>IFERROR(__xludf.DUMMYFUNCTION("""COMPUTED_VALUE"""),"PROCESO DE SELECCIÓN")</f>
        <v>PROCESO DE SELECCIÓN</v>
      </c>
      <c r="AI436" s="34" t="str">
        <f>IFERROR(__xludf.DUMMYFUNCTION("""COMPUTED_VALUE"""),"AUTORIZADO 2016")</f>
        <v>AUTORIZADO 2016</v>
      </c>
      <c r="AJ436" s="34"/>
      <c r="AK436" s="34" t="str">
        <f>IFERROR(__xludf.DUMMYFUNCTION("""COMPUTED_VALUE"""),"P")</f>
        <v>P</v>
      </c>
      <c r="AL436">
        <f>IFERROR(__xludf.DUMMYFUNCTION("""COMPUTED_VALUE"""),37.0)</f>
        <v>37</v>
      </c>
      <c r="AM436">
        <f>IFERROR(__xludf.DUMMYFUNCTION("""COMPUTED_VALUE"""),2016.0)</f>
        <v>2016</v>
      </c>
      <c r="AN436" t="str">
        <f t="shared" si="1"/>
        <v>16390180-3</v>
      </c>
    </row>
    <row r="437">
      <c r="A437" s="33">
        <f>IFERROR(__xludf.DUMMYFUNCTION("""COMPUTED_VALUE"""),1.7005536E7)</f>
        <v>17005536</v>
      </c>
      <c r="B437" s="33">
        <f>IFERROR(__xludf.DUMMYFUNCTION("""COMPUTED_VALUE"""),95.0)</f>
        <v>95</v>
      </c>
      <c r="C437" s="33"/>
      <c r="D437" s="34" t="str">
        <f>IFERROR(__xludf.DUMMYFUNCTION("""COMPUTED_VALUE"""),"INGRESAR CENTRO DE COSTO A LA DERECHA")</f>
        <v>INGRESAR CENTRO DE COSTO A LA DERECHA</v>
      </c>
      <c r="E437" s="34" t="str">
        <f>IFERROR(__xludf.DUMMYFUNCTION("""COMPUTED_VALUE"""),"UNIDAD DE RADIO")</f>
        <v>UNIDAD DE RADIO</v>
      </c>
      <c r="F437" s="34" t="str">
        <f>IFERROR(__xludf.DUMMYFUNCTION("""COMPUTED_VALUE"""),"Estafeta")</f>
        <v>Estafeta</v>
      </c>
      <c r="G437" s="33" t="str">
        <f>IFERROR(__xludf.DUMMYFUNCTION("""COMPUTED_VALUE"""),"ESTAFETA")</f>
        <v>ESTAFETA</v>
      </c>
      <c r="H437">
        <f>IFERROR(__xludf.DUMMYFUNCTION("""COMPUTED_VALUE"""),23.0)</f>
        <v>23</v>
      </c>
      <c r="I437" s="34" t="str">
        <f>IFERROR(__xludf.DUMMYFUNCTION("""COMPUTED_VALUE"""),"Jornada Completa")</f>
        <v>Jornada Completa</v>
      </c>
      <c r="J437" s="33" t="str">
        <f>IFERROR(__xludf.DUMMYFUNCTION("""COMPUTED_VALUE"""),"A CONTRATA")</f>
        <v>A CONTRATA</v>
      </c>
      <c r="K437" s="33" t="str">
        <f>IFERROR(__xludf.DUMMYFUNCTION("""COMPUTED_VALUE"""),"AUXILIAR")</f>
        <v>AUXILIAR</v>
      </c>
      <c r="L437" s="34" t="str">
        <f>IFERROR(__xludf.DUMMYFUNCTION("""COMPUTED_VALUE"""),"INTERNO")</f>
        <v>INTERNO</v>
      </c>
      <c r="M437" s="34">
        <f>IFERROR(__xludf.DUMMYFUNCTION("""COMPUTED_VALUE"""),1.0)</f>
        <v>1</v>
      </c>
      <c r="N437" s="34" t="str">
        <f>IFERROR(__xludf.DUMMYFUNCTION("""COMPUTED_VALUE"""),"EXTERNO")</f>
        <v>EXTERNO</v>
      </c>
      <c r="O437">
        <f>IFERROR(__xludf.DUMMYFUNCTION("""COMPUTED_VALUE"""),13.0)</f>
        <v>13</v>
      </c>
      <c r="P437">
        <f>IFERROR(__xludf.DUMMYFUNCTION("""COMPUTED_VALUE"""),1.0)</f>
        <v>1</v>
      </c>
      <c r="Q437" s="35">
        <f>IFERROR(__xludf.DUMMYFUNCTION("""COMPUTED_VALUE"""),1.0)</f>
        <v>1</v>
      </c>
      <c r="R437" s="36" t="str">
        <f>IFERROR(__xludf.DUMMYFUNCTION("""COMPUTED_VALUE"""),"SELECCIONADO")</f>
        <v>SELECCIONADO</v>
      </c>
      <c r="S437" s="37">
        <f>IFERROR(__xludf.DUMMYFUNCTION("""COMPUTED_VALUE"""),42695.0)</f>
        <v>42695</v>
      </c>
      <c r="T437" s="34"/>
      <c r="U437" t="str">
        <f>IFERROR(__xludf.DUMMYFUNCTION("""COMPUTED_VALUE"""),"ERIK SAEZ JIMENEZ")</f>
        <v>ERIK SAEZ JIMENEZ</v>
      </c>
      <c r="V437" t="str">
        <f>IFERROR(__xludf.DUMMYFUNCTION("""COMPUTED_VALUE"""),"17005536-5")</f>
        <v>17005536-5</v>
      </c>
      <c r="W437" t="str">
        <f>IFERROR(__xludf.DUMMYFUNCTION("""COMPUTED_VALUE"""),"SI")</f>
        <v>SI</v>
      </c>
      <c r="X437" t="str">
        <f>IFERROR(__xludf.DUMMYFUNCTION("""COMPUTED_VALUE"""),"COMUNICACION")</f>
        <v>COMUNICACION</v>
      </c>
      <c r="AA437" s="38">
        <f>IFERROR(__xludf.DUMMYFUNCTION("""COMPUTED_VALUE"""),42655.0)</f>
        <v>42655</v>
      </c>
      <c r="AB437" s="38">
        <f>IFERROR(__xludf.DUMMYFUNCTION("""COMPUTED_VALUE"""),42662.0)</f>
        <v>42662</v>
      </c>
      <c r="AF437" s="39"/>
      <c r="AG437" s="39"/>
      <c r="AH437" s="34" t="str">
        <f>IFERROR(__xludf.DUMMYFUNCTION("""COMPUTED_VALUE"""),"PROCESO DE SELECCIÓN")</f>
        <v>PROCESO DE SELECCIÓN</v>
      </c>
      <c r="AI437" s="34" t="str">
        <f>IFERROR(__xludf.DUMMYFUNCTION("""COMPUTED_VALUE"""),"LUIS NUÑEZ GALVEZ")</f>
        <v>LUIS NUÑEZ GALVEZ</v>
      </c>
      <c r="AJ437" s="34"/>
      <c r="AK437" s="34" t="str">
        <f>IFERROR(__xludf.DUMMYFUNCTION("""COMPUTED_VALUE"""),"P")</f>
        <v>P</v>
      </c>
      <c r="AL437">
        <f>IFERROR(__xludf.DUMMYFUNCTION("""COMPUTED_VALUE"""),24.0)</f>
        <v>24</v>
      </c>
      <c r="AM437">
        <f>IFERROR(__xludf.DUMMYFUNCTION("""COMPUTED_VALUE"""),2016.0)</f>
        <v>2016</v>
      </c>
      <c r="AN437" t="str">
        <f t="shared" si="1"/>
        <v>17005536-5</v>
      </c>
    </row>
    <row r="438">
      <c r="A438" s="33">
        <f>IFERROR(__xludf.DUMMYFUNCTION("""COMPUTED_VALUE"""),1.3636345E7)</f>
        <v>13636345</v>
      </c>
      <c r="B438" s="33">
        <f>IFERROR(__xludf.DUMMYFUNCTION("""COMPUTED_VALUE"""),96.0)</f>
        <v>96</v>
      </c>
      <c r="C438" s="33"/>
      <c r="D438" s="34" t="str">
        <f>IFERROR(__xludf.DUMMYFUNCTION("""COMPUTED_VALUE"""),"INGRESAR CENTRO DE COSTO A LA DERECHA")</f>
        <v>INGRESAR CENTRO DE COSTO A LA DERECHA</v>
      </c>
      <c r="E438" s="34" t="str">
        <f>IFERROR(__xludf.DUMMYFUNCTION("""COMPUTED_VALUE"""),"CEUS LLANQUIHUE USACH")</f>
        <v>CEUS LLANQUIHUE USACH</v>
      </c>
      <c r="F438" s="34" t="str">
        <f>IFERROR(__xludf.DUMMYFUNCTION("""COMPUTED_VALUE"""),"Jefe(a) de Sección")</f>
        <v>Jefe(a) de Sección</v>
      </c>
      <c r="G438" s="33" t="str">
        <f>IFERROR(__xludf.DUMMYFUNCTION("""COMPUTED_VALUE"""),"ENCARGADO DE PROYECTOS")</f>
        <v>ENCARGADO DE PROYECTOS</v>
      </c>
      <c r="H438">
        <f>IFERROR(__xludf.DUMMYFUNCTION("""COMPUTED_VALUE"""),10.0)</f>
        <v>10</v>
      </c>
      <c r="I438" s="34" t="str">
        <f>IFERROR(__xludf.DUMMYFUNCTION("""COMPUTED_VALUE"""),"Jornada Completa")</f>
        <v>Jornada Completa</v>
      </c>
      <c r="J438" s="33" t="str">
        <f>IFERROR(__xludf.DUMMYFUNCTION("""COMPUTED_VALUE"""),"A CONTRATA")</f>
        <v>A CONTRATA</v>
      </c>
      <c r="K438" s="33" t="str">
        <f>IFERROR(__xludf.DUMMYFUNCTION("""COMPUTED_VALUE"""),"PROFESIONAL")</f>
        <v>PROFESIONAL</v>
      </c>
      <c r="L438" s="34" t="str">
        <f>IFERROR(__xludf.DUMMYFUNCTION("""COMPUTED_VALUE"""),"NO")</f>
        <v>NO</v>
      </c>
      <c r="M438" s="34">
        <f>IFERROR(__xludf.DUMMYFUNCTION("""COMPUTED_VALUE"""),0.0)</f>
        <v>0</v>
      </c>
      <c r="N438" s="34" t="str">
        <f>IFERROR(__xludf.DUMMYFUNCTION("""COMPUTED_VALUE"""),"EXTERNO")</f>
        <v>EXTERNO</v>
      </c>
      <c r="O438">
        <f>IFERROR(__xludf.DUMMYFUNCTION("""COMPUTED_VALUE"""),3.0)</f>
        <v>3</v>
      </c>
      <c r="P438">
        <f>IFERROR(__xludf.DUMMYFUNCTION("""COMPUTED_VALUE"""),3.0)</f>
        <v>3</v>
      </c>
      <c r="Q438" s="35">
        <f>IFERROR(__xludf.DUMMYFUNCTION("""COMPUTED_VALUE"""),1.0)</f>
        <v>1</v>
      </c>
      <c r="R438" s="36" t="str">
        <f>IFERROR(__xludf.DUMMYFUNCTION("""COMPUTED_VALUE"""),"SELECCIONADO")</f>
        <v>SELECCIONADO</v>
      </c>
      <c r="S438" s="37">
        <f>IFERROR(__xludf.DUMMYFUNCTION("""COMPUTED_VALUE"""),42522.0)</f>
        <v>42522</v>
      </c>
      <c r="T438" s="34"/>
      <c r="U438" t="str">
        <f>IFERROR(__xludf.DUMMYFUNCTION("""COMPUTED_VALUE"""),"EDISON SERRANO GUTIERREZ")</f>
        <v>EDISON SERRANO GUTIERREZ</v>
      </c>
      <c r="V438" t="str">
        <f>IFERROR(__xludf.DUMMYFUNCTION("""COMPUTED_VALUE"""),"13636345-K")</f>
        <v>13636345-K</v>
      </c>
      <c r="W438" t="str">
        <f>IFERROR(__xludf.DUMMYFUNCTION("""COMPUTED_VALUE"""),"SI")</f>
        <v>SI</v>
      </c>
      <c r="X438" t="str">
        <f>IFERROR(__xludf.DUMMYFUNCTION("""COMPUTED_VALUE"""),"LIDERAZGO")</f>
        <v>LIDERAZGO</v>
      </c>
      <c r="AA438" s="38">
        <f>IFERROR(__xludf.DUMMYFUNCTION("""COMPUTED_VALUE"""),42459.0)</f>
        <v>42459</v>
      </c>
      <c r="AB438" s="38">
        <f>IFERROR(__xludf.DUMMYFUNCTION("""COMPUTED_VALUE"""),42466.0)</f>
        <v>42466</v>
      </c>
      <c r="AF438" s="39"/>
      <c r="AG438" s="39"/>
      <c r="AH438" s="34" t="str">
        <f>IFERROR(__xludf.DUMMYFUNCTION("""COMPUTED_VALUE"""),"PROCESO DE SELECCIÓN")</f>
        <v>PROCESO DE SELECCIÓN</v>
      </c>
      <c r="AI438" s="34" t="str">
        <f>IFERROR(__xludf.DUMMYFUNCTION("""COMPUTED_VALUE"""),"GUILLERMO SEGUEL LEAL")</f>
        <v>GUILLERMO SEGUEL LEAL</v>
      </c>
      <c r="AJ438" s="34"/>
      <c r="AK438" s="34" t="str">
        <f>IFERROR(__xludf.DUMMYFUNCTION("""COMPUTED_VALUE"""),"E")</f>
        <v>E</v>
      </c>
      <c r="AL438">
        <f>IFERROR(__xludf.DUMMYFUNCTION("""COMPUTED_VALUE"""),41.0)</f>
        <v>41</v>
      </c>
      <c r="AM438">
        <f>IFERROR(__xludf.DUMMYFUNCTION("""COMPUTED_VALUE"""),2016.0)</f>
        <v>2016</v>
      </c>
      <c r="AN438" t="str">
        <f t="shared" si="1"/>
        <v>13636345-K</v>
      </c>
    </row>
    <row r="439">
      <c r="A439" s="33">
        <f>IFERROR(__xludf.DUMMYFUNCTION("""COMPUTED_VALUE"""),1.1925652E7)</f>
        <v>11925652</v>
      </c>
      <c r="B439" s="33">
        <f>IFERROR(__xludf.DUMMYFUNCTION("""COMPUTED_VALUE"""),97.0)</f>
        <v>97</v>
      </c>
      <c r="C439" s="33"/>
      <c r="D439" s="34" t="str">
        <f>IFERROR(__xludf.DUMMYFUNCTION("""COMPUTED_VALUE"""),"INGRESAR CENTRO DE COSTO A LA DERECHA")</f>
        <v>INGRESAR CENTRO DE COSTO A LA DERECHA</v>
      </c>
      <c r="E439" s="34" t="str">
        <f>IFERROR(__xludf.DUMMYFUNCTION("""COMPUTED_VALUE"""),"CEUS LLANQUIHUE USACH")</f>
        <v>CEUS LLANQUIHUE USACH</v>
      </c>
      <c r="F439" s="34" t="str">
        <f>IFERROR(__xludf.DUMMYFUNCTION("""COMPUTED_VALUE"""),"Secretario(a) A")</f>
        <v>Secretario(a) A</v>
      </c>
      <c r="G439" s="33" t="str">
        <f>IFERROR(__xludf.DUMMYFUNCTION("""COMPUTED_VALUE"""),"SECRETARIA (A) DE CENTRO")</f>
        <v>SECRETARIA (A) DE CENTRO</v>
      </c>
      <c r="H439">
        <f>IFERROR(__xludf.DUMMYFUNCTION("""COMPUTED_VALUE"""),17.0)</f>
        <v>17</v>
      </c>
      <c r="I439" s="34" t="str">
        <f>IFERROR(__xludf.DUMMYFUNCTION("""COMPUTED_VALUE"""),"Jornada Completa")</f>
        <v>Jornada Completa</v>
      </c>
      <c r="J439" s="33" t="str">
        <f>IFERROR(__xludf.DUMMYFUNCTION("""COMPUTED_VALUE"""),"A CONTRATA")</f>
        <v>A CONTRATA</v>
      </c>
      <c r="K439" s="33" t="str">
        <f>IFERROR(__xludf.DUMMYFUNCTION("""COMPUTED_VALUE"""),"ADMINISTRATIVO")</f>
        <v>ADMINISTRATIVO</v>
      </c>
      <c r="L439" s="34" t="str">
        <f>IFERROR(__xludf.DUMMYFUNCTION("""COMPUTED_VALUE"""),"NO")</f>
        <v>NO</v>
      </c>
      <c r="M439" s="34">
        <f>IFERROR(__xludf.DUMMYFUNCTION("""COMPUTED_VALUE"""),0.0)</f>
        <v>0</v>
      </c>
      <c r="N439" s="34" t="str">
        <f>IFERROR(__xludf.DUMMYFUNCTION("""COMPUTED_VALUE"""),"EXTERNO")</f>
        <v>EXTERNO</v>
      </c>
      <c r="O439">
        <f>IFERROR(__xludf.DUMMYFUNCTION("""COMPUTED_VALUE"""),1.0)</f>
        <v>1</v>
      </c>
      <c r="P439">
        <f>IFERROR(__xludf.DUMMYFUNCTION("""COMPUTED_VALUE"""),1.0)</f>
        <v>1</v>
      </c>
      <c r="Q439" s="35">
        <f>IFERROR(__xludf.DUMMYFUNCTION("""COMPUTED_VALUE"""),1.0)</f>
        <v>1</v>
      </c>
      <c r="R439" s="36" t="str">
        <f>IFERROR(__xludf.DUMMYFUNCTION("""COMPUTED_VALUE"""),"SELECCIONADA")</f>
        <v>SELECCIONADA</v>
      </c>
      <c r="S439" s="37">
        <f>IFERROR(__xludf.DUMMYFUNCTION("""COMPUTED_VALUE"""),42436.0)</f>
        <v>42436</v>
      </c>
      <c r="T439" s="34"/>
      <c r="U439" t="str">
        <f>IFERROR(__xludf.DUMMYFUNCTION("""COMPUTED_VALUE"""),"VIVIANA MALDONADO ")</f>
        <v>VIVIANA MALDONADO </v>
      </c>
      <c r="V439" t="str">
        <f>IFERROR(__xludf.DUMMYFUNCTION("""COMPUTED_VALUE"""),"11925652-6")</f>
        <v>11925652-6</v>
      </c>
      <c r="W439" t="str">
        <f>IFERROR(__xludf.DUMMYFUNCTION("""COMPUTED_VALUE"""),"NO")</f>
        <v>NO</v>
      </c>
      <c r="AA439" s="38"/>
      <c r="AB439" s="38"/>
      <c r="AF439" s="39"/>
      <c r="AG439" s="39"/>
      <c r="AH439" s="34" t="str">
        <f>IFERROR(__xludf.DUMMYFUNCTION("""COMPUTED_VALUE"""),"CONTRATACIÓN DIRECTA")</f>
        <v>CONTRATACIÓN DIRECTA</v>
      </c>
      <c r="AI439" s="34" t="str">
        <f>IFERROR(__xludf.DUMMYFUNCTION("""COMPUTED_VALUE"""),"REINCORPORACIÓN / AUTORIZADO 2016")</f>
        <v>REINCORPORACIÓN / AUTORIZADO 2016</v>
      </c>
      <c r="AJ439" s="34"/>
      <c r="AK439" s="34" t="str">
        <f>IFERROR(__xludf.DUMMYFUNCTION("""COMPUTED_VALUE"""),"E")</f>
        <v>E</v>
      </c>
      <c r="AM439">
        <f>IFERROR(__xludf.DUMMYFUNCTION("""COMPUTED_VALUE"""),2016.0)</f>
        <v>2016</v>
      </c>
      <c r="AN439" t="str">
        <f t="shared" si="1"/>
        <v>11925652-6</v>
      </c>
    </row>
    <row r="440">
      <c r="A440" s="33">
        <f>IFERROR(__xludf.DUMMYFUNCTION("""COMPUTED_VALUE"""),1.5293811E7)</f>
        <v>15293811</v>
      </c>
      <c r="B440" s="33">
        <f>IFERROR(__xludf.DUMMYFUNCTION("""COMPUTED_VALUE"""),98.0)</f>
        <v>98</v>
      </c>
      <c r="C440" s="33"/>
      <c r="D440" s="34" t="str">
        <f>IFERROR(__xludf.DUMMYFUNCTION("""COMPUTED_VALUE"""),"INGRESAR CENTRO DE COSTO A LA DERECHA")</f>
        <v>INGRESAR CENTRO DE COSTO A LA DERECHA</v>
      </c>
      <c r="E440" s="34" t="str">
        <f>IFERROR(__xludf.DUMMYFUNCTION("""COMPUTED_VALUE"""),"CEUS LLANQUIHUE USACH")</f>
        <v>CEUS LLANQUIHUE USACH</v>
      </c>
      <c r="F440" s="34" t="str">
        <f>IFERROR(__xludf.DUMMYFUNCTION("""COMPUTED_VALUE"""),"Encargado(a) de Laboratorio")</f>
        <v>Encargado(a) de Laboratorio</v>
      </c>
      <c r="G440" s="33" t="str">
        <f>IFERROR(__xludf.DUMMYFUNCTION("""COMPUTED_VALUE"""),"ENCARGADO DE LABORATORIO")</f>
        <v>ENCARGADO DE LABORATORIO</v>
      </c>
      <c r="H440">
        <f>IFERROR(__xludf.DUMMYFUNCTION("""COMPUTED_VALUE"""),13.0)</f>
        <v>13</v>
      </c>
      <c r="I440" s="34" t="str">
        <f>IFERROR(__xludf.DUMMYFUNCTION("""COMPUTED_VALUE"""),"Jornada Completa")</f>
        <v>Jornada Completa</v>
      </c>
      <c r="J440" s="33" t="str">
        <f>IFERROR(__xludf.DUMMYFUNCTION("""COMPUTED_VALUE"""),"A CONTRATA")</f>
        <v>A CONTRATA</v>
      </c>
      <c r="K440" s="33" t="str">
        <f>IFERROR(__xludf.DUMMYFUNCTION("""COMPUTED_VALUE"""),"PROFESIONAL")</f>
        <v>PROFESIONAL</v>
      </c>
      <c r="L440" s="34" t="str">
        <f>IFERROR(__xludf.DUMMYFUNCTION("""COMPUTED_VALUE"""),"NO")</f>
        <v>NO</v>
      </c>
      <c r="M440" s="34">
        <f>IFERROR(__xludf.DUMMYFUNCTION("""COMPUTED_VALUE"""),0.0)</f>
        <v>0</v>
      </c>
      <c r="N440" s="34" t="str">
        <f>IFERROR(__xludf.DUMMYFUNCTION("""COMPUTED_VALUE"""),"EXTERNO")</f>
        <v>EXTERNO</v>
      </c>
      <c r="O440">
        <f>IFERROR(__xludf.DUMMYFUNCTION("""COMPUTED_VALUE"""),3.0)</f>
        <v>3</v>
      </c>
      <c r="P440">
        <f>IFERROR(__xludf.DUMMYFUNCTION("""COMPUTED_VALUE"""),3.0)</f>
        <v>3</v>
      </c>
      <c r="Q440" s="35">
        <f>IFERROR(__xludf.DUMMYFUNCTION("""COMPUTED_VALUE"""),1.0)</f>
        <v>1</v>
      </c>
      <c r="R440" s="36" t="str">
        <f>IFERROR(__xludf.DUMMYFUNCTION("""COMPUTED_VALUE"""),"SELECCIONADA")</f>
        <v>SELECCIONADA</v>
      </c>
      <c r="S440" s="37">
        <f>IFERROR(__xludf.DUMMYFUNCTION("""COMPUTED_VALUE"""),42583.0)</f>
        <v>42583</v>
      </c>
      <c r="T440" s="34"/>
      <c r="U440" t="str">
        <f>IFERROR(__xludf.DUMMYFUNCTION("""COMPUTED_VALUE"""),"MARIA BARRIENTOS ALVAREZ")</f>
        <v>MARIA BARRIENTOS ALVAREZ</v>
      </c>
      <c r="V440" t="str">
        <f>IFERROR(__xludf.DUMMYFUNCTION("""COMPUTED_VALUE"""),"15293811-K")</f>
        <v>15293811-K</v>
      </c>
      <c r="W440" t="str">
        <f>IFERROR(__xludf.DUMMYFUNCTION("""COMPUTED_VALUE"""),"NO")</f>
        <v>NO</v>
      </c>
      <c r="AA440" s="38">
        <f>IFERROR(__xludf.DUMMYFUNCTION("""COMPUTED_VALUE"""),42498.0)</f>
        <v>42498</v>
      </c>
      <c r="AB440" s="38">
        <f>IFERROR(__xludf.DUMMYFUNCTION("""COMPUTED_VALUE"""),42526.0)</f>
        <v>42526</v>
      </c>
      <c r="AF440" s="39"/>
      <c r="AG440" s="39"/>
      <c r="AH440" s="34" t="str">
        <f>IFERROR(__xludf.DUMMYFUNCTION("""COMPUTED_VALUE"""),"PROCESO DE SELECCIÓN")</f>
        <v>PROCESO DE SELECCIÓN</v>
      </c>
      <c r="AI440" s="34" t="str">
        <f>IFERROR(__xludf.DUMMYFUNCTION("""COMPUTED_VALUE"""),"FABIAN AGUILERA BARRAZA")</f>
        <v>FABIAN AGUILERA BARRAZA</v>
      </c>
      <c r="AJ440" s="34"/>
      <c r="AK440" s="34" t="str">
        <f>IFERROR(__xludf.DUMMYFUNCTION("""COMPUTED_VALUE"""),"E")</f>
        <v>E</v>
      </c>
      <c r="AL440">
        <f>IFERROR(__xludf.DUMMYFUNCTION("""COMPUTED_VALUE"""),41.0)</f>
        <v>41</v>
      </c>
      <c r="AM440">
        <f>IFERROR(__xludf.DUMMYFUNCTION("""COMPUTED_VALUE"""),2016.0)</f>
        <v>2016</v>
      </c>
      <c r="AN440" t="str">
        <f t="shared" si="1"/>
        <v>15293811-K</v>
      </c>
    </row>
    <row r="441">
      <c r="A441" s="33">
        <f>IFERROR(__xludf.DUMMYFUNCTION("""COMPUTED_VALUE"""),1.5566567E7)</f>
        <v>15566567</v>
      </c>
      <c r="B441" s="33">
        <f>IFERROR(__xludf.DUMMYFUNCTION("""COMPUTED_VALUE"""),99.0)</f>
        <v>99</v>
      </c>
      <c r="C441" s="33"/>
      <c r="D441" s="34" t="str">
        <f>IFERROR(__xludf.DUMMYFUNCTION("""COMPUTED_VALUE"""),"INGRESAR CENTRO DE COSTO A LA DERECHA")</f>
        <v>INGRESAR CENTRO DE COSTO A LA DERECHA</v>
      </c>
      <c r="E441" s="34" t="str">
        <f>IFERROR(__xludf.DUMMYFUNCTION("""COMPUTED_VALUE"""),"VR. DE VINCULACION CON EL MEDIO")</f>
        <v>VR. DE VINCULACION CON EL MEDIO</v>
      </c>
      <c r="F441" s="34" t="str">
        <f>IFERROR(__xludf.DUMMYFUNCTION("""COMPUTED_VALUE"""),"Jefe(a) de Área")</f>
        <v>Jefe(a) de Área</v>
      </c>
      <c r="G441" s="33" t="str">
        <f>IFERROR(__xludf.DUMMYFUNCTION("""COMPUTED_VALUE"""),"JEFE DE AREA DE ARCHIVO PATRIMONIAL")</f>
        <v>JEFE DE AREA DE ARCHIVO PATRIMONIAL</v>
      </c>
      <c r="H441">
        <f>IFERROR(__xludf.DUMMYFUNCTION("""COMPUTED_VALUE"""),8.0)</f>
        <v>8</v>
      </c>
      <c r="I441" s="34" t="str">
        <f>IFERROR(__xludf.DUMMYFUNCTION("""COMPUTED_VALUE"""),"Jornada Completa")</f>
        <v>Jornada Completa</v>
      </c>
      <c r="J441" s="33" t="str">
        <f>IFERROR(__xludf.DUMMYFUNCTION("""COMPUTED_VALUE"""),"A CONTRATA")</f>
        <v>A CONTRATA</v>
      </c>
      <c r="K441" s="33" t="str">
        <f>IFERROR(__xludf.DUMMYFUNCTION("""COMPUTED_VALUE"""),"PROFESIONAL")</f>
        <v>PROFESIONAL</v>
      </c>
      <c r="L441" s="34" t="str">
        <f>IFERROR(__xludf.DUMMYFUNCTION("""COMPUTED_VALUE"""),"INTERNO")</f>
        <v>INTERNO</v>
      </c>
      <c r="M441" s="34">
        <f>IFERROR(__xludf.DUMMYFUNCTION("""COMPUTED_VALUE"""),4.0)</f>
        <v>4</v>
      </c>
      <c r="N441" s="34" t="str">
        <f>IFERROR(__xludf.DUMMYFUNCTION("""COMPUTED_VALUE"""),"NO")</f>
        <v>NO</v>
      </c>
      <c r="O441">
        <f>IFERROR(__xludf.DUMMYFUNCTION("""COMPUTED_VALUE"""),0.0)</f>
        <v>0</v>
      </c>
      <c r="P441">
        <f>IFERROR(__xludf.DUMMYFUNCTION("""COMPUTED_VALUE"""),2.0)</f>
        <v>2</v>
      </c>
      <c r="Q441" s="35">
        <f>IFERROR(__xludf.DUMMYFUNCTION("""COMPUTED_VALUE"""),0.0)</f>
        <v>0</v>
      </c>
      <c r="R441" s="36" t="str">
        <f>IFERROR(__xludf.DUMMYFUNCTION("""COMPUTED_VALUE"""),"SELECCIONADO")</f>
        <v>SELECCIONADO</v>
      </c>
      <c r="S441" s="37">
        <f>IFERROR(__xludf.DUMMYFUNCTION("""COMPUTED_VALUE"""),42748.0)</f>
        <v>42748</v>
      </c>
      <c r="T441" s="34" t="str">
        <f>IFERROR(__xludf.DUMMYFUNCTION("""COMPUTED_VALUE"""),"ZUNIGA MELLA ANDRES ALEJANDRO")</f>
        <v>ZUNIGA MELLA ANDRES ALEJANDRO</v>
      </c>
      <c r="V441" t="str">
        <f>IFERROR(__xludf.DUMMYFUNCTION("""COMPUTED_VALUE"""),"15566567-K")</f>
        <v>15566567-K</v>
      </c>
      <c r="W441" t="str">
        <f>IFERROR(__xludf.DUMMYFUNCTION("""COMPUTED_VALUE"""),"NO")</f>
        <v>NO</v>
      </c>
      <c r="AA441" s="38">
        <f>IFERROR(__xludf.DUMMYFUNCTION("""COMPUTED_VALUE"""),42705.0)</f>
        <v>42705</v>
      </c>
      <c r="AB441" s="38">
        <f>IFERROR(__xludf.DUMMYFUNCTION("""COMPUTED_VALUE"""),42583.0)</f>
        <v>42583</v>
      </c>
      <c r="AF441" s="39"/>
      <c r="AG441" s="39"/>
      <c r="AH441" s="34" t="str">
        <f>IFERROR(__xludf.DUMMYFUNCTION("""COMPUTED_VALUE"""),"PROCESO DE SELECCIÓN")</f>
        <v>PROCESO DE SELECCIÓN</v>
      </c>
      <c r="AI441" s="34" t="str">
        <f>IFERROR(__xludf.DUMMYFUNCTION("""COMPUTED_VALUE"""),"CATALINA JARA JORQUERA")</f>
        <v>CATALINA JARA JORQUERA</v>
      </c>
      <c r="AJ441" s="34"/>
      <c r="AK441" s="34" t="str">
        <f>IFERROR(__xludf.DUMMYFUNCTION("""COMPUTED_VALUE"""),"P")</f>
        <v>P</v>
      </c>
      <c r="AL441">
        <f>IFERROR(__xludf.DUMMYFUNCTION("""COMPUTED_VALUE"""),120.0)</f>
        <v>120</v>
      </c>
      <c r="AM441">
        <f>IFERROR(__xludf.DUMMYFUNCTION("""COMPUTED_VALUE"""),2016.0)</f>
        <v>2016</v>
      </c>
      <c r="AN441" t="str">
        <f t="shared" si="1"/>
        <v>15566567-K</v>
      </c>
    </row>
    <row r="442">
      <c r="A442" s="33">
        <f>IFERROR(__xludf.DUMMYFUNCTION("""COMPUTED_VALUE"""),1.72442E7)</f>
        <v>17244200</v>
      </c>
      <c r="B442" s="33">
        <f>IFERROR(__xludf.DUMMYFUNCTION("""COMPUTED_VALUE"""),100.0)</f>
        <v>100</v>
      </c>
      <c r="C442" s="33"/>
      <c r="D442" s="34" t="str">
        <f>IFERROR(__xludf.DUMMYFUNCTION("""COMPUTED_VALUE"""),"INGRESAR CENTRO DE COSTO A LA DERECHA")</f>
        <v>INGRESAR CENTRO DE COSTO A LA DERECHA</v>
      </c>
      <c r="E442" s="34" t="str">
        <f>IFERROR(__xludf.DUMMYFUNCTION("""COMPUTED_VALUE"""),"DPTO. DE INGENIERIA ELECTRICA")</f>
        <v>DPTO. DE INGENIERIA ELECTRICA</v>
      </c>
      <c r="F442" s="34" t="str">
        <f>IFERROR(__xludf.DUMMYFUNCTION("""COMPUTED_VALUE"""),"Asistente de Laboratorio")</f>
        <v>Asistente de Laboratorio</v>
      </c>
      <c r="G442" s="33" t="str">
        <f>IFERROR(__xludf.DUMMYFUNCTION("""COMPUTED_VALUE"""),"ASISTENTE DE LABORATORIO")</f>
        <v>ASISTENTE DE LABORATORIO</v>
      </c>
      <c r="H442">
        <f>IFERROR(__xludf.DUMMYFUNCTION("""COMPUTED_VALUE"""),20.0)</f>
        <v>20</v>
      </c>
      <c r="I442" s="34" t="str">
        <f>IFERROR(__xludf.DUMMYFUNCTION("""COMPUTED_VALUE"""),"Jornada Completa")</f>
        <v>Jornada Completa</v>
      </c>
      <c r="J442" s="33" t="str">
        <f>IFERROR(__xludf.DUMMYFUNCTION("""COMPUTED_VALUE"""),"A CONTRATA")</f>
        <v>A CONTRATA</v>
      </c>
      <c r="K442" s="33" t="str">
        <f>IFERROR(__xludf.DUMMYFUNCTION("""COMPUTED_VALUE"""),"TECNICO")</f>
        <v>TECNICO</v>
      </c>
      <c r="L442" s="34" t="str">
        <f>IFERROR(__xludf.DUMMYFUNCTION("""COMPUTED_VALUE"""),"INTERNO")</f>
        <v>INTERNO</v>
      </c>
      <c r="M442" s="34">
        <f>IFERROR(__xludf.DUMMYFUNCTION("""COMPUTED_VALUE"""),0.0)</f>
        <v>0</v>
      </c>
      <c r="N442" s="34" t="str">
        <f>IFERROR(__xludf.DUMMYFUNCTION("""COMPUTED_VALUE"""),"EXTERNO")</f>
        <v>EXTERNO</v>
      </c>
      <c r="O442">
        <f>IFERROR(__xludf.DUMMYFUNCTION("""COMPUTED_VALUE"""),5.0)</f>
        <v>5</v>
      </c>
      <c r="P442">
        <f>IFERROR(__xludf.DUMMYFUNCTION("""COMPUTED_VALUE"""),2.0)</f>
        <v>2</v>
      </c>
      <c r="Q442" s="35">
        <f>IFERROR(__xludf.DUMMYFUNCTION("""COMPUTED_VALUE"""),1.0)</f>
        <v>1</v>
      </c>
      <c r="R442" s="36" t="str">
        <f>IFERROR(__xludf.DUMMYFUNCTION("""COMPUTED_VALUE"""),"SELECCIONADO")</f>
        <v>SELECCIONADO</v>
      </c>
      <c r="S442" s="37">
        <f>IFERROR(__xludf.DUMMYFUNCTION("""COMPUTED_VALUE"""),42795.0)</f>
        <v>42795</v>
      </c>
      <c r="T442" s="34"/>
      <c r="U442" t="str">
        <f>IFERROR(__xludf.DUMMYFUNCTION("""COMPUTED_VALUE"""),"VICTOR PIZARRO ULLOA")</f>
        <v>VICTOR PIZARRO ULLOA</v>
      </c>
      <c r="V442" t="str">
        <f>IFERROR(__xludf.DUMMYFUNCTION("""COMPUTED_VALUE"""),"17244200-5")</f>
        <v>17244200-5</v>
      </c>
      <c r="W442" t="str">
        <f>IFERROR(__xludf.DUMMYFUNCTION("""COMPUTED_VALUE"""),"SI")</f>
        <v>SI</v>
      </c>
      <c r="X442" t="str">
        <f>IFERROR(__xludf.DUMMYFUNCTION("""COMPUTED_VALUE"""),"TRABAJO EN EQUIPO")</f>
        <v>TRABAJO EN EQUIPO</v>
      </c>
      <c r="AA442" s="38">
        <f>IFERROR(__xludf.DUMMYFUNCTION("""COMPUTED_VALUE"""),42649.0)</f>
        <v>42649</v>
      </c>
      <c r="AB442" s="38">
        <f>IFERROR(__xludf.DUMMYFUNCTION("""COMPUTED_VALUE"""),42656.0)</f>
        <v>42656</v>
      </c>
      <c r="AF442" s="39"/>
      <c r="AG442" s="39"/>
      <c r="AH442" s="34" t="str">
        <f>IFERROR(__xludf.DUMMYFUNCTION("""COMPUTED_VALUE"""),"PROCESO DE SELECCIÓN")</f>
        <v>PROCESO DE SELECCIÓN</v>
      </c>
      <c r="AI442" s="34" t="str">
        <f>IFERROR(__xludf.DUMMYFUNCTION("""COMPUTED_VALUE"""),"FABIAN ALVAREZ RUBILLO")</f>
        <v>FABIAN ALVAREZ RUBILLO</v>
      </c>
      <c r="AJ442" s="34"/>
      <c r="AK442" s="34" t="str">
        <f>IFERROR(__xludf.DUMMYFUNCTION("""COMPUTED_VALUE"""),"P")</f>
        <v>P</v>
      </c>
      <c r="AL442">
        <f>IFERROR(__xludf.DUMMYFUNCTION("""COMPUTED_VALUE"""),100.0)</f>
        <v>100</v>
      </c>
      <c r="AM442">
        <f>IFERROR(__xludf.DUMMYFUNCTION("""COMPUTED_VALUE"""),2016.0)</f>
        <v>2016</v>
      </c>
      <c r="AN442" t="str">
        <f t="shared" si="1"/>
        <v>17244200-5</v>
      </c>
    </row>
    <row r="443">
      <c r="A443" s="33">
        <f>IFERROR(__xludf.DUMMYFUNCTION("""COMPUTED_VALUE"""),1.6875601E7)</f>
        <v>16875601</v>
      </c>
      <c r="B443" s="33">
        <f>IFERROR(__xludf.DUMMYFUNCTION("""COMPUTED_VALUE"""),101.0)</f>
        <v>101</v>
      </c>
      <c r="C443" s="33"/>
      <c r="D443" s="34" t="str">
        <f>IFERROR(__xludf.DUMMYFUNCTION("""COMPUTED_VALUE"""),"INGRESAR CENTRO DE COSTO A LA DERECHA")</f>
        <v>INGRESAR CENTRO DE COSTO A LA DERECHA</v>
      </c>
      <c r="E443" s="34" t="str">
        <f>IFERROR(__xludf.DUMMYFUNCTION("""COMPUTED_VALUE"""),"DPTO. DE INGENIERIA METALURGICA")</f>
        <v>DPTO. DE INGENIERIA METALURGICA</v>
      </c>
      <c r="F443" s="34" t="str">
        <f>IFERROR(__xludf.DUMMYFUNCTION("""COMPUTED_VALUE"""),"Jefe(a) de Laboratorio")</f>
        <v>Jefe(a) de Laboratorio</v>
      </c>
      <c r="G443" s="33" t="str">
        <f>IFERROR(__xludf.DUMMYFUNCTION("""COMPUTED_VALUE"""),"JEFE DE LABORATORIO (ANALISIS QUIMICO)")</f>
        <v>JEFE DE LABORATORIO (ANALISIS QUIMICO)</v>
      </c>
      <c r="H443">
        <f>IFERROR(__xludf.DUMMYFUNCTION("""COMPUTED_VALUE"""),10.0)</f>
        <v>10</v>
      </c>
      <c r="I443" s="34" t="str">
        <f>IFERROR(__xludf.DUMMYFUNCTION("""COMPUTED_VALUE"""),"Jornada Completa")</f>
        <v>Jornada Completa</v>
      </c>
      <c r="J443" s="33" t="str">
        <f>IFERROR(__xludf.DUMMYFUNCTION("""COMPUTED_VALUE"""),"A CONTRATA")</f>
        <v>A CONTRATA</v>
      </c>
      <c r="K443" s="33" t="str">
        <f>IFERROR(__xludf.DUMMYFUNCTION("""COMPUTED_VALUE"""),"PROFESIONAL")</f>
        <v>PROFESIONAL</v>
      </c>
      <c r="L443" s="34" t="str">
        <f>IFERROR(__xludf.DUMMYFUNCTION("""COMPUTED_VALUE"""),"INTERNO")</f>
        <v>INTERNO</v>
      </c>
      <c r="M443" s="34">
        <f>IFERROR(__xludf.DUMMYFUNCTION("""COMPUTED_VALUE"""),2.0)</f>
        <v>2</v>
      </c>
      <c r="N443" s="34" t="str">
        <f>IFERROR(__xludf.DUMMYFUNCTION("""COMPUTED_VALUE"""),"EXTERNO")</f>
        <v>EXTERNO</v>
      </c>
      <c r="O443">
        <f>IFERROR(__xludf.DUMMYFUNCTION("""COMPUTED_VALUE"""),16.0)</f>
        <v>16</v>
      </c>
      <c r="P443">
        <f>IFERROR(__xludf.DUMMYFUNCTION("""COMPUTED_VALUE"""),2.0)</f>
        <v>2</v>
      </c>
      <c r="Q443" s="35">
        <f>IFERROR(__xludf.DUMMYFUNCTION("""COMPUTED_VALUE"""),1.0)</f>
        <v>1</v>
      </c>
      <c r="R443" s="36" t="str">
        <f>IFERROR(__xludf.DUMMYFUNCTION("""COMPUTED_VALUE"""),"SELECCIONADO")</f>
        <v>SELECCIONADO</v>
      </c>
      <c r="S443" s="37">
        <f>IFERROR(__xludf.DUMMYFUNCTION("""COMPUTED_VALUE"""),42795.0)</f>
        <v>42795</v>
      </c>
      <c r="T443" s="34"/>
      <c r="U443" t="str">
        <f>IFERROR(__xludf.DUMMYFUNCTION("""COMPUTED_VALUE"""),"EMMANUELL REYES FUENTES")</f>
        <v>EMMANUELL REYES FUENTES</v>
      </c>
      <c r="V443" t="str">
        <f>IFERROR(__xludf.DUMMYFUNCTION("""COMPUTED_VALUE"""),"16875601-1")</f>
        <v>16875601-1</v>
      </c>
      <c r="W443" t="str">
        <f>IFERROR(__xludf.DUMMYFUNCTION("""COMPUTED_VALUE"""),"SI")</f>
        <v>SI</v>
      </c>
      <c r="X443" t="str">
        <f>IFERROR(__xludf.DUMMYFUNCTION("""COMPUTED_VALUE"""),"CAPACIDAD DE PLANIFICACION Y ORGANIZACION")</f>
        <v>CAPACIDAD DE PLANIFICACION Y ORGANIZACION</v>
      </c>
      <c r="Y443" t="str">
        <f>IFERROR(__xludf.DUMMYFUNCTION("""COMPUTED_VALUE"""),"TRABAJO EN EQUIPO")</f>
        <v>TRABAJO EN EQUIPO</v>
      </c>
      <c r="Z443" t="str">
        <f>IFERROR(__xludf.DUMMYFUNCTION("""COMPUTED_VALUE"""),"Tolerancia a la presion")</f>
        <v>Tolerancia a la presion</v>
      </c>
      <c r="AA443" s="38">
        <f>IFERROR(__xludf.DUMMYFUNCTION("""COMPUTED_VALUE"""),42691.0)</f>
        <v>42691</v>
      </c>
      <c r="AB443" s="38">
        <f>IFERROR(__xludf.DUMMYFUNCTION("""COMPUTED_VALUE"""),42698.0)</f>
        <v>42698</v>
      </c>
      <c r="AF443" s="39"/>
      <c r="AG443" s="39"/>
      <c r="AH443" s="34" t="str">
        <f>IFERROR(__xludf.DUMMYFUNCTION("""COMPUTED_VALUE"""),"PROCESO DE SELECCIÓN")</f>
        <v>PROCESO DE SELECCIÓN</v>
      </c>
      <c r="AI443" s="34" t="str">
        <f>IFERROR(__xludf.DUMMYFUNCTION("""COMPUTED_VALUE"""),"PATRICIA MUÑOZ ZUÑIGA")</f>
        <v>PATRICIA MUÑOZ ZUÑIGA</v>
      </c>
      <c r="AJ443" s="34"/>
      <c r="AK443" s="34" t="str">
        <f>IFERROR(__xludf.DUMMYFUNCTION("""COMPUTED_VALUE"""),"E")</f>
        <v>E</v>
      </c>
      <c r="AL443">
        <f>IFERROR(__xludf.DUMMYFUNCTION("""COMPUTED_VALUE"""),70.0)</f>
        <v>70</v>
      </c>
      <c r="AM443">
        <f>IFERROR(__xludf.DUMMYFUNCTION("""COMPUTED_VALUE"""),2016.0)</f>
        <v>2016</v>
      </c>
      <c r="AN443" t="str">
        <f t="shared" si="1"/>
        <v>16875601-1</v>
      </c>
    </row>
    <row r="444">
      <c r="A444" s="33">
        <f>IFERROR(__xludf.DUMMYFUNCTION("""COMPUTED_VALUE"""),1.7050435E7)</f>
        <v>17050435</v>
      </c>
      <c r="B444" s="33">
        <f>IFERROR(__xludf.DUMMYFUNCTION("""COMPUTED_VALUE"""),102.0)</f>
        <v>102</v>
      </c>
      <c r="C444" s="33"/>
      <c r="D444" s="34" t="str">
        <f>IFERROR(__xludf.DUMMYFUNCTION("""COMPUTED_VALUE"""),"INGRESAR CENTRO DE COSTO A LA DERECHA")</f>
        <v>INGRESAR CENTRO DE COSTO A LA DERECHA</v>
      </c>
      <c r="E444" s="34" t="str">
        <f>IFERROR(__xludf.DUMMYFUNCTION("""COMPUTED_VALUE"""),"FACULTAD DE CIENCIAS MEDICAS")</f>
        <v>FACULTAD DE CIENCIAS MEDICAS</v>
      </c>
      <c r="F444" s="34" t="str">
        <f>IFERROR(__xludf.DUMMYFUNCTION("""COMPUTED_VALUE"""),"Administrativo(a) de Proceso")</f>
        <v>Administrativo(a) de Proceso</v>
      </c>
      <c r="G444" s="33" t="str">
        <f>IFERROR(__xludf.DUMMYFUNCTION("""COMPUTED_VALUE"""),"ADMINISTRATIVO DE PROCESO")</f>
        <v>ADMINISTRATIVO DE PROCESO</v>
      </c>
      <c r="H444">
        <f>IFERROR(__xludf.DUMMYFUNCTION("""COMPUTED_VALUE"""),17.0)</f>
        <v>17</v>
      </c>
      <c r="I444" s="34" t="str">
        <f>IFERROR(__xludf.DUMMYFUNCTION("""COMPUTED_VALUE"""),"Jornada Completa")</f>
        <v>Jornada Completa</v>
      </c>
      <c r="J444" s="33" t="str">
        <f>IFERROR(__xludf.DUMMYFUNCTION("""COMPUTED_VALUE"""),"A CONTRATA")</f>
        <v>A CONTRATA</v>
      </c>
      <c r="K444" s="33" t="str">
        <f>IFERROR(__xludf.DUMMYFUNCTION("""COMPUTED_VALUE"""),"ADMINISTRATIVO")</f>
        <v>ADMINISTRATIVO</v>
      </c>
      <c r="L444" s="34" t="str">
        <f>IFERROR(__xludf.DUMMYFUNCTION("""COMPUTED_VALUE"""),"INTERNO")</f>
        <v>INTERNO</v>
      </c>
      <c r="M444" s="34">
        <f>IFERROR(__xludf.DUMMYFUNCTION("""COMPUTED_VALUE"""),1.0)</f>
        <v>1</v>
      </c>
      <c r="N444" s="34" t="str">
        <f>IFERROR(__xludf.DUMMYFUNCTION("""COMPUTED_VALUE"""),"NO")</f>
        <v>NO</v>
      </c>
      <c r="O444">
        <f>IFERROR(__xludf.DUMMYFUNCTION("""COMPUTED_VALUE"""),0.0)</f>
        <v>0</v>
      </c>
      <c r="P444">
        <f>IFERROR(__xludf.DUMMYFUNCTION("""COMPUTED_VALUE"""),1.0)</f>
        <v>1</v>
      </c>
      <c r="Q444" s="35">
        <f>IFERROR(__xludf.DUMMYFUNCTION("""COMPUTED_VALUE"""),0.0)</f>
        <v>0</v>
      </c>
      <c r="R444" s="36" t="str">
        <f>IFERROR(__xludf.DUMMYFUNCTION("""COMPUTED_VALUE"""),"SELECCIONADA")</f>
        <v>SELECCIONADA</v>
      </c>
      <c r="S444" s="37">
        <f>IFERROR(__xludf.DUMMYFUNCTION("""COMPUTED_VALUE"""),42826.0)</f>
        <v>42826</v>
      </c>
      <c r="T444" s="34" t="str">
        <f>IFERROR(__xludf.DUMMYFUNCTION("""COMPUTED_VALUE"""),"ULLOA DAVIS VALERIA MARLEN")</f>
        <v>ULLOA DAVIS VALERIA MARLEN</v>
      </c>
      <c r="V444" t="str">
        <f>IFERROR(__xludf.DUMMYFUNCTION("""COMPUTED_VALUE"""),"17050435-6")</f>
        <v>17050435-6</v>
      </c>
      <c r="W444" t="str">
        <f>IFERROR(__xludf.DUMMYFUNCTION("""COMPUTED_VALUE"""),"NO")</f>
        <v>NO</v>
      </c>
      <c r="AA444" s="38">
        <f>IFERROR(__xludf.DUMMYFUNCTION("""COMPUTED_VALUE"""),42719.0)</f>
        <v>42719</v>
      </c>
      <c r="AB444" s="38">
        <f>IFERROR(__xludf.DUMMYFUNCTION("""COMPUTED_VALUE"""),42726.0)</f>
        <v>42726</v>
      </c>
      <c r="AF444" s="39"/>
      <c r="AG444" s="39"/>
      <c r="AH444" s="34" t="str">
        <f>IFERROR(__xludf.DUMMYFUNCTION("""COMPUTED_VALUE"""),"PROCESO DE SELECCIÓN")</f>
        <v>PROCESO DE SELECCIÓN</v>
      </c>
      <c r="AI444" s="34" t="str">
        <f>IFERROR(__xludf.DUMMYFUNCTION("""COMPUTED_VALUE"""),"AUTORIZADO 2016 / CORREO")</f>
        <v>AUTORIZADO 2016 / CORREO</v>
      </c>
      <c r="AJ444" s="34"/>
      <c r="AK444" s="34" t="str">
        <f>IFERROR(__xludf.DUMMYFUNCTION("""COMPUTED_VALUE"""),"P")</f>
        <v>P</v>
      </c>
      <c r="AL444">
        <f>IFERROR(__xludf.DUMMYFUNCTION("""COMPUTED_VALUE"""),72.0)</f>
        <v>72</v>
      </c>
      <c r="AM444">
        <f>IFERROR(__xludf.DUMMYFUNCTION("""COMPUTED_VALUE"""),2016.0)</f>
        <v>2016</v>
      </c>
      <c r="AN444" t="str">
        <f t="shared" si="1"/>
        <v>17050435-6</v>
      </c>
    </row>
    <row r="445">
      <c r="A445" s="33">
        <f>IFERROR(__xludf.DUMMYFUNCTION("""COMPUTED_VALUE"""),1.3042684E7)</f>
        <v>13042684</v>
      </c>
      <c r="B445" s="33">
        <f>IFERROR(__xludf.DUMMYFUNCTION("""COMPUTED_VALUE"""),103.0)</f>
        <v>103</v>
      </c>
      <c r="C445" s="33"/>
      <c r="D445" s="34" t="str">
        <f>IFERROR(__xludf.DUMMYFUNCTION("""COMPUTED_VALUE"""),"INGRESAR CENTRO DE COSTO A LA DERECHA")</f>
        <v>INGRESAR CENTRO DE COSTO A LA DERECHA</v>
      </c>
      <c r="E445" s="34" t="str">
        <f>IFERROR(__xludf.DUMMYFUNCTION("""COMPUTED_VALUE"""),"UNIDAD DE COORDINACION INSTIT.")</f>
        <v>UNIDAD DE COORDINACION INSTIT.</v>
      </c>
      <c r="F445" s="34" t="str">
        <f>IFERROR(__xludf.DUMMYFUNCTION("""COMPUTED_VALUE"""),"Administrativo(a) Gestión de Proyectos")</f>
        <v>Administrativo(a) Gestión de Proyectos</v>
      </c>
      <c r="G445" s="33" t="str">
        <f>IFERROR(__xludf.DUMMYFUNCTION("""COMPUTED_VALUE"""),"ADMINISTRATIVO DE GESTIÓN DE PROYECTOS")</f>
        <v>ADMINISTRATIVO DE GESTIÓN DE PROYECTOS</v>
      </c>
      <c r="H445">
        <f>IFERROR(__xludf.DUMMYFUNCTION("""COMPUTED_VALUE"""),10.0)</f>
        <v>10</v>
      </c>
      <c r="I445" s="34" t="str">
        <f>IFERROR(__xludf.DUMMYFUNCTION("""COMPUTED_VALUE"""),"Jornada Completa")</f>
        <v>Jornada Completa</v>
      </c>
      <c r="J445" s="33" t="str">
        <f>IFERROR(__xludf.DUMMYFUNCTION("""COMPUTED_VALUE"""),"A CONTRATA")</f>
        <v>A CONTRATA</v>
      </c>
      <c r="K445" s="33" t="str">
        <f>IFERROR(__xludf.DUMMYFUNCTION("""COMPUTED_VALUE"""),"ADMINISTRATIVO")</f>
        <v>ADMINISTRATIVO</v>
      </c>
      <c r="L445" s="34" t="str">
        <f>IFERROR(__xludf.DUMMYFUNCTION("""COMPUTED_VALUE"""),"INTERNO")</f>
        <v>INTERNO</v>
      </c>
      <c r="M445" s="34">
        <f>IFERROR(__xludf.DUMMYFUNCTION("""COMPUTED_VALUE"""),1.0)</f>
        <v>1</v>
      </c>
      <c r="N445" s="34" t="str">
        <f>IFERROR(__xludf.DUMMYFUNCTION("""COMPUTED_VALUE"""),"NO")</f>
        <v>NO</v>
      </c>
      <c r="O445">
        <f>IFERROR(__xludf.DUMMYFUNCTION("""COMPUTED_VALUE"""),0.0)</f>
        <v>0</v>
      </c>
      <c r="P445">
        <f>IFERROR(__xludf.DUMMYFUNCTION("""COMPUTED_VALUE"""),1.0)</f>
        <v>1</v>
      </c>
      <c r="Q445" s="35">
        <f>IFERROR(__xludf.DUMMYFUNCTION("""COMPUTED_VALUE"""),0.0)</f>
        <v>0</v>
      </c>
      <c r="R445" s="36" t="str">
        <f>IFERROR(__xludf.DUMMYFUNCTION("""COMPUTED_VALUE"""),"SELECCIONADA")</f>
        <v>SELECCIONADA</v>
      </c>
      <c r="S445" s="37">
        <f>IFERROR(__xludf.DUMMYFUNCTION("""COMPUTED_VALUE"""),42614.0)</f>
        <v>42614</v>
      </c>
      <c r="T445" s="34" t="str">
        <f>IFERROR(__xludf.DUMMYFUNCTION("""COMPUTED_VALUE"""),"LEIVA DURAN PAULA VERONICA")</f>
        <v>LEIVA DURAN PAULA VERONICA</v>
      </c>
      <c r="V445" t="str">
        <f>IFERROR(__xludf.DUMMYFUNCTION("""COMPUTED_VALUE"""),"13042684-0")</f>
        <v>13042684-0</v>
      </c>
      <c r="W445" t="str">
        <f>IFERROR(__xludf.DUMMYFUNCTION("""COMPUTED_VALUE"""),"NO")</f>
        <v>NO</v>
      </c>
      <c r="AA445" s="38">
        <f>IFERROR(__xludf.DUMMYFUNCTION("""COMPUTED_VALUE"""),42544.0)</f>
        <v>42544</v>
      </c>
      <c r="AB445" s="38">
        <f>IFERROR(__xludf.DUMMYFUNCTION("""COMPUTED_VALUE"""),42551.0)</f>
        <v>42551</v>
      </c>
      <c r="AF445" s="39"/>
      <c r="AG445" s="39"/>
      <c r="AH445" s="34" t="str">
        <f>IFERROR(__xludf.DUMMYFUNCTION("""COMPUTED_VALUE"""),"PROCESO DE SELECCIÓN")</f>
        <v>PROCESO DE SELECCIÓN</v>
      </c>
      <c r="AI445" s="34" t="str">
        <f>IFERROR(__xludf.DUMMYFUNCTION("""COMPUTED_VALUE"""),"AUTORIZADO 2016")</f>
        <v>AUTORIZADO 2016</v>
      </c>
      <c r="AJ445" s="34"/>
      <c r="AK445" s="34" t="str">
        <f>IFERROR(__xludf.DUMMYFUNCTION("""COMPUTED_VALUE"""),"C")</f>
        <v>C</v>
      </c>
      <c r="AL445">
        <f>IFERROR(__xludf.DUMMYFUNCTION("""COMPUTED_VALUE"""),46.0)</f>
        <v>46</v>
      </c>
      <c r="AM445">
        <f>IFERROR(__xludf.DUMMYFUNCTION("""COMPUTED_VALUE"""),2016.0)</f>
        <v>2016</v>
      </c>
      <c r="AN445" t="str">
        <f t="shared" si="1"/>
        <v>13042684-0</v>
      </c>
    </row>
    <row r="446">
      <c r="A446" s="33">
        <f>IFERROR(__xludf.DUMMYFUNCTION("""COMPUTED_VALUE"""),1.8051229E7)</f>
        <v>18051229</v>
      </c>
      <c r="B446" s="33">
        <f>IFERROR(__xludf.DUMMYFUNCTION("""COMPUTED_VALUE"""),104.0)</f>
        <v>104</v>
      </c>
      <c r="C446" s="33"/>
      <c r="D446" s="34" t="str">
        <f>IFERROR(__xludf.DUMMYFUNCTION("""COMPUTED_VALUE"""),"INGRESAR CENTRO DE COSTO A LA DERECHA")</f>
        <v>INGRESAR CENTRO DE COSTO A LA DERECHA</v>
      </c>
      <c r="E446" s="34" t="str">
        <f>IFERROR(__xludf.DUMMYFUNCTION("""COMPUTED_VALUE"""),"UNIDAD DE COORDINACION INSTIT.")</f>
        <v>UNIDAD DE COORDINACION INSTIT.</v>
      </c>
      <c r="F446" s="34" t="str">
        <f>IFERROR(__xludf.DUMMYFUNCTION("""COMPUTED_VALUE"""),"Administrativo(a) Gestión de Proyectos")</f>
        <v>Administrativo(a) Gestión de Proyectos</v>
      </c>
      <c r="G446" s="33" t="str">
        <f>IFERROR(__xludf.DUMMYFUNCTION("""COMPUTED_VALUE"""),"ADMINISTRATIVO DE GESTIÓN DE PROYECTOS")</f>
        <v>ADMINISTRATIVO DE GESTIÓN DE PROYECTOS</v>
      </c>
      <c r="H446">
        <f>IFERROR(__xludf.DUMMYFUNCTION("""COMPUTED_VALUE"""),12.0)</f>
        <v>12</v>
      </c>
      <c r="I446" s="34" t="str">
        <f>IFERROR(__xludf.DUMMYFUNCTION("""COMPUTED_VALUE"""),"Jornada Completa")</f>
        <v>Jornada Completa</v>
      </c>
      <c r="J446" s="33" t="str">
        <f>IFERROR(__xludf.DUMMYFUNCTION("""COMPUTED_VALUE"""),"A CONTRATA")</f>
        <v>A CONTRATA</v>
      </c>
      <c r="K446" s="33" t="str">
        <f>IFERROR(__xludf.DUMMYFUNCTION("""COMPUTED_VALUE"""),"ADMINISTRATIVO")</f>
        <v>ADMINISTRATIVO</v>
      </c>
      <c r="L446" s="34" t="str">
        <f>IFERROR(__xludf.DUMMYFUNCTION("""COMPUTED_VALUE"""),"INTERNO")</f>
        <v>INTERNO</v>
      </c>
      <c r="M446" s="34">
        <f>IFERROR(__xludf.DUMMYFUNCTION("""COMPUTED_VALUE"""),3.0)</f>
        <v>3</v>
      </c>
      <c r="N446" s="34" t="str">
        <f>IFERROR(__xludf.DUMMYFUNCTION("""COMPUTED_VALUE"""),"EXTERNO")</f>
        <v>EXTERNO</v>
      </c>
      <c r="O446">
        <f>IFERROR(__xludf.DUMMYFUNCTION("""COMPUTED_VALUE"""),3.0)</f>
        <v>3</v>
      </c>
      <c r="P446">
        <f>IFERROR(__xludf.DUMMYFUNCTION("""COMPUTED_VALUE"""),2.0)</f>
        <v>2</v>
      </c>
      <c r="Q446" s="35">
        <f>IFERROR(__xludf.DUMMYFUNCTION("""COMPUTED_VALUE"""),1.0)</f>
        <v>1</v>
      </c>
      <c r="R446" s="36" t="str">
        <f>IFERROR(__xludf.DUMMYFUNCTION("""COMPUTED_VALUE"""),"SELECCIONADA")</f>
        <v>SELECCIONADA</v>
      </c>
      <c r="S446" s="37">
        <f>IFERROR(__xludf.DUMMYFUNCTION("""COMPUTED_VALUE"""),42646.0)</f>
        <v>42646</v>
      </c>
      <c r="T446" s="34"/>
      <c r="U446" t="str">
        <f>IFERROR(__xludf.DUMMYFUNCTION("""COMPUTED_VALUE"""),"MARIELLA CRUZ BARRIOS")</f>
        <v>MARIELLA CRUZ BARRIOS</v>
      </c>
      <c r="V446" t="str">
        <f>IFERROR(__xludf.DUMMYFUNCTION("""COMPUTED_VALUE"""),"18051229-2")</f>
        <v>18051229-2</v>
      </c>
      <c r="W446" t="str">
        <f>IFERROR(__xludf.DUMMYFUNCTION("""COMPUTED_VALUE"""),"NO")</f>
        <v>NO</v>
      </c>
      <c r="AA446" s="38">
        <f>IFERROR(__xludf.DUMMYFUNCTION("""COMPUTED_VALUE"""),42593.0)</f>
        <v>42593</v>
      </c>
      <c r="AB446" s="38">
        <f>IFERROR(__xludf.DUMMYFUNCTION("""COMPUTED_VALUE"""),42600.0)</f>
        <v>42600</v>
      </c>
      <c r="AF446" s="39"/>
      <c r="AG446" s="39"/>
      <c r="AH446" s="34" t="str">
        <f>IFERROR(__xludf.DUMMYFUNCTION("""COMPUTED_VALUE"""),"PROCESO DE SELECCIÓN")</f>
        <v>PROCESO DE SELECCIÓN</v>
      </c>
      <c r="AI446" s="34" t="str">
        <f>IFERROR(__xludf.DUMMYFUNCTION("""COMPUTED_VALUE"""),"AUTORIZADO 2016")</f>
        <v>AUTORIZADO 2016</v>
      </c>
      <c r="AJ446" s="34"/>
      <c r="AK446" s="34" t="str">
        <f>IFERROR(__xludf.DUMMYFUNCTION("""COMPUTED_VALUE"""),"E")</f>
        <v>E</v>
      </c>
      <c r="AL446">
        <f>IFERROR(__xludf.DUMMYFUNCTION("""COMPUTED_VALUE"""),33.0)</f>
        <v>33</v>
      </c>
      <c r="AM446">
        <f>IFERROR(__xludf.DUMMYFUNCTION("""COMPUTED_VALUE"""),2016.0)</f>
        <v>2016</v>
      </c>
      <c r="AN446" t="str">
        <f t="shared" si="1"/>
        <v>18051229-2</v>
      </c>
    </row>
    <row r="447">
      <c r="A447" s="33">
        <f>IFERROR(__xludf.DUMMYFUNCTION("""COMPUTED_VALUE"""),1.2366304E7)</f>
        <v>12366304</v>
      </c>
      <c r="B447" s="33">
        <f>IFERROR(__xludf.DUMMYFUNCTION("""COMPUTED_VALUE"""),105.0)</f>
        <v>105</v>
      </c>
      <c r="C447" s="33"/>
      <c r="D447" s="34" t="str">
        <f>IFERROR(__xludf.DUMMYFUNCTION("""COMPUTED_VALUE"""),"INGRESAR CENTRO DE COSTO A LA DERECHA")</f>
        <v>INGRESAR CENTRO DE COSTO A LA DERECHA</v>
      </c>
      <c r="E447" s="34" t="str">
        <f>IFERROR(__xludf.DUMMYFUNCTION("""COMPUTED_VALUE"""),"VR. ACADEMICA")</f>
        <v>VR. ACADEMICA</v>
      </c>
      <c r="F447" s="34" t="str">
        <f>IFERROR(__xludf.DUMMYFUNCTION("""COMPUTED_VALUE"""),"Estafeta")</f>
        <v>Estafeta</v>
      </c>
      <c r="G447" s="33" t="str">
        <f>IFERROR(__xludf.DUMMYFUNCTION("""COMPUTED_VALUE"""),"ESTAFETA")</f>
        <v>ESTAFETA</v>
      </c>
      <c r="H447">
        <f>IFERROR(__xludf.DUMMYFUNCTION("""COMPUTED_VALUE"""),23.0)</f>
        <v>23</v>
      </c>
      <c r="I447" s="34" t="str">
        <f>IFERROR(__xludf.DUMMYFUNCTION("""COMPUTED_VALUE"""),"Jornada Completa")</f>
        <v>Jornada Completa</v>
      </c>
      <c r="J447" s="33" t="str">
        <f>IFERROR(__xludf.DUMMYFUNCTION("""COMPUTED_VALUE"""),"A CONTRATA")</f>
        <v>A CONTRATA</v>
      </c>
      <c r="K447" s="33" t="str">
        <f>IFERROR(__xludf.DUMMYFUNCTION("""COMPUTED_VALUE"""),"AUXILIAR")</f>
        <v>AUXILIAR</v>
      </c>
      <c r="L447" s="34" t="str">
        <f>IFERROR(__xludf.DUMMYFUNCTION("""COMPUTED_VALUE"""),"INTERNO")</f>
        <v>INTERNO</v>
      </c>
      <c r="M447" s="34">
        <f>IFERROR(__xludf.DUMMYFUNCTION("""COMPUTED_VALUE"""),0.0)</f>
        <v>0</v>
      </c>
      <c r="N447" s="34" t="str">
        <f>IFERROR(__xludf.DUMMYFUNCTION("""COMPUTED_VALUE"""),"EXTERNO")</f>
        <v>EXTERNO</v>
      </c>
      <c r="O447">
        <f>IFERROR(__xludf.DUMMYFUNCTION("""COMPUTED_VALUE"""),19.0)</f>
        <v>19</v>
      </c>
      <c r="P447">
        <f>IFERROR(__xludf.DUMMYFUNCTION("""COMPUTED_VALUE"""),2.0)</f>
        <v>2</v>
      </c>
      <c r="Q447" s="35">
        <f>IFERROR(__xludf.DUMMYFUNCTION("""COMPUTED_VALUE"""),2.0)</f>
        <v>2</v>
      </c>
      <c r="R447" s="36" t="str">
        <f>IFERROR(__xludf.DUMMYFUNCTION("""COMPUTED_VALUE"""),"SELECCIONADA")</f>
        <v>SELECCIONADA</v>
      </c>
      <c r="S447" s="37">
        <f>IFERROR(__xludf.DUMMYFUNCTION("""COMPUTED_VALUE"""),42614.0)</f>
        <v>42614</v>
      </c>
      <c r="T447" s="34"/>
      <c r="U447" t="str">
        <f>IFERROR(__xludf.DUMMYFUNCTION("""COMPUTED_VALUE"""),"PAMELA MURILLO PALOMINOS")</f>
        <v>PAMELA MURILLO PALOMINOS</v>
      </c>
      <c r="V447" t="str">
        <f>IFERROR(__xludf.DUMMYFUNCTION("""COMPUTED_VALUE"""),"12366304-7")</f>
        <v>12366304-7</v>
      </c>
      <c r="W447" t="str">
        <f>IFERROR(__xludf.DUMMYFUNCTION("""COMPUTED_VALUE"""),"NO")</f>
        <v>NO</v>
      </c>
      <c r="AA447" s="38">
        <f>IFERROR(__xludf.DUMMYFUNCTION("""COMPUTED_VALUE"""),42572.0)</f>
        <v>42572</v>
      </c>
      <c r="AB447" s="38">
        <f>IFERROR(__xludf.DUMMYFUNCTION("""COMPUTED_VALUE"""),42576.0)</f>
        <v>42576</v>
      </c>
      <c r="AF447" s="39"/>
      <c r="AG447" s="39"/>
      <c r="AH447" s="34" t="str">
        <f>IFERROR(__xludf.DUMMYFUNCTION("""COMPUTED_VALUE"""),"PROCESO DE SELECCIÓN")</f>
        <v>PROCESO DE SELECCIÓN</v>
      </c>
      <c r="AI447" s="34" t="str">
        <f>IFERROR(__xludf.DUMMYFUNCTION("""COMPUTED_VALUE"""),"JORGE PEÑA BASCUR")</f>
        <v>JORGE PEÑA BASCUR</v>
      </c>
      <c r="AJ447" s="34"/>
      <c r="AK447" s="34" t="str">
        <f>IFERROR(__xludf.DUMMYFUNCTION("""COMPUTED_VALUE"""),"P")</f>
        <v>P</v>
      </c>
      <c r="AL447">
        <f>IFERROR(__xludf.DUMMYFUNCTION("""COMPUTED_VALUE"""),29.0)</f>
        <v>29</v>
      </c>
      <c r="AM447">
        <f>IFERROR(__xludf.DUMMYFUNCTION("""COMPUTED_VALUE"""),2016.0)</f>
        <v>2016</v>
      </c>
      <c r="AN447" t="str">
        <f t="shared" si="1"/>
        <v>12366304-7</v>
      </c>
    </row>
    <row r="448">
      <c r="A448" s="33">
        <f>IFERROR(__xludf.DUMMYFUNCTION("""COMPUTED_VALUE"""),1.1047452E7)</f>
        <v>11047452</v>
      </c>
      <c r="B448" s="33">
        <f>IFERROR(__xludf.DUMMYFUNCTION("""COMPUTED_VALUE"""),106.0)</f>
        <v>106</v>
      </c>
      <c r="C448" s="33"/>
      <c r="D448" s="34" t="str">
        <f>IFERROR(__xludf.DUMMYFUNCTION("""COMPUTED_VALUE"""),"INGRESAR CENTRO DE COSTO A LA DERECHA")</f>
        <v>INGRESAR CENTRO DE COSTO A LA DERECHA</v>
      </c>
      <c r="E448" s="34" t="str">
        <f>IFERROR(__xludf.DUMMYFUNCTION("""COMPUTED_VALUE"""),"DIR. DE ASISTENCIA JURIDICA")</f>
        <v>DIR. DE ASISTENCIA JURIDICA</v>
      </c>
      <c r="F448" s="34" t="str">
        <f>IFERROR(__xludf.DUMMYFUNCTION("""COMPUTED_VALUE"""),"Secretario(a) A")</f>
        <v>Secretario(a) A</v>
      </c>
      <c r="G448" s="33" t="str">
        <f>IFERROR(__xludf.DUMMYFUNCTION("""COMPUTED_VALUE"""),"SECRETARIO(A) DE DIRECCION")</f>
        <v>SECRETARIO(A) DE DIRECCION</v>
      </c>
      <c r="H448">
        <f>IFERROR(__xludf.DUMMYFUNCTION("""COMPUTED_VALUE"""),17.0)</f>
        <v>17</v>
      </c>
      <c r="I448" s="34" t="str">
        <f>IFERROR(__xludf.DUMMYFUNCTION("""COMPUTED_VALUE"""),"Jornada Completa")</f>
        <v>Jornada Completa</v>
      </c>
      <c r="J448" s="33" t="str">
        <f>IFERROR(__xludf.DUMMYFUNCTION("""COMPUTED_VALUE"""),"A CONTRATA")</f>
        <v>A CONTRATA</v>
      </c>
      <c r="K448" s="33" t="str">
        <f>IFERROR(__xludf.DUMMYFUNCTION("""COMPUTED_VALUE"""),"ADMINISTRATIVO")</f>
        <v>ADMINISTRATIVO</v>
      </c>
      <c r="L448" s="34" t="str">
        <f>IFERROR(__xludf.DUMMYFUNCTION("""COMPUTED_VALUE"""),"INTERNO")</f>
        <v>INTERNO</v>
      </c>
      <c r="M448" s="34">
        <f>IFERROR(__xludf.DUMMYFUNCTION("""COMPUTED_VALUE"""),1.0)</f>
        <v>1</v>
      </c>
      <c r="N448" s="34" t="str">
        <f>IFERROR(__xludf.DUMMYFUNCTION("""COMPUTED_VALUE"""),"NO")</f>
        <v>NO</v>
      </c>
      <c r="O448">
        <f>IFERROR(__xludf.DUMMYFUNCTION("""COMPUTED_VALUE"""),0.0)</f>
        <v>0</v>
      </c>
      <c r="P448">
        <f>IFERROR(__xludf.DUMMYFUNCTION("""COMPUTED_VALUE"""),1.0)</f>
        <v>1</v>
      </c>
      <c r="Q448" s="35">
        <f>IFERROR(__xludf.DUMMYFUNCTION("""COMPUTED_VALUE"""),0.0)</f>
        <v>0</v>
      </c>
      <c r="R448" s="36" t="str">
        <f>IFERROR(__xludf.DUMMYFUNCTION("""COMPUTED_VALUE"""),"SELECCIONADA")</f>
        <v>SELECCIONADA</v>
      </c>
      <c r="S448" s="37">
        <f>IFERROR(__xludf.DUMMYFUNCTION("""COMPUTED_VALUE"""),42842.0)</f>
        <v>42842</v>
      </c>
      <c r="T448" s="34" t="str">
        <f>IFERROR(__xludf.DUMMYFUNCTION("""COMPUTED_VALUE"""),"ARREDONDO RIVERA SANDRA ORIANA")</f>
        <v>ARREDONDO RIVERA SANDRA ORIANA</v>
      </c>
      <c r="V448" t="str">
        <f>IFERROR(__xludf.DUMMYFUNCTION("""COMPUTED_VALUE"""),"11047452-0")</f>
        <v>11047452-0</v>
      </c>
      <c r="W448" t="str">
        <f>IFERROR(__xludf.DUMMYFUNCTION("""COMPUTED_VALUE"""),"NO")</f>
        <v>NO</v>
      </c>
      <c r="AA448" s="38">
        <f>IFERROR(__xludf.DUMMYFUNCTION("""COMPUTED_VALUE"""),42723.0)</f>
        <v>42723</v>
      </c>
      <c r="AB448" s="38">
        <f>IFERROR(__xludf.DUMMYFUNCTION("""COMPUTED_VALUE"""),42730.0)</f>
        <v>42730</v>
      </c>
      <c r="AF448" s="39"/>
      <c r="AG448" s="39"/>
      <c r="AH448" s="34" t="str">
        <f>IFERROR(__xludf.DUMMYFUNCTION("""COMPUTED_VALUE"""),"PROCESO DE SELECCIÓN")</f>
        <v>PROCESO DE SELECCIÓN</v>
      </c>
      <c r="AI448" s="34" t="str">
        <f>IFERROR(__xludf.DUMMYFUNCTION("""COMPUTED_VALUE"""),"KARINA MUÑOZ BARRERA")</f>
        <v>KARINA MUÑOZ BARRERA</v>
      </c>
      <c r="AJ448" s="34"/>
      <c r="AK448" s="34" t="str">
        <f>IFERROR(__xludf.DUMMYFUNCTION("""COMPUTED_VALUE"""),"C")</f>
        <v>C</v>
      </c>
      <c r="AL448">
        <f>IFERROR(__xludf.DUMMYFUNCTION("""COMPUTED_VALUE"""),81.0)</f>
        <v>81</v>
      </c>
      <c r="AM448">
        <f>IFERROR(__xludf.DUMMYFUNCTION("""COMPUTED_VALUE"""),2016.0)</f>
        <v>2016</v>
      </c>
      <c r="AN448" t="str">
        <f t="shared" si="1"/>
        <v>11047452-0</v>
      </c>
    </row>
    <row r="449">
      <c r="A449" s="33">
        <f>IFERROR(__xludf.DUMMYFUNCTION("""COMPUTED_VALUE"""),1.6716589E7)</f>
        <v>16716589</v>
      </c>
      <c r="B449" s="33">
        <f>IFERROR(__xludf.DUMMYFUNCTION("""COMPUTED_VALUE"""),107.0)</f>
        <v>107</v>
      </c>
      <c r="C449" s="33"/>
      <c r="D449" s="34" t="str">
        <f>IFERROR(__xludf.DUMMYFUNCTION("""COMPUTED_VALUE"""),"INGRESAR CENTRO DE COSTO A LA DERECHA")</f>
        <v>INGRESAR CENTRO DE COSTO A LA DERECHA</v>
      </c>
      <c r="E449" s="34" t="str">
        <f>IFERROR(__xludf.DUMMYFUNCTION("""COMPUTED_VALUE"""),"ESCUELA DE MEDICINA")</f>
        <v>ESCUELA DE MEDICINA</v>
      </c>
      <c r="F449" s="34" t="str">
        <f>IFERROR(__xludf.DUMMYFUNCTION("""COMPUTED_VALUE"""),"Auxiliar de Servicios")</f>
        <v>Auxiliar de Servicios</v>
      </c>
      <c r="G449" s="33" t="str">
        <f>IFERROR(__xludf.DUMMYFUNCTION("""COMPUTED_VALUE"""),"AUXILIAR DE SERVICIOS (HOSPITAL EL PINO)")</f>
        <v>AUXILIAR DE SERVICIOS (HOSPITAL EL PINO)</v>
      </c>
      <c r="H449">
        <f>IFERROR(__xludf.DUMMYFUNCTION("""COMPUTED_VALUE"""),23.0)</f>
        <v>23</v>
      </c>
      <c r="I449" s="34" t="str">
        <f>IFERROR(__xludf.DUMMYFUNCTION("""COMPUTED_VALUE"""),"Jornada Completa")</f>
        <v>Jornada Completa</v>
      </c>
      <c r="J449" s="33" t="str">
        <f>IFERROR(__xludf.DUMMYFUNCTION("""COMPUTED_VALUE"""),"A CONTRATA")</f>
        <v>A CONTRATA</v>
      </c>
      <c r="K449" s="33" t="str">
        <f>IFERROR(__xludf.DUMMYFUNCTION("""COMPUTED_VALUE"""),"AUXILIAR")</f>
        <v>AUXILIAR</v>
      </c>
      <c r="L449" s="34" t="str">
        <f>IFERROR(__xludf.DUMMYFUNCTION("""COMPUTED_VALUE"""),"INTERNO")</f>
        <v>INTERNO</v>
      </c>
      <c r="M449" s="34">
        <f>IFERROR(__xludf.DUMMYFUNCTION("""COMPUTED_VALUE"""),0.0)</f>
        <v>0</v>
      </c>
      <c r="N449" s="34" t="str">
        <f>IFERROR(__xludf.DUMMYFUNCTION("""COMPUTED_VALUE"""),"EXTERNO")</f>
        <v>EXTERNO</v>
      </c>
      <c r="O449">
        <f>IFERROR(__xludf.DUMMYFUNCTION("""COMPUTED_VALUE"""),15.0)</f>
        <v>15</v>
      </c>
      <c r="P449">
        <f>IFERROR(__xludf.DUMMYFUNCTION("""COMPUTED_VALUE"""),4.0)</f>
        <v>4</v>
      </c>
      <c r="Q449" s="35">
        <f>IFERROR(__xludf.DUMMYFUNCTION("""COMPUTED_VALUE"""),3.0)</f>
        <v>3</v>
      </c>
      <c r="R449" s="36" t="str">
        <f>IFERROR(__xludf.DUMMYFUNCTION("""COMPUTED_VALUE"""),"SELECCIONADA")</f>
        <v>SELECCIONADA</v>
      </c>
      <c r="S449" s="37">
        <f>IFERROR(__xludf.DUMMYFUNCTION("""COMPUTED_VALUE"""),42836.0)</f>
        <v>42836</v>
      </c>
      <c r="T449" s="34"/>
      <c r="U449" t="str">
        <f>IFERROR(__xludf.DUMMYFUNCTION("""COMPUTED_VALUE"""),"KARINA RAMOS CHAMORRO")</f>
        <v>KARINA RAMOS CHAMORRO</v>
      </c>
      <c r="V449" t="str">
        <f>IFERROR(__xludf.DUMMYFUNCTION("""COMPUTED_VALUE"""),"16716589-3")</f>
        <v>16716589-3</v>
      </c>
      <c r="W449" t="str">
        <f>IFERROR(__xludf.DUMMYFUNCTION("""COMPUTED_VALUE"""),"NO")</f>
        <v>NO</v>
      </c>
      <c r="AA449" s="38">
        <f>IFERROR(__xludf.DUMMYFUNCTION("""COMPUTED_VALUE"""),42794.0)</f>
        <v>42794</v>
      </c>
      <c r="AB449" s="38">
        <f>IFERROR(__xludf.DUMMYFUNCTION("""COMPUTED_VALUE"""),42801.0)</f>
        <v>42801</v>
      </c>
      <c r="AF449" s="39"/>
      <c r="AG449" s="39"/>
      <c r="AH449" s="34" t="str">
        <f>IFERROR(__xludf.DUMMYFUNCTION("""COMPUTED_VALUE"""),"PROCESO DE SELECCIÓN")</f>
        <v>PROCESO DE SELECCIÓN</v>
      </c>
      <c r="AI449" s="34" t="str">
        <f>IFERROR(__xludf.DUMMYFUNCTION("""COMPUTED_VALUE"""),"MARIA ARNAIZ PEREZ")</f>
        <v>MARIA ARNAIZ PEREZ</v>
      </c>
      <c r="AJ449" s="34"/>
      <c r="AK449" s="34" t="str">
        <f>IFERROR(__xludf.DUMMYFUNCTION("""COMPUTED_VALUE"""),"P")</f>
        <v>P</v>
      </c>
      <c r="AL449">
        <f>IFERROR(__xludf.DUMMYFUNCTION("""COMPUTED_VALUE"""),26.0)</f>
        <v>26</v>
      </c>
      <c r="AM449">
        <f>IFERROR(__xludf.DUMMYFUNCTION("""COMPUTED_VALUE"""),2016.0)</f>
        <v>2016</v>
      </c>
      <c r="AN449" t="str">
        <f t="shared" si="1"/>
        <v>16716589-3</v>
      </c>
    </row>
    <row r="450">
      <c r="A450" s="33">
        <f>IFERROR(__xludf.DUMMYFUNCTION("""COMPUTED_VALUE"""),1.8698519E7)</f>
        <v>18698519</v>
      </c>
      <c r="B450" s="33">
        <f>IFERROR(__xludf.DUMMYFUNCTION("""COMPUTED_VALUE"""),108.0)</f>
        <v>108</v>
      </c>
      <c r="C450" s="33"/>
      <c r="D450" s="34" t="str">
        <f>IFERROR(__xludf.DUMMYFUNCTION("""COMPUTED_VALUE"""),"INGRESAR CENTRO DE COSTO A LA DERECHA")</f>
        <v>INGRESAR CENTRO DE COSTO A LA DERECHA</v>
      </c>
      <c r="E450" s="34" t="str">
        <f>IFERROR(__xludf.DUMMYFUNCTION("""COMPUTED_VALUE"""),"DPTO. DE MAT. Y CS. DE LA COMP.")</f>
        <v>DPTO. DE MAT. Y CS. DE LA COMP.</v>
      </c>
      <c r="F450" s="34" t="str">
        <f>IFERROR(__xludf.DUMMYFUNCTION("""COMPUTED_VALUE"""),"Administrativo(a) de Apoyo")</f>
        <v>Administrativo(a) de Apoyo</v>
      </c>
      <c r="G450" s="33" t="str">
        <f>IFERROR(__xludf.DUMMYFUNCTION("""COMPUTED_VALUE"""),"ADMINISTRATIVO DE APOYO")</f>
        <v>ADMINISTRATIVO DE APOYO</v>
      </c>
      <c r="H450">
        <f>IFERROR(__xludf.DUMMYFUNCTION("""COMPUTED_VALUE"""),20.0)</f>
        <v>20</v>
      </c>
      <c r="I450" s="34" t="str">
        <f>IFERROR(__xludf.DUMMYFUNCTION("""COMPUTED_VALUE"""),"Jornada Completa")</f>
        <v>Jornada Completa</v>
      </c>
      <c r="J450" s="33" t="str">
        <f>IFERROR(__xludf.DUMMYFUNCTION("""COMPUTED_VALUE"""),"A CONTRATA")</f>
        <v>A CONTRATA</v>
      </c>
      <c r="K450" s="33" t="str">
        <f>IFERROR(__xludf.DUMMYFUNCTION("""COMPUTED_VALUE"""),"ADMINISTRATIVO")</f>
        <v>ADMINISTRATIVO</v>
      </c>
      <c r="L450" s="34" t="str">
        <f>IFERROR(__xludf.DUMMYFUNCTION("""COMPUTED_VALUE"""),"INTERNO")</f>
        <v>INTERNO</v>
      </c>
      <c r="M450" s="34">
        <f>IFERROR(__xludf.DUMMYFUNCTION("""COMPUTED_VALUE"""),0.0)</f>
        <v>0</v>
      </c>
      <c r="N450" s="34" t="str">
        <f>IFERROR(__xludf.DUMMYFUNCTION("""COMPUTED_VALUE"""),"EXTERNO")</f>
        <v>EXTERNO</v>
      </c>
      <c r="O450">
        <f>IFERROR(__xludf.DUMMYFUNCTION("""COMPUTED_VALUE"""),6.0)</f>
        <v>6</v>
      </c>
      <c r="P450">
        <f>IFERROR(__xludf.DUMMYFUNCTION("""COMPUTED_VALUE"""),3.0)</f>
        <v>3</v>
      </c>
      <c r="Q450" s="35">
        <f>IFERROR(__xludf.DUMMYFUNCTION("""COMPUTED_VALUE"""),1.0)</f>
        <v>1</v>
      </c>
      <c r="R450" s="36" t="str">
        <f>IFERROR(__xludf.DUMMYFUNCTION("""COMPUTED_VALUE"""),"SELECCIONADA")</f>
        <v>SELECCIONADA</v>
      </c>
      <c r="S450" s="37">
        <f>IFERROR(__xludf.DUMMYFUNCTION("""COMPUTED_VALUE"""),42836.0)</f>
        <v>42836</v>
      </c>
      <c r="T450" s="34"/>
      <c r="U450" t="str">
        <f>IFERROR(__xludf.DUMMYFUNCTION("""COMPUTED_VALUE"""),"CLAUDIA ARENAS MOYA")</f>
        <v>CLAUDIA ARENAS MOYA</v>
      </c>
      <c r="V450" t="str">
        <f>IFERROR(__xludf.DUMMYFUNCTION("""COMPUTED_VALUE"""),"18698519-2")</f>
        <v>18698519-2</v>
      </c>
      <c r="W450" t="str">
        <f>IFERROR(__xludf.DUMMYFUNCTION("""COMPUTED_VALUE"""),"NO")</f>
        <v>NO</v>
      </c>
      <c r="AA450" s="38">
        <f>IFERROR(__xludf.DUMMYFUNCTION("""COMPUTED_VALUE"""),42794.0)</f>
        <v>42794</v>
      </c>
      <c r="AB450" s="38">
        <f>IFERROR(__xludf.DUMMYFUNCTION("""COMPUTED_VALUE"""),42801.0)</f>
        <v>42801</v>
      </c>
      <c r="AF450" s="39"/>
      <c r="AG450" s="39"/>
      <c r="AH450" s="34" t="str">
        <f>IFERROR(__xludf.DUMMYFUNCTION("""COMPUTED_VALUE"""),"PROCESO DE SELECCIÓN")</f>
        <v>PROCESO DE SELECCIÓN</v>
      </c>
      <c r="AI450" s="34" t="str">
        <f>IFERROR(__xludf.DUMMYFUNCTION("""COMPUTED_VALUE"""),"VICTOR ARELLANO CATALAN")</f>
        <v>VICTOR ARELLANO CATALAN</v>
      </c>
      <c r="AJ450" s="34"/>
      <c r="AK450" s="34" t="str">
        <f>IFERROR(__xludf.DUMMYFUNCTION("""COMPUTED_VALUE"""),"C")</f>
        <v>C</v>
      </c>
      <c r="AL450">
        <f>IFERROR(__xludf.DUMMYFUNCTION("""COMPUTED_VALUE"""),26.0)</f>
        <v>26</v>
      </c>
      <c r="AM450">
        <f>IFERROR(__xludf.DUMMYFUNCTION("""COMPUTED_VALUE"""),2016.0)</f>
        <v>2016</v>
      </c>
      <c r="AN450" t="str">
        <f t="shared" si="1"/>
        <v>18698519-2</v>
      </c>
    </row>
    <row r="451">
      <c r="A451" s="33">
        <f>IFERROR(__xludf.DUMMYFUNCTION("""COMPUTED_VALUE"""),1.7924331E7)</f>
        <v>17924331</v>
      </c>
      <c r="B451" s="33">
        <f>IFERROR(__xludf.DUMMYFUNCTION("""COMPUTED_VALUE"""),109.0)</f>
        <v>109</v>
      </c>
      <c r="C451" s="33"/>
      <c r="D451" s="34" t="str">
        <f>IFERROR(__xludf.DUMMYFUNCTION("""COMPUTED_VALUE"""),"INGRESAR CENTRO DE COSTO A LA DERECHA")</f>
        <v>INGRESAR CENTRO DE COSTO A LA DERECHA</v>
      </c>
      <c r="E451" s="34" t="str">
        <f>IFERROR(__xludf.DUMMYFUNCTION("""COMPUTED_VALUE"""),"UNIDAD DE ADM. SERV. ALIMENTARIOS")</f>
        <v>UNIDAD DE ADM. SERV. ALIMENTARIOS</v>
      </c>
      <c r="F451" s="34" t="str">
        <f>IFERROR(__xludf.DUMMYFUNCTION("""COMPUTED_VALUE"""),"Auxiliar de Servicios")</f>
        <v>Auxiliar de Servicios</v>
      </c>
      <c r="G451" s="33" t="str">
        <f>IFERROR(__xludf.DUMMYFUNCTION("""COMPUTED_VALUE"""),"AUXILIAR DE SERVICIOS")</f>
        <v>AUXILIAR DE SERVICIOS</v>
      </c>
      <c r="H451">
        <f>IFERROR(__xludf.DUMMYFUNCTION("""COMPUTED_VALUE"""),23.0)</f>
        <v>23</v>
      </c>
      <c r="I451" s="34" t="str">
        <f>IFERROR(__xludf.DUMMYFUNCTION("""COMPUTED_VALUE"""),"Jornada Completa")</f>
        <v>Jornada Completa</v>
      </c>
      <c r="J451" s="33" t="str">
        <f>IFERROR(__xludf.DUMMYFUNCTION("""COMPUTED_VALUE"""),"A CONTRATA")</f>
        <v>A CONTRATA</v>
      </c>
      <c r="K451" s="33" t="str">
        <f>IFERROR(__xludf.DUMMYFUNCTION("""COMPUTED_VALUE"""),"AUXILIAR")</f>
        <v>AUXILIAR</v>
      </c>
      <c r="L451" s="34" t="str">
        <f>IFERROR(__xludf.DUMMYFUNCTION("""COMPUTED_VALUE"""),"INTERNO")</f>
        <v>INTERNO</v>
      </c>
      <c r="M451" s="34">
        <f>IFERROR(__xludf.DUMMYFUNCTION("""COMPUTED_VALUE"""),0.0)</f>
        <v>0</v>
      </c>
      <c r="N451" s="34" t="str">
        <f>IFERROR(__xludf.DUMMYFUNCTION("""COMPUTED_VALUE"""),"EXTERNO")</f>
        <v>EXTERNO</v>
      </c>
      <c r="O451">
        <f>IFERROR(__xludf.DUMMYFUNCTION("""COMPUTED_VALUE"""),10.0)</f>
        <v>10</v>
      </c>
      <c r="P451">
        <f>IFERROR(__xludf.DUMMYFUNCTION("""COMPUTED_VALUE"""),1.0)</f>
        <v>1</v>
      </c>
      <c r="Q451" s="35">
        <f>IFERROR(__xludf.DUMMYFUNCTION("""COMPUTED_VALUE"""),1.0)</f>
        <v>1</v>
      </c>
      <c r="R451" s="36" t="str">
        <f>IFERROR(__xludf.DUMMYFUNCTION("""COMPUTED_VALUE"""),"SELECCIONADO")</f>
        <v>SELECCIONADO</v>
      </c>
      <c r="S451" s="37">
        <f>IFERROR(__xludf.DUMMYFUNCTION("""COMPUTED_VALUE"""),42829.0)</f>
        <v>42829</v>
      </c>
      <c r="T451" s="34"/>
      <c r="U451" t="str">
        <f>IFERROR(__xludf.DUMMYFUNCTION("""COMPUTED_VALUE"""),"OMAR MUÑOZ ULLOA")</f>
        <v>OMAR MUÑOZ ULLOA</v>
      </c>
      <c r="V451" t="str">
        <f>IFERROR(__xludf.DUMMYFUNCTION("""COMPUTED_VALUE"""),"17924331-8")</f>
        <v>17924331-8</v>
      </c>
      <c r="W451" t="str">
        <f>IFERROR(__xludf.DUMMYFUNCTION("""COMPUTED_VALUE"""),"NO")</f>
        <v>NO</v>
      </c>
      <c r="AA451" s="38">
        <f>IFERROR(__xludf.DUMMYFUNCTION("""COMPUTED_VALUE"""),42794.0)</f>
        <v>42794</v>
      </c>
      <c r="AB451" s="38">
        <f>IFERROR(__xludf.DUMMYFUNCTION("""COMPUTED_VALUE"""),42801.0)</f>
        <v>42801</v>
      </c>
      <c r="AF451" s="39"/>
      <c r="AG451" s="39"/>
      <c r="AH451" s="34" t="str">
        <f>IFERROR(__xludf.DUMMYFUNCTION("""COMPUTED_VALUE"""),"PROCESO DE SELECCIÓN")</f>
        <v>PROCESO DE SELECCIÓN</v>
      </c>
      <c r="AI451" s="34" t="str">
        <f>IFERROR(__xludf.DUMMYFUNCTION("""COMPUTED_VALUE"""),"ROBINSON MUÑOZ HERNANDEZ")</f>
        <v>ROBINSON MUÑOZ HERNANDEZ</v>
      </c>
      <c r="AJ451" s="34"/>
      <c r="AK451" s="34" t="str">
        <f>IFERROR(__xludf.DUMMYFUNCTION("""COMPUTED_VALUE"""),"E")</f>
        <v>E</v>
      </c>
      <c r="AL451">
        <f>IFERROR(__xludf.DUMMYFUNCTION("""COMPUTED_VALUE"""),21.0)</f>
        <v>21</v>
      </c>
      <c r="AM451">
        <f>IFERROR(__xludf.DUMMYFUNCTION("""COMPUTED_VALUE"""),2016.0)</f>
        <v>2016</v>
      </c>
      <c r="AN451" t="str">
        <f t="shared" si="1"/>
        <v>17924331-8</v>
      </c>
    </row>
    <row r="452">
      <c r="A452" s="33">
        <f>IFERROR(__xludf.DUMMYFUNCTION("""COMPUTED_VALUE"""),1.550534E7)</f>
        <v>15505340</v>
      </c>
      <c r="B452" s="33">
        <f>IFERROR(__xludf.DUMMYFUNCTION("""COMPUTED_VALUE"""),110.0)</f>
        <v>110</v>
      </c>
      <c r="C452" s="33"/>
      <c r="D452" s="34" t="str">
        <f>IFERROR(__xludf.DUMMYFUNCTION("""COMPUTED_VALUE"""),"INGRESAR CENTRO DE COSTO A LA DERECHA")</f>
        <v>INGRESAR CENTRO DE COSTO A LA DERECHA</v>
      </c>
      <c r="E452" s="34" t="str">
        <f>IFERROR(__xludf.DUMMYFUNCTION("""COMPUTED_VALUE"""),"FACULTAD DE DERECHO")</f>
        <v>FACULTAD DE DERECHO</v>
      </c>
      <c r="F452" s="34" t="str">
        <f>IFERROR(__xludf.DUMMYFUNCTION("""COMPUTED_VALUE"""),"Estafeta")</f>
        <v>Estafeta</v>
      </c>
      <c r="G452" s="33" t="str">
        <f>IFERROR(__xludf.DUMMYFUNCTION("""COMPUTED_VALUE"""),"ESTAFETA")</f>
        <v>ESTAFETA</v>
      </c>
      <c r="H452">
        <f>IFERROR(__xludf.DUMMYFUNCTION("""COMPUTED_VALUE"""),23.0)</f>
        <v>23</v>
      </c>
      <c r="I452" s="34" t="str">
        <f>IFERROR(__xludf.DUMMYFUNCTION("""COMPUTED_VALUE"""),"Jornada Completa")</f>
        <v>Jornada Completa</v>
      </c>
      <c r="J452" s="33" t="str">
        <f>IFERROR(__xludf.DUMMYFUNCTION("""COMPUTED_VALUE"""),"A CONTRATA")</f>
        <v>A CONTRATA</v>
      </c>
      <c r="K452" s="33" t="str">
        <f>IFERROR(__xludf.DUMMYFUNCTION("""COMPUTED_VALUE"""),"AUXILIAR")</f>
        <v>AUXILIAR</v>
      </c>
      <c r="L452" s="34" t="str">
        <f>IFERROR(__xludf.DUMMYFUNCTION("""COMPUTED_VALUE"""),"INTERNO")</f>
        <v>INTERNO</v>
      </c>
      <c r="M452" s="34">
        <f>IFERROR(__xludf.DUMMYFUNCTION("""COMPUTED_VALUE"""),1.0)</f>
        <v>1</v>
      </c>
      <c r="N452" s="34" t="str">
        <f>IFERROR(__xludf.DUMMYFUNCTION("""COMPUTED_VALUE"""),"EXTERNO")</f>
        <v>EXTERNO</v>
      </c>
      <c r="O452">
        <f>IFERROR(__xludf.DUMMYFUNCTION("""COMPUTED_VALUE"""),14.0)</f>
        <v>14</v>
      </c>
      <c r="P452">
        <f>IFERROR(__xludf.DUMMYFUNCTION("""COMPUTED_VALUE"""),2.0)</f>
        <v>2</v>
      </c>
      <c r="Q452" s="35">
        <f>IFERROR(__xludf.DUMMYFUNCTION("""COMPUTED_VALUE"""),1.0)</f>
        <v>1</v>
      </c>
      <c r="R452" s="36" t="str">
        <f>IFERROR(__xludf.DUMMYFUNCTION("""COMPUTED_VALUE"""),"SELECCIONADO")</f>
        <v>SELECCIONADO</v>
      </c>
      <c r="S452" s="37">
        <f>IFERROR(__xludf.DUMMYFUNCTION("""COMPUTED_VALUE"""),42933.0)</f>
        <v>42933</v>
      </c>
      <c r="T452" s="34"/>
      <c r="U452" t="str">
        <f>IFERROR(__xludf.DUMMYFUNCTION("""COMPUTED_VALUE"""),"MAURICIO ROJAS MARTINEZ")</f>
        <v>MAURICIO ROJAS MARTINEZ</v>
      </c>
      <c r="V452" t="str">
        <f>IFERROR(__xludf.DUMMYFUNCTION("""COMPUTED_VALUE"""),"15505340-2")</f>
        <v>15505340-2</v>
      </c>
      <c r="W452" t="str">
        <f>IFERROR(__xludf.DUMMYFUNCTION("""COMPUTED_VALUE"""),"NO")</f>
        <v>NO</v>
      </c>
      <c r="AA452" s="38">
        <f>IFERROR(__xludf.DUMMYFUNCTION("""COMPUTED_VALUE"""),42794.0)</f>
        <v>42794</v>
      </c>
      <c r="AB452" s="38">
        <f>IFERROR(__xludf.DUMMYFUNCTION("""COMPUTED_VALUE"""),42797.0)</f>
        <v>42797</v>
      </c>
      <c r="AF452" s="39"/>
      <c r="AG452" s="39"/>
      <c r="AH452" s="34" t="str">
        <f>IFERROR(__xludf.DUMMYFUNCTION("""COMPUTED_VALUE"""),"PROCESO DE SELECCIÓN")</f>
        <v>PROCESO DE SELECCIÓN</v>
      </c>
      <c r="AI452" s="34" t="str">
        <f>IFERROR(__xludf.DUMMYFUNCTION("""COMPUTED_VALUE"""),"AUTORIZADO 2016")</f>
        <v>AUTORIZADO 2016</v>
      </c>
      <c r="AJ452" s="34"/>
      <c r="AK452" s="34" t="str">
        <f>IFERROR(__xludf.DUMMYFUNCTION("""COMPUTED_VALUE"""),"E")</f>
        <v>E</v>
      </c>
      <c r="AL452">
        <f>IFERROR(__xludf.DUMMYFUNCTION("""COMPUTED_VALUE"""),97.0)</f>
        <v>97</v>
      </c>
      <c r="AM452">
        <f>IFERROR(__xludf.DUMMYFUNCTION("""COMPUTED_VALUE"""),2016.0)</f>
        <v>2016</v>
      </c>
      <c r="AN452" t="str">
        <f t="shared" si="1"/>
        <v>15505340-2</v>
      </c>
    </row>
    <row r="453">
      <c r="A453" s="33">
        <f>IFERROR(__xludf.DUMMYFUNCTION("""COMPUTED_VALUE"""),1.5851883E7)</f>
        <v>15851883</v>
      </c>
      <c r="B453" s="33">
        <f>IFERROR(__xludf.DUMMYFUNCTION("""COMPUTED_VALUE"""),111.0)</f>
        <v>111</v>
      </c>
      <c r="C453" s="33"/>
      <c r="D453" s="34" t="str">
        <f>IFERROR(__xludf.DUMMYFUNCTION("""COMPUTED_VALUE"""),"INGRESAR CENTRO DE COSTO A LA DERECHA")</f>
        <v>INGRESAR CENTRO DE COSTO A LA DERECHA</v>
      </c>
      <c r="E453" s="34" t="str">
        <f>IFERROR(__xludf.DUMMYFUNCTION("""COMPUTED_VALUE"""),"FACULTAD DE CIENCIAS MEDICAS")</f>
        <v>FACULTAD DE CIENCIAS MEDICAS</v>
      </c>
      <c r="F453" s="34" t="str">
        <f>IFERROR(__xludf.DUMMYFUNCTION("""COMPUTED_VALUE"""),"Analista de Gestión I")</f>
        <v>Analista de Gestión I</v>
      </c>
      <c r="G453" s="33" t="str">
        <f>IFERROR(__xludf.DUMMYFUNCTION("""COMPUTED_VALUE"""),"ANALISTA DE GESTION I")</f>
        <v>ANALISTA DE GESTION I</v>
      </c>
      <c r="H453">
        <f>IFERROR(__xludf.DUMMYFUNCTION("""COMPUTED_VALUE"""),10.0)</f>
        <v>10</v>
      </c>
      <c r="I453" s="34" t="str">
        <f>IFERROR(__xludf.DUMMYFUNCTION("""COMPUTED_VALUE"""),"Jornada Completa")</f>
        <v>Jornada Completa</v>
      </c>
      <c r="J453" s="33" t="str">
        <f>IFERROR(__xludf.DUMMYFUNCTION("""COMPUTED_VALUE"""),"A CONTRATA")</f>
        <v>A CONTRATA</v>
      </c>
      <c r="K453" s="33" t="str">
        <f>IFERROR(__xludf.DUMMYFUNCTION("""COMPUTED_VALUE"""),"PROFESIONAL")</f>
        <v>PROFESIONAL</v>
      </c>
      <c r="L453" s="34" t="str">
        <f>IFERROR(__xludf.DUMMYFUNCTION("""COMPUTED_VALUE"""),"INTERNO")</f>
        <v>INTERNO</v>
      </c>
      <c r="M453" s="34">
        <f>IFERROR(__xludf.DUMMYFUNCTION("""COMPUTED_VALUE"""),6.0)</f>
        <v>6</v>
      </c>
      <c r="N453" s="34" t="str">
        <f>IFERROR(__xludf.DUMMYFUNCTION("""COMPUTED_VALUE"""),"NO")</f>
        <v>NO</v>
      </c>
      <c r="O453">
        <f>IFERROR(__xludf.DUMMYFUNCTION("""COMPUTED_VALUE"""),0.0)</f>
        <v>0</v>
      </c>
      <c r="P453">
        <f>IFERROR(__xludf.DUMMYFUNCTION("""COMPUTED_VALUE"""),2.0)</f>
        <v>2</v>
      </c>
      <c r="Q453" s="35">
        <f>IFERROR(__xludf.DUMMYFUNCTION("""COMPUTED_VALUE"""),0.0)</f>
        <v>0</v>
      </c>
      <c r="R453" s="36" t="str">
        <f>IFERROR(__xludf.DUMMYFUNCTION("""COMPUTED_VALUE"""),"SELECCIONADO")</f>
        <v>SELECCIONADO</v>
      </c>
      <c r="S453" s="37">
        <f>IFERROR(__xludf.DUMMYFUNCTION("""COMPUTED_VALUE"""),42877.0)</f>
        <v>42877</v>
      </c>
      <c r="T453" s="34" t="str">
        <f>IFERROR(__xludf.DUMMYFUNCTION("""COMPUTED_VALUE"""),"MORENO SOTO FRANCISCO JAVIER")</f>
        <v>MORENO SOTO FRANCISCO JAVIER</v>
      </c>
      <c r="V453" t="str">
        <f>IFERROR(__xludf.DUMMYFUNCTION("""COMPUTED_VALUE"""),"15851883-K")</f>
        <v>15851883-K</v>
      </c>
      <c r="W453" t="str">
        <f>IFERROR(__xludf.DUMMYFUNCTION("""COMPUTED_VALUE"""),"SI")</f>
        <v>SI</v>
      </c>
      <c r="X453" t="str">
        <f>IFERROR(__xludf.DUMMYFUNCTION("""COMPUTED_VALUE"""),"CAPACIDAD DE PLANIFICACION Y ORGANIZACION")</f>
        <v>CAPACIDAD DE PLANIFICACION Y ORGANIZACION</v>
      </c>
      <c r="AA453" s="38">
        <f>IFERROR(__xludf.DUMMYFUNCTION("""COMPUTED_VALUE"""),42719.0)</f>
        <v>42719</v>
      </c>
      <c r="AB453" s="38">
        <f>IFERROR(__xludf.DUMMYFUNCTION("""COMPUTED_VALUE"""),42726.0)</f>
        <v>42726</v>
      </c>
      <c r="AF453" s="39"/>
      <c r="AG453" s="39"/>
      <c r="AH453" s="34" t="str">
        <f>IFERROR(__xludf.DUMMYFUNCTION("""COMPUTED_VALUE"""),"PROCESO DE SELECCIÓN")</f>
        <v>PROCESO DE SELECCIÓN</v>
      </c>
      <c r="AI453" s="34" t="str">
        <f>IFERROR(__xludf.DUMMYFUNCTION("""COMPUTED_VALUE"""),"AUTORIZADO 2016")</f>
        <v>AUTORIZADO 2016</v>
      </c>
      <c r="AJ453" s="34"/>
      <c r="AK453" s="34" t="str">
        <f>IFERROR(__xludf.DUMMYFUNCTION("""COMPUTED_VALUE"""),"C")</f>
        <v>C</v>
      </c>
      <c r="AL453">
        <f>IFERROR(__xludf.DUMMYFUNCTION("""COMPUTED_VALUE"""),108.0)</f>
        <v>108</v>
      </c>
      <c r="AM453">
        <f>IFERROR(__xludf.DUMMYFUNCTION("""COMPUTED_VALUE"""),2016.0)</f>
        <v>2016</v>
      </c>
      <c r="AN453" t="str">
        <f t="shared" si="1"/>
        <v>15851883-K</v>
      </c>
    </row>
    <row r="454">
      <c r="A454" s="33">
        <f>IFERROR(__xludf.DUMMYFUNCTION("""COMPUTED_VALUE"""),1.783941E7)</f>
        <v>17839410</v>
      </c>
      <c r="B454" s="33">
        <f>IFERROR(__xludf.DUMMYFUNCTION("""COMPUTED_VALUE"""),112.0)</f>
        <v>112</v>
      </c>
      <c r="C454" s="33"/>
      <c r="D454" s="34" t="str">
        <f>IFERROR(__xludf.DUMMYFUNCTION("""COMPUTED_VALUE"""),"55")</f>
        <v>55</v>
      </c>
      <c r="E454" s="34" t="str">
        <f>IFERROR(__xludf.DUMMYFUNCTION("""COMPUTED_VALUE"""),"FACULTAD DE HUMANIDADES")</f>
        <v>FACULTAD DE HUMANIDADES</v>
      </c>
      <c r="F454" s="34" t="str">
        <f>IFERROR(__xludf.DUMMYFUNCTION("""COMPUTED_VALUE"""),"Bibliotecario(a)")</f>
        <v>Bibliotecario(a)</v>
      </c>
      <c r="G454" s="33" t="str">
        <f>IFERROR(__xludf.DUMMYFUNCTION("""COMPUTED_VALUE"""),"BIBLIOTECARIO")</f>
        <v>BIBLIOTECARIO</v>
      </c>
      <c r="H454">
        <f>IFERROR(__xludf.DUMMYFUNCTION("""COMPUTED_VALUE"""),14.0)</f>
        <v>14</v>
      </c>
      <c r="I454" s="34" t="str">
        <f>IFERROR(__xludf.DUMMYFUNCTION("""COMPUTED_VALUE"""),"Jornada Completa")</f>
        <v>Jornada Completa</v>
      </c>
      <c r="J454" s="33" t="str">
        <f>IFERROR(__xludf.DUMMYFUNCTION("""COMPUTED_VALUE"""),"A CONTRATA")</f>
        <v>A CONTRATA</v>
      </c>
      <c r="K454" s="33" t="str">
        <f>IFERROR(__xludf.DUMMYFUNCTION("""COMPUTED_VALUE"""),"PROFESIONAL")</f>
        <v>PROFESIONAL</v>
      </c>
      <c r="L454" s="34" t="str">
        <f>IFERROR(__xludf.DUMMYFUNCTION("""COMPUTED_VALUE"""),"INTERNO")</f>
        <v>INTERNO</v>
      </c>
      <c r="M454" s="34">
        <f>IFERROR(__xludf.DUMMYFUNCTION("""COMPUTED_VALUE"""),0.0)</f>
        <v>0</v>
      </c>
      <c r="N454" s="34" t="str">
        <f>IFERROR(__xludf.DUMMYFUNCTION("""COMPUTED_VALUE"""),"EXTERNO")</f>
        <v>EXTERNO</v>
      </c>
      <c r="O454">
        <f>IFERROR(__xludf.DUMMYFUNCTION("""COMPUTED_VALUE"""),11.0)</f>
        <v>11</v>
      </c>
      <c r="P454">
        <f>IFERROR(__xludf.DUMMYFUNCTION("""COMPUTED_VALUE"""),6.0)</f>
        <v>6</v>
      </c>
      <c r="Q454" s="35">
        <f>IFERROR(__xludf.DUMMYFUNCTION("""COMPUTED_VALUE"""),1.0)</f>
        <v>1</v>
      </c>
      <c r="R454" s="36" t="str">
        <f>IFERROR(__xludf.DUMMYFUNCTION("""COMPUTED_VALUE"""),"SELECCIONADA")</f>
        <v>SELECCIONADA</v>
      </c>
      <c r="S454" s="37">
        <f>IFERROR(__xludf.DUMMYFUNCTION("""COMPUTED_VALUE"""),42863.0)</f>
        <v>42863</v>
      </c>
      <c r="T454" s="34"/>
      <c r="U454" t="str">
        <f>IFERROR(__xludf.DUMMYFUNCTION("""COMPUTED_VALUE"""),"ROMINA ARCILA RUIZ")</f>
        <v>ROMINA ARCILA RUIZ</v>
      </c>
      <c r="V454" t="str">
        <f>IFERROR(__xludf.DUMMYFUNCTION("""COMPUTED_VALUE"""),"17839410-K")</f>
        <v>17839410-K</v>
      </c>
      <c r="W454" t="str">
        <f>IFERROR(__xludf.DUMMYFUNCTION("""COMPUTED_VALUE"""),"SI")</f>
        <v>SI</v>
      </c>
      <c r="AA454" s="38">
        <f>IFERROR(__xludf.DUMMYFUNCTION("""COMPUTED_VALUE"""),42647.0)</f>
        <v>42647</v>
      </c>
      <c r="AB454" s="38">
        <f>IFERROR(__xludf.DUMMYFUNCTION("""COMPUTED_VALUE"""),42654.0)</f>
        <v>42654</v>
      </c>
      <c r="AF454" s="39"/>
      <c r="AG454" s="39"/>
      <c r="AH454" s="34" t="str">
        <f>IFERROR(__xludf.DUMMYFUNCTION("""COMPUTED_VALUE"""),"PROCESO DE SELECCIÓN")</f>
        <v>PROCESO DE SELECCIÓN</v>
      </c>
      <c r="AI454" s="34" t="str">
        <f>IFERROR(__xludf.DUMMYFUNCTION("""COMPUTED_VALUE"""),"CHERIE FLORES FERNÁNDEZ")</f>
        <v>CHERIE FLORES FERNÁNDEZ</v>
      </c>
      <c r="AJ454" s="34"/>
      <c r="AK454" s="34" t="str">
        <f>IFERROR(__xludf.DUMMYFUNCTION("""COMPUTED_VALUE"""),"P")</f>
        <v>P</v>
      </c>
      <c r="AL454">
        <f>IFERROR(__xludf.DUMMYFUNCTION("""COMPUTED_VALUE"""),150.0)</f>
        <v>150</v>
      </c>
      <c r="AM454">
        <f>IFERROR(__xludf.DUMMYFUNCTION("""COMPUTED_VALUE"""),2016.0)</f>
        <v>2016</v>
      </c>
      <c r="AN454" t="str">
        <f t="shared" si="1"/>
        <v>17839410-K</v>
      </c>
    </row>
    <row r="455">
      <c r="A455" s="33">
        <f>IFERROR(__xludf.DUMMYFUNCTION("""COMPUTED_VALUE"""),1.5475408E7)</f>
        <v>15475408</v>
      </c>
      <c r="B455" s="33">
        <f>IFERROR(__xludf.DUMMYFUNCTION("""COMPUTED_VALUE"""),113.0)</f>
        <v>113</v>
      </c>
      <c r="C455" s="33"/>
      <c r="D455" s="34" t="str">
        <f>IFERROR(__xludf.DUMMYFUNCTION("""COMPUTED_VALUE"""),"INGRESAR CENTRO DE COSTO A LA DERECHA")</f>
        <v>INGRESAR CENTRO DE COSTO A LA DERECHA</v>
      </c>
      <c r="E455" s="34" t="str">
        <f>IFERROR(__xludf.DUMMYFUNCTION("""COMPUTED_VALUE"""),"FACULTAD DE HUMANIDADES")</f>
        <v>FACULTAD DE HUMANIDADES</v>
      </c>
      <c r="F455" s="34" t="str">
        <f>IFERROR(__xludf.DUMMYFUNCTION("""COMPUTED_VALUE"""),"Estafeta")</f>
        <v>Estafeta</v>
      </c>
      <c r="G455" s="33" t="str">
        <f>IFERROR(__xludf.DUMMYFUNCTION("""COMPUTED_VALUE"""),"ESTAFETA")</f>
        <v>ESTAFETA</v>
      </c>
      <c r="H455">
        <f>IFERROR(__xludf.DUMMYFUNCTION("""COMPUTED_VALUE"""),23.0)</f>
        <v>23</v>
      </c>
      <c r="I455" s="34" t="str">
        <f>IFERROR(__xludf.DUMMYFUNCTION("""COMPUTED_VALUE"""),"Jornada Completa")</f>
        <v>Jornada Completa</v>
      </c>
      <c r="J455" s="33" t="str">
        <f>IFERROR(__xludf.DUMMYFUNCTION("""COMPUTED_VALUE"""),"A CONTRATA")</f>
        <v>A CONTRATA</v>
      </c>
      <c r="K455" s="33" t="str">
        <f>IFERROR(__xludf.DUMMYFUNCTION("""COMPUTED_VALUE"""),"AUXILIAR")</f>
        <v>AUXILIAR</v>
      </c>
      <c r="L455" s="34" t="str">
        <f>IFERROR(__xludf.DUMMYFUNCTION("""COMPUTED_VALUE"""),"NO")</f>
        <v>NO</v>
      </c>
      <c r="M455" s="34">
        <f>IFERROR(__xludf.DUMMYFUNCTION("""COMPUTED_VALUE"""),0.0)</f>
        <v>0</v>
      </c>
      <c r="N455" s="34" t="str">
        <f>IFERROR(__xludf.DUMMYFUNCTION("""COMPUTED_VALUE"""),"EXTERNO")</f>
        <v>EXTERNO</v>
      </c>
      <c r="O455">
        <f>IFERROR(__xludf.DUMMYFUNCTION("""COMPUTED_VALUE"""),19.0)</f>
        <v>19</v>
      </c>
      <c r="P455">
        <f>IFERROR(__xludf.DUMMYFUNCTION("""COMPUTED_VALUE"""),1.0)</f>
        <v>1</v>
      </c>
      <c r="Q455" s="35">
        <f>IFERROR(__xludf.DUMMYFUNCTION("""COMPUTED_VALUE"""),0.0)</f>
        <v>0</v>
      </c>
      <c r="R455" s="36" t="str">
        <f>IFERROR(__xludf.DUMMYFUNCTION("""COMPUTED_VALUE"""),"SELECCIONADO")</f>
        <v>SELECCIONADO</v>
      </c>
      <c r="S455" s="37">
        <f>IFERROR(__xludf.DUMMYFUNCTION("""COMPUTED_VALUE"""),42857.0)</f>
        <v>42857</v>
      </c>
      <c r="T455" s="34"/>
      <c r="U455" t="str">
        <f>IFERROR(__xludf.DUMMYFUNCTION("""COMPUTED_VALUE"""),"PABLO CARREÑO ESCOBAR")</f>
        <v>PABLO CARREÑO ESCOBAR</v>
      </c>
      <c r="V455" t="str">
        <f>IFERROR(__xludf.DUMMYFUNCTION("""COMPUTED_VALUE"""),"15475408-3")</f>
        <v>15475408-3</v>
      </c>
      <c r="W455" t="str">
        <f>IFERROR(__xludf.DUMMYFUNCTION("""COMPUTED_VALUE"""),"SI")</f>
        <v>SI</v>
      </c>
      <c r="X455" t="str">
        <f>IFERROR(__xludf.DUMMYFUNCTION("""COMPUTED_VALUE"""),"Comunicacion")</f>
        <v>Comunicacion</v>
      </c>
      <c r="AA455" s="38">
        <f>IFERROR(__xludf.DUMMYFUNCTION("""COMPUTED_VALUE"""),42691.0)</f>
        <v>42691</v>
      </c>
      <c r="AB455" s="38">
        <f>IFERROR(__xludf.DUMMYFUNCTION("""COMPUTED_VALUE"""),42698.0)</f>
        <v>42698</v>
      </c>
      <c r="AF455" s="39"/>
      <c r="AG455" s="39"/>
      <c r="AH455" s="34" t="str">
        <f>IFERROR(__xludf.DUMMYFUNCTION("""COMPUTED_VALUE"""),"PROCESO DE SELECCIÓN")</f>
        <v>PROCESO DE SELECCIÓN</v>
      </c>
      <c r="AI455" s="34" t="str">
        <f>IFERROR(__xludf.DUMMYFUNCTION("""COMPUTED_VALUE"""),"JULIAN PARDO CARRIÓN")</f>
        <v>JULIAN PARDO CARRIÓN</v>
      </c>
      <c r="AJ455" s="34"/>
      <c r="AK455" s="34" t="str">
        <f>IFERROR(__xludf.DUMMYFUNCTION("""COMPUTED_VALUE"""),"E")</f>
        <v>E</v>
      </c>
      <c r="AL455">
        <f>IFERROR(__xludf.DUMMYFUNCTION("""COMPUTED_VALUE"""),114.0)</f>
        <v>114</v>
      </c>
      <c r="AM455">
        <f>IFERROR(__xludf.DUMMYFUNCTION("""COMPUTED_VALUE"""),2016.0)</f>
        <v>2016</v>
      </c>
      <c r="AN455" t="str">
        <f t="shared" si="1"/>
        <v>15475408-3</v>
      </c>
    </row>
    <row r="456">
      <c r="A456" s="33">
        <f>IFERROR(__xludf.DUMMYFUNCTION("""COMPUTED_VALUE"""),1.3483149E7)</f>
        <v>13483149</v>
      </c>
      <c r="B456" s="33">
        <f>IFERROR(__xludf.DUMMYFUNCTION("""COMPUTED_VALUE"""),39.0)</f>
        <v>39</v>
      </c>
      <c r="C456" s="33"/>
      <c r="D456" s="34" t="str">
        <f>IFERROR(__xludf.DUMMYFUNCTION("""COMPUTED_VALUE"""),"55")</f>
        <v>55</v>
      </c>
      <c r="E456" s="34" t="str">
        <f>IFERROR(__xludf.DUMMYFUNCTION("""COMPUTED_VALUE"""),"ESCUELA DE PSICOLOGIA")</f>
        <v>ESCUELA DE PSICOLOGIA</v>
      </c>
      <c r="F456" s="34" t="str">
        <f>IFERROR(__xludf.DUMMYFUNCTION("""COMPUTED_VALUE"""),"Secretario(a) de Apoyo Docente")</f>
        <v>Secretario(a) de Apoyo Docente</v>
      </c>
      <c r="G456" s="33" t="str">
        <f>IFERROR(__xludf.DUMMYFUNCTION("""COMPUTED_VALUE"""),"SECRETARIA DE APOYO DOCENTE")</f>
        <v>SECRETARIA DE APOYO DOCENTE</v>
      </c>
      <c r="H456">
        <f>IFERROR(__xludf.DUMMYFUNCTION("""COMPUTED_VALUE"""),17.0)</f>
        <v>17</v>
      </c>
      <c r="I456" s="34" t="str">
        <f>IFERROR(__xludf.DUMMYFUNCTION("""COMPUTED_VALUE"""),"Jornada Completa")</f>
        <v>Jornada Completa</v>
      </c>
      <c r="J456" s="33" t="str">
        <f>IFERROR(__xludf.DUMMYFUNCTION("""COMPUTED_VALUE"""),"A CONTRATA")</f>
        <v>A CONTRATA</v>
      </c>
      <c r="K456" s="33" t="str">
        <f>IFERROR(__xludf.DUMMYFUNCTION("""COMPUTED_VALUE"""),"ADMINISTRATIVO")</f>
        <v>ADMINISTRATIVO</v>
      </c>
      <c r="L456" s="34" t="str">
        <f>IFERROR(__xludf.DUMMYFUNCTION("""COMPUTED_VALUE"""),"NO")</f>
        <v>NO</v>
      </c>
      <c r="M456" s="34"/>
      <c r="N456" s="34" t="str">
        <f>IFERROR(__xludf.DUMMYFUNCTION("""COMPUTED_VALUE"""),"NO")</f>
        <v>NO</v>
      </c>
      <c r="O456">
        <f>IFERROR(__xludf.DUMMYFUNCTION("""COMPUTED_VALUE"""),1.0)</f>
        <v>1</v>
      </c>
      <c r="P456">
        <f>IFERROR(__xludf.DUMMYFUNCTION("""COMPUTED_VALUE"""),1.0)</f>
        <v>1</v>
      </c>
      <c r="Q456" s="35"/>
      <c r="R456" s="36" t="str">
        <f>IFERROR(__xludf.DUMMYFUNCTION("""COMPUTED_VALUE"""),"SELECCIONADA")</f>
        <v>SELECCIONADA</v>
      </c>
      <c r="S456" s="37">
        <f>IFERROR(__xludf.DUMMYFUNCTION("""COMPUTED_VALUE"""),42064.0)</f>
        <v>42064</v>
      </c>
      <c r="T456" s="34"/>
      <c r="U456" t="str">
        <f>IFERROR(__xludf.DUMMYFUNCTION("""COMPUTED_VALUE"""),"IVONNE FUENTEALBA PAREDES")</f>
        <v>IVONNE FUENTEALBA PAREDES</v>
      </c>
      <c r="V456" t="str">
        <f>IFERROR(__xludf.DUMMYFUNCTION("""COMPUTED_VALUE"""),"13483149-9")</f>
        <v>13483149-9</v>
      </c>
      <c r="W456" t="str">
        <f>IFERROR(__xludf.DUMMYFUNCTION("""COMPUTED_VALUE"""),"SI")</f>
        <v>SI</v>
      </c>
      <c r="X456" t="str">
        <f>IFERROR(__xludf.DUMMYFUNCTION("""COMPUTED_VALUE"""),"TRABAJO EN EQUIPO")</f>
        <v>TRABAJO EN EQUIPO</v>
      </c>
      <c r="Y456" t="str">
        <f>IFERROR(__xludf.DUMMYFUNCTION("""COMPUTED_VALUE"""),"Preocupacion por el Orden y la Claridad")</f>
        <v>Preocupacion por el Orden y la Claridad</v>
      </c>
      <c r="AA456" s="38"/>
      <c r="AB456" s="38"/>
      <c r="AF456" s="39"/>
      <c r="AG456" s="39"/>
      <c r="AH456" s="34" t="str">
        <f>IFERROR(__xludf.DUMMYFUNCTION("""COMPUTED_VALUE"""),"REGULARIZACIÓN CONTRACTUAL")</f>
        <v>REGULARIZACIÓN CONTRACTUAL</v>
      </c>
      <c r="AI456" s="34"/>
      <c r="AJ456" s="34"/>
      <c r="AK456" s="34"/>
      <c r="AM456">
        <f>IFERROR(__xludf.DUMMYFUNCTION("""COMPUTED_VALUE"""),2015.0)</f>
        <v>2015</v>
      </c>
      <c r="AN456" t="str">
        <f t="shared" si="1"/>
        <v>13483149-9</v>
      </c>
    </row>
    <row r="457">
      <c r="A457" s="33">
        <f>IFERROR(__xludf.DUMMYFUNCTION("""COMPUTED_VALUE"""),1.6427277E7)</f>
        <v>16427277</v>
      </c>
      <c r="B457" s="33">
        <f>IFERROR(__xludf.DUMMYFUNCTION("""COMPUTED_VALUE"""),40.0)</f>
        <v>40</v>
      </c>
      <c r="C457" s="33"/>
      <c r="D457" s="34" t="str">
        <f>IFERROR(__xludf.DUMMYFUNCTION("""COMPUTED_VALUE"""),"11")</f>
        <v>11</v>
      </c>
      <c r="E457" s="34" t="str">
        <f>IFERROR(__xludf.DUMMYFUNCTION("""COMPUTED_VALUE"""),"CENTRO DE INSTRUMENTACION Y DESARROLLO ELECTRONICO")</f>
        <v>CENTRO DE INSTRUMENTACION Y DESARROLLO ELECTRONICO</v>
      </c>
      <c r="F457" s="34" t="str">
        <f>IFERROR(__xludf.DUMMYFUNCTION("""COMPUTED_VALUE"""),"Técnico(a) de Laboratorio")</f>
        <v>Técnico(a) de Laboratorio</v>
      </c>
      <c r="G457" s="33" t="str">
        <f>IFERROR(__xludf.DUMMYFUNCTION("""COMPUTED_VALUE"""),"TÉCNICO DE LABORATORIO")</f>
        <v>TÉCNICO DE LABORATORIO</v>
      </c>
      <c r="H457">
        <f>IFERROR(__xludf.DUMMYFUNCTION("""COMPUTED_VALUE"""),15.0)</f>
        <v>15</v>
      </c>
      <c r="I457" s="34" t="str">
        <f>IFERROR(__xludf.DUMMYFUNCTION("""COMPUTED_VALUE"""),"Jornada Completa")</f>
        <v>Jornada Completa</v>
      </c>
      <c r="J457" s="33" t="str">
        <f>IFERROR(__xludf.DUMMYFUNCTION("""COMPUTED_VALUE"""),"A CONTRATA")</f>
        <v>A CONTRATA</v>
      </c>
      <c r="K457" s="33" t="str">
        <f>IFERROR(__xludf.DUMMYFUNCTION("""COMPUTED_VALUE"""),"TECNICO")</f>
        <v>TECNICO</v>
      </c>
      <c r="L457" s="34" t="str">
        <f>IFERROR(__xludf.DUMMYFUNCTION("""COMPUTED_VALUE"""),"NO")</f>
        <v>NO</v>
      </c>
      <c r="M457" s="34"/>
      <c r="N457" s="34" t="str">
        <f>IFERROR(__xludf.DUMMYFUNCTION("""COMPUTED_VALUE"""),"NO")</f>
        <v>NO</v>
      </c>
      <c r="O457">
        <f>IFERROR(__xludf.DUMMYFUNCTION("""COMPUTED_VALUE"""),1.0)</f>
        <v>1</v>
      </c>
      <c r="P457">
        <f>IFERROR(__xludf.DUMMYFUNCTION("""COMPUTED_VALUE"""),1.0)</f>
        <v>1</v>
      </c>
      <c r="Q457" s="35"/>
      <c r="R457" s="36" t="str">
        <f>IFERROR(__xludf.DUMMYFUNCTION("""COMPUTED_VALUE"""),"SELECCIONADO")</f>
        <v>SELECCIONADO</v>
      </c>
      <c r="S457" s="37">
        <f>IFERROR(__xludf.DUMMYFUNCTION("""COMPUTED_VALUE"""),42095.0)</f>
        <v>42095</v>
      </c>
      <c r="T457" s="34"/>
      <c r="U457" t="str">
        <f>IFERROR(__xludf.DUMMYFUNCTION("""COMPUTED_VALUE"""),"MAURICIO MORALES CARRIEL")</f>
        <v>MAURICIO MORALES CARRIEL</v>
      </c>
      <c r="V457" t="str">
        <f>IFERROR(__xludf.DUMMYFUNCTION("""COMPUTED_VALUE"""),"16427277-K")</f>
        <v>16427277-K</v>
      </c>
      <c r="AA457" s="38"/>
      <c r="AB457" s="38"/>
      <c r="AF457" s="39"/>
      <c r="AG457" s="39"/>
      <c r="AH457" s="34" t="str">
        <f>IFERROR(__xludf.DUMMYFUNCTION("""COMPUTED_VALUE"""),"REGULARIZACIÓN CONTRACTUAL")</f>
        <v>REGULARIZACIÓN CONTRACTUAL</v>
      </c>
      <c r="AI457" s="34"/>
      <c r="AJ457" s="34"/>
      <c r="AK457" s="34"/>
      <c r="AM457">
        <f>IFERROR(__xludf.DUMMYFUNCTION("""COMPUTED_VALUE"""),2015.0)</f>
        <v>2015</v>
      </c>
      <c r="AN457" t="str">
        <f t="shared" si="1"/>
        <v>16427277-K</v>
      </c>
    </row>
    <row r="458">
      <c r="A458" s="33">
        <f>IFERROR(__xludf.DUMMYFUNCTION("""COMPUTED_VALUE"""),1.4207688E7)</f>
        <v>14207688</v>
      </c>
      <c r="B458" s="33">
        <f>IFERROR(__xludf.DUMMYFUNCTION("""COMPUTED_VALUE"""),41.0)</f>
        <v>41</v>
      </c>
      <c r="C458" s="33"/>
      <c r="D458" s="34" t="str">
        <f>IFERROR(__xludf.DUMMYFUNCTION("""COMPUTED_VALUE"""),"11")</f>
        <v>11</v>
      </c>
      <c r="E458" s="34" t="str">
        <f>IFERROR(__xludf.DUMMYFUNCTION("""COMPUTED_VALUE"""),"CENTRO DE INSTRUMENTACION Y DESARROLLO ELECTRONICO")</f>
        <v>CENTRO DE INSTRUMENTACION Y DESARROLLO ELECTRONICO</v>
      </c>
      <c r="F458" s="34" t="str">
        <f>IFERROR(__xludf.DUMMYFUNCTION("""COMPUTED_VALUE"""),"Técnico(a) de Laboratorio")</f>
        <v>Técnico(a) de Laboratorio</v>
      </c>
      <c r="G458" s="33" t="str">
        <f>IFERROR(__xludf.DUMMYFUNCTION("""COMPUTED_VALUE"""),"TÉCNICO DE LABORATORIO")</f>
        <v>TÉCNICO DE LABORATORIO</v>
      </c>
      <c r="H458">
        <f>IFERROR(__xludf.DUMMYFUNCTION("""COMPUTED_VALUE"""),17.0)</f>
        <v>17</v>
      </c>
      <c r="I458" s="34" t="str">
        <f>IFERROR(__xludf.DUMMYFUNCTION("""COMPUTED_VALUE"""),"Jornada Completa")</f>
        <v>Jornada Completa</v>
      </c>
      <c r="J458" s="33" t="str">
        <f>IFERROR(__xludf.DUMMYFUNCTION("""COMPUTED_VALUE"""),"A CONTRATA")</f>
        <v>A CONTRATA</v>
      </c>
      <c r="K458" s="33" t="str">
        <f>IFERROR(__xludf.DUMMYFUNCTION("""COMPUTED_VALUE"""),"TECNICO")</f>
        <v>TECNICO</v>
      </c>
      <c r="L458" s="34" t="str">
        <f>IFERROR(__xludf.DUMMYFUNCTION("""COMPUTED_VALUE"""),"NO")</f>
        <v>NO</v>
      </c>
      <c r="M458" s="34"/>
      <c r="N458" s="34" t="str">
        <f>IFERROR(__xludf.DUMMYFUNCTION("""COMPUTED_VALUE"""),"NO")</f>
        <v>NO</v>
      </c>
      <c r="O458">
        <f>IFERROR(__xludf.DUMMYFUNCTION("""COMPUTED_VALUE"""),1.0)</f>
        <v>1</v>
      </c>
      <c r="P458">
        <f>IFERROR(__xludf.DUMMYFUNCTION("""COMPUTED_VALUE"""),1.0)</f>
        <v>1</v>
      </c>
      <c r="Q458" s="35"/>
      <c r="R458" s="36" t="str">
        <f>IFERROR(__xludf.DUMMYFUNCTION("""COMPUTED_VALUE"""),"SELECCIONADA")</f>
        <v>SELECCIONADA</v>
      </c>
      <c r="S458" s="37">
        <f>IFERROR(__xludf.DUMMYFUNCTION("""COMPUTED_VALUE"""),42095.0)</f>
        <v>42095</v>
      </c>
      <c r="T458" s="34"/>
      <c r="U458" t="str">
        <f>IFERROR(__xludf.DUMMYFUNCTION("""COMPUTED_VALUE"""),"NATALIA MARDONES GOMEZ")</f>
        <v>NATALIA MARDONES GOMEZ</v>
      </c>
      <c r="V458" t="str">
        <f>IFERROR(__xludf.DUMMYFUNCTION("""COMPUTED_VALUE"""),"14207688-8")</f>
        <v>14207688-8</v>
      </c>
      <c r="W458" t="str">
        <f>IFERROR(__xludf.DUMMYFUNCTION("""COMPUTED_VALUE"""),"NO")</f>
        <v>NO</v>
      </c>
      <c r="AA458" s="38"/>
      <c r="AB458" s="38"/>
      <c r="AF458" s="39"/>
      <c r="AG458" s="39"/>
      <c r="AH458" s="34" t="str">
        <f>IFERROR(__xludf.DUMMYFUNCTION("""COMPUTED_VALUE"""),"REGULARIZACIÓN CONTRACTUAL")</f>
        <v>REGULARIZACIÓN CONTRACTUAL</v>
      </c>
      <c r="AI458" s="34"/>
      <c r="AJ458" s="34"/>
      <c r="AK458" s="34"/>
      <c r="AM458">
        <f>IFERROR(__xludf.DUMMYFUNCTION("""COMPUTED_VALUE"""),2015.0)</f>
        <v>2015</v>
      </c>
      <c r="AN458" t="str">
        <f t="shared" si="1"/>
        <v>14207688-8</v>
      </c>
    </row>
    <row r="459">
      <c r="A459" s="33">
        <f>IFERROR(__xludf.DUMMYFUNCTION("""COMPUTED_VALUE"""),1.0228021E7)</f>
        <v>10228021</v>
      </c>
      <c r="B459" s="33">
        <f>IFERROR(__xludf.DUMMYFUNCTION("""COMPUTED_VALUE"""),43.0)</f>
        <v>43</v>
      </c>
      <c r="C459" s="33"/>
      <c r="D459" s="34" t="str">
        <f>IFERROR(__xludf.DUMMYFUNCTION("""COMPUTED_VALUE"""),"50")</f>
        <v>50</v>
      </c>
      <c r="E459" s="34" t="str">
        <f>IFERROR(__xludf.DUMMYFUNCTION("""COMPUTED_VALUE"""),"DEPARTAMENTO DE MATEMATICA Y CIENCIA DE LA COMPUTACION")</f>
        <v>DEPARTAMENTO DE MATEMATICA Y CIENCIA DE LA COMPUTACION</v>
      </c>
      <c r="F459" s="34" t="str">
        <f>IFERROR(__xludf.DUMMYFUNCTION("""COMPUTED_VALUE"""),"Administrador(a) de Sistemas")</f>
        <v>Administrador(a) de Sistemas</v>
      </c>
      <c r="G459" s="33" t="str">
        <f>IFERROR(__xludf.DUMMYFUNCTION("""COMPUTED_VALUE"""),"ADMINISTRADOR DE SISTEMAS")</f>
        <v>ADMINISTRADOR DE SISTEMAS</v>
      </c>
      <c r="H459">
        <f>IFERROR(__xludf.DUMMYFUNCTION("""COMPUTED_VALUE"""),11.0)</f>
        <v>11</v>
      </c>
      <c r="I459" s="34" t="str">
        <f>IFERROR(__xludf.DUMMYFUNCTION("""COMPUTED_VALUE"""),"Jornada Completa")</f>
        <v>Jornada Completa</v>
      </c>
      <c r="J459" s="33" t="str">
        <f>IFERROR(__xludf.DUMMYFUNCTION("""COMPUTED_VALUE"""),"A CONTRATA")</f>
        <v>A CONTRATA</v>
      </c>
      <c r="K459" s="33" t="str">
        <f>IFERROR(__xludf.DUMMYFUNCTION("""COMPUTED_VALUE"""),"PROFESIONAL")</f>
        <v>PROFESIONAL</v>
      </c>
      <c r="L459" s="34" t="str">
        <f>IFERROR(__xludf.DUMMYFUNCTION("""COMPUTED_VALUE"""),"NO")</f>
        <v>NO</v>
      </c>
      <c r="M459" s="34"/>
      <c r="N459" s="34" t="str">
        <f>IFERROR(__xludf.DUMMYFUNCTION("""COMPUTED_VALUE"""),"NO")</f>
        <v>NO</v>
      </c>
      <c r="O459">
        <f>IFERROR(__xludf.DUMMYFUNCTION("""COMPUTED_VALUE"""),1.0)</f>
        <v>1</v>
      </c>
      <c r="P459">
        <f>IFERROR(__xludf.DUMMYFUNCTION("""COMPUTED_VALUE"""),1.0)</f>
        <v>1</v>
      </c>
      <c r="Q459" s="35"/>
      <c r="R459" s="36" t="str">
        <f>IFERROR(__xludf.DUMMYFUNCTION("""COMPUTED_VALUE"""),"SELECCIONADO")</f>
        <v>SELECCIONADO</v>
      </c>
      <c r="S459" s="37">
        <f>IFERROR(__xludf.DUMMYFUNCTION("""COMPUTED_VALUE"""),42186.0)</f>
        <v>42186</v>
      </c>
      <c r="T459" s="34"/>
      <c r="U459" t="str">
        <f>IFERROR(__xludf.DUMMYFUNCTION("""COMPUTED_VALUE"""),"CLAUDIO FARIAS AGUILERA")</f>
        <v>CLAUDIO FARIAS AGUILERA</v>
      </c>
      <c r="V459" t="str">
        <f>IFERROR(__xludf.DUMMYFUNCTION("""COMPUTED_VALUE"""),"10228021-0")</f>
        <v>10228021-0</v>
      </c>
      <c r="W459" t="str">
        <f>IFERROR(__xludf.DUMMYFUNCTION("""COMPUTED_VALUE"""),"SI")</f>
        <v>SI</v>
      </c>
      <c r="Y459" t="str">
        <f>IFERROR(__xludf.DUMMYFUNCTION("""COMPUTED_VALUE"""),"INICIATIVA")</f>
        <v>INICIATIVA</v>
      </c>
      <c r="AA459" s="38"/>
      <c r="AB459" s="38"/>
      <c r="AF459" s="39"/>
      <c r="AG459" s="39"/>
      <c r="AH459" s="34" t="str">
        <f>IFERROR(__xludf.DUMMYFUNCTION("""COMPUTED_VALUE"""),"REGULARIZACIÓN CONTRACTUAL")</f>
        <v>REGULARIZACIÓN CONTRACTUAL</v>
      </c>
      <c r="AI459" s="34"/>
      <c r="AJ459" s="34"/>
      <c r="AK459" s="34"/>
      <c r="AM459">
        <f>IFERROR(__xludf.DUMMYFUNCTION("""COMPUTED_VALUE"""),2015.0)</f>
        <v>2015</v>
      </c>
      <c r="AN459" t="str">
        <f t="shared" si="1"/>
        <v>10228021-0</v>
      </c>
    </row>
    <row r="460">
      <c r="A460" s="33">
        <f>IFERROR(__xludf.DUMMYFUNCTION("""COMPUTED_VALUE"""),1.7021753E7)</f>
        <v>17021753</v>
      </c>
      <c r="B460" s="33">
        <f>IFERROR(__xludf.DUMMYFUNCTION("""COMPUTED_VALUE"""),44.0)</f>
        <v>44</v>
      </c>
      <c r="C460" s="33"/>
      <c r="D460" s="34" t="str">
        <f>IFERROR(__xludf.DUMMYFUNCTION("""COMPUTED_VALUE"""),"1")</f>
        <v>1</v>
      </c>
      <c r="E460" s="34" t="str">
        <f>IFERROR(__xludf.DUMMYFUNCTION("""COMPUTED_VALUE"""),"RECTORIA")</f>
        <v>RECTORIA</v>
      </c>
      <c r="F460" s="34" t="str">
        <f>IFERROR(__xludf.DUMMYFUNCTION("""COMPUTED_VALUE"""),"Analista de Gestión I")</f>
        <v>Analista de Gestión I</v>
      </c>
      <c r="G460" s="33" t="str">
        <f>IFERROR(__xludf.DUMMYFUNCTION("""COMPUTED_VALUE"""),"ANALISTA I")</f>
        <v>ANALISTA I</v>
      </c>
      <c r="H460">
        <f>IFERROR(__xludf.DUMMYFUNCTION("""COMPUTED_VALUE"""),10.0)</f>
        <v>10</v>
      </c>
      <c r="I460" s="34" t="str">
        <f>IFERROR(__xludf.DUMMYFUNCTION("""COMPUTED_VALUE"""),"Jornada Completa")</f>
        <v>Jornada Completa</v>
      </c>
      <c r="J460" s="33" t="str">
        <f>IFERROR(__xludf.DUMMYFUNCTION("""COMPUTED_VALUE"""),"A CONTRATA")</f>
        <v>A CONTRATA</v>
      </c>
      <c r="K460" s="33" t="str">
        <f>IFERROR(__xludf.DUMMYFUNCTION("""COMPUTED_VALUE"""),"PROFESIONAL")</f>
        <v>PROFESIONAL</v>
      </c>
      <c r="L460" s="34" t="str">
        <f>IFERROR(__xludf.DUMMYFUNCTION("""COMPUTED_VALUE"""),"NO")</f>
        <v>NO</v>
      </c>
      <c r="M460" s="34"/>
      <c r="N460" s="34" t="str">
        <f>IFERROR(__xludf.DUMMYFUNCTION("""COMPUTED_VALUE"""),"NO")</f>
        <v>NO</v>
      </c>
      <c r="O460">
        <f>IFERROR(__xludf.DUMMYFUNCTION("""COMPUTED_VALUE"""),1.0)</f>
        <v>1</v>
      </c>
      <c r="P460">
        <f>IFERROR(__xludf.DUMMYFUNCTION("""COMPUTED_VALUE"""),1.0)</f>
        <v>1</v>
      </c>
      <c r="Q460" s="35"/>
      <c r="R460" s="36" t="str">
        <f>IFERROR(__xludf.DUMMYFUNCTION("""COMPUTED_VALUE"""),"SELECCIONADO")</f>
        <v>SELECCIONADO</v>
      </c>
      <c r="S460" s="37">
        <f>IFERROR(__xludf.DUMMYFUNCTION("""COMPUTED_VALUE"""),42186.0)</f>
        <v>42186</v>
      </c>
      <c r="T460" s="34"/>
      <c r="U460" t="str">
        <f>IFERROR(__xludf.DUMMYFUNCTION("""COMPUTED_VALUE"""),"FRANCISCO ACUNA CASTILLO")</f>
        <v>FRANCISCO ACUNA CASTILLO</v>
      </c>
      <c r="V460" t="str">
        <f>IFERROR(__xludf.DUMMYFUNCTION("""COMPUTED_VALUE"""),"17021753-5")</f>
        <v>17021753-5</v>
      </c>
      <c r="W460" t="str">
        <f>IFERROR(__xludf.DUMMYFUNCTION("""COMPUTED_VALUE"""),"SI")</f>
        <v>SI</v>
      </c>
      <c r="X460" t="str">
        <f>IFERROR(__xludf.DUMMYFUNCTION("""COMPUTED_VALUE"""),"PENSAMIENTO ANALITICO")</f>
        <v>PENSAMIENTO ANALITICO</v>
      </c>
      <c r="AA460" s="38"/>
      <c r="AB460" s="38"/>
      <c r="AF460" s="39"/>
      <c r="AG460" s="39"/>
      <c r="AH460" s="34" t="str">
        <f>IFERROR(__xludf.DUMMYFUNCTION("""COMPUTED_VALUE"""),"REGULARIZACIÓN CONTRACTUAL")</f>
        <v>REGULARIZACIÓN CONTRACTUAL</v>
      </c>
      <c r="AI460" s="34"/>
      <c r="AJ460" s="34"/>
      <c r="AK460" s="34"/>
      <c r="AM460">
        <f>IFERROR(__xludf.DUMMYFUNCTION("""COMPUTED_VALUE"""),2015.0)</f>
        <v>2015</v>
      </c>
      <c r="AN460" t="str">
        <f t="shared" si="1"/>
        <v>17021753-5</v>
      </c>
    </row>
    <row r="461">
      <c r="A461" s="33">
        <f>IFERROR(__xludf.DUMMYFUNCTION("""COMPUTED_VALUE"""),1.2236278E7)</f>
        <v>12236278</v>
      </c>
      <c r="B461" s="33">
        <f>IFERROR(__xludf.DUMMYFUNCTION("""COMPUTED_VALUE"""),45.0)</f>
        <v>45</v>
      </c>
      <c r="C461" s="33"/>
      <c r="D461" s="34" t="str">
        <f>IFERROR(__xludf.DUMMYFUNCTION("""COMPUTED_VALUE"""),"22")</f>
        <v>22</v>
      </c>
      <c r="E461" s="34" t="str">
        <f>IFERROR(__xludf.DUMMYFUNCTION("""COMPUTED_VALUE"""),"DEPARTAMENTO DE ASIGNACION DE BENEFICIOS ESTUDIANTILES")</f>
        <v>DEPARTAMENTO DE ASIGNACION DE BENEFICIOS ESTUDIANTILES</v>
      </c>
      <c r="F461" s="34" t="str">
        <f>IFERROR(__xludf.DUMMYFUNCTION("""COMPUTED_VALUE"""),"Administrativo(a) Especializado")</f>
        <v>Administrativo(a) Especializado</v>
      </c>
      <c r="G461" s="33" t="str">
        <f>IFERROR(__xludf.DUMMYFUNCTION("""COMPUTED_VALUE"""),"ADMINISTRATIVO ESPECIALIZADO")</f>
        <v>ADMINISTRATIVO ESPECIALIZADO</v>
      </c>
      <c r="H461">
        <f>IFERROR(__xludf.DUMMYFUNCTION("""COMPUTED_VALUE"""),11.0)</f>
        <v>11</v>
      </c>
      <c r="I461" s="34" t="str">
        <f>IFERROR(__xludf.DUMMYFUNCTION("""COMPUTED_VALUE"""),"Jornada Completa")</f>
        <v>Jornada Completa</v>
      </c>
      <c r="J461" s="33" t="str">
        <f>IFERROR(__xludf.DUMMYFUNCTION("""COMPUTED_VALUE"""),"A CONTRATA")</f>
        <v>A CONTRATA</v>
      </c>
      <c r="K461" s="33" t="str">
        <f>IFERROR(__xludf.DUMMYFUNCTION("""COMPUTED_VALUE"""),"ADMINISTRATIVO")</f>
        <v>ADMINISTRATIVO</v>
      </c>
      <c r="L461" s="34" t="str">
        <f>IFERROR(__xludf.DUMMYFUNCTION("""COMPUTED_VALUE"""),"NO")</f>
        <v>NO</v>
      </c>
      <c r="M461" s="34"/>
      <c r="N461" s="34" t="str">
        <f>IFERROR(__xludf.DUMMYFUNCTION("""COMPUTED_VALUE"""),"NO")</f>
        <v>NO</v>
      </c>
      <c r="O461">
        <f>IFERROR(__xludf.DUMMYFUNCTION("""COMPUTED_VALUE"""),1.0)</f>
        <v>1</v>
      </c>
      <c r="P461">
        <f>IFERROR(__xludf.DUMMYFUNCTION("""COMPUTED_VALUE"""),1.0)</f>
        <v>1</v>
      </c>
      <c r="Q461" s="35"/>
      <c r="R461" s="36" t="str">
        <f>IFERROR(__xludf.DUMMYFUNCTION("""COMPUTED_VALUE"""),"SELECCIONADO")</f>
        <v>SELECCIONADO</v>
      </c>
      <c r="S461" s="37">
        <f>IFERROR(__xludf.DUMMYFUNCTION("""COMPUTED_VALUE"""),42186.0)</f>
        <v>42186</v>
      </c>
      <c r="T461" s="34"/>
      <c r="U461" t="str">
        <f>IFERROR(__xludf.DUMMYFUNCTION("""COMPUTED_VALUE"""),"FREDDY BRIONES GUTIERREZ")</f>
        <v>FREDDY BRIONES GUTIERREZ</v>
      </c>
      <c r="V461" t="str">
        <f>IFERROR(__xludf.DUMMYFUNCTION("""COMPUTED_VALUE"""),"12236278-7")</f>
        <v>12236278-7</v>
      </c>
      <c r="W461" t="str">
        <f>IFERROR(__xludf.DUMMYFUNCTION("""COMPUTED_VALUE"""),"SI")</f>
        <v>SI</v>
      </c>
      <c r="X461" t="str">
        <f>IFERROR(__xludf.DUMMYFUNCTION("""COMPUTED_VALUE"""),"BUSQUEDA DE INFORMACION")</f>
        <v>BUSQUEDA DE INFORMACION</v>
      </c>
      <c r="AA461" s="38"/>
      <c r="AB461" s="38"/>
      <c r="AF461" s="39"/>
      <c r="AG461" s="39"/>
      <c r="AH461" s="34" t="str">
        <f>IFERROR(__xludf.DUMMYFUNCTION("""COMPUTED_VALUE"""),"REGULARIZACIÓN CONTRACTUAL")</f>
        <v>REGULARIZACIÓN CONTRACTUAL</v>
      </c>
      <c r="AI461" s="34"/>
      <c r="AJ461" s="34"/>
      <c r="AK461" s="34"/>
      <c r="AM461">
        <f>IFERROR(__xludf.DUMMYFUNCTION("""COMPUTED_VALUE"""),2015.0)</f>
        <v>2015</v>
      </c>
      <c r="AN461" t="str">
        <f t="shared" si="1"/>
        <v>12236278-7</v>
      </c>
    </row>
    <row r="462">
      <c r="A462" s="33">
        <f>IFERROR(__xludf.DUMMYFUNCTION("""COMPUTED_VALUE"""),1.5894942E7)</f>
        <v>15894942</v>
      </c>
      <c r="B462" s="33">
        <f>IFERROR(__xludf.DUMMYFUNCTION("""COMPUTED_VALUE"""),46.0)</f>
        <v>46</v>
      </c>
      <c r="C462" s="33"/>
      <c r="D462" s="34" t="str">
        <f>IFERROR(__xludf.DUMMYFUNCTION("""COMPUTED_VALUE"""),"60")</f>
        <v>60</v>
      </c>
      <c r="E462" s="34" t="str">
        <f>IFERROR(__xludf.DUMMYFUNCTION("""COMPUTED_VALUE"""),"FACULTAD DE ADMINISTRACION Y ECONOMIA")</f>
        <v>FACULTAD DE ADMINISTRACION Y ECONOMIA</v>
      </c>
      <c r="F462" s="34" t="str">
        <f>IFERROR(__xludf.DUMMYFUNCTION("""COMPUTED_VALUE"""),"Publicista")</f>
        <v>Publicista</v>
      </c>
      <c r="G462" s="33" t="str">
        <f>IFERROR(__xludf.DUMMYFUNCTION("""COMPUTED_VALUE"""),"PUBLICISTA")</f>
        <v>PUBLICISTA</v>
      </c>
      <c r="H462">
        <f>IFERROR(__xludf.DUMMYFUNCTION("""COMPUTED_VALUE"""),13.0)</f>
        <v>13</v>
      </c>
      <c r="I462" s="34" t="str">
        <f>IFERROR(__xludf.DUMMYFUNCTION("""COMPUTED_VALUE"""),"Jornada Completa")</f>
        <v>Jornada Completa</v>
      </c>
      <c r="J462" s="33" t="str">
        <f>IFERROR(__xludf.DUMMYFUNCTION("""COMPUTED_VALUE"""),"A CONTRATA")</f>
        <v>A CONTRATA</v>
      </c>
      <c r="K462" s="33" t="str">
        <f>IFERROR(__xludf.DUMMYFUNCTION("""COMPUTED_VALUE"""),"PROFESIONAL")</f>
        <v>PROFESIONAL</v>
      </c>
      <c r="L462" s="34" t="str">
        <f>IFERROR(__xludf.DUMMYFUNCTION("""COMPUTED_VALUE"""),"NO")</f>
        <v>NO</v>
      </c>
      <c r="M462" s="34"/>
      <c r="N462" s="34" t="str">
        <f>IFERROR(__xludf.DUMMYFUNCTION("""COMPUTED_VALUE"""),"NO")</f>
        <v>NO</v>
      </c>
      <c r="O462">
        <f>IFERROR(__xludf.DUMMYFUNCTION("""COMPUTED_VALUE"""),1.0)</f>
        <v>1</v>
      </c>
      <c r="P462">
        <f>IFERROR(__xludf.DUMMYFUNCTION("""COMPUTED_VALUE"""),1.0)</f>
        <v>1</v>
      </c>
      <c r="Q462" s="35"/>
      <c r="R462" s="36" t="str">
        <f>IFERROR(__xludf.DUMMYFUNCTION("""COMPUTED_VALUE"""),"SELECCIONADO")</f>
        <v>SELECCIONADO</v>
      </c>
      <c r="S462" s="37">
        <f>IFERROR(__xludf.DUMMYFUNCTION("""COMPUTED_VALUE"""),42186.0)</f>
        <v>42186</v>
      </c>
      <c r="T462" s="34"/>
      <c r="U462" t="str">
        <f>IFERROR(__xludf.DUMMYFUNCTION("""COMPUTED_VALUE"""),"JOSE CORONADO JARA")</f>
        <v>JOSE CORONADO JARA</v>
      </c>
      <c r="V462" t="str">
        <f>IFERROR(__xludf.DUMMYFUNCTION("""COMPUTED_VALUE"""),"15894942-3")</f>
        <v>15894942-3</v>
      </c>
      <c r="W462" t="str">
        <f>IFERROR(__xludf.DUMMYFUNCTION("""COMPUTED_VALUE"""),"SI")</f>
        <v>SI</v>
      </c>
      <c r="X462" t="str">
        <f>IFERROR(__xludf.DUMMYFUNCTION("""COMPUTED_VALUE"""),"INICIATIVA")</f>
        <v>INICIATIVA</v>
      </c>
      <c r="AA462" s="38"/>
      <c r="AB462" s="38"/>
      <c r="AF462" s="39"/>
      <c r="AG462" s="39"/>
      <c r="AH462" s="34" t="str">
        <f>IFERROR(__xludf.DUMMYFUNCTION("""COMPUTED_VALUE"""),"REGULARIZACIÓN CONTRACTUAL")</f>
        <v>REGULARIZACIÓN CONTRACTUAL</v>
      </c>
      <c r="AI462" s="34"/>
      <c r="AJ462" s="34"/>
      <c r="AK462" s="34"/>
      <c r="AM462">
        <f>IFERROR(__xludf.DUMMYFUNCTION("""COMPUTED_VALUE"""),2015.0)</f>
        <v>2015</v>
      </c>
      <c r="AN462" t="str">
        <f t="shared" si="1"/>
        <v>15894942-3</v>
      </c>
    </row>
    <row r="463">
      <c r="A463" s="33">
        <f>IFERROR(__xludf.DUMMYFUNCTION("""COMPUTED_VALUE"""),1.5830917E7)</f>
        <v>15830917</v>
      </c>
      <c r="B463" s="33">
        <f>IFERROR(__xludf.DUMMYFUNCTION("""COMPUTED_VALUE"""),47.0)</f>
        <v>47</v>
      </c>
      <c r="C463" s="33"/>
      <c r="D463" s="34" t="str">
        <f>IFERROR(__xludf.DUMMYFUNCTION("""COMPUTED_VALUE"""),"3")</f>
        <v>3</v>
      </c>
      <c r="E463" s="34" t="str">
        <f>IFERROR(__xludf.DUMMYFUNCTION("""COMPUTED_VALUE"""),"DEPARTAMENTO DE ESTUDIOS")</f>
        <v>DEPARTAMENTO DE ESTUDIOS</v>
      </c>
      <c r="F463" s="34" t="str">
        <f>IFERROR(__xludf.DUMMYFUNCTION("""COMPUTED_VALUE"""),"Analista de Gestión I")</f>
        <v>Analista de Gestión I</v>
      </c>
      <c r="G463" s="33" t="str">
        <f>IFERROR(__xludf.DUMMYFUNCTION("""COMPUTED_VALUE"""),"ANALISTA I")</f>
        <v>ANALISTA I</v>
      </c>
      <c r="H463">
        <f>IFERROR(__xludf.DUMMYFUNCTION("""COMPUTED_VALUE"""),8.0)</f>
        <v>8</v>
      </c>
      <c r="I463" s="34" t="str">
        <f>IFERROR(__xludf.DUMMYFUNCTION("""COMPUTED_VALUE"""),"Jornada Completa")</f>
        <v>Jornada Completa</v>
      </c>
      <c r="J463" s="33" t="str">
        <f>IFERROR(__xludf.DUMMYFUNCTION("""COMPUTED_VALUE"""),"A CONTRATA")</f>
        <v>A CONTRATA</v>
      </c>
      <c r="K463" s="33" t="str">
        <f>IFERROR(__xludf.DUMMYFUNCTION("""COMPUTED_VALUE"""),"PROFESIONAL")</f>
        <v>PROFESIONAL</v>
      </c>
      <c r="L463" s="34" t="str">
        <f>IFERROR(__xludf.DUMMYFUNCTION("""COMPUTED_VALUE"""),"NO")</f>
        <v>NO</v>
      </c>
      <c r="M463" s="34"/>
      <c r="N463" s="34" t="str">
        <f>IFERROR(__xludf.DUMMYFUNCTION("""COMPUTED_VALUE"""),"NO")</f>
        <v>NO</v>
      </c>
      <c r="O463">
        <f>IFERROR(__xludf.DUMMYFUNCTION("""COMPUTED_VALUE"""),1.0)</f>
        <v>1</v>
      </c>
      <c r="P463">
        <f>IFERROR(__xludf.DUMMYFUNCTION("""COMPUTED_VALUE"""),1.0)</f>
        <v>1</v>
      </c>
      <c r="Q463" s="35"/>
      <c r="R463" s="36" t="str">
        <f>IFERROR(__xludf.DUMMYFUNCTION("""COMPUTED_VALUE"""),"SELECCIONADO")</f>
        <v>SELECCIONADO</v>
      </c>
      <c r="S463" s="37">
        <f>IFERROR(__xludf.DUMMYFUNCTION("""COMPUTED_VALUE"""),42186.0)</f>
        <v>42186</v>
      </c>
      <c r="T463" s="34"/>
      <c r="U463" t="str">
        <f>IFERROR(__xludf.DUMMYFUNCTION("""COMPUTED_VALUE"""),"LEONARDO COFRE CATALAN")</f>
        <v>LEONARDO COFRE CATALAN</v>
      </c>
      <c r="V463" t="str">
        <f>IFERROR(__xludf.DUMMYFUNCTION("""COMPUTED_VALUE"""),"15830917-3")</f>
        <v>15830917-3</v>
      </c>
      <c r="W463" t="str">
        <f>IFERROR(__xludf.DUMMYFUNCTION("""COMPUTED_VALUE"""),"SI")</f>
        <v>SI</v>
      </c>
      <c r="X463" t="str">
        <f>IFERROR(__xludf.DUMMYFUNCTION("""COMPUTED_VALUE"""),"PENSAMIENTO ANALITICO")</f>
        <v>PENSAMIENTO ANALITICO</v>
      </c>
      <c r="AA463" s="38"/>
      <c r="AB463" s="38"/>
      <c r="AF463" s="39"/>
      <c r="AG463" s="39"/>
      <c r="AH463" s="34" t="str">
        <f>IFERROR(__xludf.DUMMYFUNCTION("""COMPUTED_VALUE"""),"REGULARIZACIÓN CONTRACTUAL")</f>
        <v>REGULARIZACIÓN CONTRACTUAL</v>
      </c>
      <c r="AI463" s="34"/>
      <c r="AJ463" s="34"/>
      <c r="AK463" s="34"/>
      <c r="AM463">
        <f>IFERROR(__xludf.DUMMYFUNCTION("""COMPUTED_VALUE"""),2015.0)</f>
        <v>2015</v>
      </c>
      <c r="AN463" t="str">
        <f t="shared" si="1"/>
        <v>15830917-3</v>
      </c>
    </row>
    <row r="464">
      <c r="A464" s="33">
        <f>IFERROR(__xludf.DUMMYFUNCTION("""COMPUTED_VALUE"""),1.54546E7)</f>
        <v>15454600</v>
      </c>
      <c r="B464" s="33">
        <f>IFERROR(__xludf.DUMMYFUNCTION("""COMPUTED_VALUE"""),1.0)</f>
        <v>1</v>
      </c>
      <c r="C464" s="33"/>
      <c r="D464" s="34" t="str">
        <f>IFERROR(__xludf.DUMMYFUNCTION("""COMPUTED_VALUE"""),"3")</f>
        <v>3</v>
      </c>
      <c r="E464" s="34" t="str">
        <f>IFERROR(__xludf.DUMMYFUNCTION("""COMPUTED_VALUE"""),"UNIDAD DE BIENESTAR DEL PERSONAL")</f>
        <v>UNIDAD DE BIENESTAR DEL PERSONAL</v>
      </c>
      <c r="F464" s="34" t="str">
        <f>IFERROR(__xludf.DUMMYFUNCTION("""COMPUTED_VALUE"""),"Técnico(a) en Atención de Párvulos")</f>
        <v>Técnico(a) en Atención de Párvulos</v>
      </c>
      <c r="G464" s="33" t="str">
        <f>IFERROR(__xludf.DUMMYFUNCTION("""COMPUTED_VALUE"""),"TECNICO DE PARVULOS")</f>
        <v>TECNICO DE PARVULOS</v>
      </c>
      <c r="H464">
        <f>IFERROR(__xludf.DUMMYFUNCTION("""COMPUTED_VALUE"""),21.0)</f>
        <v>21</v>
      </c>
      <c r="I464" s="34" t="str">
        <f>IFERROR(__xludf.DUMMYFUNCTION("""COMPUTED_VALUE"""),"Jornada Completa")</f>
        <v>Jornada Completa</v>
      </c>
      <c r="J464" s="33" t="str">
        <f>IFERROR(__xludf.DUMMYFUNCTION("""COMPUTED_VALUE"""),"A CONTRATA")</f>
        <v>A CONTRATA</v>
      </c>
      <c r="K464" s="33" t="str">
        <f>IFERROR(__xludf.DUMMYFUNCTION("""COMPUTED_VALUE"""),"TECNICO")</f>
        <v>TECNICO</v>
      </c>
      <c r="L464" s="34" t="str">
        <f>IFERROR(__xludf.DUMMYFUNCTION("""COMPUTED_VALUE"""),"INTERNO")</f>
        <v>INTERNO</v>
      </c>
      <c r="M464" s="34">
        <f>IFERROR(__xludf.DUMMYFUNCTION("""COMPUTED_VALUE"""),0.0)</f>
        <v>0</v>
      </c>
      <c r="N464" s="34" t="str">
        <f>IFERROR(__xludf.DUMMYFUNCTION("""COMPUTED_VALUE"""),"EXTERNO")</f>
        <v>EXTERNO</v>
      </c>
      <c r="O464">
        <f>IFERROR(__xludf.DUMMYFUNCTION("""COMPUTED_VALUE"""),9.0)</f>
        <v>9</v>
      </c>
      <c r="P464">
        <f>IFERROR(__xludf.DUMMYFUNCTION("""COMPUTED_VALUE"""),5.0)</f>
        <v>5</v>
      </c>
      <c r="Q464" s="35">
        <f>IFERROR(__xludf.DUMMYFUNCTION("""COMPUTED_VALUE"""),1.0)</f>
        <v>1</v>
      </c>
      <c r="R464" s="36" t="str">
        <f>IFERROR(__xludf.DUMMYFUNCTION("""COMPUTED_VALUE"""),"SELECCIONADA")</f>
        <v>SELECCIONADA</v>
      </c>
      <c r="S464" s="37">
        <f>IFERROR(__xludf.DUMMYFUNCTION("""COMPUTED_VALUE"""),42095.0)</f>
        <v>42095</v>
      </c>
      <c r="T464" s="34"/>
      <c r="U464" t="str">
        <f>IFERROR(__xludf.DUMMYFUNCTION("""COMPUTED_VALUE"""),"MARIA CERDA ANCAMIL")</f>
        <v>MARIA CERDA ANCAMIL</v>
      </c>
      <c r="V464" t="str">
        <f>IFERROR(__xludf.DUMMYFUNCTION("""COMPUTED_VALUE"""),"15454600-6")</f>
        <v>15454600-6</v>
      </c>
      <c r="W464" t="str">
        <f>IFERROR(__xludf.DUMMYFUNCTION("""COMPUTED_VALUE"""),"SI")</f>
        <v>SI</v>
      </c>
      <c r="X464" t="str">
        <f>IFERROR(__xludf.DUMMYFUNCTION("""COMPUTED_VALUE"""),"AUTOCONTROL")</f>
        <v>AUTOCONTROL</v>
      </c>
      <c r="AA464" s="38">
        <f>IFERROR(__xludf.DUMMYFUNCTION("""COMPUTED_VALUE"""),42065.0)</f>
        <v>42065</v>
      </c>
      <c r="AB464" s="38">
        <f>IFERROR(__xludf.DUMMYFUNCTION("""COMPUTED_VALUE"""),42072.0)</f>
        <v>42072</v>
      </c>
      <c r="AF464" s="39"/>
      <c r="AG464" s="39"/>
      <c r="AH464" s="34" t="str">
        <f>IFERROR(__xludf.DUMMYFUNCTION("""COMPUTED_VALUE"""),"PROCESO DE SELECCIÓN")</f>
        <v>PROCESO DE SELECCIÓN</v>
      </c>
      <c r="AI464" s="34"/>
      <c r="AJ464" s="34"/>
      <c r="AK464" s="34" t="str">
        <f>IFERROR(__xludf.DUMMYFUNCTION("""COMPUTED_VALUE"""),"C")</f>
        <v>C</v>
      </c>
      <c r="AL464">
        <f>IFERROR(__xludf.DUMMYFUNCTION("""COMPUTED_VALUE"""),18.0)</f>
        <v>18</v>
      </c>
      <c r="AM464">
        <f>IFERROR(__xludf.DUMMYFUNCTION("""COMPUTED_VALUE"""),2015.0)</f>
        <v>2015</v>
      </c>
      <c r="AN464" t="str">
        <f t="shared" si="1"/>
        <v>15454600-6</v>
      </c>
    </row>
    <row r="465">
      <c r="A465" s="33">
        <f>IFERROR(__xludf.DUMMYFUNCTION("""COMPUTED_VALUE"""),7368541.0)</f>
        <v>7368541</v>
      </c>
      <c r="B465" s="33">
        <f>IFERROR(__xludf.DUMMYFUNCTION("""COMPUTED_VALUE"""),2.0)</f>
        <v>2</v>
      </c>
      <c r="C465" s="33"/>
      <c r="D465" s="34" t="str">
        <f>IFERROR(__xludf.DUMMYFUNCTION("""COMPUTED_VALUE"""),"3")</f>
        <v>3</v>
      </c>
      <c r="E465" s="34" t="str">
        <f>IFERROR(__xludf.DUMMYFUNCTION("""COMPUTED_VALUE"""),"UNIDAD DE GESTION DEL CAMPUS")</f>
        <v>UNIDAD DE GESTION DEL CAMPUS</v>
      </c>
      <c r="F465" s="34" t="str">
        <f>IFERROR(__xludf.DUMMYFUNCTION("""COMPUTED_VALUE"""),"Operador(a) de Caldera")</f>
        <v>Operador(a) de Caldera</v>
      </c>
      <c r="G465" s="33" t="str">
        <f>IFERROR(__xludf.DUMMYFUNCTION("""COMPUTED_VALUE"""),"OPERADOR DE CALDERA")</f>
        <v>OPERADOR DE CALDERA</v>
      </c>
      <c r="H465">
        <f>IFERROR(__xludf.DUMMYFUNCTION("""COMPUTED_VALUE"""),17.0)</f>
        <v>17</v>
      </c>
      <c r="I465" s="34" t="str">
        <f>IFERROR(__xludf.DUMMYFUNCTION("""COMPUTED_VALUE"""),"Jornada Completa")</f>
        <v>Jornada Completa</v>
      </c>
      <c r="J465" s="33" t="str">
        <f>IFERROR(__xludf.DUMMYFUNCTION("""COMPUTED_VALUE"""),"A CONTRATA")</f>
        <v>A CONTRATA</v>
      </c>
      <c r="K465" s="33" t="str">
        <f>IFERROR(__xludf.DUMMYFUNCTION("""COMPUTED_VALUE"""),"TECNICO")</f>
        <v>TECNICO</v>
      </c>
      <c r="L465" s="34" t="str">
        <f>IFERROR(__xludf.DUMMYFUNCTION("""COMPUTED_VALUE"""),"INTERNO")</f>
        <v>INTERNO</v>
      </c>
      <c r="M465" s="34">
        <f>IFERROR(__xludf.DUMMYFUNCTION("""COMPUTED_VALUE"""),0.0)</f>
        <v>0</v>
      </c>
      <c r="N465" s="34" t="str">
        <f>IFERROR(__xludf.DUMMYFUNCTION("""COMPUTED_VALUE"""),"EXTERNO")</f>
        <v>EXTERNO</v>
      </c>
      <c r="O465">
        <f>IFERROR(__xludf.DUMMYFUNCTION("""COMPUTED_VALUE"""),2.0)</f>
        <v>2</v>
      </c>
      <c r="P465">
        <f>IFERROR(__xludf.DUMMYFUNCTION("""COMPUTED_VALUE"""),1.0)</f>
        <v>1</v>
      </c>
      <c r="Q465" s="35">
        <f>IFERROR(__xludf.DUMMYFUNCTION("""COMPUTED_VALUE"""),1.0)</f>
        <v>1</v>
      </c>
      <c r="R465" s="36" t="str">
        <f>IFERROR(__xludf.DUMMYFUNCTION("""COMPUTED_VALUE"""),"SELECCIONADO")</f>
        <v>SELECCIONADO</v>
      </c>
      <c r="S465" s="37">
        <f>IFERROR(__xludf.DUMMYFUNCTION("""COMPUTED_VALUE"""),42110.0)</f>
        <v>42110</v>
      </c>
      <c r="T465" s="34"/>
      <c r="U465" t="str">
        <f>IFERROR(__xludf.DUMMYFUNCTION("""COMPUTED_VALUE"""),"VICTOR EGUILUZ CASTILLO")</f>
        <v>VICTOR EGUILUZ CASTILLO</v>
      </c>
      <c r="V465" t="str">
        <f>IFERROR(__xludf.DUMMYFUNCTION("""COMPUTED_VALUE"""),"07368541-9")</f>
        <v>07368541-9</v>
      </c>
      <c r="W465" t="str">
        <f>IFERROR(__xludf.DUMMYFUNCTION("""COMPUTED_VALUE"""),"SI")</f>
        <v>SI</v>
      </c>
      <c r="X465" t="str">
        <f>IFERROR(__xludf.DUMMYFUNCTION("""COMPUTED_VALUE"""),"COMUNICACION")</f>
        <v>COMUNICACION</v>
      </c>
      <c r="AA465" s="38">
        <f>IFERROR(__xludf.DUMMYFUNCTION("""COMPUTED_VALUE"""),42067.0)</f>
        <v>42067</v>
      </c>
      <c r="AB465" s="38">
        <f>IFERROR(__xludf.DUMMYFUNCTION("""COMPUTED_VALUE"""),42074.0)</f>
        <v>42074</v>
      </c>
      <c r="AF465" s="39"/>
      <c r="AG465" s="39"/>
      <c r="AH465" s="34" t="str">
        <f>IFERROR(__xludf.DUMMYFUNCTION("""COMPUTED_VALUE"""),"PROCESO DE SELECCIÓN")</f>
        <v>PROCESO DE SELECCIÓN</v>
      </c>
      <c r="AI465" s="34"/>
      <c r="AJ465" s="34"/>
      <c r="AK465" s="34" t="str">
        <f>IFERROR(__xludf.DUMMYFUNCTION("""COMPUTED_VALUE"""),"P")</f>
        <v>P</v>
      </c>
      <c r="AL465">
        <f>IFERROR(__xludf.DUMMYFUNCTION("""COMPUTED_VALUE"""),27.0)</f>
        <v>27</v>
      </c>
      <c r="AM465">
        <f>IFERROR(__xludf.DUMMYFUNCTION("""COMPUTED_VALUE"""),2015.0)</f>
        <v>2015</v>
      </c>
      <c r="AN465" t="str">
        <f t="shared" si="1"/>
        <v>07368541-9</v>
      </c>
    </row>
    <row r="466">
      <c r="A466" s="33">
        <f>IFERROR(__xludf.DUMMYFUNCTION("""COMPUTED_VALUE"""),8152829.0)</f>
        <v>8152829</v>
      </c>
      <c r="B466" s="33">
        <f>IFERROR(__xludf.DUMMYFUNCTION("""COMPUTED_VALUE"""),3.0)</f>
        <v>3</v>
      </c>
      <c r="C466" s="33"/>
      <c r="D466" s="34" t="str">
        <f>IFERROR(__xludf.DUMMYFUNCTION("""COMPUTED_VALUE"""),"40")</f>
        <v>40</v>
      </c>
      <c r="E466" s="34" t="str">
        <f>IFERROR(__xludf.DUMMYFUNCTION("""COMPUTED_VALUE"""),"DEPARTAMENTO DE INGENIERIA INDUSTRIAL")</f>
        <v>DEPARTAMENTO DE INGENIERIA INDUSTRIAL</v>
      </c>
      <c r="F466" s="34" t="str">
        <f>IFERROR(__xludf.DUMMYFUNCTION("""COMPUTED_VALUE"""),"Mayordomo(a)")</f>
        <v>Mayordomo(a)</v>
      </c>
      <c r="G466" s="33" t="str">
        <f>IFERROR(__xludf.DUMMYFUNCTION("""COMPUTED_VALUE"""),"MAYORDOMO")</f>
        <v>MAYORDOMO</v>
      </c>
      <c r="H466">
        <f>IFERROR(__xludf.DUMMYFUNCTION("""COMPUTED_VALUE"""),21.0)</f>
        <v>21</v>
      </c>
      <c r="I466" s="34" t="str">
        <f>IFERROR(__xludf.DUMMYFUNCTION("""COMPUTED_VALUE"""),"Jornada Completa")</f>
        <v>Jornada Completa</v>
      </c>
      <c r="J466" s="33" t="str">
        <f>IFERROR(__xludf.DUMMYFUNCTION("""COMPUTED_VALUE"""),"A CONTRATA")</f>
        <v>A CONTRATA</v>
      </c>
      <c r="K466" s="33" t="str">
        <f>IFERROR(__xludf.DUMMYFUNCTION("""COMPUTED_VALUE"""),"AUXILIAR")</f>
        <v>AUXILIAR</v>
      </c>
      <c r="L466" s="34" t="str">
        <f>IFERROR(__xludf.DUMMYFUNCTION("""COMPUTED_VALUE"""),"INTERNO")</f>
        <v>INTERNO</v>
      </c>
      <c r="M466" s="34">
        <f>IFERROR(__xludf.DUMMYFUNCTION("""COMPUTED_VALUE"""),0.0)</f>
        <v>0</v>
      </c>
      <c r="N466" s="34" t="str">
        <f>IFERROR(__xludf.DUMMYFUNCTION("""COMPUTED_VALUE"""),"EXTERNO")</f>
        <v>EXTERNO</v>
      </c>
      <c r="O466">
        <f>IFERROR(__xludf.DUMMYFUNCTION("""COMPUTED_VALUE"""),7.0)</f>
        <v>7</v>
      </c>
      <c r="P466">
        <f>IFERROR(__xludf.DUMMYFUNCTION("""COMPUTED_VALUE"""),1.0)</f>
        <v>1</v>
      </c>
      <c r="Q466" s="35">
        <f>IFERROR(__xludf.DUMMYFUNCTION("""COMPUTED_VALUE"""),1.0)</f>
        <v>1</v>
      </c>
      <c r="R466" s="36" t="str">
        <f>IFERROR(__xludf.DUMMYFUNCTION("""COMPUTED_VALUE"""),"SELECCIONADO")</f>
        <v>SELECCIONADO</v>
      </c>
      <c r="S466" s="37">
        <f>IFERROR(__xludf.DUMMYFUNCTION("""COMPUTED_VALUE"""),42095.0)</f>
        <v>42095</v>
      </c>
      <c r="T466" s="34"/>
      <c r="U466" t="str">
        <f>IFERROR(__xludf.DUMMYFUNCTION("""COMPUTED_VALUE"""),"CELSO SALGADO CARRILLANCA")</f>
        <v>CELSO SALGADO CARRILLANCA</v>
      </c>
      <c r="V466" t="str">
        <f>IFERROR(__xludf.DUMMYFUNCTION("""COMPUTED_VALUE"""),"08152829-2")</f>
        <v>08152829-2</v>
      </c>
      <c r="W466" t="str">
        <f>IFERROR(__xludf.DUMMYFUNCTION("""COMPUTED_VALUE"""),"NO")</f>
        <v>NO</v>
      </c>
      <c r="AA466" s="38">
        <f>IFERROR(__xludf.DUMMYFUNCTION("""COMPUTED_VALUE"""),42065.0)</f>
        <v>42065</v>
      </c>
      <c r="AB466" s="38">
        <f>IFERROR(__xludf.DUMMYFUNCTION("""COMPUTED_VALUE"""),42072.0)</f>
        <v>42072</v>
      </c>
      <c r="AF466" s="39"/>
      <c r="AG466" s="39"/>
      <c r="AH466" s="34" t="str">
        <f>IFERROR(__xludf.DUMMYFUNCTION("""COMPUTED_VALUE"""),"PROCESO DE SELECCIÓN")</f>
        <v>PROCESO DE SELECCIÓN</v>
      </c>
      <c r="AI466" s="34" t="str">
        <f>IFERROR(__xludf.DUMMYFUNCTION("""COMPUTED_VALUE"""),"RAUL DE LA VEGA")</f>
        <v>RAUL DE LA VEGA</v>
      </c>
      <c r="AJ466" s="34"/>
      <c r="AK466" s="34" t="str">
        <f>IFERROR(__xludf.DUMMYFUNCTION("""COMPUTED_VALUE"""),"P")</f>
        <v>P</v>
      </c>
      <c r="AL466">
        <f>IFERROR(__xludf.DUMMYFUNCTION("""COMPUTED_VALUE"""),18.0)</f>
        <v>18</v>
      </c>
      <c r="AM466">
        <f>IFERROR(__xludf.DUMMYFUNCTION("""COMPUTED_VALUE"""),2015.0)</f>
        <v>2015</v>
      </c>
      <c r="AN466" t="str">
        <f t="shared" si="1"/>
        <v>08152829-2</v>
      </c>
    </row>
    <row r="467">
      <c r="A467" s="33">
        <f>IFERROR(__xludf.DUMMYFUNCTION("""COMPUTED_VALUE"""),1.5451437E7)</f>
        <v>15451437</v>
      </c>
      <c r="B467" s="33">
        <f>IFERROR(__xludf.DUMMYFUNCTION("""COMPUTED_VALUE"""),4.0)</f>
        <v>4</v>
      </c>
      <c r="C467" s="33"/>
      <c r="D467" s="34" t="str">
        <f>IFERROR(__xludf.DUMMYFUNCTION("""COMPUTED_VALUE"""),"22")</f>
        <v>22</v>
      </c>
      <c r="E467" s="34" t="str">
        <f>IFERROR(__xludf.DUMMYFUNCTION("""COMPUTED_VALUE"""),"DEPARTAMENTO DE GESTION DEL DEPORTE Y CULTURA")</f>
        <v>DEPARTAMENTO DE GESTION DEL DEPORTE Y CULTURA</v>
      </c>
      <c r="F467" s="34" t="str">
        <f>IFERROR(__xludf.DUMMYFUNCTION("""COMPUTED_VALUE"""),"Entrenador(a) Deportivo(a)")</f>
        <v>Entrenador(a) Deportivo(a)</v>
      </c>
      <c r="G467" s="33" t="str">
        <f>IFERROR(__xludf.DUMMYFUNCTION("""COMPUTED_VALUE"""),"PROFESOR ENTRENADOR DEPORTIVO")</f>
        <v>PROFESOR ENTRENADOR DEPORTIVO</v>
      </c>
      <c r="H467">
        <f>IFERROR(__xludf.DUMMYFUNCTION("""COMPUTED_VALUE"""),13.0)</f>
        <v>13</v>
      </c>
      <c r="I467" s="34" t="str">
        <f>IFERROR(__xludf.DUMMYFUNCTION("""COMPUTED_VALUE"""),"1/2 Jornada")</f>
        <v>1/2 Jornada</v>
      </c>
      <c r="J467" s="33" t="str">
        <f>IFERROR(__xludf.DUMMYFUNCTION("""COMPUTED_VALUE"""),"A CONTRATA")</f>
        <v>A CONTRATA</v>
      </c>
      <c r="K467" s="33" t="str">
        <f>IFERROR(__xludf.DUMMYFUNCTION("""COMPUTED_VALUE"""),"PROFESIONAL")</f>
        <v>PROFESIONAL</v>
      </c>
      <c r="L467" s="34" t="str">
        <f>IFERROR(__xludf.DUMMYFUNCTION("""COMPUTED_VALUE"""),"INTERNO")</f>
        <v>INTERNO</v>
      </c>
      <c r="M467" s="34">
        <f>IFERROR(__xludf.DUMMYFUNCTION("""COMPUTED_VALUE"""),0.0)</f>
        <v>0</v>
      </c>
      <c r="N467" s="34" t="str">
        <f>IFERROR(__xludf.DUMMYFUNCTION("""COMPUTED_VALUE"""),"EXTERNO")</f>
        <v>EXTERNO</v>
      </c>
      <c r="O467">
        <f>IFERROR(__xludf.DUMMYFUNCTION("""COMPUTED_VALUE"""),3.0)</f>
        <v>3</v>
      </c>
      <c r="P467">
        <f>IFERROR(__xludf.DUMMYFUNCTION("""COMPUTED_VALUE"""),1.0)</f>
        <v>1</v>
      </c>
      <c r="Q467" s="35">
        <f>IFERROR(__xludf.DUMMYFUNCTION("""COMPUTED_VALUE"""),1.0)</f>
        <v>1</v>
      </c>
      <c r="R467" s="36" t="str">
        <f>IFERROR(__xludf.DUMMYFUNCTION("""COMPUTED_VALUE"""),"SELECCIONADO")</f>
        <v>SELECCIONADO</v>
      </c>
      <c r="S467" s="37">
        <f>IFERROR(__xludf.DUMMYFUNCTION("""COMPUTED_VALUE"""),42101.0)</f>
        <v>42101</v>
      </c>
      <c r="T467" s="34"/>
      <c r="U467" t="str">
        <f>IFERROR(__xludf.DUMMYFUNCTION("""COMPUTED_VALUE"""),"ALEJANDRO TORO CATALAN")</f>
        <v>ALEJANDRO TORO CATALAN</v>
      </c>
      <c r="V467" t="str">
        <f>IFERROR(__xludf.DUMMYFUNCTION("""COMPUTED_VALUE"""),"15451437-6")</f>
        <v>15451437-6</v>
      </c>
      <c r="W467" t="str">
        <f>IFERROR(__xludf.DUMMYFUNCTION("""COMPUTED_VALUE"""),"SI")</f>
        <v>SI</v>
      </c>
      <c r="X467" t="str">
        <f>IFERROR(__xludf.DUMMYFUNCTION("""COMPUTED_VALUE"""),"Capacidad de Planificacion y Organizacion")</f>
        <v>Capacidad de Planificacion y Organizacion</v>
      </c>
      <c r="AA467" s="38">
        <f>IFERROR(__xludf.DUMMYFUNCTION("""COMPUTED_VALUE"""),42087.0)</f>
        <v>42087</v>
      </c>
      <c r="AB467" s="38">
        <f>IFERROR(__xludf.DUMMYFUNCTION("""COMPUTED_VALUE"""),42089.0)</f>
        <v>42089</v>
      </c>
      <c r="AF467" s="39"/>
      <c r="AG467" s="39"/>
      <c r="AH467" s="34" t="str">
        <f>IFERROR(__xludf.DUMMYFUNCTION("""COMPUTED_VALUE"""),"PROCESO DE SELECCIÓN")</f>
        <v>PROCESO DE SELECCIÓN</v>
      </c>
      <c r="AI467" s="34" t="str">
        <f>IFERROR(__xludf.DUMMYFUNCTION("""COMPUTED_VALUE"""),"LUIS BUGUEÑO LIZAMA")</f>
        <v>LUIS BUGUEÑO LIZAMA</v>
      </c>
      <c r="AJ467" s="34"/>
      <c r="AK467" s="34" t="str">
        <f>IFERROR(__xludf.DUMMYFUNCTION("""COMPUTED_VALUE"""),"C")</f>
        <v>C</v>
      </c>
      <c r="AL467">
        <f>IFERROR(__xludf.DUMMYFUNCTION("""COMPUTED_VALUE"""),9.0)</f>
        <v>9</v>
      </c>
      <c r="AM467">
        <f>IFERROR(__xludf.DUMMYFUNCTION("""COMPUTED_VALUE"""),2015.0)</f>
        <v>2015</v>
      </c>
      <c r="AN467" t="str">
        <f t="shared" si="1"/>
        <v>15451437-6</v>
      </c>
    </row>
    <row r="468">
      <c r="A468" s="33">
        <f>IFERROR(__xludf.DUMMYFUNCTION("""COMPUTED_VALUE"""),1.6025809E7)</f>
        <v>16025809</v>
      </c>
      <c r="B468" s="33">
        <f>IFERROR(__xludf.DUMMYFUNCTION("""COMPUTED_VALUE"""),5.0)</f>
        <v>5</v>
      </c>
      <c r="C468" s="33"/>
      <c r="D468" s="34" t="str">
        <f>IFERROR(__xludf.DUMMYFUNCTION("""COMPUTED_VALUE"""),"3")</f>
        <v>3</v>
      </c>
      <c r="E468" s="34" t="str">
        <f>IFERROR(__xludf.DUMMYFUNCTION("""COMPUTED_VALUE"""),"PRORRECTORIA")</f>
        <v>PRORRECTORIA</v>
      </c>
      <c r="F468" s="34" t="str">
        <f>IFERROR(__xludf.DUMMYFUNCTION("""COMPUTED_VALUE"""),"Estafeta")</f>
        <v>Estafeta</v>
      </c>
      <c r="G468" s="33" t="str">
        <f>IFERROR(__xludf.DUMMYFUNCTION("""COMPUTED_VALUE"""),"ESTAFETA")</f>
        <v>ESTAFETA</v>
      </c>
      <c r="H468">
        <f>IFERROR(__xludf.DUMMYFUNCTION("""COMPUTED_VALUE"""),23.0)</f>
        <v>23</v>
      </c>
      <c r="I468" s="34" t="str">
        <f>IFERROR(__xludf.DUMMYFUNCTION("""COMPUTED_VALUE"""),"Jornada Completa")</f>
        <v>Jornada Completa</v>
      </c>
      <c r="J468" s="33" t="str">
        <f>IFERROR(__xludf.DUMMYFUNCTION("""COMPUTED_VALUE"""),"A CONTRATA")</f>
        <v>A CONTRATA</v>
      </c>
      <c r="K468" s="33" t="str">
        <f>IFERROR(__xludf.DUMMYFUNCTION("""COMPUTED_VALUE"""),"AUXILIAR")</f>
        <v>AUXILIAR</v>
      </c>
      <c r="L468" s="34" t="str">
        <f>IFERROR(__xludf.DUMMYFUNCTION("""COMPUTED_VALUE"""),"INTERNO")</f>
        <v>INTERNO</v>
      </c>
      <c r="M468" s="34">
        <f>IFERROR(__xludf.DUMMYFUNCTION("""COMPUTED_VALUE"""),1.0)</f>
        <v>1</v>
      </c>
      <c r="N468" s="34" t="str">
        <f>IFERROR(__xludf.DUMMYFUNCTION("""COMPUTED_VALUE"""),"EXTERNO")</f>
        <v>EXTERNO</v>
      </c>
      <c r="O468">
        <f>IFERROR(__xludf.DUMMYFUNCTION("""COMPUTED_VALUE"""),15.0)</f>
        <v>15</v>
      </c>
      <c r="P468">
        <f>IFERROR(__xludf.DUMMYFUNCTION("""COMPUTED_VALUE"""),2.0)</f>
        <v>2</v>
      </c>
      <c r="Q468" s="35">
        <f>IFERROR(__xludf.DUMMYFUNCTION("""COMPUTED_VALUE"""),1.0)</f>
        <v>1</v>
      </c>
      <c r="R468" s="36" t="str">
        <f>IFERROR(__xludf.DUMMYFUNCTION("""COMPUTED_VALUE"""),"SELECCIONADA")</f>
        <v>SELECCIONADA</v>
      </c>
      <c r="S468" s="37">
        <f>IFERROR(__xludf.DUMMYFUNCTION("""COMPUTED_VALUE"""),42107.0)</f>
        <v>42107</v>
      </c>
      <c r="T468" s="34"/>
      <c r="U468" t="str">
        <f>IFERROR(__xludf.DUMMYFUNCTION("""COMPUTED_VALUE"""),"ELIZAEBTH  ROJAS CHIGUAIHUEN")</f>
        <v>ELIZAEBTH  ROJAS CHIGUAIHUEN</v>
      </c>
      <c r="V468" t="str">
        <f>IFERROR(__xludf.DUMMYFUNCTION("""COMPUTED_VALUE"""),"16025809-8")</f>
        <v>16025809-8</v>
      </c>
      <c r="W468" t="str">
        <f>IFERROR(__xludf.DUMMYFUNCTION("""COMPUTED_VALUE"""),"NO")</f>
        <v>NO</v>
      </c>
      <c r="AA468" s="38">
        <f>IFERROR(__xludf.DUMMYFUNCTION("""COMPUTED_VALUE"""),42073.0)</f>
        <v>42073</v>
      </c>
      <c r="AB468" s="38">
        <f>IFERROR(__xludf.DUMMYFUNCTION("""COMPUTED_VALUE"""),42075.0)</f>
        <v>42075</v>
      </c>
      <c r="AF468" s="39"/>
      <c r="AG468" s="39"/>
      <c r="AH468" s="34" t="str">
        <f>IFERROR(__xludf.DUMMYFUNCTION("""COMPUTED_VALUE"""),"PROCESO DE SELECCIÓN")</f>
        <v>PROCESO DE SELECCIÓN</v>
      </c>
      <c r="AI468" s="34" t="str">
        <f>IFERROR(__xludf.DUMMYFUNCTION("""COMPUTED_VALUE"""),"CLAUDIA MORALES ROZAS")</f>
        <v>CLAUDIA MORALES ROZAS</v>
      </c>
      <c r="AJ468" s="34"/>
      <c r="AK468" s="34" t="str">
        <f>IFERROR(__xludf.DUMMYFUNCTION("""COMPUTED_VALUE"""),"C")</f>
        <v>C</v>
      </c>
      <c r="AL468">
        <f>IFERROR(__xludf.DUMMYFUNCTION("""COMPUTED_VALUE"""),23.0)</f>
        <v>23</v>
      </c>
      <c r="AM468">
        <f>IFERROR(__xludf.DUMMYFUNCTION("""COMPUTED_VALUE"""),2015.0)</f>
        <v>2015</v>
      </c>
      <c r="AN468" t="str">
        <f t="shared" si="1"/>
        <v>16025809-8</v>
      </c>
    </row>
    <row r="469">
      <c r="A469" s="33">
        <f>IFERROR(__xludf.DUMMYFUNCTION("""COMPUTED_VALUE"""),1.7243895E7)</f>
        <v>17243895</v>
      </c>
      <c r="B469" s="33">
        <f>IFERROR(__xludf.DUMMYFUNCTION("""COMPUTED_VALUE"""),6.0)</f>
        <v>6</v>
      </c>
      <c r="C469" s="33"/>
      <c r="D469" s="34" t="str">
        <f>IFERROR(__xludf.DUMMYFUNCTION("""COMPUTED_VALUE"""),"22")</f>
        <v>22</v>
      </c>
      <c r="E469" s="34" t="str">
        <f>IFERROR(__xludf.DUMMYFUNCTION("""COMPUTED_VALUE"""),"DEPARTAMENTO DE GESTION DEL DEPORTE Y CULTURA")</f>
        <v>DEPARTAMENTO DE GESTION DEL DEPORTE Y CULTURA</v>
      </c>
      <c r="F469" s="34" t="str">
        <f>IFERROR(__xludf.DUMMYFUNCTION("""COMPUTED_VALUE"""),"Entrenador(a) Deportivo(a)")</f>
        <v>Entrenador(a) Deportivo(a)</v>
      </c>
      <c r="G469" s="33" t="str">
        <f>IFERROR(__xludf.DUMMYFUNCTION("""COMPUTED_VALUE"""),"PROFESOR ENTRENADOR DE PREPARACION FISICA")</f>
        <v>PROFESOR ENTRENADOR DE PREPARACION FISICA</v>
      </c>
      <c r="H469">
        <f>IFERROR(__xludf.DUMMYFUNCTION("""COMPUTED_VALUE"""),13.0)</f>
        <v>13</v>
      </c>
      <c r="I469" s="34" t="str">
        <f>IFERROR(__xludf.DUMMYFUNCTION("""COMPUTED_VALUE"""),"1/2 Jornada")</f>
        <v>1/2 Jornada</v>
      </c>
      <c r="J469" s="33" t="str">
        <f>IFERROR(__xludf.DUMMYFUNCTION("""COMPUTED_VALUE"""),"A CONTRATA")</f>
        <v>A CONTRATA</v>
      </c>
      <c r="K469" s="33" t="str">
        <f>IFERROR(__xludf.DUMMYFUNCTION("""COMPUTED_VALUE"""),"PROFESIONAL")</f>
        <v>PROFESIONAL</v>
      </c>
      <c r="L469" s="34" t="str">
        <f>IFERROR(__xludf.DUMMYFUNCTION("""COMPUTED_VALUE"""),"INTERNO")</f>
        <v>INTERNO</v>
      </c>
      <c r="M469" s="34">
        <f>IFERROR(__xludf.DUMMYFUNCTION("""COMPUTED_VALUE"""),0.0)</f>
        <v>0</v>
      </c>
      <c r="N469" s="34" t="str">
        <f>IFERROR(__xludf.DUMMYFUNCTION("""COMPUTED_VALUE"""),"EXTERNO")</f>
        <v>EXTERNO</v>
      </c>
      <c r="O469">
        <f>IFERROR(__xludf.DUMMYFUNCTION("""COMPUTED_VALUE"""),7.0)</f>
        <v>7</v>
      </c>
      <c r="P469">
        <f>IFERROR(__xludf.DUMMYFUNCTION("""COMPUTED_VALUE"""),1.0)</f>
        <v>1</v>
      </c>
      <c r="Q469" s="35">
        <f>IFERROR(__xludf.DUMMYFUNCTION("""COMPUTED_VALUE"""),1.0)</f>
        <v>1</v>
      </c>
      <c r="R469" s="36" t="str">
        <f>IFERROR(__xludf.DUMMYFUNCTION("""COMPUTED_VALUE"""),"SELECCIONADO")</f>
        <v>SELECCIONADO</v>
      </c>
      <c r="S469" s="37">
        <f>IFERROR(__xludf.DUMMYFUNCTION("""COMPUTED_VALUE"""),42086.0)</f>
        <v>42086</v>
      </c>
      <c r="T469" s="34"/>
      <c r="U469" t="str">
        <f>IFERROR(__xludf.DUMMYFUNCTION("""COMPUTED_VALUE"""),"MARCELO SOTO MUNOZ")</f>
        <v>MARCELO SOTO MUNOZ</v>
      </c>
      <c r="V469" t="str">
        <f>IFERROR(__xludf.DUMMYFUNCTION("""COMPUTED_VALUE"""),"17243895-4")</f>
        <v>17243895-4</v>
      </c>
      <c r="W469" t="str">
        <f>IFERROR(__xludf.DUMMYFUNCTION("""COMPUTED_VALUE"""),"NO")</f>
        <v>NO</v>
      </c>
      <c r="AA469" s="38">
        <f>IFERROR(__xludf.DUMMYFUNCTION("""COMPUTED_VALUE"""),42065.0)</f>
        <v>42065</v>
      </c>
      <c r="AB469" s="38">
        <f>IFERROR(__xludf.DUMMYFUNCTION("""COMPUTED_VALUE"""),42068.0)</f>
        <v>42068</v>
      </c>
      <c r="AF469" s="39"/>
      <c r="AG469" s="39"/>
      <c r="AH469" s="34" t="str">
        <f>IFERROR(__xludf.DUMMYFUNCTION("""COMPUTED_VALUE"""),"PROCESO DE SELECCIÓN")</f>
        <v>PROCESO DE SELECCIÓN</v>
      </c>
      <c r="AI469" s="34" t="str">
        <f>IFERROR(__xludf.DUMMYFUNCTION("""COMPUTED_VALUE"""),"JORGE ZELADA ALLENDE")</f>
        <v>JORGE ZELADA ALLENDE</v>
      </c>
      <c r="AJ469" s="34"/>
      <c r="AK469" s="34" t="str">
        <f>IFERROR(__xludf.DUMMYFUNCTION("""COMPUTED_VALUE"""),"C")</f>
        <v>C</v>
      </c>
      <c r="AL469">
        <f>IFERROR(__xludf.DUMMYFUNCTION("""COMPUTED_VALUE"""),13.0)</f>
        <v>13</v>
      </c>
      <c r="AM469">
        <f>IFERROR(__xludf.DUMMYFUNCTION("""COMPUTED_VALUE"""),2015.0)</f>
        <v>2015</v>
      </c>
      <c r="AN469" t="str">
        <f t="shared" si="1"/>
        <v>17243895-4</v>
      </c>
    </row>
    <row r="470">
      <c r="A470" s="33">
        <f>IFERROR(__xludf.DUMMYFUNCTION("""COMPUTED_VALUE"""),1.8278977E7)</f>
        <v>18278977</v>
      </c>
      <c r="B470" s="33">
        <f>IFERROR(__xludf.DUMMYFUNCTION("""COMPUTED_VALUE"""),7.0)</f>
        <v>7</v>
      </c>
      <c r="C470" s="33"/>
      <c r="D470" s="34" t="str">
        <f>IFERROR(__xludf.DUMMYFUNCTION("""COMPUTED_VALUE"""),"3")</f>
        <v>3</v>
      </c>
      <c r="E470" s="34" t="str">
        <f>IFERROR(__xludf.DUMMYFUNCTION("""COMPUTED_VALUE"""),"DEPARTAMENTO DE RECURSOS HUMANOS")</f>
        <v>DEPARTAMENTO DE RECURSOS HUMANOS</v>
      </c>
      <c r="F470" s="34" t="str">
        <f>IFERROR(__xludf.DUMMYFUNCTION("""COMPUTED_VALUE"""),"Administrativo(a) de Recursos Humanos")</f>
        <v>Administrativo(a) de Recursos Humanos</v>
      </c>
      <c r="G470" s="33" t="str">
        <f>IFERROR(__xludf.DUMMYFUNCTION("""COMPUTED_VALUE"""),"ADMINISTRATIVO DE RECURSOS HUMANOS")</f>
        <v>ADMINISTRATIVO DE RECURSOS HUMANOS</v>
      </c>
      <c r="H470">
        <f>IFERROR(__xludf.DUMMYFUNCTION("""COMPUTED_VALUE"""),17.0)</f>
        <v>17</v>
      </c>
      <c r="I470" s="34" t="str">
        <f>IFERROR(__xludf.DUMMYFUNCTION("""COMPUTED_VALUE"""),"Jornada Completa")</f>
        <v>Jornada Completa</v>
      </c>
      <c r="J470" s="33" t="str">
        <f>IFERROR(__xludf.DUMMYFUNCTION("""COMPUTED_VALUE"""),"A CONTRATA")</f>
        <v>A CONTRATA</v>
      </c>
      <c r="K470" s="33" t="str">
        <f>IFERROR(__xludf.DUMMYFUNCTION("""COMPUTED_VALUE"""),"ADMINISTRATIVO")</f>
        <v>ADMINISTRATIVO</v>
      </c>
      <c r="L470" s="34" t="str">
        <f>IFERROR(__xludf.DUMMYFUNCTION("""COMPUTED_VALUE"""),"INTERNO")</f>
        <v>INTERNO</v>
      </c>
      <c r="M470" s="34">
        <f>IFERROR(__xludf.DUMMYFUNCTION("""COMPUTED_VALUE"""),2.0)</f>
        <v>2</v>
      </c>
      <c r="N470" s="34" t="str">
        <f>IFERROR(__xludf.DUMMYFUNCTION("""COMPUTED_VALUE"""),"EXTERNO")</f>
        <v>EXTERNO</v>
      </c>
      <c r="O470">
        <f>IFERROR(__xludf.DUMMYFUNCTION("""COMPUTED_VALUE"""),6.0)</f>
        <v>6</v>
      </c>
      <c r="P470">
        <f>IFERROR(__xludf.DUMMYFUNCTION("""COMPUTED_VALUE"""),1.0)</f>
        <v>1</v>
      </c>
      <c r="Q470" s="35">
        <f>IFERROR(__xludf.DUMMYFUNCTION("""COMPUTED_VALUE"""),1.0)</f>
        <v>1</v>
      </c>
      <c r="R470" s="36" t="str">
        <f>IFERROR(__xludf.DUMMYFUNCTION("""COMPUTED_VALUE"""),"SELECCIONADA")</f>
        <v>SELECCIONADA</v>
      </c>
      <c r="S470" s="37">
        <f>IFERROR(__xludf.DUMMYFUNCTION("""COMPUTED_VALUE"""),42087.0)</f>
        <v>42087</v>
      </c>
      <c r="T470" s="34"/>
      <c r="U470" t="str">
        <f>IFERROR(__xludf.DUMMYFUNCTION("""COMPUTED_VALUE"""),"YEAN MENDOZA GUIDOTTI")</f>
        <v>YEAN MENDOZA GUIDOTTI</v>
      </c>
      <c r="V470" t="str">
        <f>IFERROR(__xludf.DUMMYFUNCTION("""COMPUTED_VALUE"""),"18278977-1")</f>
        <v>18278977-1</v>
      </c>
      <c r="W470" t="str">
        <f>IFERROR(__xludf.DUMMYFUNCTION("""COMPUTED_VALUE"""),"NO")</f>
        <v>NO</v>
      </c>
      <c r="AA470" s="38">
        <f>IFERROR(__xludf.DUMMYFUNCTION("""COMPUTED_VALUE"""),42074.0)</f>
        <v>42074</v>
      </c>
      <c r="AB470" s="38">
        <f>IFERROR(__xludf.DUMMYFUNCTION("""COMPUTED_VALUE"""),42086.0)</f>
        <v>42086</v>
      </c>
      <c r="AF470" s="39"/>
      <c r="AG470" s="39"/>
      <c r="AH470" s="34" t="str">
        <f>IFERROR(__xludf.DUMMYFUNCTION("""COMPUTED_VALUE"""),"PROCESO DE SELECCIÓN")</f>
        <v>PROCESO DE SELECCIÓN</v>
      </c>
      <c r="AI470" s="34" t="str">
        <f>IFERROR(__xludf.DUMMYFUNCTION("""COMPUTED_VALUE"""),"(MARCIA ZENTENO)")</f>
        <v>(MARCIA ZENTENO)</v>
      </c>
      <c r="AJ470" s="34"/>
      <c r="AK470" s="34" t="str">
        <f>IFERROR(__xludf.DUMMYFUNCTION("""COMPUTED_VALUE"""),"P")</f>
        <v>P</v>
      </c>
      <c r="AL470">
        <f>IFERROR(__xludf.DUMMYFUNCTION("""COMPUTED_VALUE"""),2.0)</f>
        <v>2</v>
      </c>
      <c r="AM470">
        <f>IFERROR(__xludf.DUMMYFUNCTION("""COMPUTED_VALUE"""),2015.0)</f>
        <v>2015</v>
      </c>
      <c r="AN470" t="str">
        <f t="shared" si="1"/>
        <v>18278977-1</v>
      </c>
    </row>
    <row r="471">
      <c r="A471" s="33">
        <f>IFERROR(__xludf.DUMMYFUNCTION("""COMPUTED_VALUE"""),1.4404679E7)</f>
        <v>14404679</v>
      </c>
      <c r="B471" s="33">
        <f>IFERROR(__xludf.DUMMYFUNCTION("""COMPUTED_VALUE"""),8.0)</f>
        <v>8</v>
      </c>
      <c r="C471" s="33"/>
      <c r="D471" s="34" t="str">
        <f>IFERROR(__xludf.DUMMYFUNCTION("""COMPUTED_VALUE"""),"83")</f>
        <v>83</v>
      </c>
      <c r="E471" s="34" t="str">
        <f>IFERROR(__xludf.DUMMYFUNCTION("""COMPUTED_VALUE"""),"FACULTAD DE CIENCIAS MEDICAS")</f>
        <v>FACULTAD DE CIENCIAS MEDICAS</v>
      </c>
      <c r="F471" s="34" t="str">
        <f>IFERROR(__xludf.DUMMYFUNCTION("""COMPUTED_VALUE"""),"Administrativo(a) de Registro Curricular")</f>
        <v>Administrativo(a) de Registro Curricular</v>
      </c>
      <c r="G471" s="33" t="str">
        <f>IFERROR(__xludf.DUMMYFUNCTION("""COMPUTED_VALUE"""),"ADMINISTRATIVO DE REGISTRO CURRICULAR")</f>
        <v>ADMINISTRATIVO DE REGISTRO CURRICULAR</v>
      </c>
      <c r="H471">
        <f>IFERROR(__xludf.DUMMYFUNCTION("""COMPUTED_VALUE"""),17.0)</f>
        <v>17</v>
      </c>
      <c r="I471" s="34" t="str">
        <f>IFERROR(__xludf.DUMMYFUNCTION("""COMPUTED_VALUE"""),"Jornada Completa")</f>
        <v>Jornada Completa</v>
      </c>
      <c r="J471" s="33" t="str">
        <f>IFERROR(__xludf.DUMMYFUNCTION("""COMPUTED_VALUE"""),"A CONTRATA")</f>
        <v>A CONTRATA</v>
      </c>
      <c r="K471" s="33" t="str">
        <f>IFERROR(__xludf.DUMMYFUNCTION("""COMPUTED_VALUE"""),"ADMINISTRATIVO")</f>
        <v>ADMINISTRATIVO</v>
      </c>
      <c r="L471" s="34" t="str">
        <f>IFERROR(__xludf.DUMMYFUNCTION("""COMPUTED_VALUE"""),"INTERNO")</f>
        <v>INTERNO</v>
      </c>
      <c r="M471" s="34">
        <f>IFERROR(__xludf.DUMMYFUNCTION("""COMPUTED_VALUE"""),1.0)</f>
        <v>1</v>
      </c>
      <c r="N471" s="34" t="str">
        <f>IFERROR(__xludf.DUMMYFUNCTION("""COMPUTED_VALUE"""),"NO")</f>
        <v>NO</v>
      </c>
      <c r="P471">
        <f>IFERROR(__xludf.DUMMYFUNCTION("""COMPUTED_VALUE"""),1.0)</f>
        <v>1</v>
      </c>
      <c r="Q471" s="35">
        <f>IFERROR(__xludf.DUMMYFUNCTION("""COMPUTED_VALUE"""),0.0)</f>
        <v>0</v>
      </c>
      <c r="R471" s="36" t="str">
        <f>IFERROR(__xludf.DUMMYFUNCTION("""COMPUTED_VALUE"""),"SELECCIONADO")</f>
        <v>SELECCIONADO</v>
      </c>
      <c r="S471" s="37">
        <f>IFERROR(__xludf.DUMMYFUNCTION("""COMPUTED_VALUE"""),42095.0)</f>
        <v>42095</v>
      </c>
      <c r="T471" s="34" t="str">
        <f>IFERROR(__xludf.DUMMYFUNCTION("""COMPUTED_VALUE"""),"ALEJANDRO MARTINEZ NAVIA")</f>
        <v>ALEJANDRO MARTINEZ NAVIA</v>
      </c>
      <c r="V471" t="str">
        <f>IFERROR(__xludf.DUMMYFUNCTION("""COMPUTED_VALUE"""),"14404679-K")</f>
        <v>14404679-K</v>
      </c>
      <c r="W471" t="str">
        <f>IFERROR(__xludf.DUMMYFUNCTION("""COMPUTED_VALUE"""),"NO")</f>
        <v>NO</v>
      </c>
      <c r="AA471" s="38">
        <f>IFERROR(__xludf.DUMMYFUNCTION("""COMPUTED_VALUE"""),42068.0)</f>
        <v>42068</v>
      </c>
      <c r="AB471" s="38">
        <f>IFERROR(__xludf.DUMMYFUNCTION("""COMPUTED_VALUE"""),42072.0)</f>
        <v>42072</v>
      </c>
      <c r="AC471">
        <f>IFERROR(__xludf.DUMMYFUNCTION("""COMPUTED_VALUE"""),21.0)</f>
        <v>21</v>
      </c>
      <c r="AD471" t="str">
        <f>IFERROR(__xludf.DUMMYFUNCTION("""COMPUTED_VALUE"""),"AUXILIAR")</f>
        <v>AUXILIAR</v>
      </c>
      <c r="AF471" s="39" t="str">
        <f>IFERROR(__xludf.DUMMYFUNCTION("""COMPUTED_VALUE"""),"FACULTAD DE CIENCIAS MEDICAS")</f>
        <v>FACULTAD DE CIENCIAS MEDICAS</v>
      </c>
      <c r="AG471" s="39"/>
      <c r="AH471" s="34" t="str">
        <f>IFERROR(__xludf.DUMMYFUNCTION("""COMPUTED_VALUE"""),"PROCESO DE SELECCIÓN")</f>
        <v>PROCESO DE SELECCIÓN</v>
      </c>
      <c r="AI471" s="34" t="str">
        <f>IFERROR(__xludf.DUMMYFUNCTION("""COMPUTED_VALUE"""),"-")</f>
        <v>-</v>
      </c>
      <c r="AJ471" s="34"/>
      <c r="AK471" s="34" t="str">
        <f>IFERROR(__xludf.DUMMYFUNCTION("""COMPUTED_VALUE"""),"P")</f>
        <v>P</v>
      </c>
      <c r="AL471">
        <f>IFERROR(__xludf.DUMMYFUNCTION("""COMPUTED_VALUE"""),18.0)</f>
        <v>18</v>
      </c>
      <c r="AM471">
        <f>IFERROR(__xludf.DUMMYFUNCTION("""COMPUTED_VALUE"""),2015.0)</f>
        <v>2015</v>
      </c>
      <c r="AN471" t="str">
        <f t="shared" si="1"/>
        <v>14404679-K</v>
      </c>
    </row>
    <row r="472">
      <c r="A472" s="33">
        <f>IFERROR(__xludf.DUMMYFUNCTION("""COMPUTED_VALUE"""),1.6342033E7)</f>
        <v>16342033</v>
      </c>
      <c r="B472" s="33">
        <f>IFERROR(__xludf.DUMMYFUNCTION("""COMPUTED_VALUE"""),9.0)</f>
        <v>9</v>
      </c>
      <c r="C472" s="33"/>
      <c r="D472" s="34" t="str">
        <f>IFERROR(__xludf.DUMMYFUNCTION("""COMPUTED_VALUE"""),"15")</f>
        <v>15</v>
      </c>
      <c r="E472" s="34" t="str">
        <f>IFERROR(__xludf.DUMMYFUNCTION("""COMPUTED_VALUE"""),"ESCUELA DE ARQUITECTURA")</f>
        <v>ESCUELA DE ARQUITECTURA</v>
      </c>
      <c r="F472" s="34" t="str">
        <f>IFERROR(__xludf.DUMMYFUNCTION("""COMPUTED_VALUE"""),"Encargado(a) Técnico(a) de Laboratorio")</f>
        <v>Encargado(a) Técnico(a) de Laboratorio</v>
      </c>
      <c r="G472" s="33" t="str">
        <f>IFERROR(__xludf.DUMMYFUNCTION("""COMPUTED_VALUE"""),"ENCARGADO TECNICO DE LABORATORIO")</f>
        <v>ENCARGADO TECNICO DE LABORATORIO</v>
      </c>
      <c r="H472">
        <f>IFERROR(__xludf.DUMMYFUNCTION("""COMPUTED_VALUE"""),14.0)</f>
        <v>14</v>
      </c>
      <c r="I472" s="34" t="str">
        <f>IFERROR(__xludf.DUMMYFUNCTION("""COMPUTED_VALUE"""),"Jornada Completa")</f>
        <v>Jornada Completa</v>
      </c>
      <c r="J472" s="33" t="str">
        <f>IFERROR(__xludf.DUMMYFUNCTION("""COMPUTED_VALUE"""),"A CONTRATA")</f>
        <v>A CONTRATA</v>
      </c>
      <c r="K472" s="33" t="str">
        <f>IFERROR(__xludf.DUMMYFUNCTION("""COMPUTED_VALUE"""),"TECNICO")</f>
        <v>TECNICO</v>
      </c>
      <c r="L472" s="34" t="str">
        <f>IFERROR(__xludf.DUMMYFUNCTION("""COMPUTED_VALUE"""),"INTERNO")</f>
        <v>INTERNO</v>
      </c>
      <c r="M472" s="34">
        <f>IFERROR(__xludf.DUMMYFUNCTION("""COMPUTED_VALUE"""),0.0)</f>
        <v>0</v>
      </c>
      <c r="N472" s="34" t="str">
        <f>IFERROR(__xludf.DUMMYFUNCTION("""COMPUTED_VALUE"""),"EXTERNO")</f>
        <v>EXTERNO</v>
      </c>
      <c r="O472">
        <f>IFERROR(__xludf.DUMMYFUNCTION("""COMPUTED_VALUE"""),2.0)</f>
        <v>2</v>
      </c>
      <c r="P472">
        <f>IFERROR(__xludf.DUMMYFUNCTION("""COMPUTED_VALUE"""),1.0)</f>
        <v>1</v>
      </c>
      <c r="Q472" s="35">
        <f>IFERROR(__xludf.DUMMYFUNCTION("""COMPUTED_VALUE"""),3.0)</f>
        <v>3</v>
      </c>
      <c r="R472" s="36" t="str">
        <f>IFERROR(__xludf.DUMMYFUNCTION("""COMPUTED_VALUE"""),"SELECCIONADO")</f>
        <v>SELECCIONADO</v>
      </c>
      <c r="S472" s="37">
        <f>IFERROR(__xludf.DUMMYFUNCTION("""COMPUTED_VALUE"""),42107.0)</f>
        <v>42107</v>
      </c>
      <c r="T472" s="34"/>
      <c r="U472" t="str">
        <f>IFERROR(__xludf.DUMMYFUNCTION("""COMPUTED_VALUE"""),"JUDITH MOYANO FUENTES")</f>
        <v>JUDITH MOYANO FUENTES</v>
      </c>
      <c r="V472" t="str">
        <f>IFERROR(__xludf.DUMMYFUNCTION("""COMPUTED_VALUE"""),"16342033-3")</f>
        <v>16342033-3</v>
      </c>
      <c r="W472" t="str">
        <f>IFERROR(__xludf.DUMMYFUNCTION("""COMPUTED_VALUE"""),"NO")</f>
        <v>NO</v>
      </c>
      <c r="AA472" s="38">
        <f>IFERROR(__xludf.DUMMYFUNCTION("""COMPUTED_VALUE"""),42079.0)</f>
        <v>42079</v>
      </c>
      <c r="AB472" s="38">
        <f>IFERROR(__xludf.DUMMYFUNCTION("""COMPUTED_VALUE"""),42083.0)</f>
        <v>42083</v>
      </c>
      <c r="AF472" s="39"/>
      <c r="AG472" s="39"/>
      <c r="AH472" s="34" t="str">
        <f>IFERROR(__xludf.DUMMYFUNCTION("""COMPUTED_VALUE"""),"PROCESO DE SELECCIÓN")</f>
        <v>PROCESO DE SELECCIÓN</v>
      </c>
      <c r="AI472" s="34" t="str">
        <f>IFERROR(__xludf.DUMMYFUNCTION("""COMPUTED_VALUE"""),"FRANCISCA CESPEDES")</f>
        <v>FRANCISCA CESPEDES</v>
      </c>
      <c r="AJ472" s="34"/>
      <c r="AK472" s="34" t="str">
        <f>IFERROR(__xludf.DUMMYFUNCTION("""COMPUTED_VALUE"""),"P")</f>
        <v>P</v>
      </c>
      <c r="AL472">
        <f>IFERROR(__xludf.DUMMYFUNCTION("""COMPUTED_VALUE"""),17.0)</f>
        <v>17</v>
      </c>
      <c r="AM472">
        <f>IFERROR(__xludf.DUMMYFUNCTION("""COMPUTED_VALUE"""),2015.0)</f>
        <v>2015</v>
      </c>
      <c r="AN472" t="str">
        <f t="shared" si="1"/>
        <v>16342033-3</v>
      </c>
    </row>
    <row r="473">
      <c r="A473" s="33">
        <f>IFERROR(__xludf.DUMMYFUNCTION("""COMPUTED_VALUE"""),1.3902432E7)</f>
        <v>13902432</v>
      </c>
      <c r="B473" s="33">
        <f>IFERROR(__xludf.DUMMYFUNCTION("""COMPUTED_VALUE"""),10.0)</f>
        <v>10</v>
      </c>
      <c r="C473" s="33"/>
      <c r="D473" s="34" t="str">
        <f>IFERROR(__xludf.DUMMYFUNCTION("""COMPUTED_VALUE"""),"22")</f>
        <v>22</v>
      </c>
      <c r="E473" s="34" t="str">
        <f>IFERROR(__xludf.DUMMYFUNCTION("""COMPUTED_VALUE"""),"DEPARTAMENTO DE GESTION DEL DEPORTE Y CULTURA")</f>
        <v>DEPARTAMENTO DE GESTION DEL DEPORTE Y CULTURA</v>
      </c>
      <c r="F473" s="34" t="str">
        <f>IFERROR(__xludf.DUMMYFUNCTION("""COMPUTED_VALUE"""),"Entrenador(a) Deportivo(a)")</f>
        <v>Entrenador(a) Deportivo(a)</v>
      </c>
      <c r="G473" s="33" t="str">
        <f>IFERROR(__xludf.DUMMYFUNCTION("""COMPUTED_VALUE"""),"PROFESOR ENTRENADOR DEPORTIVO BASQUETBOL DAMAS")</f>
        <v>PROFESOR ENTRENADOR DEPORTIVO BASQUETBOL DAMAS</v>
      </c>
      <c r="H473">
        <f>IFERROR(__xludf.DUMMYFUNCTION("""COMPUTED_VALUE"""),13.0)</f>
        <v>13</v>
      </c>
      <c r="I473" s="34" t="str">
        <f>IFERROR(__xludf.DUMMYFUNCTION("""COMPUTED_VALUE"""),"1/2 Jornada")</f>
        <v>1/2 Jornada</v>
      </c>
      <c r="J473" s="33" t="str">
        <f>IFERROR(__xludf.DUMMYFUNCTION("""COMPUTED_VALUE"""),"A CONTRATA")</f>
        <v>A CONTRATA</v>
      </c>
      <c r="K473" s="33" t="str">
        <f>IFERROR(__xludf.DUMMYFUNCTION("""COMPUTED_VALUE"""),"PROFESIONAL")</f>
        <v>PROFESIONAL</v>
      </c>
      <c r="L473" s="34" t="str">
        <f>IFERROR(__xludf.DUMMYFUNCTION("""COMPUTED_VALUE"""),"INTERNO")</f>
        <v>INTERNO</v>
      </c>
      <c r="M473" s="34">
        <f>IFERROR(__xludf.DUMMYFUNCTION("""COMPUTED_VALUE"""),0.0)</f>
        <v>0</v>
      </c>
      <c r="N473" s="34" t="str">
        <f>IFERROR(__xludf.DUMMYFUNCTION("""COMPUTED_VALUE"""),"EXTERNO")</f>
        <v>EXTERNO</v>
      </c>
      <c r="O473">
        <f>IFERROR(__xludf.DUMMYFUNCTION("""COMPUTED_VALUE"""),6.0)</f>
        <v>6</v>
      </c>
      <c r="P473">
        <f>IFERROR(__xludf.DUMMYFUNCTION("""COMPUTED_VALUE"""),2.0)</f>
        <v>2</v>
      </c>
      <c r="Q473" s="35">
        <f>IFERROR(__xludf.DUMMYFUNCTION("""COMPUTED_VALUE"""),1.0)</f>
        <v>1</v>
      </c>
      <c r="R473" s="36" t="str">
        <f>IFERROR(__xludf.DUMMYFUNCTION("""COMPUTED_VALUE"""),"SELECCIONADO")</f>
        <v>SELECCIONADO</v>
      </c>
      <c r="S473" s="37">
        <f>IFERROR(__xludf.DUMMYFUNCTION("""COMPUTED_VALUE"""),42087.0)</f>
        <v>42087</v>
      </c>
      <c r="T473" s="34"/>
      <c r="U473" t="str">
        <f>IFERROR(__xludf.DUMMYFUNCTION("""COMPUTED_VALUE"""),"FELIPE FRITZCHMANN SANCHEZ")</f>
        <v>FELIPE FRITZCHMANN SANCHEZ</v>
      </c>
      <c r="V473" t="str">
        <f>IFERROR(__xludf.DUMMYFUNCTION("""COMPUTED_VALUE"""),"13902432-K")</f>
        <v>13902432-K</v>
      </c>
      <c r="W473" t="str">
        <f>IFERROR(__xludf.DUMMYFUNCTION("""COMPUTED_VALUE"""),"NO")</f>
        <v>NO</v>
      </c>
      <c r="AA473" s="38">
        <f>IFERROR(__xludf.DUMMYFUNCTION("""COMPUTED_VALUE"""),42065.0)</f>
        <v>42065</v>
      </c>
      <c r="AB473" s="38">
        <f>IFERROR(__xludf.DUMMYFUNCTION("""COMPUTED_VALUE"""),42068.0)</f>
        <v>42068</v>
      </c>
      <c r="AF473" s="39"/>
      <c r="AG473" s="39"/>
      <c r="AH473" s="34" t="str">
        <f>IFERROR(__xludf.DUMMYFUNCTION("""COMPUTED_VALUE"""),"PROCESO DE SELECCIÓN")</f>
        <v>PROCESO DE SELECCIÓN</v>
      </c>
      <c r="AI473" s="34" t="str">
        <f>IFERROR(__xludf.DUMMYFUNCTION("""COMPUTED_VALUE"""),"CHRISTIAN POBLETE SCHNEIDER")</f>
        <v>CHRISTIAN POBLETE SCHNEIDER</v>
      </c>
      <c r="AJ473" s="34"/>
      <c r="AK473" s="34" t="str">
        <f>IFERROR(__xludf.DUMMYFUNCTION("""COMPUTED_VALUE"""),"P")</f>
        <v>P</v>
      </c>
      <c r="AL473">
        <f>IFERROR(__xludf.DUMMYFUNCTION("""COMPUTED_VALUE"""),14.0)</f>
        <v>14</v>
      </c>
      <c r="AM473">
        <f>IFERROR(__xludf.DUMMYFUNCTION("""COMPUTED_VALUE"""),2015.0)</f>
        <v>2015</v>
      </c>
      <c r="AN473" t="str">
        <f t="shared" si="1"/>
        <v>13902432-K</v>
      </c>
    </row>
    <row r="474">
      <c r="A474" s="33">
        <f>IFERROR(__xludf.DUMMYFUNCTION("""COMPUTED_VALUE"""),1.3438026E7)</f>
        <v>13438026</v>
      </c>
      <c r="B474" s="33">
        <f>IFERROR(__xludf.DUMMYFUNCTION("""COMPUTED_VALUE"""),11.0)</f>
        <v>11</v>
      </c>
      <c r="C474" s="33"/>
      <c r="D474" s="34" t="str">
        <f>IFERROR(__xludf.DUMMYFUNCTION("""COMPUTED_VALUE"""),"3")</f>
        <v>3</v>
      </c>
      <c r="E474" s="34" t="str">
        <f>IFERROR(__xludf.DUMMYFUNCTION("""COMPUTED_VALUE"""),"UNIDAD DE COORDINACION INSTITUCIONAL")</f>
        <v>UNIDAD DE COORDINACION INSTITUCIONAL</v>
      </c>
      <c r="F474" s="34" t="str">
        <f>IFERROR(__xludf.DUMMYFUNCTION("""COMPUTED_VALUE"""),"Administrativo(a) de Proceso")</f>
        <v>Administrativo(a) de Proceso</v>
      </c>
      <c r="G474" s="33" t="str">
        <f>IFERROR(__xludf.DUMMYFUNCTION("""COMPUTED_VALUE"""),"ADMINISTRATIVO DE PROCESO")</f>
        <v>ADMINISTRATIVO DE PROCESO</v>
      </c>
      <c r="H474">
        <f>IFERROR(__xludf.DUMMYFUNCTION("""COMPUTED_VALUE"""),15.0)</f>
        <v>15</v>
      </c>
      <c r="I474" s="34" t="str">
        <f>IFERROR(__xludf.DUMMYFUNCTION("""COMPUTED_VALUE"""),"Jornada Completa")</f>
        <v>Jornada Completa</v>
      </c>
      <c r="J474" s="33" t="str">
        <f>IFERROR(__xludf.DUMMYFUNCTION("""COMPUTED_VALUE"""),"A CONTRATA")</f>
        <v>A CONTRATA</v>
      </c>
      <c r="K474" s="33" t="str">
        <f>IFERROR(__xludf.DUMMYFUNCTION("""COMPUTED_VALUE"""),"ADMINISTRATIVO")</f>
        <v>ADMINISTRATIVO</v>
      </c>
      <c r="L474" s="34" t="str">
        <f>IFERROR(__xludf.DUMMYFUNCTION("""COMPUTED_VALUE"""),"INTERNO")</f>
        <v>INTERNO</v>
      </c>
      <c r="M474" s="34">
        <f>IFERROR(__xludf.DUMMYFUNCTION("""COMPUTED_VALUE"""),3.0)</f>
        <v>3</v>
      </c>
      <c r="N474" s="34" t="str">
        <f>IFERROR(__xludf.DUMMYFUNCTION("""COMPUTED_VALUE"""),"NO")</f>
        <v>NO</v>
      </c>
      <c r="P474">
        <f>IFERROR(__xludf.DUMMYFUNCTION("""COMPUTED_VALUE"""),1.0)</f>
        <v>1</v>
      </c>
      <c r="Q474" s="35">
        <f>IFERROR(__xludf.DUMMYFUNCTION("""COMPUTED_VALUE"""),0.0)</f>
        <v>0</v>
      </c>
      <c r="R474" s="36" t="str">
        <f>IFERROR(__xludf.DUMMYFUNCTION("""COMPUTED_VALUE"""),"SELECCIONADA")</f>
        <v>SELECCIONADA</v>
      </c>
      <c r="S474" s="37">
        <f>IFERROR(__xludf.DUMMYFUNCTION("""COMPUTED_VALUE"""),42107.0)</f>
        <v>42107</v>
      </c>
      <c r="T474" s="34" t="str">
        <f>IFERROR(__xludf.DUMMYFUNCTION("""COMPUTED_VALUE"""),"JAZMIN AGUILERA SILVA")</f>
        <v>JAZMIN AGUILERA SILVA</v>
      </c>
      <c r="V474" t="str">
        <f>IFERROR(__xludf.DUMMYFUNCTION("""COMPUTED_VALUE"""),"13438026-8")</f>
        <v>13438026-8</v>
      </c>
      <c r="W474" t="str">
        <f>IFERROR(__xludf.DUMMYFUNCTION("""COMPUTED_VALUE"""),"SI")</f>
        <v>SI</v>
      </c>
      <c r="Y474" t="str">
        <f>IFERROR(__xludf.DUMMYFUNCTION("""COMPUTED_VALUE"""),"Orientacion a los Resultados")</f>
        <v>Orientacion a los Resultados</v>
      </c>
      <c r="AA474" s="38">
        <f>IFERROR(__xludf.DUMMYFUNCTION("""COMPUTED_VALUE"""),42079.0)</f>
        <v>42079</v>
      </c>
      <c r="AB474" s="38">
        <f>IFERROR(__xludf.DUMMYFUNCTION("""COMPUTED_VALUE"""),42081.0)</f>
        <v>42081</v>
      </c>
      <c r="AC474">
        <f>IFERROR(__xludf.DUMMYFUNCTION("""COMPUTED_VALUE"""),16.0)</f>
        <v>16</v>
      </c>
      <c r="AD474" t="str">
        <f>IFERROR(__xludf.DUMMYFUNCTION("""COMPUTED_VALUE"""),"ADMINISTRATIVO")</f>
        <v>ADMINISTRATIVO</v>
      </c>
      <c r="AF474" s="39" t="str">
        <f>IFERROR(__xludf.DUMMYFUNCTION("""COMPUTED_VALUE"""),"CECTA")</f>
        <v>CECTA</v>
      </c>
      <c r="AG474" s="39"/>
      <c r="AH474" s="34" t="str">
        <f>IFERROR(__xludf.DUMMYFUNCTION("""COMPUTED_VALUE"""),"PROCESO DE SELECCIÓN")</f>
        <v>PROCESO DE SELECCIÓN</v>
      </c>
      <c r="AI474" s="34" t="str">
        <f>IFERROR(__xludf.DUMMYFUNCTION("""COMPUTED_VALUE"""),"-")</f>
        <v>-</v>
      </c>
      <c r="AJ474" s="34"/>
      <c r="AK474" s="34" t="str">
        <f>IFERROR(__xludf.DUMMYFUNCTION("""COMPUTED_VALUE"""),"P")</f>
        <v>P</v>
      </c>
      <c r="AL474">
        <f>IFERROR(__xludf.DUMMYFUNCTION("""COMPUTED_VALUE"""),19.0)</f>
        <v>19</v>
      </c>
      <c r="AM474">
        <f>IFERROR(__xludf.DUMMYFUNCTION("""COMPUTED_VALUE"""),2015.0)</f>
        <v>2015</v>
      </c>
      <c r="AN474" t="str">
        <f t="shared" si="1"/>
        <v>13438026-8</v>
      </c>
    </row>
    <row r="475">
      <c r="A475" s="33">
        <f>IFERROR(__xludf.DUMMYFUNCTION("""COMPUTED_VALUE"""),1.8339692E7)</f>
        <v>18339692</v>
      </c>
      <c r="B475" s="33">
        <f>IFERROR(__xludf.DUMMYFUNCTION("""COMPUTED_VALUE"""),12.0)</f>
        <v>12</v>
      </c>
      <c r="C475" s="33"/>
      <c r="D475" s="34" t="str">
        <f>IFERROR(__xludf.DUMMYFUNCTION("""COMPUTED_VALUE"""),"3")</f>
        <v>3</v>
      </c>
      <c r="E475" s="34" t="str">
        <f>IFERROR(__xludf.DUMMYFUNCTION("""COMPUTED_VALUE"""),"UNIDAD DE GESTION DEL CAMPUS")</f>
        <v>UNIDAD DE GESTION DEL CAMPUS</v>
      </c>
      <c r="F475" s="34" t="str">
        <f>IFERROR(__xludf.DUMMYFUNCTION("""COMPUTED_VALUE"""),"Secretario(a) C")</f>
        <v>Secretario(a) C</v>
      </c>
      <c r="G475" s="33" t="str">
        <f>IFERROR(__xludf.DUMMYFUNCTION("""COMPUTED_VALUE"""),"SECRETARIA ADMINISTRATIVA")</f>
        <v>SECRETARIA ADMINISTRATIVA</v>
      </c>
      <c r="H475">
        <f>IFERROR(__xludf.DUMMYFUNCTION("""COMPUTED_VALUE"""),20.0)</f>
        <v>20</v>
      </c>
      <c r="I475" s="34" t="str">
        <f>IFERROR(__xludf.DUMMYFUNCTION("""COMPUTED_VALUE"""),"Jornada Completa")</f>
        <v>Jornada Completa</v>
      </c>
      <c r="J475" s="33" t="str">
        <f>IFERROR(__xludf.DUMMYFUNCTION("""COMPUTED_VALUE"""),"A CONTRATA")</f>
        <v>A CONTRATA</v>
      </c>
      <c r="K475" s="33" t="str">
        <f>IFERROR(__xludf.DUMMYFUNCTION("""COMPUTED_VALUE"""),"ADMINISTRATIVO")</f>
        <v>ADMINISTRATIVO</v>
      </c>
      <c r="L475" s="34" t="str">
        <f>IFERROR(__xludf.DUMMYFUNCTION("""COMPUTED_VALUE"""),"INTERNO")</f>
        <v>INTERNO</v>
      </c>
      <c r="M475" s="34">
        <f>IFERROR(__xludf.DUMMYFUNCTION("""COMPUTED_VALUE"""),0.0)</f>
        <v>0</v>
      </c>
      <c r="N475" s="34" t="str">
        <f>IFERROR(__xludf.DUMMYFUNCTION("""COMPUTED_VALUE"""),"EXTERNO")</f>
        <v>EXTERNO</v>
      </c>
      <c r="O475">
        <f>IFERROR(__xludf.DUMMYFUNCTION("""COMPUTED_VALUE"""),5.0)</f>
        <v>5</v>
      </c>
      <c r="P475">
        <f>IFERROR(__xludf.DUMMYFUNCTION("""COMPUTED_VALUE"""),1.0)</f>
        <v>1</v>
      </c>
      <c r="Q475" s="35">
        <f>IFERROR(__xludf.DUMMYFUNCTION("""COMPUTED_VALUE"""),1.0)</f>
        <v>1</v>
      </c>
      <c r="R475" s="36" t="str">
        <f>IFERROR(__xludf.DUMMYFUNCTION("""COMPUTED_VALUE"""),"SELECCIONADA")</f>
        <v>SELECCIONADA</v>
      </c>
      <c r="S475" s="37">
        <f>IFERROR(__xludf.DUMMYFUNCTION("""COMPUTED_VALUE"""),42110.0)</f>
        <v>42110</v>
      </c>
      <c r="T475" s="34"/>
      <c r="U475" t="str">
        <f>IFERROR(__xludf.DUMMYFUNCTION("""COMPUTED_VALUE"""),"MILENA GOMEZ MEDINA")</f>
        <v>MILENA GOMEZ MEDINA</v>
      </c>
      <c r="V475" t="str">
        <f>IFERROR(__xludf.DUMMYFUNCTION("""COMPUTED_VALUE"""),"18339692-7")</f>
        <v>18339692-7</v>
      </c>
      <c r="W475" t="str">
        <f>IFERROR(__xludf.DUMMYFUNCTION("""COMPUTED_VALUE"""),"NO")</f>
        <v>NO</v>
      </c>
      <c r="AA475" s="38">
        <f>IFERROR(__xludf.DUMMYFUNCTION("""COMPUTED_VALUE"""),42090.0)</f>
        <v>42090</v>
      </c>
      <c r="AB475" s="38">
        <f>IFERROR(__xludf.DUMMYFUNCTION("""COMPUTED_VALUE"""),42097.0)</f>
        <v>42097</v>
      </c>
      <c r="AF475" s="39"/>
      <c r="AG475" s="39"/>
      <c r="AH475" s="34" t="str">
        <f>IFERROR(__xludf.DUMMYFUNCTION("""COMPUTED_VALUE"""),"PROCESO DE SELECCIÓN")</f>
        <v>PROCESO DE SELECCIÓN</v>
      </c>
      <c r="AI475" s="34" t="str">
        <f>IFERROR(__xludf.DUMMYFUNCTION("""COMPUTED_VALUE"""),"MARIA VALENZUELA")</f>
        <v>MARIA VALENZUELA</v>
      </c>
      <c r="AJ475" s="34"/>
      <c r="AK475" s="34" t="str">
        <f>IFERROR(__xludf.DUMMYFUNCTION("""COMPUTED_VALUE"""),"C")</f>
        <v>C</v>
      </c>
      <c r="AL475">
        <f>IFERROR(__xludf.DUMMYFUNCTION("""COMPUTED_VALUE"""),10.0)</f>
        <v>10</v>
      </c>
      <c r="AM475">
        <f>IFERROR(__xludf.DUMMYFUNCTION("""COMPUTED_VALUE"""),2015.0)</f>
        <v>2015</v>
      </c>
      <c r="AN475" t="str">
        <f t="shared" si="1"/>
        <v>18339692-7</v>
      </c>
    </row>
    <row r="476">
      <c r="A476" s="33">
        <f>IFERROR(__xludf.DUMMYFUNCTION("""COMPUTED_VALUE"""),1.326492E7)</f>
        <v>13264920</v>
      </c>
      <c r="B476" s="33">
        <f>IFERROR(__xludf.DUMMYFUNCTION("""COMPUTED_VALUE"""),13.0)</f>
        <v>13</v>
      </c>
      <c r="C476" s="33"/>
      <c r="D476" s="34" t="str">
        <f>IFERROR(__xludf.DUMMYFUNCTION("""COMPUTED_VALUE"""),"15")</f>
        <v>15</v>
      </c>
      <c r="E476" s="34" t="str">
        <f>IFERROR(__xludf.DUMMYFUNCTION("""COMPUTED_VALUE"""),"UNIDAD DE BIBLIOTECAS")</f>
        <v>UNIDAD DE BIBLIOTECAS</v>
      </c>
      <c r="F476" s="34" t="str">
        <f>IFERROR(__xludf.DUMMYFUNCTION("""COMPUTED_VALUE"""),"Técnico(a) de Biblioteca")</f>
        <v>Técnico(a) de Biblioteca</v>
      </c>
      <c r="G476" s="33" t="str">
        <f>IFERROR(__xludf.DUMMYFUNCTION("""COMPUTED_VALUE"""),"TECNICO DE BIBLIOTECA")</f>
        <v>TECNICO DE BIBLIOTECA</v>
      </c>
      <c r="H476">
        <f>IFERROR(__xludf.DUMMYFUNCTION("""COMPUTED_VALUE"""),18.0)</f>
        <v>18</v>
      </c>
      <c r="I476" s="34" t="str">
        <f>IFERROR(__xludf.DUMMYFUNCTION("""COMPUTED_VALUE"""),"Jornada Completa")</f>
        <v>Jornada Completa</v>
      </c>
      <c r="J476" s="33" t="str">
        <f>IFERROR(__xludf.DUMMYFUNCTION("""COMPUTED_VALUE"""),"A CONTRATA")</f>
        <v>A CONTRATA</v>
      </c>
      <c r="K476" s="33" t="str">
        <f>IFERROR(__xludf.DUMMYFUNCTION("""COMPUTED_VALUE"""),"TECNICO")</f>
        <v>TECNICO</v>
      </c>
      <c r="L476" s="34" t="str">
        <f>IFERROR(__xludf.DUMMYFUNCTION("""COMPUTED_VALUE"""),"INTERNO")</f>
        <v>INTERNO</v>
      </c>
      <c r="M476" s="34">
        <f>IFERROR(__xludf.DUMMYFUNCTION("""COMPUTED_VALUE"""),9.0)</f>
        <v>9</v>
      </c>
      <c r="N476" s="34" t="str">
        <f>IFERROR(__xludf.DUMMYFUNCTION("""COMPUTED_VALUE"""),"EXTERNO")</f>
        <v>EXTERNO</v>
      </c>
      <c r="O476">
        <f>IFERROR(__xludf.DUMMYFUNCTION("""COMPUTED_VALUE"""),14.0)</f>
        <v>14</v>
      </c>
      <c r="P476">
        <f>IFERROR(__xludf.DUMMYFUNCTION("""COMPUTED_VALUE"""),3.0)</f>
        <v>3</v>
      </c>
      <c r="Q476" s="35">
        <f>IFERROR(__xludf.DUMMYFUNCTION("""COMPUTED_VALUE"""),1.0)</f>
        <v>1</v>
      </c>
      <c r="R476" s="36" t="str">
        <f>IFERROR(__xludf.DUMMYFUNCTION("""COMPUTED_VALUE"""),"SELECCIONADA")</f>
        <v>SELECCIONADA</v>
      </c>
      <c r="S476" s="37">
        <f>IFERROR(__xludf.DUMMYFUNCTION("""COMPUTED_VALUE"""),42114.0)</f>
        <v>42114</v>
      </c>
      <c r="T476" s="34"/>
      <c r="U476" t="str">
        <f>IFERROR(__xludf.DUMMYFUNCTION("""COMPUTED_VALUE"""),"CAROLINA ARENAS QUILAN")</f>
        <v>CAROLINA ARENAS QUILAN</v>
      </c>
      <c r="V476" t="str">
        <f>IFERROR(__xludf.DUMMYFUNCTION("""COMPUTED_VALUE"""),"13264920-0")</f>
        <v>13264920-0</v>
      </c>
      <c r="W476" t="str">
        <f>IFERROR(__xludf.DUMMYFUNCTION("""COMPUTED_VALUE"""),"SI")</f>
        <v>SI</v>
      </c>
      <c r="Z476" t="str">
        <f>IFERROR(__xludf.DUMMYFUNCTION("""COMPUTED_VALUE"""),"Comunicacion")</f>
        <v>Comunicacion</v>
      </c>
      <c r="AA476" s="38">
        <f>IFERROR(__xludf.DUMMYFUNCTION("""COMPUTED_VALUE"""),42065.0)</f>
        <v>42065</v>
      </c>
      <c r="AB476" s="38">
        <f>IFERROR(__xludf.DUMMYFUNCTION("""COMPUTED_VALUE"""),42072.0)</f>
        <v>42072</v>
      </c>
      <c r="AF476" s="39"/>
      <c r="AG476" s="39"/>
      <c r="AH476" s="34" t="str">
        <f>IFERROR(__xludf.DUMMYFUNCTION("""COMPUTED_VALUE"""),"PROCESO DE SELECCIÓN")</f>
        <v>PROCESO DE SELECCIÓN</v>
      </c>
      <c r="AI476" s="34" t="str">
        <f>IFERROR(__xludf.DUMMYFUNCTION("""COMPUTED_VALUE"""),"CARLOS BARRENECHEA")</f>
        <v>CARLOS BARRENECHEA</v>
      </c>
      <c r="AJ476" s="34"/>
      <c r="AK476" s="34" t="str">
        <f>IFERROR(__xludf.DUMMYFUNCTION("""COMPUTED_VALUE"""),"C")</f>
        <v>C</v>
      </c>
      <c r="AL476">
        <f>IFERROR(__xludf.DUMMYFUNCTION("""COMPUTED_VALUE"""),31.0)</f>
        <v>31</v>
      </c>
      <c r="AM476">
        <f>IFERROR(__xludf.DUMMYFUNCTION("""COMPUTED_VALUE"""),2015.0)</f>
        <v>2015</v>
      </c>
      <c r="AN476" t="str">
        <f t="shared" si="1"/>
        <v>13264920-0</v>
      </c>
    </row>
    <row r="477">
      <c r="A477" s="33">
        <f>IFERROR(__xludf.DUMMYFUNCTION("""COMPUTED_VALUE"""),1.7381281E7)</f>
        <v>17381281</v>
      </c>
      <c r="B477" s="33">
        <f>IFERROR(__xludf.DUMMYFUNCTION("""COMPUTED_VALUE"""),14.0)</f>
        <v>14</v>
      </c>
      <c r="C477" s="33"/>
      <c r="D477" s="34" t="str">
        <f>IFERROR(__xludf.DUMMYFUNCTION("""COMPUTED_VALUE"""),"60")</f>
        <v>60</v>
      </c>
      <c r="E477" s="34" t="str">
        <f>IFERROR(__xludf.DUMMYFUNCTION("""COMPUTED_VALUE"""),"DEPARTAMENTO DE CONTABILIDAD Y AUDITORIA")</f>
        <v>DEPARTAMENTO DE CONTABILIDAD Y AUDITORIA</v>
      </c>
      <c r="F477" s="34" t="str">
        <f>IFERROR(__xludf.DUMMYFUNCTION("""COMPUTED_VALUE"""),"Secretario(a) de Apoyo Docente")</f>
        <v>Secretario(a) de Apoyo Docente</v>
      </c>
      <c r="G477" s="33" t="str">
        <f>IFERROR(__xludf.DUMMYFUNCTION("""COMPUTED_VALUE"""),"SECRETARIA DE APOYO DOCENTE")</f>
        <v>SECRETARIA DE APOYO DOCENTE</v>
      </c>
      <c r="H477">
        <f>IFERROR(__xludf.DUMMYFUNCTION("""COMPUTED_VALUE"""),17.0)</f>
        <v>17</v>
      </c>
      <c r="I477" s="34" t="str">
        <f>IFERROR(__xludf.DUMMYFUNCTION("""COMPUTED_VALUE"""),"Jornada Completa")</f>
        <v>Jornada Completa</v>
      </c>
      <c r="J477" s="33" t="str">
        <f>IFERROR(__xludf.DUMMYFUNCTION("""COMPUTED_VALUE"""),"A CONTRATA")</f>
        <v>A CONTRATA</v>
      </c>
      <c r="K477" s="33" t="str">
        <f>IFERROR(__xludf.DUMMYFUNCTION("""COMPUTED_VALUE"""),"ADMINISTRATIVO")</f>
        <v>ADMINISTRATIVO</v>
      </c>
      <c r="L477" s="34" t="str">
        <f>IFERROR(__xludf.DUMMYFUNCTION("""COMPUTED_VALUE"""),"INTERNO")</f>
        <v>INTERNO</v>
      </c>
      <c r="M477" s="34">
        <f>IFERROR(__xludf.DUMMYFUNCTION("""COMPUTED_VALUE"""),0.0)</f>
        <v>0</v>
      </c>
      <c r="N477" s="34" t="str">
        <f>IFERROR(__xludf.DUMMYFUNCTION("""COMPUTED_VALUE"""),"EXTERNO")</f>
        <v>EXTERNO</v>
      </c>
      <c r="O477">
        <f>IFERROR(__xludf.DUMMYFUNCTION("""COMPUTED_VALUE"""),5.0)</f>
        <v>5</v>
      </c>
      <c r="P477">
        <f>IFERROR(__xludf.DUMMYFUNCTION("""COMPUTED_VALUE"""),1.0)</f>
        <v>1</v>
      </c>
      <c r="Q477" s="35">
        <f>IFERROR(__xludf.DUMMYFUNCTION("""COMPUTED_VALUE"""),1.0)</f>
        <v>1</v>
      </c>
      <c r="R477" s="36" t="str">
        <f>IFERROR(__xludf.DUMMYFUNCTION("""COMPUTED_VALUE"""),"SELECCIONADA")</f>
        <v>SELECCIONADA</v>
      </c>
      <c r="S477" s="37">
        <f>IFERROR(__xludf.DUMMYFUNCTION("""COMPUTED_VALUE"""),42107.0)</f>
        <v>42107</v>
      </c>
      <c r="T477" s="34"/>
      <c r="U477" t="str">
        <f>IFERROR(__xludf.DUMMYFUNCTION("""COMPUTED_VALUE"""),"CATHERINE GONZALEZ VELASQUEZ")</f>
        <v>CATHERINE GONZALEZ VELASQUEZ</v>
      </c>
      <c r="V477" t="str">
        <f>IFERROR(__xludf.DUMMYFUNCTION("""COMPUTED_VALUE"""),"17381281-7")</f>
        <v>17381281-7</v>
      </c>
      <c r="W477" t="str">
        <f>IFERROR(__xludf.DUMMYFUNCTION("""COMPUTED_VALUE"""),"SI")</f>
        <v>SI</v>
      </c>
      <c r="X477" t="str">
        <f>IFERROR(__xludf.DUMMYFUNCTION("""COMPUTED_VALUE"""),"Preocupacion por el Orden y la Claridad")</f>
        <v>Preocupacion por el Orden y la Claridad</v>
      </c>
      <c r="AA477" s="38">
        <f>IFERROR(__xludf.DUMMYFUNCTION("""COMPUTED_VALUE"""),42081.0)</f>
        <v>42081</v>
      </c>
      <c r="AB477" s="38">
        <f>IFERROR(__xludf.DUMMYFUNCTION("""COMPUTED_VALUE"""),42086.0)</f>
        <v>42086</v>
      </c>
      <c r="AF477" s="39"/>
      <c r="AG477" s="39"/>
      <c r="AH477" s="34" t="str">
        <f>IFERROR(__xludf.DUMMYFUNCTION("""COMPUTED_VALUE"""),"PROCESO DE SELECCIÓN")</f>
        <v>PROCESO DE SELECCIÓN</v>
      </c>
      <c r="AI477" s="34" t="str">
        <f>IFERROR(__xludf.DUMMYFUNCTION("""COMPUTED_VALUE"""),"-")</f>
        <v>-</v>
      </c>
      <c r="AJ477" s="34"/>
      <c r="AK477" s="34" t="str">
        <f>IFERROR(__xludf.DUMMYFUNCTION("""COMPUTED_VALUE"""),"P")</f>
        <v>P</v>
      </c>
      <c r="AL477">
        <f>IFERROR(__xludf.DUMMYFUNCTION("""COMPUTED_VALUE"""),16.0)</f>
        <v>16</v>
      </c>
      <c r="AM477">
        <f>IFERROR(__xludf.DUMMYFUNCTION("""COMPUTED_VALUE"""),2015.0)</f>
        <v>2015</v>
      </c>
      <c r="AN477" t="str">
        <f t="shared" si="1"/>
        <v>17381281-7</v>
      </c>
    </row>
    <row r="478">
      <c r="A478" s="33">
        <f>IFERROR(__xludf.DUMMYFUNCTION("""COMPUTED_VALUE"""),1.6570996E7)</f>
        <v>16570996</v>
      </c>
      <c r="B478" s="33">
        <f>IFERROR(__xludf.DUMMYFUNCTION("""COMPUTED_VALUE"""),15.0)</f>
        <v>15</v>
      </c>
      <c r="C478" s="33"/>
      <c r="D478" s="34" t="str">
        <f>IFERROR(__xludf.DUMMYFUNCTION("""COMPUTED_VALUE"""),"3")</f>
        <v>3</v>
      </c>
      <c r="E478" s="34" t="str">
        <f>IFERROR(__xludf.DUMMYFUNCTION("""COMPUTED_VALUE"""),"UNIDAD DE GESTION DEL CAMPUS")</f>
        <v>UNIDAD DE GESTION DEL CAMPUS</v>
      </c>
      <c r="F478" s="34" t="str">
        <f>IFERROR(__xludf.DUMMYFUNCTION("""COMPUTED_VALUE"""),"Técnico(a) en Prevención de Riesgos")</f>
        <v>Técnico(a) en Prevención de Riesgos</v>
      </c>
      <c r="G478" s="33" t="str">
        <f>IFERROR(__xludf.DUMMYFUNCTION("""COMPUTED_VALUE"""),"TECNICO EN PREVENCION DE RIESGOS")</f>
        <v>TECNICO EN PREVENCION DE RIESGOS</v>
      </c>
      <c r="H478">
        <f>IFERROR(__xludf.DUMMYFUNCTION("""COMPUTED_VALUE"""),14.0)</f>
        <v>14</v>
      </c>
      <c r="I478" s="34" t="str">
        <f>IFERROR(__xludf.DUMMYFUNCTION("""COMPUTED_VALUE"""),"Jornada Completa")</f>
        <v>Jornada Completa</v>
      </c>
      <c r="J478" s="33" t="str">
        <f>IFERROR(__xludf.DUMMYFUNCTION("""COMPUTED_VALUE"""),"A CONTRATA")</f>
        <v>A CONTRATA</v>
      </c>
      <c r="K478" s="33" t="str">
        <f>IFERROR(__xludf.DUMMYFUNCTION("""COMPUTED_VALUE"""),"TECNICO")</f>
        <v>TECNICO</v>
      </c>
      <c r="L478" s="34" t="str">
        <f>IFERROR(__xludf.DUMMYFUNCTION("""COMPUTED_VALUE"""),"INTERNO")</f>
        <v>INTERNO</v>
      </c>
      <c r="M478" s="34">
        <f>IFERROR(__xludf.DUMMYFUNCTION("""COMPUTED_VALUE"""),0.0)</f>
        <v>0</v>
      </c>
      <c r="N478" s="34" t="str">
        <f>IFERROR(__xludf.DUMMYFUNCTION("""COMPUTED_VALUE"""),"EXTERNO")</f>
        <v>EXTERNO</v>
      </c>
      <c r="O478">
        <f>IFERROR(__xludf.DUMMYFUNCTION("""COMPUTED_VALUE"""),13.0)</f>
        <v>13</v>
      </c>
      <c r="P478">
        <f>IFERROR(__xludf.DUMMYFUNCTION("""COMPUTED_VALUE"""),2.0)</f>
        <v>2</v>
      </c>
      <c r="Q478" s="35">
        <f>IFERROR(__xludf.DUMMYFUNCTION("""COMPUTED_VALUE"""),1.0)</f>
        <v>1</v>
      </c>
      <c r="R478" s="36" t="str">
        <f>IFERROR(__xludf.DUMMYFUNCTION("""COMPUTED_VALUE"""),"SELECCIONADO")</f>
        <v>SELECCIONADO</v>
      </c>
      <c r="S478" s="37">
        <f>IFERROR(__xludf.DUMMYFUNCTION("""COMPUTED_VALUE"""),42125.0)</f>
        <v>42125</v>
      </c>
      <c r="T478" s="34"/>
      <c r="U478" t="str">
        <f>IFERROR(__xludf.DUMMYFUNCTION("""COMPUTED_VALUE"""),"MIGUEL SALAZAR ZAMORANO")</f>
        <v>MIGUEL SALAZAR ZAMORANO</v>
      </c>
      <c r="V478" t="str">
        <f>IFERROR(__xludf.DUMMYFUNCTION("""COMPUTED_VALUE"""),"16570996-9")</f>
        <v>16570996-9</v>
      </c>
      <c r="W478" t="str">
        <f>IFERROR(__xludf.DUMMYFUNCTION("""COMPUTED_VALUE"""),"SI")</f>
        <v>SI</v>
      </c>
      <c r="Z478" t="str">
        <f>IFERROR(__xludf.DUMMYFUNCTION("""COMPUTED_VALUE"""),"Tolerancia a la presion")</f>
        <v>Tolerancia a la presion</v>
      </c>
      <c r="AA478" s="38">
        <f>IFERROR(__xludf.DUMMYFUNCTION("""COMPUTED_VALUE"""),42067.0)</f>
        <v>42067</v>
      </c>
      <c r="AB478" s="38">
        <f>IFERROR(__xludf.DUMMYFUNCTION("""COMPUTED_VALUE"""),42074.0)</f>
        <v>42074</v>
      </c>
      <c r="AF478" s="39"/>
      <c r="AG478" s="39"/>
      <c r="AH478" s="34" t="str">
        <f>IFERROR(__xludf.DUMMYFUNCTION("""COMPUTED_VALUE"""),"PROCESO DE SELECCIÓN")</f>
        <v>PROCESO DE SELECCIÓN</v>
      </c>
      <c r="AI478" s="34" t="str">
        <f>IFERROR(__xludf.DUMMYFUNCTION("""COMPUTED_VALUE"""),"-")</f>
        <v>-</v>
      </c>
      <c r="AJ478" s="34"/>
      <c r="AK478" s="34" t="str">
        <f>IFERROR(__xludf.DUMMYFUNCTION("""COMPUTED_VALUE"""),"C")</f>
        <v>C</v>
      </c>
      <c r="AL478">
        <f>IFERROR(__xludf.DUMMYFUNCTION("""COMPUTED_VALUE"""),38.0)</f>
        <v>38</v>
      </c>
      <c r="AM478">
        <f>IFERROR(__xludf.DUMMYFUNCTION("""COMPUTED_VALUE"""),2015.0)</f>
        <v>2015</v>
      </c>
      <c r="AN478" t="str">
        <f t="shared" si="1"/>
        <v>16570996-9</v>
      </c>
    </row>
    <row r="479">
      <c r="A479" s="33">
        <f>IFERROR(__xludf.DUMMYFUNCTION("""COMPUTED_VALUE"""),1.5797419E7)</f>
        <v>15797419</v>
      </c>
      <c r="B479" s="33">
        <f>IFERROR(__xludf.DUMMYFUNCTION("""COMPUTED_VALUE"""),16.0)</f>
        <v>16</v>
      </c>
      <c r="C479" s="33"/>
      <c r="D479" s="34" t="str">
        <f>IFERROR(__xludf.DUMMYFUNCTION("""COMPUTED_VALUE"""),"11")</f>
        <v>11</v>
      </c>
      <c r="E479" s="34" t="str">
        <f>IFERROR(__xludf.DUMMYFUNCTION("""COMPUTED_VALUE"""),"CENTRO DE INNOVACION Y TRANSFERENCIA TECNOLOGICA")</f>
        <v>CENTRO DE INNOVACION Y TRANSFERENCIA TECNOLOGICA</v>
      </c>
      <c r="F479" s="34" t="str">
        <f>IFERROR(__xludf.DUMMYFUNCTION("""COMPUTED_VALUE"""),"Jefe(a) de Sección")</f>
        <v>Jefe(a) de Sección</v>
      </c>
      <c r="G479" s="33" t="str">
        <f>IFERROR(__xludf.DUMMYFUNCTION("""COMPUTED_VALUE"""),"JEFE DE SECCION")</f>
        <v>JEFE DE SECCION</v>
      </c>
      <c r="H479">
        <f>IFERROR(__xludf.DUMMYFUNCTION("""COMPUTED_VALUE"""),10.0)</f>
        <v>10</v>
      </c>
      <c r="I479" s="34" t="str">
        <f>IFERROR(__xludf.DUMMYFUNCTION("""COMPUTED_VALUE"""),"Jornada Completa")</f>
        <v>Jornada Completa</v>
      </c>
      <c r="J479" s="33" t="str">
        <f>IFERROR(__xludf.DUMMYFUNCTION("""COMPUTED_VALUE"""),"A CONTRATA")</f>
        <v>A CONTRATA</v>
      </c>
      <c r="K479" s="33" t="str">
        <f>IFERROR(__xludf.DUMMYFUNCTION("""COMPUTED_VALUE"""),"PROFESIONAL")</f>
        <v>PROFESIONAL</v>
      </c>
      <c r="L479" s="34" t="str">
        <f>IFERROR(__xludf.DUMMYFUNCTION("""COMPUTED_VALUE"""),"INTERNO")</f>
        <v>INTERNO</v>
      </c>
      <c r="M479" s="34">
        <f>IFERROR(__xludf.DUMMYFUNCTION("""COMPUTED_VALUE"""),7.0)</f>
        <v>7</v>
      </c>
      <c r="N479" s="34" t="str">
        <f>IFERROR(__xludf.DUMMYFUNCTION("""COMPUTED_VALUE"""),"EXTERNO")</f>
        <v>EXTERNO</v>
      </c>
      <c r="O479">
        <f>IFERROR(__xludf.DUMMYFUNCTION("""COMPUTED_VALUE"""),10.0)</f>
        <v>10</v>
      </c>
      <c r="P479">
        <f>IFERROR(__xludf.DUMMYFUNCTION("""COMPUTED_VALUE"""),1.0)</f>
        <v>1</v>
      </c>
      <c r="Q479" s="35"/>
      <c r="R479" s="36" t="str">
        <f>IFERROR(__xludf.DUMMYFUNCTION("""COMPUTED_VALUE"""),"SELECCIONADA")</f>
        <v>SELECCIONADA</v>
      </c>
      <c r="S479" s="37">
        <f>IFERROR(__xludf.DUMMYFUNCTION("""COMPUTED_VALUE"""),42156.0)</f>
        <v>42156</v>
      </c>
      <c r="T479" s="34"/>
      <c r="U479" t="str">
        <f>IFERROR(__xludf.DUMMYFUNCTION("""COMPUTED_VALUE"""),"KAREN ARRIAGADA RIVAS")</f>
        <v>KAREN ARRIAGADA RIVAS</v>
      </c>
      <c r="V479" t="str">
        <f>IFERROR(__xludf.DUMMYFUNCTION("""COMPUTED_VALUE"""),"15797419-K")</f>
        <v>15797419-K</v>
      </c>
      <c r="W479" t="str">
        <f>IFERROR(__xludf.DUMMYFUNCTION("""COMPUTED_VALUE"""),"NO")</f>
        <v>NO</v>
      </c>
      <c r="AA479" s="38">
        <f>IFERROR(__xludf.DUMMYFUNCTION("""COMPUTED_VALUE"""),42090.0)</f>
        <v>42090</v>
      </c>
      <c r="AB479" s="38">
        <f>IFERROR(__xludf.DUMMYFUNCTION("""COMPUTED_VALUE"""),42096.0)</f>
        <v>42096</v>
      </c>
      <c r="AF479" s="39"/>
      <c r="AG479" s="39"/>
      <c r="AH479" s="34" t="str">
        <f>IFERROR(__xludf.DUMMYFUNCTION("""COMPUTED_VALUE"""),"PROCESO DE SELECCIÓN")</f>
        <v>PROCESO DE SELECCIÓN</v>
      </c>
      <c r="AI479" s="34" t="str">
        <f>IFERROR(__xludf.DUMMYFUNCTION("""COMPUTED_VALUE"""),"MARGARITA LLORENS CORVALAN")</f>
        <v>MARGARITA LLORENS CORVALAN</v>
      </c>
      <c r="AJ479" s="34"/>
      <c r="AK479" s="34" t="str">
        <f>IFERROR(__xludf.DUMMYFUNCTION("""COMPUTED_VALUE"""),"P")</f>
        <v>P</v>
      </c>
      <c r="AL479">
        <f>IFERROR(__xludf.DUMMYFUNCTION("""COMPUTED_VALUE"""),43.0)</f>
        <v>43</v>
      </c>
      <c r="AM479">
        <f>IFERROR(__xludf.DUMMYFUNCTION("""COMPUTED_VALUE"""),2015.0)</f>
        <v>2015</v>
      </c>
      <c r="AN479" t="str">
        <f t="shared" si="1"/>
        <v>15797419-K</v>
      </c>
    </row>
    <row r="480">
      <c r="A480" s="33">
        <f>IFERROR(__xludf.DUMMYFUNCTION("""COMPUTED_VALUE"""),1.0147605E7)</f>
        <v>10147605</v>
      </c>
      <c r="B480" s="33">
        <f>IFERROR(__xludf.DUMMYFUNCTION("""COMPUTED_VALUE"""),17.0)</f>
        <v>17</v>
      </c>
      <c r="C480" s="33"/>
      <c r="D480" s="34" t="str">
        <f>IFERROR(__xludf.DUMMYFUNCTION("""COMPUTED_VALUE"""),"15")</f>
        <v>15</v>
      </c>
      <c r="E480" s="34" t="str">
        <f>IFERROR(__xludf.DUMMYFUNCTION("""COMPUTED_VALUE"""),"UNIDAD DE BIBLIOTECAS")</f>
        <v>UNIDAD DE BIBLIOTECAS</v>
      </c>
      <c r="F480" s="34" t="str">
        <f>IFERROR(__xludf.DUMMYFUNCTION("""COMPUTED_VALUE"""),"Asistente de Biblioteca")</f>
        <v>Asistente de Biblioteca</v>
      </c>
      <c r="G480" s="33" t="str">
        <f>IFERROR(__xludf.DUMMYFUNCTION("""COMPUTED_VALUE"""),"ASISTENTE DE BIBLIOTECA")</f>
        <v>ASISTENTE DE BIBLIOTECA</v>
      </c>
      <c r="H480">
        <f>IFERROR(__xludf.DUMMYFUNCTION("""COMPUTED_VALUE"""),20.0)</f>
        <v>20</v>
      </c>
      <c r="I480" s="34" t="str">
        <f>IFERROR(__xludf.DUMMYFUNCTION("""COMPUTED_VALUE"""),"Jornada Completa")</f>
        <v>Jornada Completa</v>
      </c>
      <c r="J480" s="33" t="str">
        <f>IFERROR(__xludf.DUMMYFUNCTION("""COMPUTED_VALUE"""),"A CONTRATA")</f>
        <v>A CONTRATA</v>
      </c>
      <c r="K480" s="33" t="str">
        <f>IFERROR(__xludf.DUMMYFUNCTION("""COMPUTED_VALUE"""),"ADMINISTRATIVO")</f>
        <v>ADMINISTRATIVO</v>
      </c>
      <c r="L480" s="34" t="str">
        <f>IFERROR(__xludf.DUMMYFUNCTION("""COMPUTED_VALUE"""),"INTERNO")</f>
        <v>INTERNO</v>
      </c>
      <c r="M480" s="34">
        <f>IFERROR(__xludf.DUMMYFUNCTION("""COMPUTED_VALUE"""),0.0)</f>
        <v>0</v>
      </c>
      <c r="N480" s="34" t="str">
        <f>IFERROR(__xludf.DUMMYFUNCTION("""COMPUTED_VALUE"""),"EXTERNO")</f>
        <v>EXTERNO</v>
      </c>
      <c r="O480">
        <f>IFERROR(__xludf.DUMMYFUNCTION("""COMPUTED_VALUE"""),5.0)</f>
        <v>5</v>
      </c>
      <c r="P480">
        <f>IFERROR(__xludf.DUMMYFUNCTION("""COMPUTED_VALUE"""),2.0)</f>
        <v>2</v>
      </c>
      <c r="Q480" s="35">
        <f>IFERROR(__xludf.DUMMYFUNCTION("""COMPUTED_VALUE"""),1.0)</f>
        <v>1</v>
      </c>
      <c r="R480" s="36" t="str">
        <f>IFERROR(__xludf.DUMMYFUNCTION("""COMPUTED_VALUE"""),"SELECCIONADA")</f>
        <v>SELECCIONADA</v>
      </c>
      <c r="S480" s="37">
        <f>IFERROR(__xludf.DUMMYFUNCTION("""COMPUTED_VALUE"""),42128.0)</f>
        <v>42128</v>
      </c>
      <c r="T480" s="34"/>
      <c r="U480" t="str">
        <f>IFERROR(__xludf.DUMMYFUNCTION("""COMPUTED_VALUE"""),"HILDA VERA GONZALEZ")</f>
        <v>HILDA VERA GONZALEZ</v>
      </c>
      <c r="V480" t="str">
        <f>IFERROR(__xludf.DUMMYFUNCTION("""COMPUTED_VALUE"""),"10147605-7")</f>
        <v>10147605-7</v>
      </c>
      <c r="W480" t="str">
        <f>IFERROR(__xludf.DUMMYFUNCTION("""COMPUTED_VALUE"""),"NO")</f>
        <v>NO</v>
      </c>
      <c r="AA480" s="38">
        <f>IFERROR(__xludf.DUMMYFUNCTION("""COMPUTED_VALUE"""),42090.0)</f>
        <v>42090</v>
      </c>
      <c r="AB480" s="38">
        <f>IFERROR(__xludf.DUMMYFUNCTION("""COMPUTED_VALUE"""),42096.0)</f>
        <v>42096</v>
      </c>
      <c r="AF480" s="39"/>
      <c r="AG480" s="39"/>
      <c r="AH480" s="34" t="str">
        <f>IFERROR(__xludf.DUMMYFUNCTION("""COMPUTED_VALUE"""),"PROCESO DE SELECCIÓN")</f>
        <v>PROCESO DE SELECCIÓN</v>
      </c>
      <c r="AI480" s="34" t="str">
        <f>IFERROR(__xludf.DUMMYFUNCTION("""COMPUTED_VALUE"""),"ALEXIS ARELLANO FARIAS")</f>
        <v>ALEXIS ARELLANO FARIAS</v>
      </c>
      <c r="AJ480" s="34"/>
      <c r="AK480" s="34" t="str">
        <f>IFERROR(__xludf.DUMMYFUNCTION("""COMPUTED_VALUE"""),"C")</f>
        <v>C</v>
      </c>
      <c r="AL480">
        <f>IFERROR(__xludf.DUMMYFUNCTION("""COMPUTED_VALUE"""),23.0)</f>
        <v>23</v>
      </c>
      <c r="AM480">
        <f>IFERROR(__xludf.DUMMYFUNCTION("""COMPUTED_VALUE"""),2015.0)</f>
        <v>2015</v>
      </c>
      <c r="AN480" t="str">
        <f t="shared" si="1"/>
        <v>10147605-7</v>
      </c>
    </row>
    <row r="481">
      <c r="A481" s="33">
        <f>IFERROR(__xludf.DUMMYFUNCTION("""COMPUTED_VALUE"""),1.4179988E7)</f>
        <v>14179988</v>
      </c>
      <c r="B481" s="33">
        <f>IFERROR(__xludf.DUMMYFUNCTION("""COMPUTED_VALUE"""),18.0)</f>
        <v>18</v>
      </c>
      <c r="C481" s="33"/>
      <c r="D481" s="34" t="str">
        <f>IFERROR(__xludf.DUMMYFUNCTION("""COMPUTED_VALUE"""),"15")</f>
        <v>15</v>
      </c>
      <c r="E481" s="34" t="str">
        <f>IFERROR(__xludf.DUMMYFUNCTION("""COMPUTED_VALUE"""),"UNIDAD DE BIBLIOTECAS")</f>
        <v>UNIDAD DE BIBLIOTECAS</v>
      </c>
      <c r="F481" s="34" t="str">
        <f>IFERROR(__xludf.DUMMYFUNCTION("""COMPUTED_VALUE"""),"Encargado(a) de Sala")</f>
        <v>Encargado(a) de Sala</v>
      </c>
      <c r="G481" s="33" t="str">
        <f>IFERROR(__xludf.DUMMYFUNCTION("""COMPUTED_VALUE"""),"INSPECTOR  DE SALAS DE LECTURA")</f>
        <v>INSPECTOR  DE SALAS DE LECTURA</v>
      </c>
      <c r="H481">
        <f>IFERROR(__xludf.DUMMYFUNCTION("""COMPUTED_VALUE"""),21.0)</f>
        <v>21</v>
      </c>
      <c r="I481" s="34" t="str">
        <f>IFERROR(__xludf.DUMMYFUNCTION("""COMPUTED_VALUE"""),"Jornada Completa")</f>
        <v>Jornada Completa</v>
      </c>
      <c r="J481" s="33" t="str">
        <f>IFERROR(__xludf.DUMMYFUNCTION("""COMPUTED_VALUE"""),"A CONTRATA")</f>
        <v>A CONTRATA</v>
      </c>
      <c r="K481" s="33" t="str">
        <f>IFERROR(__xludf.DUMMYFUNCTION("""COMPUTED_VALUE"""),"AUXILIAR")</f>
        <v>AUXILIAR</v>
      </c>
      <c r="L481" s="34" t="str">
        <f>IFERROR(__xludf.DUMMYFUNCTION("""COMPUTED_VALUE"""),"INTERNO")</f>
        <v>INTERNO</v>
      </c>
      <c r="M481" s="34">
        <f>IFERROR(__xludf.DUMMYFUNCTION("""COMPUTED_VALUE"""),1.0)</f>
        <v>1</v>
      </c>
      <c r="N481" s="34" t="str">
        <f>IFERROR(__xludf.DUMMYFUNCTION("""COMPUTED_VALUE"""),"EXTERNO")</f>
        <v>EXTERNO</v>
      </c>
      <c r="O481">
        <f>IFERROR(__xludf.DUMMYFUNCTION("""COMPUTED_VALUE"""),8.0)</f>
        <v>8</v>
      </c>
      <c r="P481">
        <f>IFERROR(__xludf.DUMMYFUNCTION("""COMPUTED_VALUE"""),1.0)</f>
        <v>1</v>
      </c>
      <c r="Q481" s="35">
        <f>IFERROR(__xludf.DUMMYFUNCTION("""COMPUTED_VALUE"""),1.0)</f>
        <v>1</v>
      </c>
      <c r="R481" s="36" t="str">
        <f>IFERROR(__xludf.DUMMYFUNCTION("""COMPUTED_VALUE"""),"SELECCIONADO")</f>
        <v>SELECCIONADO</v>
      </c>
      <c r="S481" s="37">
        <f>IFERROR(__xludf.DUMMYFUNCTION("""COMPUTED_VALUE"""),42129.0)</f>
        <v>42129</v>
      </c>
      <c r="T481" s="34"/>
      <c r="U481" t="str">
        <f>IFERROR(__xludf.DUMMYFUNCTION("""COMPUTED_VALUE"""),"CARLOS MARTINEZ HERRERA")</f>
        <v>CARLOS MARTINEZ HERRERA</v>
      </c>
      <c r="V481" t="str">
        <f>IFERROR(__xludf.DUMMYFUNCTION("""COMPUTED_VALUE"""),"14179988-6")</f>
        <v>14179988-6</v>
      </c>
      <c r="W481" t="str">
        <f>IFERROR(__xludf.DUMMYFUNCTION("""COMPUTED_VALUE"""),"NO")</f>
        <v>NO</v>
      </c>
      <c r="AA481" s="38">
        <f>IFERROR(__xludf.DUMMYFUNCTION("""COMPUTED_VALUE"""),42095.0)</f>
        <v>42095</v>
      </c>
      <c r="AB481" s="38">
        <f>IFERROR(__xludf.DUMMYFUNCTION("""COMPUTED_VALUE"""),42102.0)</f>
        <v>42102</v>
      </c>
      <c r="AF481" s="39"/>
      <c r="AG481" s="39"/>
      <c r="AH481" s="34" t="str">
        <f>IFERROR(__xludf.DUMMYFUNCTION("""COMPUTED_VALUE"""),"PROCESO DE SELECCIÓN")</f>
        <v>PROCESO DE SELECCIÓN</v>
      </c>
      <c r="AI481" s="34" t="str">
        <f>IFERROR(__xludf.DUMMYFUNCTION("""COMPUTED_VALUE"""),"KATHERINE VALLEJOS BARRIENTOS")</f>
        <v>KATHERINE VALLEJOS BARRIENTOS</v>
      </c>
      <c r="AJ481" s="34"/>
      <c r="AK481" s="34" t="str">
        <f>IFERROR(__xludf.DUMMYFUNCTION("""COMPUTED_VALUE"""),"C")</f>
        <v>C</v>
      </c>
      <c r="AL481">
        <f>IFERROR(__xludf.DUMMYFUNCTION("""COMPUTED_VALUE"""),20.0)</f>
        <v>20</v>
      </c>
      <c r="AM481">
        <f>IFERROR(__xludf.DUMMYFUNCTION("""COMPUTED_VALUE"""),2015.0)</f>
        <v>2015</v>
      </c>
      <c r="AN481" t="str">
        <f t="shared" si="1"/>
        <v>14179988-6</v>
      </c>
    </row>
    <row r="482">
      <c r="A482" s="33">
        <f>IFERROR(__xludf.DUMMYFUNCTION("""COMPUTED_VALUE"""),1.6961705E7)</f>
        <v>16961705</v>
      </c>
      <c r="B482" s="33">
        <f>IFERROR(__xludf.DUMMYFUNCTION("""COMPUTED_VALUE"""),19.0)</f>
        <v>19</v>
      </c>
      <c r="C482" s="33"/>
      <c r="D482" s="34" t="str">
        <f>IFERROR(__xludf.DUMMYFUNCTION("""COMPUTED_VALUE"""),"83")</f>
        <v>83</v>
      </c>
      <c r="E482" s="34" t="str">
        <f>IFERROR(__xludf.DUMMYFUNCTION("""COMPUTED_VALUE"""),"FACULTAD DE CIENCIAS MEDICAS")</f>
        <v>FACULTAD DE CIENCIAS MEDICAS</v>
      </c>
      <c r="F482" s="34" t="str">
        <f>IFERROR(__xludf.DUMMYFUNCTION("""COMPUTED_VALUE"""),"Encargado(a) de Laboratorio")</f>
        <v>Encargado(a) de Laboratorio</v>
      </c>
      <c r="G482" s="33" t="str">
        <f>IFERROR(__xludf.DUMMYFUNCTION("""COMPUTED_VALUE"""),"ENCARGADO DE LABORATORIO DE EMBRIOLOGIA")</f>
        <v>ENCARGADO DE LABORATORIO DE EMBRIOLOGIA</v>
      </c>
      <c r="H482">
        <f>IFERROR(__xludf.DUMMYFUNCTION("""COMPUTED_VALUE"""),13.0)</f>
        <v>13</v>
      </c>
      <c r="I482" s="34" t="str">
        <f>IFERROR(__xludf.DUMMYFUNCTION("""COMPUTED_VALUE"""),"Jornada Completa")</f>
        <v>Jornada Completa</v>
      </c>
      <c r="J482" s="33" t="str">
        <f>IFERROR(__xludf.DUMMYFUNCTION("""COMPUTED_VALUE"""),"A CONTRATA")</f>
        <v>A CONTRATA</v>
      </c>
      <c r="K482" s="33" t="str">
        <f>IFERROR(__xludf.DUMMYFUNCTION("""COMPUTED_VALUE"""),"PROFESIONAL")</f>
        <v>PROFESIONAL</v>
      </c>
      <c r="L482" s="34" t="str">
        <f>IFERROR(__xludf.DUMMYFUNCTION("""COMPUTED_VALUE"""),"NO")</f>
        <v>NO</v>
      </c>
      <c r="M482" s="34"/>
      <c r="N482" s="34" t="str">
        <f>IFERROR(__xludf.DUMMYFUNCTION("""COMPUTED_VALUE"""),"EXTERNO")</f>
        <v>EXTERNO</v>
      </c>
      <c r="O482">
        <f>IFERROR(__xludf.DUMMYFUNCTION("""COMPUTED_VALUE"""),6.0)</f>
        <v>6</v>
      </c>
      <c r="P482">
        <f>IFERROR(__xludf.DUMMYFUNCTION("""COMPUTED_VALUE"""),2.0)</f>
        <v>2</v>
      </c>
      <c r="Q482" s="35">
        <f>IFERROR(__xludf.DUMMYFUNCTION("""COMPUTED_VALUE"""),1.0)</f>
        <v>1</v>
      </c>
      <c r="R482" s="36" t="str">
        <f>IFERROR(__xludf.DUMMYFUNCTION("""COMPUTED_VALUE"""),"SELECCIONADO")</f>
        <v>SELECCIONADO</v>
      </c>
      <c r="S482" s="37">
        <f>IFERROR(__xludf.DUMMYFUNCTION("""COMPUTED_VALUE"""),42121.0)</f>
        <v>42121</v>
      </c>
      <c r="T482" s="34"/>
      <c r="U482" t="str">
        <f>IFERROR(__xludf.DUMMYFUNCTION("""COMPUTED_VALUE"""),"JORGE LILLO CONTRERAS")</f>
        <v>JORGE LILLO CONTRERAS</v>
      </c>
      <c r="V482" t="str">
        <f>IFERROR(__xludf.DUMMYFUNCTION("""COMPUTED_VALUE"""),"16961705-8")</f>
        <v>16961705-8</v>
      </c>
      <c r="W482" t="str">
        <f>IFERROR(__xludf.DUMMYFUNCTION("""COMPUTED_VALUE"""),"SI")</f>
        <v>SI</v>
      </c>
      <c r="X482" t="str">
        <f>IFERROR(__xludf.DUMMYFUNCTION("""COMPUTED_VALUE"""),"TRABAJO EN EQUIPO")</f>
        <v>TRABAJO EN EQUIPO</v>
      </c>
      <c r="AA482" s="38">
        <f>IFERROR(__xludf.DUMMYFUNCTION("""COMPUTED_VALUE"""),42095.0)</f>
        <v>42095</v>
      </c>
      <c r="AB482" s="38">
        <f>IFERROR(__xludf.DUMMYFUNCTION("""COMPUTED_VALUE"""),42102.0)</f>
        <v>42102</v>
      </c>
      <c r="AF482" s="39"/>
      <c r="AG482" s="39"/>
      <c r="AH482" s="34" t="str">
        <f>IFERROR(__xludf.DUMMYFUNCTION("""COMPUTED_VALUE"""),"PROCESO DE SELECCIÓN")</f>
        <v>PROCESO DE SELECCIÓN</v>
      </c>
      <c r="AI482" s="34" t="str">
        <f>IFERROR(__xludf.DUMMYFUNCTION("""COMPUTED_VALUE"""),"YESSENIA SAMIT MENARES")</f>
        <v>YESSENIA SAMIT MENARES</v>
      </c>
      <c r="AJ482" s="34"/>
      <c r="AK482" s="34" t="str">
        <f>IFERROR(__xludf.DUMMYFUNCTION("""COMPUTED_VALUE"""),"C")</f>
        <v>C</v>
      </c>
      <c r="AL482">
        <f>IFERROR(__xludf.DUMMYFUNCTION("""COMPUTED_VALUE"""),14.0)</f>
        <v>14</v>
      </c>
      <c r="AM482">
        <f>IFERROR(__xludf.DUMMYFUNCTION("""COMPUTED_VALUE"""),2015.0)</f>
        <v>2015</v>
      </c>
      <c r="AN482" t="str">
        <f t="shared" si="1"/>
        <v>16961705-8</v>
      </c>
    </row>
    <row r="483">
      <c r="A483" s="33">
        <f>IFERROR(__xludf.DUMMYFUNCTION("""COMPUTED_VALUE"""),1.5050864E7)</f>
        <v>15050864</v>
      </c>
      <c r="B483" s="33">
        <f>IFERROR(__xludf.DUMMYFUNCTION("""COMPUTED_VALUE"""),20.0)</f>
        <v>20</v>
      </c>
      <c r="C483" s="33"/>
      <c r="D483" s="34" t="str">
        <f>IFERROR(__xludf.DUMMYFUNCTION("""COMPUTED_VALUE"""),"40")</f>
        <v>40</v>
      </c>
      <c r="E483" s="34" t="str">
        <f>IFERROR(__xludf.DUMMYFUNCTION("""COMPUTED_VALUE"""),"DEPARTAMENTO DE INGENIERIA ELECTRICA")</f>
        <v>DEPARTAMENTO DE INGENIERIA ELECTRICA</v>
      </c>
      <c r="F483" s="34" t="str">
        <f>IFERROR(__xludf.DUMMYFUNCTION("""COMPUTED_VALUE"""),"Secretario(a) de Apoyo Docente")</f>
        <v>Secretario(a) de Apoyo Docente</v>
      </c>
      <c r="G483" s="33" t="str">
        <f>IFERROR(__xludf.DUMMYFUNCTION("""COMPUTED_VALUE"""),"SECRETARIA DE APOYO DOCENTE")</f>
        <v>SECRETARIA DE APOYO DOCENTE</v>
      </c>
      <c r="H483">
        <f>IFERROR(__xludf.DUMMYFUNCTION("""COMPUTED_VALUE"""),17.0)</f>
        <v>17</v>
      </c>
      <c r="I483" s="34" t="str">
        <f>IFERROR(__xludf.DUMMYFUNCTION("""COMPUTED_VALUE"""),"Jornada Completa")</f>
        <v>Jornada Completa</v>
      </c>
      <c r="J483" s="33" t="str">
        <f>IFERROR(__xludf.DUMMYFUNCTION("""COMPUTED_VALUE"""),"A CONTRATA")</f>
        <v>A CONTRATA</v>
      </c>
      <c r="K483" s="33" t="str">
        <f>IFERROR(__xludf.DUMMYFUNCTION("""COMPUTED_VALUE"""),"ADMINISTRATIVO")</f>
        <v>ADMINISTRATIVO</v>
      </c>
      <c r="L483" s="34" t="str">
        <f>IFERROR(__xludf.DUMMYFUNCTION("""COMPUTED_VALUE"""),"INTERNO")</f>
        <v>INTERNO</v>
      </c>
      <c r="M483" s="34">
        <f>IFERROR(__xludf.DUMMYFUNCTION("""COMPUTED_VALUE"""),2.0)</f>
        <v>2</v>
      </c>
      <c r="N483" s="34" t="str">
        <f>IFERROR(__xludf.DUMMYFUNCTION("""COMPUTED_VALUE"""),"EXTERNO")</f>
        <v>EXTERNO</v>
      </c>
      <c r="O483">
        <f>IFERROR(__xludf.DUMMYFUNCTION("""COMPUTED_VALUE"""),21.0)</f>
        <v>21</v>
      </c>
      <c r="P483">
        <f>IFERROR(__xludf.DUMMYFUNCTION("""COMPUTED_VALUE"""),2.0)</f>
        <v>2</v>
      </c>
      <c r="Q483" s="35">
        <f>IFERROR(__xludf.DUMMYFUNCTION("""COMPUTED_VALUE"""),1.0)</f>
        <v>1</v>
      </c>
      <c r="R483" s="36" t="str">
        <f>IFERROR(__xludf.DUMMYFUNCTION("""COMPUTED_VALUE"""),"SELECCIONADA")</f>
        <v>SELECCIONADA</v>
      </c>
      <c r="S483" s="37">
        <f>IFERROR(__xludf.DUMMYFUNCTION("""COMPUTED_VALUE"""),42131.0)</f>
        <v>42131</v>
      </c>
      <c r="T483" s="34"/>
      <c r="U483" t="str">
        <f>IFERROR(__xludf.DUMMYFUNCTION("""COMPUTED_VALUE"""),"ELIZABETH LOPEZ CORTES")</f>
        <v>ELIZABETH LOPEZ CORTES</v>
      </c>
      <c r="V483" t="str">
        <f>IFERROR(__xludf.DUMMYFUNCTION("""COMPUTED_VALUE"""),"15050864-9")</f>
        <v>15050864-9</v>
      </c>
      <c r="W483" t="str">
        <f>IFERROR(__xludf.DUMMYFUNCTION("""COMPUTED_VALUE"""),"SI")</f>
        <v>SI</v>
      </c>
      <c r="X483" t="str">
        <f>IFERROR(__xludf.DUMMYFUNCTION("""COMPUTED_VALUE"""),"Franqueza- Confiabilidad- Integridad")</f>
        <v>Franqueza- Confiabilidad- Integridad</v>
      </c>
      <c r="AA483" s="38">
        <f>IFERROR(__xludf.DUMMYFUNCTION("""COMPUTED_VALUE"""),42066.0)</f>
        <v>42066</v>
      </c>
      <c r="AB483" s="38">
        <f>IFERROR(__xludf.DUMMYFUNCTION("""COMPUTED_VALUE"""),42073.0)</f>
        <v>42073</v>
      </c>
      <c r="AF483" s="39"/>
      <c r="AG483" s="39"/>
      <c r="AH483" s="34" t="str">
        <f>IFERROR(__xludf.DUMMYFUNCTION("""COMPUTED_VALUE"""),"PROCESO DE SELECCIÓN")</f>
        <v>PROCESO DE SELECCIÓN</v>
      </c>
      <c r="AI483" s="34" t="str">
        <f>IFERROR(__xludf.DUMMYFUNCTION("""COMPUTED_VALUE"""),"-")</f>
        <v>-</v>
      </c>
      <c r="AJ483" s="34"/>
      <c r="AK483" s="34" t="str">
        <f>IFERROR(__xludf.DUMMYFUNCTION("""COMPUTED_VALUE"""),"C")</f>
        <v>C</v>
      </c>
      <c r="AL483">
        <f>IFERROR(__xludf.DUMMYFUNCTION("""COMPUTED_VALUE"""),43.0)</f>
        <v>43</v>
      </c>
      <c r="AM483">
        <f>IFERROR(__xludf.DUMMYFUNCTION("""COMPUTED_VALUE"""),2015.0)</f>
        <v>2015</v>
      </c>
      <c r="AN483" t="str">
        <f t="shared" si="1"/>
        <v>15050864-9</v>
      </c>
    </row>
    <row r="484">
      <c r="A484" s="33">
        <f>IFERROR(__xludf.DUMMYFUNCTION("""COMPUTED_VALUE"""),1.0059867E7)</f>
        <v>10059867</v>
      </c>
      <c r="B484" s="33">
        <f>IFERROR(__xludf.DUMMYFUNCTION("""COMPUTED_VALUE"""),21.0)</f>
        <v>21</v>
      </c>
      <c r="C484" s="33"/>
      <c r="D484" s="34" t="str">
        <f>IFERROR(__xludf.DUMMYFUNCTION("""COMPUTED_VALUE"""),"83")</f>
        <v>83</v>
      </c>
      <c r="E484" s="34" t="str">
        <f>IFERROR(__xludf.DUMMYFUNCTION("""COMPUTED_VALUE"""),"FACULTAD DE CIENCIAS MEDICAS")</f>
        <v>FACULTAD DE CIENCIAS MEDICAS</v>
      </c>
      <c r="F484" s="34" t="str">
        <f>IFERROR(__xludf.DUMMYFUNCTION("""COMPUTED_VALUE"""),"Encargado(a) de Vinculación con el Medio")</f>
        <v>Encargado(a) de Vinculación con el Medio</v>
      </c>
      <c r="G484" s="33" t="str">
        <f>IFERROR(__xludf.DUMMYFUNCTION("""COMPUTED_VALUE"""),"ENCARGADO DE VINCULACION CON EL MEDIO")</f>
        <v>ENCARGADO DE VINCULACION CON EL MEDIO</v>
      </c>
      <c r="H484">
        <f>IFERROR(__xludf.DUMMYFUNCTION("""COMPUTED_VALUE"""),13.0)</f>
        <v>13</v>
      </c>
      <c r="I484" s="34" t="str">
        <f>IFERROR(__xludf.DUMMYFUNCTION("""COMPUTED_VALUE"""),"Jornada Completa")</f>
        <v>Jornada Completa</v>
      </c>
      <c r="J484" s="33" t="str">
        <f>IFERROR(__xludf.DUMMYFUNCTION("""COMPUTED_VALUE"""),"A CONTRATA")</f>
        <v>A CONTRATA</v>
      </c>
      <c r="K484" s="33" t="str">
        <f>IFERROR(__xludf.DUMMYFUNCTION("""COMPUTED_VALUE"""),"PROFESIONAL")</f>
        <v>PROFESIONAL</v>
      </c>
      <c r="L484" s="34" t="str">
        <f>IFERROR(__xludf.DUMMYFUNCTION("""COMPUTED_VALUE"""),"INTERNO")</f>
        <v>INTERNO</v>
      </c>
      <c r="M484" s="34">
        <f>IFERROR(__xludf.DUMMYFUNCTION("""COMPUTED_VALUE"""),4.0)</f>
        <v>4</v>
      </c>
      <c r="N484" s="34" t="str">
        <f>IFERROR(__xludf.DUMMYFUNCTION("""COMPUTED_VALUE"""),"EXTERNO")</f>
        <v>EXTERNO</v>
      </c>
      <c r="O484">
        <f>IFERROR(__xludf.DUMMYFUNCTION("""COMPUTED_VALUE"""),17.0)</f>
        <v>17</v>
      </c>
      <c r="P484">
        <f>IFERROR(__xludf.DUMMYFUNCTION("""COMPUTED_VALUE"""),2.0)</f>
        <v>2</v>
      </c>
      <c r="Q484" s="35">
        <f>IFERROR(__xludf.DUMMYFUNCTION("""COMPUTED_VALUE"""),1.0)</f>
        <v>1</v>
      </c>
      <c r="R484" s="36" t="str">
        <f>IFERROR(__xludf.DUMMYFUNCTION("""COMPUTED_VALUE"""),"SELECCIONADA")</f>
        <v>SELECCIONADA</v>
      </c>
      <c r="S484" s="37">
        <f>IFERROR(__xludf.DUMMYFUNCTION("""COMPUTED_VALUE"""),42156.0)</f>
        <v>42156</v>
      </c>
      <c r="T484" s="34"/>
      <c r="U484" t="str">
        <f>IFERROR(__xludf.DUMMYFUNCTION("""COMPUTED_VALUE"""),"MARIA PAZ LEMA COLECCHIO")</f>
        <v>MARIA PAZ LEMA COLECCHIO</v>
      </c>
      <c r="V484" t="str">
        <f>IFERROR(__xludf.DUMMYFUNCTION("""COMPUTED_VALUE"""),"10059867-1")</f>
        <v>10059867-1</v>
      </c>
      <c r="W484" t="str">
        <f>IFERROR(__xludf.DUMMYFUNCTION("""COMPUTED_VALUE"""),"NO")</f>
        <v>NO</v>
      </c>
      <c r="AA484" s="38">
        <f>IFERROR(__xludf.DUMMYFUNCTION("""COMPUTED_VALUE"""),42086.0)</f>
        <v>42086</v>
      </c>
      <c r="AB484" s="38">
        <f>IFERROR(__xludf.DUMMYFUNCTION("""COMPUTED_VALUE"""),42094.0)</f>
        <v>42094</v>
      </c>
      <c r="AF484" s="39"/>
      <c r="AG484" s="39"/>
      <c r="AH484" s="34" t="str">
        <f>IFERROR(__xludf.DUMMYFUNCTION("""COMPUTED_VALUE"""),"PROCESO DE SELECCIÓN")</f>
        <v>PROCESO DE SELECCIÓN</v>
      </c>
      <c r="AI484" s="34" t="str">
        <f>IFERROR(__xludf.DUMMYFUNCTION("""COMPUTED_VALUE"""),"-")</f>
        <v>-</v>
      </c>
      <c r="AJ484" s="34"/>
      <c r="AK484" s="34" t="str">
        <f>IFERROR(__xludf.DUMMYFUNCTION("""COMPUTED_VALUE"""),"P")</f>
        <v>P</v>
      </c>
      <c r="AL484">
        <f>IFERROR(__xludf.DUMMYFUNCTION("""COMPUTED_VALUE"""),45.0)</f>
        <v>45</v>
      </c>
      <c r="AM484">
        <f>IFERROR(__xludf.DUMMYFUNCTION("""COMPUTED_VALUE"""),2015.0)</f>
        <v>2015</v>
      </c>
      <c r="AN484" t="str">
        <f t="shared" si="1"/>
        <v>10059867-1</v>
      </c>
    </row>
    <row r="485">
      <c r="A485" s="33">
        <f>IFERROR(__xludf.DUMMYFUNCTION("""COMPUTED_VALUE"""),1.1740181E7)</f>
        <v>11740181</v>
      </c>
      <c r="B485" s="33">
        <f>IFERROR(__xludf.DUMMYFUNCTION("""COMPUTED_VALUE"""),22.0)</f>
        <v>22</v>
      </c>
      <c r="C485" s="33"/>
      <c r="D485" s="34" t="str">
        <f>IFERROR(__xludf.DUMMYFUNCTION("""COMPUTED_VALUE"""),"11")</f>
        <v>11</v>
      </c>
      <c r="E485" s="34" t="str">
        <f>IFERROR(__xludf.DUMMYFUNCTION("""COMPUTED_VALUE"""),"CEUS-LLANQUIHUE")</f>
        <v>CEUS-LLANQUIHUE</v>
      </c>
      <c r="F485" s="34" t="str">
        <f>IFERROR(__xludf.DUMMYFUNCTION("""COMPUTED_VALUE"""),"Encargado(a) de Laboratorio")</f>
        <v>Encargado(a) de Laboratorio</v>
      </c>
      <c r="G485" s="33" t="str">
        <f>IFERROR(__xludf.DUMMYFUNCTION("""COMPUTED_VALUE"""),"ENCARGADO DE LABORATORIO")</f>
        <v>ENCARGADO DE LABORATORIO</v>
      </c>
      <c r="H485">
        <f>IFERROR(__xludf.DUMMYFUNCTION("""COMPUTED_VALUE"""),13.0)</f>
        <v>13</v>
      </c>
      <c r="I485" s="34" t="str">
        <f>IFERROR(__xludf.DUMMYFUNCTION("""COMPUTED_VALUE"""),"Jornada Completa")</f>
        <v>Jornada Completa</v>
      </c>
      <c r="J485" s="33" t="str">
        <f>IFERROR(__xludf.DUMMYFUNCTION("""COMPUTED_VALUE"""),"A CONTRATA")</f>
        <v>A CONTRATA</v>
      </c>
      <c r="K485" s="33" t="str">
        <f>IFERROR(__xludf.DUMMYFUNCTION("""COMPUTED_VALUE"""),"PROFESIONAL")</f>
        <v>PROFESIONAL</v>
      </c>
      <c r="L485" s="34" t="str">
        <f>IFERROR(__xludf.DUMMYFUNCTION("""COMPUTED_VALUE"""),"NO")</f>
        <v>NO</v>
      </c>
      <c r="M485" s="34"/>
      <c r="N485" s="34" t="str">
        <f>IFERROR(__xludf.DUMMYFUNCTION("""COMPUTED_VALUE"""),"EXTERNO")</f>
        <v>EXTERNO</v>
      </c>
      <c r="O485">
        <f>IFERROR(__xludf.DUMMYFUNCTION("""COMPUTED_VALUE"""),3.0)</f>
        <v>3</v>
      </c>
      <c r="P485">
        <f>IFERROR(__xludf.DUMMYFUNCTION("""COMPUTED_VALUE"""),3.0)</f>
        <v>3</v>
      </c>
      <c r="Q485" s="35">
        <f>IFERROR(__xludf.DUMMYFUNCTION("""COMPUTED_VALUE"""),1.0)</f>
        <v>1</v>
      </c>
      <c r="R485" s="36" t="str">
        <f>IFERROR(__xludf.DUMMYFUNCTION("""COMPUTED_VALUE"""),"SELECCIONADO")</f>
        <v>SELECCIONADO</v>
      </c>
      <c r="S485" s="37">
        <f>IFERROR(__xludf.DUMMYFUNCTION("""COMPUTED_VALUE"""),42149.0)</f>
        <v>42149</v>
      </c>
      <c r="T485" s="34"/>
      <c r="U485" t="str">
        <f>IFERROR(__xludf.DUMMYFUNCTION("""COMPUTED_VALUE"""),"FABIAN AGUILERA BARRAZA")</f>
        <v>FABIAN AGUILERA BARRAZA</v>
      </c>
      <c r="V485" t="str">
        <f>IFERROR(__xludf.DUMMYFUNCTION("""COMPUTED_VALUE"""),"11740181-2")</f>
        <v>11740181-2</v>
      </c>
      <c r="W485" t="str">
        <f>IFERROR(__xludf.DUMMYFUNCTION("""COMPUTED_VALUE"""),"NO")</f>
        <v>NO</v>
      </c>
      <c r="AA485" s="38">
        <f>IFERROR(__xludf.DUMMYFUNCTION("""COMPUTED_VALUE"""),42066.0)</f>
        <v>42066</v>
      </c>
      <c r="AB485" s="38">
        <f>IFERROR(__xludf.DUMMYFUNCTION("""COMPUTED_VALUE"""),42069.0)</f>
        <v>42069</v>
      </c>
      <c r="AF485" s="39"/>
      <c r="AG485" s="39"/>
      <c r="AH485" s="34" t="str">
        <f>IFERROR(__xludf.DUMMYFUNCTION("""COMPUTED_VALUE"""),"PROCESO DE SELECCIÓN")</f>
        <v>PROCESO DE SELECCIÓN</v>
      </c>
      <c r="AI485" s="34" t="str">
        <f>IFERROR(__xludf.DUMMYFUNCTION("""COMPUTED_VALUE"""),"CESAR LOPEZ RIVEROS")</f>
        <v>CESAR LOPEZ RIVEROS</v>
      </c>
      <c r="AJ485" s="34"/>
      <c r="AK485" s="34" t="str">
        <f>IFERROR(__xludf.DUMMYFUNCTION("""COMPUTED_VALUE"""),"C")</f>
        <v>C</v>
      </c>
      <c r="AL485">
        <f>IFERROR(__xludf.DUMMYFUNCTION("""COMPUTED_VALUE"""),57.0)</f>
        <v>57</v>
      </c>
      <c r="AM485">
        <f>IFERROR(__xludf.DUMMYFUNCTION("""COMPUTED_VALUE"""),2015.0)</f>
        <v>2015</v>
      </c>
      <c r="AN485" t="str">
        <f t="shared" si="1"/>
        <v>11740181-2</v>
      </c>
    </row>
    <row r="486">
      <c r="A486" s="33">
        <f>IFERROR(__xludf.DUMMYFUNCTION("""COMPUTED_VALUE"""),7406583.0)</f>
        <v>7406583</v>
      </c>
      <c r="B486" s="33">
        <f>IFERROR(__xludf.DUMMYFUNCTION("""COMPUTED_VALUE"""),23.0)</f>
        <v>23</v>
      </c>
      <c r="C486" s="33"/>
      <c r="D486" s="34" t="str">
        <f>IFERROR(__xludf.DUMMYFUNCTION("""COMPUTED_VALUE"""),"60")</f>
        <v>60</v>
      </c>
      <c r="E486" s="34" t="str">
        <f>IFERROR(__xludf.DUMMYFUNCTION("""COMPUTED_VALUE"""),"FACULTAD DE ADMINISTRACION Y ECONOMIA")</f>
        <v>FACULTAD DE ADMINISTRACION Y ECONOMIA</v>
      </c>
      <c r="F486" s="34" t="str">
        <f>IFERROR(__xludf.DUMMYFUNCTION("""COMPUTED_VALUE"""),"Analista de Gestión I")</f>
        <v>Analista de Gestión I</v>
      </c>
      <c r="G486" s="33" t="str">
        <f>IFERROR(__xludf.DUMMYFUNCTION("""COMPUTED_VALUE"""),"ANALISTA I")</f>
        <v>ANALISTA I</v>
      </c>
      <c r="H486">
        <f>IFERROR(__xludf.DUMMYFUNCTION("""COMPUTED_VALUE"""),10.0)</f>
        <v>10</v>
      </c>
      <c r="I486" s="34" t="str">
        <f>IFERROR(__xludf.DUMMYFUNCTION("""COMPUTED_VALUE"""),"Jornada Completa")</f>
        <v>Jornada Completa</v>
      </c>
      <c r="J486" s="33" t="str">
        <f>IFERROR(__xludf.DUMMYFUNCTION("""COMPUTED_VALUE"""),"A CONTRATA")</f>
        <v>A CONTRATA</v>
      </c>
      <c r="K486" s="33" t="str">
        <f>IFERROR(__xludf.DUMMYFUNCTION("""COMPUTED_VALUE"""),"PROFESIONAL")</f>
        <v>PROFESIONAL</v>
      </c>
      <c r="L486" s="34" t="str">
        <f>IFERROR(__xludf.DUMMYFUNCTION("""COMPUTED_VALUE"""),"INTERNO")</f>
        <v>INTERNO</v>
      </c>
      <c r="M486" s="34">
        <f>IFERROR(__xludf.DUMMYFUNCTION("""COMPUTED_VALUE"""),5.0)</f>
        <v>5</v>
      </c>
      <c r="N486" s="34" t="str">
        <f>IFERROR(__xludf.DUMMYFUNCTION("""COMPUTED_VALUE"""),"NO")</f>
        <v>NO</v>
      </c>
      <c r="P486">
        <f>IFERROR(__xludf.DUMMYFUNCTION("""COMPUTED_VALUE"""),1.0)</f>
        <v>1</v>
      </c>
      <c r="Q486" s="35"/>
      <c r="R486" s="36" t="str">
        <f>IFERROR(__xludf.DUMMYFUNCTION("""COMPUTED_VALUE"""),"SELECCIONADO")</f>
        <v>SELECCIONADO</v>
      </c>
      <c r="S486" s="37">
        <f>IFERROR(__xludf.DUMMYFUNCTION("""COMPUTED_VALUE"""),42135.0)</f>
        <v>42135</v>
      </c>
      <c r="T486" s="34" t="str">
        <f>IFERROR(__xludf.DUMMYFUNCTION("""COMPUTED_VALUE"""),"JOAQUIN CURTZE REYES")</f>
        <v>JOAQUIN CURTZE REYES</v>
      </c>
      <c r="V486" t="str">
        <f>IFERROR(__xludf.DUMMYFUNCTION("""COMPUTED_VALUE"""),"07406583-K")</f>
        <v>07406583-K</v>
      </c>
      <c r="W486" t="str">
        <f>IFERROR(__xludf.DUMMYFUNCTION("""COMPUTED_VALUE"""),"NO")</f>
        <v>NO</v>
      </c>
      <c r="AA486" s="38">
        <f>IFERROR(__xludf.DUMMYFUNCTION("""COMPUTED_VALUE"""),42109.0)</f>
        <v>42109</v>
      </c>
      <c r="AB486" s="38">
        <f>IFERROR(__xludf.DUMMYFUNCTION("""COMPUTED_VALUE"""),42114.0)</f>
        <v>42114</v>
      </c>
      <c r="AD486" t="str">
        <f>IFERROR(__xludf.DUMMYFUNCTION("""COMPUTED_VALUE"""),"PROFESOR HORA")</f>
        <v>PROFESOR HORA</v>
      </c>
      <c r="AF486" s="39"/>
      <c r="AG486" s="39"/>
      <c r="AH486" s="34" t="str">
        <f>IFERROR(__xludf.DUMMYFUNCTION("""COMPUTED_VALUE"""),"PROCESO DE SELECCIÓN")</f>
        <v>PROCESO DE SELECCIÓN</v>
      </c>
      <c r="AI486" s="34" t="str">
        <f>IFERROR(__xludf.DUMMYFUNCTION("""COMPUTED_VALUE"""),"PAULINA HIDALGO PEREZ")</f>
        <v>PAULINA HIDALGO PEREZ</v>
      </c>
      <c r="AJ486" s="34"/>
      <c r="AK486" s="34" t="str">
        <f>IFERROR(__xludf.DUMMYFUNCTION("""COMPUTED_VALUE"""),"P")</f>
        <v>P</v>
      </c>
      <c r="AL486">
        <f>IFERROR(__xludf.DUMMYFUNCTION("""COMPUTED_VALUE"""),16.0)</f>
        <v>16</v>
      </c>
      <c r="AM486">
        <f>IFERROR(__xludf.DUMMYFUNCTION("""COMPUTED_VALUE"""),2015.0)</f>
        <v>2015</v>
      </c>
      <c r="AN486" t="str">
        <f t="shared" si="1"/>
        <v>07406583-K</v>
      </c>
    </row>
    <row r="487">
      <c r="A487" s="33">
        <f>IFERROR(__xludf.DUMMYFUNCTION("""COMPUTED_VALUE"""),1.8251296E7)</f>
        <v>18251296</v>
      </c>
      <c r="B487" s="33">
        <f>IFERROR(__xludf.DUMMYFUNCTION("""COMPUTED_VALUE"""),24.0)</f>
        <v>24</v>
      </c>
      <c r="C487" s="33"/>
      <c r="D487" s="34" t="str">
        <f>IFERROR(__xludf.DUMMYFUNCTION("""COMPUTED_VALUE"""),"3")</f>
        <v>3</v>
      </c>
      <c r="E487" s="34" t="str">
        <f>IFERROR(__xludf.DUMMYFUNCTION("""COMPUTED_VALUE"""),"UNIDAD DE GESTION DEL CAMPUS")</f>
        <v>UNIDAD DE GESTION DEL CAMPUS</v>
      </c>
      <c r="F487" s="34" t="str">
        <f>IFERROR(__xludf.DUMMYFUNCTION("""COMPUTED_VALUE"""),"Secretario(a) B")</f>
        <v>Secretario(a) B</v>
      </c>
      <c r="G487" s="33" t="str">
        <f>IFERROR(__xludf.DUMMYFUNCTION("""COMPUTED_VALUE"""),"SECRETARIA DE UNIDAD")</f>
        <v>SECRETARIA DE UNIDAD</v>
      </c>
      <c r="H487">
        <f>IFERROR(__xludf.DUMMYFUNCTION("""COMPUTED_VALUE"""),17.0)</f>
        <v>17</v>
      </c>
      <c r="I487" s="34" t="str">
        <f>IFERROR(__xludf.DUMMYFUNCTION("""COMPUTED_VALUE"""),"Jornada Completa")</f>
        <v>Jornada Completa</v>
      </c>
      <c r="J487" s="33" t="str">
        <f>IFERROR(__xludf.DUMMYFUNCTION("""COMPUTED_VALUE"""),"A CONTRATA")</f>
        <v>A CONTRATA</v>
      </c>
      <c r="K487" s="33" t="str">
        <f>IFERROR(__xludf.DUMMYFUNCTION("""COMPUTED_VALUE"""),"ADMINISTRATIVO")</f>
        <v>ADMINISTRATIVO</v>
      </c>
      <c r="L487" s="34" t="str">
        <f>IFERROR(__xludf.DUMMYFUNCTION("""COMPUTED_VALUE"""),"INTERNO")</f>
        <v>INTERNO</v>
      </c>
      <c r="M487" s="34">
        <f>IFERROR(__xludf.DUMMYFUNCTION("""COMPUTED_VALUE"""),0.0)</f>
        <v>0</v>
      </c>
      <c r="N487" s="34" t="str">
        <f>IFERROR(__xludf.DUMMYFUNCTION("""COMPUTED_VALUE"""),"EXTERNO")</f>
        <v>EXTERNO</v>
      </c>
      <c r="O487">
        <f>IFERROR(__xludf.DUMMYFUNCTION("""COMPUTED_VALUE"""),8.0)</f>
        <v>8</v>
      </c>
      <c r="P487">
        <f>IFERROR(__xludf.DUMMYFUNCTION("""COMPUTED_VALUE"""),1.0)</f>
        <v>1</v>
      </c>
      <c r="Q487" s="35">
        <f>IFERROR(__xludf.DUMMYFUNCTION("""COMPUTED_VALUE"""),1.0)</f>
        <v>1</v>
      </c>
      <c r="R487" s="36" t="str">
        <f>IFERROR(__xludf.DUMMYFUNCTION("""COMPUTED_VALUE"""),"SELECCIONADA")</f>
        <v>SELECCIONADA</v>
      </c>
      <c r="S487" s="37">
        <f>IFERROR(__xludf.DUMMYFUNCTION("""COMPUTED_VALUE"""),42156.0)</f>
        <v>42156</v>
      </c>
      <c r="T487" s="34"/>
      <c r="U487" t="str">
        <f>IFERROR(__xludf.DUMMYFUNCTION("""COMPUTED_VALUE"""),"GABRIELA DIAZ BERTOLI")</f>
        <v>GABRIELA DIAZ BERTOLI</v>
      </c>
      <c r="V487" t="str">
        <f>IFERROR(__xludf.DUMMYFUNCTION("""COMPUTED_VALUE"""),"18251296-6")</f>
        <v>18251296-6</v>
      </c>
      <c r="W487" t="str">
        <f>IFERROR(__xludf.DUMMYFUNCTION("""COMPUTED_VALUE"""),"SI")</f>
        <v>SI</v>
      </c>
      <c r="X487" t="str">
        <f>IFERROR(__xludf.DUMMYFUNCTION("""COMPUTED_VALUE"""),"Franqueza- Confiabilidad- Integridad")</f>
        <v>Franqueza- Confiabilidad- Integridad</v>
      </c>
      <c r="Y487" t="str">
        <f>IFERROR(__xludf.DUMMYFUNCTION("""COMPUTED_VALUE"""),"CONCIENCIA ORGANIZACIONAL")</f>
        <v>CONCIENCIA ORGANIZACIONAL</v>
      </c>
      <c r="AA487" s="38">
        <f>IFERROR(__xludf.DUMMYFUNCTION("""COMPUTED_VALUE"""),42115.0)</f>
        <v>42115</v>
      </c>
      <c r="AB487" s="38">
        <f>IFERROR(__xludf.DUMMYFUNCTION("""COMPUTED_VALUE"""),42117.0)</f>
        <v>42117</v>
      </c>
      <c r="AF487" s="39"/>
      <c r="AG487" s="39"/>
      <c r="AH487" s="34" t="str">
        <f>IFERROR(__xludf.DUMMYFUNCTION("""COMPUTED_VALUE"""),"PROCESO DE SELECCIÓN")</f>
        <v>PROCESO DE SELECCIÓN</v>
      </c>
      <c r="AI487" s="34" t="str">
        <f>IFERROR(__xludf.DUMMYFUNCTION("""COMPUTED_VALUE"""),"MARIA VALENZUELA")</f>
        <v>MARIA VALENZUELA</v>
      </c>
      <c r="AJ487" s="34"/>
      <c r="AK487" s="34" t="str">
        <f>IFERROR(__xludf.DUMMYFUNCTION("""COMPUTED_VALUE"""),"C")</f>
        <v>C</v>
      </c>
      <c r="AL487">
        <f>IFERROR(__xludf.DUMMYFUNCTION("""COMPUTED_VALUE"""),28.0)</f>
        <v>28</v>
      </c>
      <c r="AM487">
        <f>IFERROR(__xludf.DUMMYFUNCTION("""COMPUTED_VALUE"""),2015.0)</f>
        <v>2015</v>
      </c>
      <c r="AN487" t="str">
        <f t="shared" si="1"/>
        <v>18251296-6</v>
      </c>
    </row>
    <row r="488">
      <c r="A488" s="33">
        <f>IFERROR(__xludf.DUMMYFUNCTION("""COMPUTED_VALUE"""),1.2812753E7)</f>
        <v>12812753</v>
      </c>
      <c r="B488" s="33">
        <f>IFERROR(__xludf.DUMMYFUNCTION("""COMPUTED_VALUE"""),25.0)</f>
        <v>25</v>
      </c>
      <c r="C488" s="33"/>
      <c r="D488" s="34" t="str">
        <f>IFERROR(__xludf.DUMMYFUNCTION("""COMPUTED_VALUE"""),"65")</f>
        <v>65</v>
      </c>
      <c r="E488" s="34" t="str">
        <f>IFERROR(__xludf.DUMMYFUNCTION("""COMPUTED_VALUE"""),"FACULTAD TECNOLOGICA")</f>
        <v>FACULTAD TECNOLOGICA</v>
      </c>
      <c r="F488" s="34" t="str">
        <f>IFERROR(__xludf.DUMMYFUNCTION("""COMPUTED_VALUE"""),"Secretario(a) de Apoyo Docente")</f>
        <v>Secretario(a) de Apoyo Docente</v>
      </c>
      <c r="G488" s="33" t="str">
        <f>IFERROR(__xludf.DUMMYFUNCTION("""COMPUTED_VALUE"""),"SECRETARIA DE APOYO DOCENTE")</f>
        <v>SECRETARIA DE APOYO DOCENTE</v>
      </c>
      <c r="H488">
        <f>IFERROR(__xludf.DUMMYFUNCTION("""COMPUTED_VALUE"""),17.0)</f>
        <v>17</v>
      </c>
      <c r="I488" s="34" t="str">
        <f>IFERROR(__xludf.DUMMYFUNCTION("""COMPUTED_VALUE"""),"Jornada Completa")</f>
        <v>Jornada Completa</v>
      </c>
      <c r="J488" s="33" t="str">
        <f>IFERROR(__xludf.DUMMYFUNCTION("""COMPUTED_VALUE"""),"A CONTRATA")</f>
        <v>A CONTRATA</v>
      </c>
      <c r="K488" s="33" t="str">
        <f>IFERROR(__xludf.DUMMYFUNCTION("""COMPUTED_VALUE"""),"ADMINISTRATIVO")</f>
        <v>ADMINISTRATIVO</v>
      </c>
      <c r="L488" s="34" t="str">
        <f>IFERROR(__xludf.DUMMYFUNCTION("""COMPUTED_VALUE"""),"INTERNO")</f>
        <v>INTERNO</v>
      </c>
      <c r="M488" s="34">
        <f>IFERROR(__xludf.DUMMYFUNCTION("""COMPUTED_VALUE"""),0.0)</f>
        <v>0</v>
      </c>
      <c r="N488" s="34" t="str">
        <f>IFERROR(__xludf.DUMMYFUNCTION("""COMPUTED_VALUE"""),"EXTERNO")</f>
        <v>EXTERNO</v>
      </c>
      <c r="O488">
        <f>IFERROR(__xludf.DUMMYFUNCTION("""COMPUTED_VALUE"""),11.0)</f>
        <v>11</v>
      </c>
      <c r="P488">
        <f>IFERROR(__xludf.DUMMYFUNCTION("""COMPUTED_VALUE"""),4.0)</f>
        <v>4</v>
      </c>
      <c r="Q488" s="35">
        <f>IFERROR(__xludf.DUMMYFUNCTION("""COMPUTED_VALUE"""),1.0)</f>
        <v>1</v>
      </c>
      <c r="R488" s="36" t="str">
        <f>IFERROR(__xludf.DUMMYFUNCTION("""COMPUTED_VALUE"""),"SELECCIONADA")</f>
        <v>SELECCIONADA</v>
      </c>
      <c r="S488" s="37">
        <f>IFERROR(__xludf.DUMMYFUNCTION("""COMPUTED_VALUE"""),42156.0)</f>
        <v>42156</v>
      </c>
      <c r="T488" s="34"/>
      <c r="U488" t="str">
        <f>IFERROR(__xludf.DUMMYFUNCTION("""COMPUTED_VALUE"""),"CAROL BUSTOS GARCIA")</f>
        <v>CAROL BUSTOS GARCIA</v>
      </c>
      <c r="V488" t="str">
        <f>IFERROR(__xludf.DUMMYFUNCTION("""COMPUTED_VALUE"""),"12812753-4")</f>
        <v>12812753-4</v>
      </c>
      <c r="W488" t="str">
        <f>IFERROR(__xludf.DUMMYFUNCTION("""COMPUTED_VALUE"""),"SI")</f>
        <v>SI</v>
      </c>
      <c r="X488" t="str">
        <f>IFERROR(__xludf.DUMMYFUNCTION("""COMPUTED_VALUE"""),"Franqueza- Confiabilidad- Integridad")</f>
        <v>Franqueza- Confiabilidad- Integridad</v>
      </c>
      <c r="Y488" t="str">
        <f>IFERROR(__xludf.DUMMYFUNCTION("""COMPUTED_VALUE"""),"Preocupacion por el Orden y la Claridad")</f>
        <v>Preocupacion por el Orden y la Claridad</v>
      </c>
      <c r="Z488" t="str">
        <f>IFERROR(__xludf.DUMMYFUNCTION("""COMPUTED_VALUE"""),"INICIATIVA")</f>
        <v>INICIATIVA</v>
      </c>
      <c r="AA488" s="38">
        <f>IFERROR(__xludf.DUMMYFUNCTION("""COMPUTED_VALUE"""),42093.0)</f>
        <v>42093</v>
      </c>
      <c r="AB488" s="38">
        <f>IFERROR(__xludf.DUMMYFUNCTION("""COMPUTED_VALUE"""),42100.0)</f>
        <v>42100</v>
      </c>
      <c r="AF488" s="39"/>
      <c r="AG488" s="39"/>
      <c r="AH488" s="34" t="str">
        <f>IFERROR(__xludf.DUMMYFUNCTION("""COMPUTED_VALUE"""),"PROCESO DE SELECCIÓN")</f>
        <v>PROCESO DE SELECCIÓN</v>
      </c>
      <c r="AI488" s="34" t="str">
        <f>IFERROR(__xludf.DUMMYFUNCTION("""COMPUTED_VALUE"""),"-")</f>
        <v>-</v>
      </c>
      <c r="AJ488" s="34"/>
      <c r="AK488" s="34" t="str">
        <f>IFERROR(__xludf.DUMMYFUNCTION("""COMPUTED_VALUE"""),"P")</f>
        <v>P</v>
      </c>
      <c r="AL488">
        <f>IFERROR(__xludf.DUMMYFUNCTION("""COMPUTED_VALUE"""),41.0)</f>
        <v>41</v>
      </c>
      <c r="AM488">
        <f>IFERROR(__xludf.DUMMYFUNCTION("""COMPUTED_VALUE"""),2015.0)</f>
        <v>2015</v>
      </c>
      <c r="AN488" t="str">
        <f t="shared" si="1"/>
        <v>12812753-4</v>
      </c>
    </row>
    <row r="489">
      <c r="A489" s="33">
        <f>IFERROR(__xludf.DUMMYFUNCTION("""COMPUTED_VALUE"""),1.5783465E7)</f>
        <v>15783465</v>
      </c>
      <c r="B489" s="33">
        <f>IFERROR(__xludf.DUMMYFUNCTION("""COMPUTED_VALUE"""),26.0)</f>
        <v>26</v>
      </c>
      <c r="C489" s="33"/>
      <c r="D489" s="34" t="str">
        <f>IFERROR(__xludf.DUMMYFUNCTION("""COMPUTED_VALUE"""),"3")</f>
        <v>3</v>
      </c>
      <c r="E489" s="34" t="str">
        <f>IFERROR(__xludf.DUMMYFUNCTION("""COMPUTED_VALUE"""),"DEPARTAMENTO DE RECURSOS HUMANOS")</f>
        <v>DEPARTAMENTO DE RECURSOS HUMANOS</v>
      </c>
      <c r="F489" s="34" t="str">
        <f>IFERROR(__xludf.DUMMYFUNCTION("""COMPUTED_VALUE"""),"Administrativo(a) de Remuneraciones")</f>
        <v>Administrativo(a) de Remuneraciones</v>
      </c>
      <c r="G489" s="33" t="str">
        <f>IFERROR(__xludf.DUMMYFUNCTION("""COMPUTED_VALUE"""),"ADMINISTRATIVO DE REMUNERACIONES")</f>
        <v>ADMINISTRATIVO DE REMUNERACIONES</v>
      </c>
      <c r="H489">
        <f>IFERROR(__xludf.DUMMYFUNCTION("""COMPUTED_VALUE"""),17.0)</f>
        <v>17</v>
      </c>
      <c r="I489" s="34" t="str">
        <f>IFERROR(__xludf.DUMMYFUNCTION("""COMPUTED_VALUE"""),"Jornada Completa")</f>
        <v>Jornada Completa</v>
      </c>
      <c r="J489" s="33" t="str">
        <f>IFERROR(__xludf.DUMMYFUNCTION("""COMPUTED_VALUE"""),"A CONTRATA")</f>
        <v>A CONTRATA</v>
      </c>
      <c r="K489" s="33" t="str">
        <f>IFERROR(__xludf.DUMMYFUNCTION("""COMPUTED_VALUE"""),"ADMINISTRATIVO")</f>
        <v>ADMINISTRATIVO</v>
      </c>
      <c r="L489" s="34" t="str">
        <f>IFERROR(__xludf.DUMMYFUNCTION("""COMPUTED_VALUE"""),"INTERNO")</f>
        <v>INTERNO</v>
      </c>
      <c r="M489" s="34">
        <f>IFERROR(__xludf.DUMMYFUNCTION("""COMPUTED_VALUE"""),0.0)</f>
        <v>0</v>
      </c>
      <c r="N489" s="34" t="str">
        <f>IFERROR(__xludf.DUMMYFUNCTION("""COMPUTED_VALUE"""),"EXTERNO")</f>
        <v>EXTERNO</v>
      </c>
      <c r="O489">
        <f>IFERROR(__xludf.DUMMYFUNCTION("""COMPUTED_VALUE"""),12.0)</f>
        <v>12</v>
      </c>
      <c r="P489">
        <f>IFERROR(__xludf.DUMMYFUNCTION("""COMPUTED_VALUE"""),3.0)</f>
        <v>3</v>
      </c>
      <c r="Q489" s="35">
        <f>IFERROR(__xludf.DUMMYFUNCTION("""COMPUTED_VALUE"""),1.0)</f>
        <v>1</v>
      </c>
      <c r="R489" s="36" t="str">
        <f>IFERROR(__xludf.DUMMYFUNCTION("""COMPUTED_VALUE"""),"SELECCIONADO")</f>
        <v>SELECCIONADO</v>
      </c>
      <c r="S489" s="37">
        <f>IFERROR(__xludf.DUMMYFUNCTION("""COMPUTED_VALUE"""),42157.0)</f>
        <v>42157</v>
      </c>
      <c r="T489" s="34"/>
      <c r="U489" t="str">
        <f>IFERROR(__xludf.DUMMYFUNCTION("""COMPUTED_VALUE"""),"RENE HUECHE MARTIN")</f>
        <v>RENE HUECHE MARTIN</v>
      </c>
      <c r="V489" t="str">
        <f>IFERROR(__xludf.DUMMYFUNCTION("""COMPUTED_VALUE"""),"15783465-7")</f>
        <v>15783465-7</v>
      </c>
      <c r="W489" t="str">
        <f>IFERROR(__xludf.DUMMYFUNCTION("""COMPUTED_VALUE"""),"NO")</f>
        <v>NO</v>
      </c>
      <c r="AA489" s="38">
        <f>IFERROR(__xludf.DUMMYFUNCTION("""COMPUTED_VALUE"""),42128.0)</f>
        <v>42128</v>
      </c>
      <c r="AB489" s="38">
        <f>IFERROR(__xludf.DUMMYFUNCTION("""COMPUTED_VALUE"""),42135.0)</f>
        <v>42135</v>
      </c>
      <c r="AF489" s="39"/>
      <c r="AG489" s="39"/>
      <c r="AH489" s="34" t="str">
        <f>IFERROR(__xludf.DUMMYFUNCTION("""COMPUTED_VALUE"""),"PROCESO DE SELECCIÓN")</f>
        <v>PROCESO DE SELECCIÓN</v>
      </c>
      <c r="AI489" s="34" t="str">
        <f>IFERROR(__xludf.DUMMYFUNCTION("""COMPUTED_VALUE"""),"DANIEL JORDAN CASTRO")</f>
        <v>DANIEL JORDAN CASTRO</v>
      </c>
      <c r="AJ489" s="34"/>
      <c r="AK489" s="34" t="str">
        <f>IFERROR(__xludf.DUMMYFUNCTION("""COMPUTED_VALUE"""),"P")</f>
        <v>P</v>
      </c>
      <c r="AL489">
        <f>IFERROR(__xludf.DUMMYFUNCTION("""COMPUTED_VALUE"""),17.0)</f>
        <v>17</v>
      </c>
      <c r="AM489">
        <f>IFERROR(__xludf.DUMMYFUNCTION("""COMPUTED_VALUE"""),2015.0)</f>
        <v>2015</v>
      </c>
      <c r="AN489" t="str">
        <f t="shared" si="1"/>
        <v>15783465-7</v>
      </c>
    </row>
    <row r="490">
      <c r="A490" s="33">
        <f>IFERROR(__xludf.DUMMYFUNCTION("""COMPUTED_VALUE"""),1.1047452E7)</f>
        <v>11047452</v>
      </c>
      <c r="B490" s="33">
        <f>IFERROR(__xludf.DUMMYFUNCTION("""COMPUTED_VALUE"""),27.0)</f>
        <v>27</v>
      </c>
      <c r="C490" s="33"/>
      <c r="D490" s="34" t="str">
        <f>IFERROR(__xludf.DUMMYFUNCTION("""COMPUTED_VALUE"""),"11")</f>
        <v>11</v>
      </c>
      <c r="E490" s="34" t="str">
        <f>IFERROR(__xludf.DUMMYFUNCTION("""COMPUTED_VALUE"""),"CENTRO DE ESTUDIOS EN CIENCIA Y TECNOLOGIA DE LOS ALIMENTOS")</f>
        <v>CENTRO DE ESTUDIOS EN CIENCIA Y TECNOLOGIA DE LOS ALIMENTOS</v>
      </c>
      <c r="F490" s="34" t="str">
        <f>IFERROR(__xludf.DUMMYFUNCTION("""COMPUTED_VALUE"""),"Secretario(a) B")</f>
        <v>Secretario(a) B</v>
      </c>
      <c r="G490" s="33" t="str">
        <f>IFERROR(__xludf.DUMMYFUNCTION("""COMPUTED_VALUE"""),"SECRETARIA DE DEPARTAMENTO")</f>
        <v>SECRETARIA DE DEPARTAMENTO</v>
      </c>
      <c r="H490">
        <f>IFERROR(__xludf.DUMMYFUNCTION("""COMPUTED_VALUE"""),17.0)</f>
        <v>17</v>
      </c>
      <c r="I490" s="34" t="str">
        <f>IFERROR(__xludf.DUMMYFUNCTION("""COMPUTED_VALUE"""),"Jornada Completa")</f>
        <v>Jornada Completa</v>
      </c>
      <c r="J490" s="33" t="str">
        <f>IFERROR(__xludf.DUMMYFUNCTION("""COMPUTED_VALUE"""),"A CONTRATA")</f>
        <v>A CONTRATA</v>
      </c>
      <c r="K490" s="33" t="str">
        <f>IFERROR(__xludf.DUMMYFUNCTION("""COMPUTED_VALUE"""),"ADMINISTRATIVO")</f>
        <v>ADMINISTRATIVO</v>
      </c>
      <c r="L490" s="34" t="str">
        <f>IFERROR(__xludf.DUMMYFUNCTION("""COMPUTED_VALUE"""),"INTERNO")</f>
        <v>INTERNO</v>
      </c>
      <c r="M490" s="34">
        <f>IFERROR(__xludf.DUMMYFUNCTION("""COMPUTED_VALUE"""),0.0)</f>
        <v>0</v>
      </c>
      <c r="N490" s="34" t="str">
        <f>IFERROR(__xludf.DUMMYFUNCTION("""COMPUTED_VALUE"""),"EXTERNO")</f>
        <v>EXTERNO</v>
      </c>
      <c r="O490">
        <f>IFERROR(__xludf.DUMMYFUNCTION("""COMPUTED_VALUE"""),11.0)</f>
        <v>11</v>
      </c>
      <c r="P490">
        <f>IFERROR(__xludf.DUMMYFUNCTION("""COMPUTED_VALUE"""),5.0)</f>
        <v>5</v>
      </c>
      <c r="Q490" s="35">
        <f>IFERROR(__xludf.DUMMYFUNCTION("""COMPUTED_VALUE"""),1.0)</f>
        <v>1</v>
      </c>
      <c r="R490" s="36" t="str">
        <f>IFERROR(__xludf.DUMMYFUNCTION("""COMPUTED_VALUE"""),"SELECCIONADA")</f>
        <v>SELECCIONADA</v>
      </c>
      <c r="S490" s="37">
        <f>IFERROR(__xludf.DUMMYFUNCTION("""COMPUTED_VALUE"""),42135.0)</f>
        <v>42135</v>
      </c>
      <c r="T490" s="34"/>
      <c r="U490" t="str">
        <f>IFERROR(__xludf.DUMMYFUNCTION("""COMPUTED_VALUE"""),"SANDRA ARREDONDO RIVERA")</f>
        <v>SANDRA ARREDONDO RIVERA</v>
      </c>
      <c r="V490" t="str">
        <f>IFERROR(__xludf.DUMMYFUNCTION("""COMPUTED_VALUE"""),"11047452-0")</f>
        <v>11047452-0</v>
      </c>
      <c r="W490" t="str">
        <f>IFERROR(__xludf.DUMMYFUNCTION("""COMPUTED_VALUE"""),"SI")</f>
        <v>SI</v>
      </c>
      <c r="X490" t="str">
        <f>IFERROR(__xludf.DUMMYFUNCTION("""COMPUTED_VALUE"""),"Franqueza- Confiabilidad- Integridad")</f>
        <v>Franqueza- Confiabilidad- Integridad</v>
      </c>
      <c r="AA490" s="38">
        <f>IFERROR(__xludf.DUMMYFUNCTION("""COMPUTED_VALUE"""),42104.0)</f>
        <v>42104</v>
      </c>
      <c r="AB490" s="38">
        <f>IFERROR(__xludf.DUMMYFUNCTION("""COMPUTED_VALUE"""),42109.0)</f>
        <v>42109</v>
      </c>
      <c r="AF490" s="39"/>
      <c r="AG490" s="39"/>
      <c r="AH490" s="34" t="str">
        <f>IFERROR(__xludf.DUMMYFUNCTION("""COMPUTED_VALUE"""),"PROCESO DE SELECCIÓN")</f>
        <v>PROCESO DE SELECCIÓN</v>
      </c>
      <c r="AI490" s="34" t="str">
        <f>IFERROR(__xludf.DUMMYFUNCTION("""COMPUTED_VALUE"""),"JAZMIN AGUILERA")</f>
        <v>JAZMIN AGUILERA</v>
      </c>
      <c r="AJ490" s="34"/>
      <c r="AK490" s="34" t="str">
        <f>IFERROR(__xludf.DUMMYFUNCTION("""COMPUTED_VALUE"""),"C")</f>
        <v>C</v>
      </c>
      <c r="AL490">
        <f>IFERROR(__xludf.DUMMYFUNCTION("""COMPUTED_VALUE"""),19.0)</f>
        <v>19</v>
      </c>
      <c r="AM490">
        <f>IFERROR(__xludf.DUMMYFUNCTION("""COMPUTED_VALUE"""),2015.0)</f>
        <v>2015</v>
      </c>
      <c r="AN490" t="str">
        <f t="shared" si="1"/>
        <v>11047452-0</v>
      </c>
    </row>
    <row r="491">
      <c r="A491" s="33">
        <f>IFERROR(__xludf.DUMMYFUNCTION("""COMPUTED_VALUE"""),9256451.0)</f>
        <v>9256451</v>
      </c>
      <c r="B491" s="33">
        <f>IFERROR(__xludf.DUMMYFUNCTION("""COMPUTED_VALUE"""),28.0)</f>
        <v>28</v>
      </c>
      <c r="C491" s="33"/>
      <c r="D491" s="34" t="str">
        <f>IFERROR(__xludf.DUMMYFUNCTION("""COMPUTED_VALUE"""),"83")</f>
        <v>83</v>
      </c>
      <c r="E491" s="34" t="str">
        <f>IFERROR(__xludf.DUMMYFUNCTION("""COMPUTED_VALUE"""),"FACULTAD DE CIENCIAS MEDICAS")</f>
        <v>FACULTAD DE CIENCIAS MEDICAS</v>
      </c>
      <c r="F491" s="34" t="str">
        <f>IFERROR(__xludf.DUMMYFUNCTION("""COMPUTED_VALUE"""),"Mayordomo(a)")</f>
        <v>Mayordomo(a)</v>
      </c>
      <c r="G491" s="33" t="str">
        <f>IFERROR(__xludf.DUMMYFUNCTION("""COMPUTED_VALUE"""),"MAYORDOMO")</f>
        <v>MAYORDOMO</v>
      </c>
      <c r="H491">
        <f>IFERROR(__xludf.DUMMYFUNCTION("""COMPUTED_VALUE"""),21.0)</f>
        <v>21</v>
      </c>
      <c r="I491" s="34" t="str">
        <f>IFERROR(__xludf.DUMMYFUNCTION("""COMPUTED_VALUE"""),"Jornada Completa")</f>
        <v>Jornada Completa</v>
      </c>
      <c r="J491" s="33" t="str">
        <f>IFERROR(__xludf.DUMMYFUNCTION("""COMPUTED_VALUE"""),"A CONTRATA")</f>
        <v>A CONTRATA</v>
      </c>
      <c r="K491" s="33" t="str">
        <f>IFERROR(__xludf.DUMMYFUNCTION("""COMPUTED_VALUE"""),"AUXILIAR")</f>
        <v>AUXILIAR</v>
      </c>
      <c r="L491" s="34" t="str">
        <f>IFERROR(__xludf.DUMMYFUNCTION("""COMPUTED_VALUE"""),"INTERNO")</f>
        <v>INTERNO</v>
      </c>
      <c r="M491" s="34">
        <f>IFERROR(__xludf.DUMMYFUNCTION("""COMPUTED_VALUE"""),2.0)</f>
        <v>2</v>
      </c>
      <c r="N491" s="34" t="str">
        <f>IFERROR(__xludf.DUMMYFUNCTION("""COMPUTED_VALUE"""),"NO")</f>
        <v>NO</v>
      </c>
      <c r="P491">
        <f>IFERROR(__xludf.DUMMYFUNCTION("""COMPUTED_VALUE"""),1.0)</f>
        <v>1</v>
      </c>
      <c r="Q491" s="35">
        <f>IFERROR(__xludf.DUMMYFUNCTION("""COMPUTED_VALUE"""),0.0)</f>
        <v>0</v>
      </c>
      <c r="R491" s="36" t="str">
        <f>IFERROR(__xludf.DUMMYFUNCTION("""COMPUTED_VALUE"""),"SELECCIONADO")</f>
        <v>SELECCIONADO</v>
      </c>
      <c r="S491" s="37">
        <f>IFERROR(__xludf.DUMMYFUNCTION("""COMPUTED_VALUE"""),42156.0)</f>
        <v>42156</v>
      </c>
      <c r="T491" s="34" t="str">
        <f>IFERROR(__xludf.DUMMYFUNCTION("""COMPUTED_VALUE"""),"JAIME ARCE LOPEZ")</f>
        <v>JAIME ARCE LOPEZ</v>
      </c>
      <c r="V491" t="str">
        <f>IFERROR(__xludf.DUMMYFUNCTION("""COMPUTED_VALUE"""),"09256451-7")</f>
        <v>09256451-7</v>
      </c>
      <c r="W491" t="str">
        <f>IFERROR(__xludf.DUMMYFUNCTION("""COMPUTED_VALUE"""),"NO")</f>
        <v>NO</v>
      </c>
      <c r="AA491" s="38">
        <f>IFERROR(__xludf.DUMMYFUNCTION("""COMPUTED_VALUE"""),42115.0)</f>
        <v>42115</v>
      </c>
      <c r="AB491" s="38">
        <f>IFERROR(__xludf.DUMMYFUNCTION("""COMPUTED_VALUE"""),42118.0)</f>
        <v>42118</v>
      </c>
      <c r="AC491">
        <f>IFERROR(__xludf.DUMMYFUNCTION("""COMPUTED_VALUE"""),23.0)</f>
        <v>23</v>
      </c>
      <c r="AD491" t="str">
        <f>IFERROR(__xludf.DUMMYFUNCTION("""COMPUTED_VALUE"""),"AUXILIAR")</f>
        <v>AUXILIAR</v>
      </c>
      <c r="AF491" s="39" t="str">
        <f>IFERROR(__xludf.DUMMYFUNCTION("""COMPUTED_VALUE"""),"ESCUELA DE ENFERMERIA")</f>
        <v>ESCUELA DE ENFERMERIA</v>
      </c>
      <c r="AG491" s="39"/>
      <c r="AH491" s="34" t="str">
        <f>IFERROR(__xludf.DUMMYFUNCTION("""COMPUTED_VALUE"""),"PROCESO DE SELECCIÓN")</f>
        <v>PROCESO DE SELECCIÓN</v>
      </c>
      <c r="AI491" s="34" t="str">
        <f>IFERROR(__xludf.DUMMYFUNCTION("""COMPUTED_VALUE"""),"ALEJANDRO MARTINEZ NAVIA")</f>
        <v>ALEJANDRO MARTINEZ NAVIA</v>
      </c>
      <c r="AJ491" s="34"/>
      <c r="AK491" s="34" t="str">
        <f>IFERROR(__xludf.DUMMYFUNCTION("""COMPUTED_VALUE"""),"P")</f>
        <v>P</v>
      </c>
      <c r="AL491">
        <f>IFERROR(__xludf.DUMMYFUNCTION("""COMPUTED_VALUE"""),27.0)</f>
        <v>27</v>
      </c>
      <c r="AM491">
        <f>IFERROR(__xludf.DUMMYFUNCTION("""COMPUTED_VALUE"""),2015.0)</f>
        <v>2015</v>
      </c>
      <c r="AN491" t="str">
        <f t="shared" si="1"/>
        <v>09256451-7</v>
      </c>
    </row>
    <row r="492">
      <c r="A492" s="33">
        <f>IFERROR(__xludf.DUMMYFUNCTION("""COMPUTED_VALUE"""),8718049.0)</f>
        <v>8718049</v>
      </c>
      <c r="B492" s="33">
        <f>IFERROR(__xludf.DUMMYFUNCTION("""COMPUTED_VALUE"""),29.0)</f>
        <v>29</v>
      </c>
      <c r="C492" s="33"/>
      <c r="D492" s="34" t="str">
        <f>IFERROR(__xludf.DUMMYFUNCTION("""COMPUTED_VALUE"""),"40")</f>
        <v>40</v>
      </c>
      <c r="E492" s="34" t="str">
        <f>IFERROR(__xludf.DUMMYFUNCTION("""COMPUTED_VALUE"""),"DEPARTAMENTO DE INGENIERIA ELECTRICA")</f>
        <v>DEPARTAMENTO DE INGENIERIA ELECTRICA</v>
      </c>
      <c r="F492" s="34" t="str">
        <f>IFERROR(__xludf.DUMMYFUNCTION("""COMPUTED_VALUE"""),"Estafeta")</f>
        <v>Estafeta</v>
      </c>
      <c r="G492" s="33" t="str">
        <f>IFERROR(__xludf.DUMMYFUNCTION("""COMPUTED_VALUE"""),"ESTAFETA")</f>
        <v>ESTAFETA</v>
      </c>
      <c r="H492">
        <f>IFERROR(__xludf.DUMMYFUNCTION("""COMPUTED_VALUE"""),23.0)</f>
        <v>23</v>
      </c>
      <c r="I492" s="34" t="str">
        <f>IFERROR(__xludf.DUMMYFUNCTION("""COMPUTED_VALUE"""),"Jornada Completa")</f>
        <v>Jornada Completa</v>
      </c>
      <c r="J492" s="33" t="str">
        <f>IFERROR(__xludf.DUMMYFUNCTION("""COMPUTED_VALUE"""),"A CONTRATA")</f>
        <v>A CONTRATA</v>
      </c>
      <c r="K492" s="33" t="str">
        <f>IFERROR(__xludf.DUMMYFUNCTION("""COMPUTED_VALUE"""),"AUXILIAR")</f>
        <v>AUXILIAR</v>
      </c>
      <c r="L492" s="34" t="str">
        <f>IFERROR(__xludf.DUMMYFUNCTION("""COMPUTED_VALUE"""),"INTERNO")</f>
        <v>INTERNO</v>
      </c>
      <c r="M492" s="34">
        <f>IFERROR(__xludf.DUMMYFUNCTION("""COMPUTED_VALUE"""),0.0)</f>
        <v>0</v>
      </c>
      <c r="N492" s="34" t="str">
        <f>IFERROR(__xludf.DUMMYFUNCTION("""COMPUTED_VALUE"""),"EXTERNO")</f>
        <v>EXTERNO</v>
      </c>
      <c r="O492">
        <f>IFERROR(__xludf.DUMMYFUNCTION("""COMPUTED_VALUE"""),10.0)</f>
        <v>10</v>
      </c>
      <c r="P492">
        <f>IFERROR(__xludf.DUMMYFUNCTION("""COMPUTED_VALUE"""),1.0)</f>
        <v>1</v>
      </c>
      <c r="Q492" s="35">
        <f>IFERROR(__xludf.DUMMYFUNCTION("""COMPUTED_VALUE"""),1.0)</f>
        <v>1</v>
      </c>
      <c r="R492" s="36" t="str">
        <f>IFERROR(__xludf.DUMMYFUNCTION("""COMPUTED_VALUE"""),"SELECCIONADO")</f>
        <v>SELECCIONADO</v>
      </c>
      <c r="S492" s="37">
        <f>IFERROR(__xludf.DUMMYFUNCTION("""COMPUTED_VALUE"""),42156.0)</f>
        <v>42156</v>
      </c>
      <c r="T492" s="34"/>
      <c r="U492" t="str">
        <f>IFERROR(__xludf.DUMMYFUNCTION("""COMPUTED_VALUE"""),"ROBERTO MORGADO CARRASCO")</f>
        <v>ROBERTO MORGADO CARRASCO</v>
      </c>
      <c r="V492" t="str">
        <f>IFERROR(__xludf.DUMMYFUNCTION("""COMPUTED_VALUE"""),"08718049-2")</f>
        <v>08718049-2</v>
      </c>
      <c r="W492" t="str">
        <f>IFERROR(__xludf.DUMMYFUNCTION("""COMPUTED_VALUE"""),"NO")</f>
        <v>NO</v>
      </c>
      <c r="AA492" s="38">
        <f>IFERROR(__xludf.DUMMYFUNCTION("""COMPUTED_VALUE"""),42086.0)</f>
        <v>42086</v>
      </c>
      <c r="AB492" s="38">
        <f>IFERROR(__xludf.DUMMYFUNCTION("""COMPUTED_VALUE"""),42093.0)</f>
        <v>42093</v>
      </c>
      <c r="AF492" s="39"/>
      <c r="AG492" s="39"/>
      <c r="AH492" s="34" t="str">
        <f>IFERROR(__xludf.DUMMYFUNCTION("""COMPUTED_VALUE"""),"PROCESO DE SELECCIÓN")</f>
        <v>PROCESO DE SELECCIÓN</v>
      </c>
      <c r="AI492" s="34" t="str">
        <f>IFERROR(__xludf.DUMMYFUNCTION("""COMPUTED_VALUE"""),"-")</f>
        <v>-</v>
      </c>
      <c r="AJ492" s="34"/>
      <c r="AK492" s="34" t="str">
        <f>IFERROR(__xludf.DUMMYFUNCTION("""COMPUTED_VALUE"""),"C")</f>
        <v>C</v>
      </c>
      <c r="AL492">
        <f>IFERROR(__xludf.DUMMYFUNCTION("""COMPUTED_VALUE"""),46.0)</f>
        <v>46</v>
      </c>
      <c r="AM492">
        <f>IFERROR(__xludf.DUMMYFUNCTION("""COMPUTED_VALUE"""),2015.0)</f>
        <v>2015</v>
      </c>
      <c r="AN492" t="str">
        <f t="shared" si="1"/>
        <v>08718049-2</v>
      </c>
    </row>
    <row r="493">
      <c r="A493" s="33">
        <f>IFERROR(__xludf.DUMMYFUNCTION("""COMPUTED_VALUE"""),1.438167E7)</f>
        <v>14381670</v>
      </c>
      <c r="B493" s="33">
        <f>IFERROR(__xludf.DUMMYFUNCTION("""COMPUTED_VALUE"""),30.0)</f>
        <v>30</v>
      </c>
      <c r="C493" s="33"/>
      <c r="D493" s="34" t="str">
        <f>IFERROR(__xludf.DUMMYFUNCTION("""COMPUTED_VALUE"""),"3")</f>
        <v>3</v>
      </c>
      <c r="E493" s="34" t="str">
        <f>IFERROR(__xludf.DUMMYFUNCTION("""COMPUTED_VALUE"""),"UNIDAD DE BIENESTAR DEL PERSONAL")</f>
        <v>UNIDAD DE BIENESTAR DEL PERSONAL</v>
      </c>
      <c r="F493" s="34" t="str">
        <f>IFERROR(__xludf.DUMMYFUNCTION("""COMPUTED_VALUE"""),"Asistente Social Personal")</f>
        <v>Asistente Social Personal</v>
      </c>
      <c r="G493" s="33" t="str">
        <f>IFERROR(__xludf.DUMMYFUNCTION("""COMPUTED_VALUE"""),"ASISTENTE SOCIAL")</f>
        <v>ASISTENTE SOCIAL</v>
      </c>
      <c r="H493">
        <f>IFERROR(__xludf.DUMMYFUNCTION("""COMPUTED_VALUE"""),13.0)</f>
        <v>13</v>
      </c>
      <c r="I493" s="34" t="str">
        <f>IFERROR(__xludf.DUMMYFUNCTION("""COMPUTED_VALUE"""),"Jornada Completa")</f>
        <v>Jornada Completa</v>
      </c>
      <c r="J493" s="33" t="str">
        <f>IFERROR(__xludf.DUMMYFUNCTION("""COMPUTED_VALUE"""),"A CONTRATA")</f>
        <v>A CONTRATA</v>
      </c>
      <c r="K493" s="33" t="str">
        <f>IFERROR(__xludf.DUMMYFUNCTION("""COMPUTED_VALUE"""),"PROFESIONAL")</f>
        <v>PROFESIONAL</v>
      </c>
      <c r="L493" s="34" t="str">
        <f>IFERROR(__xludf.DUMMYFUNCTION("""COMPUTED_VALUE"""),"INTERNO")</f>
        <v>INTERNO</v>
      </c>
      <c r="M493" s="34">
        <f>IFERROR(__xludf.DUMMYFUNCTION("""COMPUTED_VALUE"""),4.0)</f>
        <v>4</v>
      </c>
      <c r="N493" s="34" t="str">
        <f>IFERROR(__xludf.DUMMYFUNCTION("""COMPUTED_VALUE"""),"NO")</f>
        <v>NO</v>
      </c>
      <c r="P493">
        <f>IFERROR(__xludf.DUMMYFUNCTION("""COMPUTED_VALUE"""),4.0)</f>
        <v>4</v>
      </c>
      <c r="Q493" s="35"/>
      <c r="R493" s="36" t="str">
        <f>IFERROR(__xludf.DUMMYFUNCTION("""COMPUTED_VALUE"""),"SELECCIONADA")</f>
        <v>SELECCIONADA</v>
      </c>
      <c r="S493" s="37">
        <f>IFERROR(__xludf.DUMMYFUNCTION("""COMPUTED_VALUE"""),42167.0)</f>
        <v>42167</v>
      </c>
      <c r="T493" s="34" t="str">
        <f>IFERROR(__xludf.DUMMYFUNCTION("""COMPUTED_VALUE"""),"INGRID CANIULEF MENDEZ")</f>
        <v>INGRID CANIULEF MENDEZ</v>
      </c>
      <c r="V493" t="str">
        <f>IFERROR(__xludf.DUMMYFUNCTION("""COMPUTED_VALUE"""),"14381670-2")</f>
        <v>14381670-2</v>
      </c>
      <c r="W493" t="str">
        <f>IFERROR(__xludf.DUMMYFUNCTION("""COMPUTED_VALUE"""),"NO")</f>
        <v>NO</v>
      </c>
      <c r="AA493" s="38">
        <f>IFERROR(__xludf.DUMMYFUNCTION("""COMPUTED_VALUE"""),42115.0)</f>
        <v>42115</v>
      </c>
      <c r="AB493" s="38">
        <f>IFERROR(__xludf.DUMMYFUNCTION("""COMPUTED_VALUE"""),42118.0)</f>
        <v>42118</v>
      </c>
      <c r="AC493">
        <f>IFERROR(__xludf.DUMMYFUNCTION("""COMPUTED_VALUE"""),15.0)</f>
        <v>15</v>
      </c>
      <c r="AD493" t="str">
        <f>IFERROR(__xludf.DUMMYFUNCTION("""COMPUTED_VALUE"""),"ADMINISTRATIVO")</f>
        <v>ADMINISTRATIVO</v>
      </c>
      <c r="AF493" s="39" t="str">
        <f>IFERROR(__xludf.DUMMYFUNCTION("""COMPUTED_VALUE"""),"IDEA")</f>
        <v>IDEA</v>
      </c>
      <c r="AG493" s="39"/>
      <c r="AH493" s="34" t="str">
        <f>IFERROR(__xludf.DUMMYFUNCTION("""COMPUTED_VALUE"""),"PROCESO DE SELECCIÓN")</f>
        <v>PROCESO DE SELECCIÓN</v>
      </c>
      <c r="AI493" s="34" t="str">
        <f>IFERROR(__xludf.DUMMYFUNCTION("""COMPUTED_VALUE"""),"MARIA ANTONIETA GONZALEZ")</f>
        <v>MARIA ANTONIETA GONZALEZ</v>
      </c>
      <c r="AJ493" s="34"/>
      <c r="AK493" s="34" t="str">
        <f>IFERROR(__xludf.DUMMYFUNCTION("""COMPUTED_VALUE"""),"C")</f>
        <v>C</v>
      </c>
      <c r="AL493">
        <f>IFERROR(__xludf.DUMMYFUNCTION("""COMPUTED_VALUE"""),36.0)</f>
        <v>36</v>
      </c>
      <c r="AM493">
        <f>IFERROR(__xludf.DUMMYFUNCTION("""COMPUTED_VALUE"""),2015.0)</f>
        <v>2015</v>
      </c>
      <c r="AN493" t="str">
        <f t="shared" si="1"/>
        <v>14381670-2</v>
      </c>
    </row>
    <row r="494">
      <c r="A494" s="33">
        <f>IFERROR(__xludf.DUMMYFUNCTION("""COMPUTED_VALUE"""),1.2240422E7)</f>
        <v>12240422</v>
      </c>
      <c r="B494" s="33">
        <f>IFERROR(__xludf.DUMMYFUNCTION("""COMPUTED_VALUE"""),31.0)</f>
        <v>31</v>
      </c>
      <c r="C494" s="33"/>
      <c r="D494" s="34" t="str">
        <f>IFERROR(__xludf.DUMMYFUNCTION("""COMPUTED_VALUE"""),"60")</f>
        <v>60</v>
      </c>
      <c r="E494" s="34" t="str">
        <f>IFERROR(__xludf.DUMMYFUNCTION("""COMPUTED_VALUE"""),"FACULTAD DE ADMINISTRACION Y ECONOMIA")</f>
        <v>FACULTAD DE ADMINISTRACION Y ECONOMIA</v>
      </c>
      <c r="F494" s="34" t="str">
        <f>IFERROR(__xludf.DUMMYFUNCTION("""COMPUTED_VALUE"""),"Secretario(a) B")</f>
        <v>Secretario(a) B</v>
      </c>
      <c r="G494" s="33" t="str">
        <f>IFERROR(__xludf.DUMMYFUNCTION("""COMPUTED_VALUE"""),"SECRETARIA DE VICEDECANATO")</f>
        <v>SECRETARIA DE VICEDECANATO</v>
      </c>
      <c r="H494">
        <f>IFERROR(__xludf.DUMMYFUNCTION("""COMPUTED_VALUE"""),17.0)</f>
        <v>17</v>
      </c>
      <c r="I494" s="34" t="str">
        <f>IFERROR(__xludf.DUMMYFUNCTION("""COMPUTED_VALUE"""),"Jornada Completa")</f>
        <v>Jornada Completa</v>
      </c>
      <c r="J494" s="33" t="str">
        <f>IFERROR(__xludf.DUMMYFUNCTION("""COMPUTED_VALUE"""),"A CONTRATA")</f>
        <v>A CONTRATA</v>
      </c>
      <c r="K494" s="33" t="str">
        <f>IFERROR(__xludf.DUMMYFUNCTION("""COMPUTED_VALUE"""),"ADMINISTRATIVO")</f>
        <v>ADMINISTRATIVO</v>
      </c>
      <c r="L494" s="34" t="str">
        <f>IFERROR(__xludf.DUMMYFUNCTION("""COMPUTED_VALUE"""),"INTERNO")</f>
        <v>INTERNO</v>
      </c>
      <c r="M494" s="34">
        <f>IFERROR(__xludf.DUMMYFUNCTION("""COMPUTED_VALUE"""),0.0)</f>
        <v>0</v>
      </c>
      <c r="N494" s="34" t="str">
        <f>IFERROR(__xludf.DUMMYFUNCTION("""COMPUTED_VALUE"""),"EXTERNO")</f>
        <v>EXTERNO</v>
      </c>
      <c r="O494">
        <f>IFERROR(__xludf.DUMMYFUNCTION("""COMPUTED_VALUE"""),26.0)</f>
        <v>26</v>
      </c>
      <c r="P494">
        <f>IFERROR(__xludf.DUMMYFUNCTION("""COMPUTED_VALUE"""),4.0)</f>
        <v>4</v>
      </c>
      <c r="Q494" s="35">
        <f>IFERROR(__xludf.DUMMYFUNCTION("""COMPUTED_VALUE"""),2.0)</f>
        <v>2</v>
      </c>
      <c r="R494" s="36" t="str">
        <f>IFERROR(__xludf.DUMMYFUNCTION("""COMPUTED_VALUE"""),"SELECCIONADA")</f>
        <v>SELECCIONADA</v>
      </c>
      <c r="S494" s="37">
        <f>IFERROR(__xludf.DUMMYFUNCTION("""COMPUTED_VALUE"""),42170.0)</f>
        <v>42170</v>
      </c>
      <c r="T494" s="34"/>
      <c r="U494" t="str">
        <f>IFERROR(__xludf.DUMMYFUNCTION("""COMPUTED_VALUE"""),"VANESA CONTRERAS URBINA")</f>
        <v>VANESA CONTRERAS URBINA</v>
      </c>
      <c r="V494" t="str">
        <f>IFERROR(__xludf.DUMMYFUNCTION("""COMPUTED_VALUE"""),"12240422-6")</f>
        <v>12240422-6</v>
      </c>
      <c r="W494" t="str">
        <f>IFERROR(__xludf.DUMMYFUNCTION("""COMPUTED_VALUE"""),"SI")</f>
        <v>SI</v>
      </c>
      <c r="X494" t="str">
        <f>IFERROR(__xludf.DUMMYFUNCTION("""COMPUTED_VALUE"""),"Franqueza- Confiabilidad- Integridad")</f>
        <v>Franqueza- Confiabilidad- Integridad</v>
      </c>
      <c r="AA494" s="38">
        <f>IFERROR(__xludf.DUMMYFUNCTION("""COMPUTED_VALUE"""),42132.0)</f>
        <v>42132</v>
      </c>
      <c r="AB494" s="38">
        <f>IFERROR(__xludf.DUMMYFUNCTION("""COMPUTED_VALUE"""),42139.0)</f>
        <v>42139</v>
      </c>
      <c r="AF494" s="39"/>
      <c r="AG494" s="39"/>
      <c r="AH494" s="34" t="str">
        <f>IFERROR(__xludf.DUMMYFUNCTION("""COMPUTED_VALUE"""),"PROCESO DE SELECCIÓN")</f>
        <v>PROCESO DE SELECCIÓN</v>
      </c>
      <c r="AI494" s="34" t="str">
        <f>IFERROR(__xludf.DUMMYFUNCTION("""COMPUTED_VALUE"""),"PATRICIA ROJAS")</f>
        <v>PATRICIA ROJAS</v>
      </c>
      <c r="AJ494" s="34"/>
      <c r="AK494" s="34" t="str">
        <f>IFERROR(__xludf.DUMMYFUNCTION("""COMPUTED_VALUE"""),"C")</f>
        <v>C</v>
      </c>
      <c r="AL494">
        <f>IFERROR(__xludf.DUMMYFUNCTION("""COMPUTED_VALUE"""),22.0)</f>
        <v>22</v>
      </c>
      <c r="AM494">
        <f>IFERROR(__xludf.DUMMYFUNCTION("""COMPUTED_VALUE"""),2015.0)</f>
        <v>2015</v>
      </c>
      <c r="AN494" t="str">
        <f t="shared" si="1"/>
        <v>12240422-6</v>
      </c>
    </row>
    <row r="495">
      <c r="A495" s="33">
        <f>IFERROR(__xludf.DUMMYFUNCTION("""COMPUTED_VALUE"""),1.4044448E7)</f>
        <v>14044448</v>
      </c>
      <c r="B495" s="33">
        <f>IFERROR(__xludf.DUMMYFUNCTION("""COMPUTED_VALUE"""),32.0)</f>
        <v>32</v>
      </c>
      <c r="C495" s="33"/>
      <c r="D495" s="34" t="str">
        <f>IFERROR(__xludf.DUMMYFUNCTION("""COMPUTED_VALUE"""),"3")</f>
        <v>3</v>
      </c>
      <c r="E495" s="34" t="str">
        <f>IFERROR(__xludf.DUMMYFUNCTION("""COMPUTED_VALUE"""),"DEPARTAMENTO DE PLANIFICACION PRESUPUESTARIA")</f>
        <v>DEPARTAMENTO DE PLANIFICACION PRESUPUESTARIA</v>
      </c>
      <c r="F495" s="34" t="str">
        <f>IFERROR(__xludf.DUMMYFUNCTION("""COMPUTED_VALUE"""),"Analista de Planificación y Análisis")</f>
        <v>Analista de Planificación y Análisis</v>
      </c>
      <c r="G495" s="33" t="str">
        <f>IFERROR(__xludf.DUMMYFUNCTION("""COMPUTED_VALUE"""),"ANALISTA DE PLANIFICACION PRESUPUESTARIA")</f>
        <v>ANALISTA DE PLANIFICACION PRESUPUESTARIA</v>
      </c>
      <c r="H495">
        <f>IFERROR(__xludf.DUMMYFUNCTION("""COMPUTED_VALUE"""),10.0)</f>
        <v>10</v>
      </c>
      <c r="I495" s="34" t="str">
        <f>IFERROR(__xludf.DUMMYFUNCTION("""COMPUTED_VALUE"""),"Jornada Completa")</f>
        <v>Jornada Completa</v>
      </c>
      <c r="J495" s="33" t="str">
        <f>IFERROR(__xludf.DUMMYFUNCTION("""COMPUTED_VALUE"""),"A CONTRATA")</f>
        <v>A CONTRATA</v>
      </c>
      <c r="K495" s="33" t="str">
        <f>IFERROR(__xludf.DUMMYFUNCTION("""COMPUTED_VALUE"""),"PROFESIONAL")</f>
        <v>PROFESIONAL</v>
      </c>
      <c r="L495" s="34" t="str">
        <f>IFERROR(__xludf.DUMMYFUNCTION("""COMPUTED_VALUE"""),"INTERNO")</f>
        <v>INTERNO</v>
      </c>
      <c r="M495" s="34">
        <f>IFERROR(__xludf.DUMMYFUNCTION("""COMPUTED_VALUE"""),5.0)</f>
        <v>5</v>
      </c>
      <c r="N495" s="34" t="str">
        <f>IFERROR(__xludf.DUMMYFUNCTION("""COMPUTED_VALUE"""),"EXTERNO")</f>
        <v>EXTERNO</v>
      </c>
      <c r="O495">
        <f>IFERROR(__xludf.DUMMYFUNCTION("""COMPUTED_VALUE"""),14.0)</f>
        <v>14</v>
      </c>
      <c r="P495">
        <f>IFERROR(__xludf.DUMMYFUNCTION("""COMPUTED_VALUE"""),2.0)</f>
        <v>2</v>
      </c>
      <c r="Q495" s="35">
        <f>IFERROR(__xludf.DUMMYFUNCTION("""COMPUTED_VALUE"""),1.0)</f>
        <v>1</v>
      </c>
      <c r="R495" s="36" t="str">
        <f>IFERROR(__xludf.DUMMYFUNCTION("""COMPUTED_VALUE"""),"SELECCIONADA")</f>
        <v>SELECCIONADA</v>
      </c>
      <c r="S495" s="37">
        <f>IFERROR(__xludf.DUMMYFUNCTION("""COMPUTED_VALUE"""),42170.0)</f>
        <v>42170</v>
      </c>
      <c r="T495" s="34"/>
      <c r="U495" t="str">
        <f>IFERROR(__xludf.DUMMYFUNCTION("""COMPUTED_VALUE"""),"ELSA CARRASCO FERNANDEZ")</f>
        <v>ELSA CARRASCO FERNANDEZ</v>
      </c>
      <c r="V495" t="str">
        <f>IFERROR(__xludf.DUMMYFUNCTION("""COMPUTED_VALUE"""),"14044448-0")</f>
        <v>14044448-0</v>
      </c>
      <c r="W495" t="str">
        <f>IFERROR(__xludf.DUMMYFUNCTION("""COMPUTED_VALUE"""),"NO")</f>
        <v>NO</v>
      </c>
      <c r="AA495" s="38">
        <f>IFERROR(__xludf.DUMMYFUNCTION("""COMPUTED_VALUE"""),42101.0)</f>
        <v>42101</v>
      </c>
      <c r="AB495" s="38">
        <f>IFERROR(__xludf.DUMMYFUNCTION("""COMPUTED_VALUE"""),42108.0)</f>
        <v>42108</v>
      </c>
      <c r="AF495" s="39"/>
      <c r="AG495" s="39"/>
      <c r="AH495" s="34" t="str">
        <f>IFERROR(__xludf.DUMMYFUNCTION("""COMPUTED_VALUE"""),"PROCESO DE SELECCIÓN")</f>
        <v>PROCESO DE SELECCIÓN</v>
      </c>
      <c r="AI495" s="34" t="str">
        <f>IFERROR(__xludf.DUMMYFUNCTION("""COMPUTED_VALUE"""),"-")</f>
        <v>-</v>
      </c>
      <c r="AJ495" s="34"/>
      <c r="AK495" s="34" t="str">
        <f>IFERROR(__xludf.DUMMYFUNCTION("""COMPUTED_VALUE"""),"C")</f>
        <v>C</v>
      </c>
      <c r="AL495">
        <f>IFERROR(__xludf.DUMMYFUNCTION("""COMPUTED_VALUE"""),45.0)</f>
        <v>45</v>
      </c>
      <c r="AM495">
        <f>IFERROR(__xludf.DUMMYFUNCTION("""COMPUTED_VALUE"""),2015.0)</f>
        <v>2015</v>
      </c>
      <c r="AN495" t="str">
        <f t="shared" si="1"/>
        <v>14044448-0</v>
      </c>
    </row>
    <row r="496">
      <c r="A496" s="33">
        <f>IFERROR(__xludf.DUMMYFUNCTION("""COMPUTED_VALUE"""),1.7050435E7)</f>
        <v>17050435</v>
      </c>
      <c r="B496" s="33">
        <f>IFERROR(__xludf.DUMMYFUNCTION("""COMPUTED_VALUE"""),33.0)</f>
        <v>33</v>
      </c>
      <c r="C496" s="33"/>
      <c r="D496" s="34" t="str">
        <f>IFERROR(__xludf.DUMMYFUNCTION("""COMPUTED_VALUE"""),"83")</f>
        <v>83</v>
      </c>
      <c r="E496" s="34" t="str">
        <f>IFERROR(__xludf.DUMMYFUNCTION("""COMPUTED_VALUE"""),"FACULTAD DE CIENCIAS MEDICAS")</f>
        <v>FACULTAD DE CIENCIAS MEDICAS</v>
      </c>
      <c r="F496" s="34" t="str">
        <f>IFERROR(__xludf.DUMMYFUNCTION("""COMPUTED_VALUE"""),"Secretario(a) C")</f>
        <v>Secretario(a) C</v>
      </c>
      <c r="G496" s="33" t="str">
        <f>IFERROR(__xludf.DUMMYFUNCTION("""COMPUTED_VALUE"""),"SECRETARIA ADMINISTRATIVA")</f>
        <v>SECRETARIA ADMINISTRATIVA</v>
      </c>
      <c r="H496">
        <f>IFERROR(__xludf.DUMMYFUNCTION("""COMPUTED_VALUE"""),20.0)</f>
        <v>20</v>
      </c>
      <c r="I496" s="34" t="str">
        <f>IFERROR(__xludf.DUMMYFUNCTION("""COMPUTED_VALUE"""),"Jornada Completa")</f>
        <v>Jornada Completa</v>
      </c>
      <c r="J496" s="33" t="str">
        <f>IFERROR(__xludf.DUMMYFUNCTION("""COMPUTED_VALUE"""),"A CONTRATA")</f>
        <v>A CONTRATA</v>
      </c>
      <c r="K496" s="33" t="str">
        <f>IFERROR(__xludf.DUMMYFUNCTION("""COMPUTED_VALUE"""),"ADMINISTRATIVO")</f>
        <v>ADMINISTRATIVO</v>
      </c>
      <c r="L496" s="34" t="str">
        <f>IFERROR(__xludf.DUMMYFUNCTION("""COMPUTED_VALUE"""),"INTERNO")</f>
        <v>INTERNO</v>
      </c>
      <c r="M496" s="34">
        <f>IFERROR(__xludf.DUMMYFUNCTION("""COMPUTED_VALUE"""),0.0)</f>
        <v>0</v>
      </c>
      <c r="N496" s="34" t="str">
        <f>IFERROR(__xludf.DUMMYFUNCTION("""COMPUTED_VALUE"""),"EXTERNO")</f>
        <v>EXTERNO</v>
      </c>
      <c r="O496">
        <f>IFERROR(__xludf.DUMMYFUNCTION("""COMPUTED_VALUE"""),4.0)</f>
        <v>4</v>
      </c>
      <c r="P496">
        <f>IFERROR(__xludf.DUMMYFUNCTION("""COMPUTED_VALUE"""),1.0)</f>
        <v>1</v>
      </c>
      <c r="Q496" s="35">
        <f>IFERROR(__xludf.DUMMYFUNCTION("""COMPUTED_VALUE"""),2.0)</f>
        <v>2</v>
      </c>
      <c r="R496" s="36" t="str">
        <f>IFERROR(__xludf.DUMMYFUNCTION("""COMPUTED_VALUE"""),"SELECCIONADA")</f>
        <v>SELECCIONADA</v>
      </c>
      <c r="S496" s="37">
        <f>IFERROR(__xludf.DUMMYFUNCTION("""COMPUTED_VALUE"""),42163.0)</f>
        <v>42163</v>
      </c>
      <c r="T496" s="34"/>
      <c r="U496" t="str">
        <f>IFERROR(__xludf.DUMMYFUNCTION("""COMPUTED_VALUE"""),"VALERIA ULLOA DAVIS")</f>
        <v>VALERIA ULLOA DAVIS</v>
      </c>
      <c r="V496" t="str">
        <f>IFERROR(__xludf.DUMMYFUNCTION("""COMPUTED_VALUE"""),"17050435-6")</f>
        <v>17050435-6</v>
      </c>
      <c r="W496" t="str">
        <f>IFERROR(__xludf.DUMMYFUNCTION("""COMPUTED_VALUE"""),"NO")</f>
        <v>NO</v>
      </c>
      <c r="AA496" s="38">
        <f>IFERROR(__xludf.DUMMYFUNCTION("""COMPUTED_VALUE"""),42137.0)</f>
        <v>42137</v>
      </c>
      <c r="AB496" s="38">
        <f>IFERROR(__xludf.DUMMYFUNCTION("""COMPUTED_VALUE"""),42142.0)</f>
        <v>42142</v>
      </c>
      <c r="AF496" s="39"/>
      <c r="AG496" s="39"/>
      <c r="AH496" s="34" t="str">
        <f>IFERROR(__xludf.DUMMYFUNCTION("""COMPUTED_VALUE"""),"PROCESO DE SELECCIÓN")</f>
        <v>PROCESO DE SELECCIÓN</v>
      </c>
      <c r="AI496" s="34" t="str">
        <f>IFERROR(__xludf.DUMMYFUNCTION("""COMPUTED_VALUE"""),"-")</f>
        <v>-</v>
      </c>
      <c r="AJ496" s="34"/>
      <c r="AK496" s="34" t="str">
        <f>IFERROR(__xludf.DUMMYFUNCTION("""COMPUTED_VALUE"""),"C")</f>
        <v>C</v>
      </c>
      <c r="AL496">
        <f>IFERROR(__xludf.DUMMYFUNCTION("""COMPUTED_VALUE"""),16.0)</f>
        <v>16</v>
      </c>
      <c r="AM496">
        <f>IFERROR(__xludf.DUMMYFUNCTION("""COMPUTED_VALUE"""),2015.0)</f>
        <v>2015</v>
      </c>
      <c r="AN496" t="str">
        <f t="shared" si="1"/>
        <v>17050435-6</v>
      </c>
    </row>
    <row r="497">
      <c r="A497" s="33">
        <f>IFERROR(__xludf.DUMMYFUNCTION("""COMPUTED_VALUE"""),8039104.0)</f>
        <v>8039104</v>
      </c>
      <c r="B497" s="33">
        <f>IFERROR(__xludf.DUMMYFUNCTION("""COMPUTED_VALUE"""),34.0)</f>
        <v>34</v>
      </c>
      <c r="C497" s="33"/>
      <c r="D497" s="34" t="str">
        <f>IFERROR(__xludf.DUMMYFUNCTION("""COMPUTED_VALUE"""),"15")</f>
        <v>15</v>
      </c>
      <c r="E497" s="34" t="str">
        <f>IFERROR(__xludf.DUMMYFUNCTION("""COMPUTED_VALUE"""),"UNIE-CITECAMP")</f>
        <v>UNIE-CITECAMP</v>
      </c>
      <c r="F497" s="34" t="str">
        <f>IFERROR(__xludf.DUMMYFUNCTION("""COMPUTED_VALUE"""),"Administrativo(a) de Apoyo")</f>
        <v>Administrativo(a) de Apoyo</v>
      </c>
      <c r="G497" s="33" t="str">
        <f>IFERROR(__xludf.DUMMYFUNCTION("""COMPUTED_VALUE"""),"ADMINISTRATIVO DE APOYO")</f>
        <v>ADMINISTRATIVO DE APOYO</v>
      </c>
      <c r="H497">
        <f>IFERROR(__xludf.DUMMYFUNCTION("""COMPUTED_VALUE"""),20.0)</f>
        <v>20</v>
      </c>
      <c r="I497" s="34" t="str">
        <f>IFERROR(__xludf.DUMMYFUNCTION("""COMPUTED_VALUE"""),"Jornada Completa")</f>
        <v>Jornada Completa</v>
      </c>
      <c r="J497" s="33" t="str">
        <f>IFERROR(__xludf.DUMMYFUNCTION("""COMPUTED_VALUE"""),"A CONTRATA")</f>
        <v>A CONTRATA</v>
      </c>
      <c r="K497" s="33" t="str">
        <f>IFERROR(__xludf.DUMMYFUNCTION("""COMPUTED_VALUE"""),"ADMINISTRATIVO")</f>
        <v>ADMINISTRATIVO</v>
      </c>
      <c r="L497" s="34" t="str">
        <f>IFERROR(__xludf.DUMMYFUNCTION("""COMPUTED_VALUE"""),"INTERNO")</f>
        <v>INTERNO</v>
      </c>
      <c r="M497" s="34">
        <f>IFERROR(__xludf.DUMMYFUNCTION("""COMPUTED_VALUE"""),0.0)</f>
        <v>0</v>
      </c>
      <c r="N497" s="34" t="str">
        <f>IFERROR(__xludf.DUMMYFUNCTION("""COMPUTED_VALUE"""),"EXTERNO")</f>
        <v>EXTERNO</v>
      </c>
      <c r="O497">
        <f>IFERROR(__xludf.DUMMYFUNCTION("""COMPUTED_VALUE"""),10.0)</f>
        <v>10</v>
      </c>
      <c r="P497">
        <f>IFERROR(__xludf.DUMMYFUNCTION("""COMPUTED_VALUE"""),2.0)</f>
        <v>2</v>
      </c>
      <c r="Q497" s="35">
        <f>IFERROR(__xludf.DUMMYFUNCTION("""COMPUTED_VALUE"""),1.0)</f>
        <v>1</v>
      </c>
      <c r="R497" s="36" t="str">
        <f>IFERROR(__xludf.DUMMYFUNCTION("""COMPUTED_VALUE"""),"SELECCIONADA")</f>
        <v>SELECCIONADA</v>
      </c>
      <c r="S497" s="37">
        <f>IFERROR(__xludf.DUMMYFUNCTION("""COMPUTED_VALUE"""),42180.0)</f>
        <v>42180</v>
      </c>
      <c r="T497" s="34"/>
      <c r="U497" t="str">
        <f>IFERROR(__xludf.DUMMYFUNCTION("""COMPUTED_VALUE"""),"PAOLA SIRANDONI POLITIS")</f>
        <v>PAOLA SIRANDONI POLITIS</v>
      </c>
      <c r="V497" t="str">
        <f>IFERROR(__xludf.DUMMYFUNCTION("""COMPUTED_VALUE"""),"08039104-8")</f>
        <v>08039104-8</v>
      </c>
      <c r="W497" t="str">
        <f>IFERROR(__xludf.DUMMYFUNCTION("""COMPUTED_VALUE"""),"NO")</f>
        <v>NO</v>
      </c>
      <c r="AA497" s="38">
        <f>IFERROR(__xludf.DUMMYFUNCTION("""COMPUTED_VALUE"""),42142.0)</f>
        <v>42142</v>
      </c>
      <c r="AB497" s="38">
        <f>IFERROR(__xludf.DUMMYFUNCTION("""COMPUTED_VALUE"""),42149.0)</f>
        <v>42149</v>
      </c>
      <c r="AF497" s="39"/>
      <c r="AG497" s="39"/>
      <c r="AH497" s="34" t="str">
        <f>IFERROR(__xludf.DUMMYFUNCTION("""COMPUTED_VALUE"""),"PROCESO DE SELECCIÓN")</f>
        <v>PROCESO DE SELECCIÓN</v>
      </c>
      <c r="AI497" s="34" t="str">
        <f>IFERROR(__xludf.DUMMYFUNCTION("""COMPUTED_VALUE"""),"ANDREA SEPULVEDA PADILLA")</f>
        <v>ANDREA SEPULVEDA PADILLA</v>
      </c>
      <c r="AJ497" s="34"/>
      <c r="AK497" s="34" t="str">
        <f>IFERROR(__xludf.DUMMYFUNCTION("""COMPUTED_VALUE"""),"C")</f>
        <v>C</v>
      </c>
      <c r="AL497">
        <f>IFERROR(__xludf.DUMMYFUNCTION("""COMPUTED_VALUE"""),24.0)</f>
        <v>24</v>
      </c>
      <c r="AM497">
        <f>IFERROR(__xludf.DUMMYFUNCTION("""COMPUTED_VALUE"""),2015.0)</f>
        <v>2015</v>
      </c>
      <c r="AN497" t="str">
        <f t="shared" si="1"/>
        <v>08039104-8</v>
      </c>
    </row>
    <row r="498">
      <c r="A498" s="33">
        <f>IFERROR(__xludf.DUMMYFUNCTION("""COMPUTED_VALUE"""),1.288913E7)</f>
        <v>12889130</v>
      </c>
      <c r="B498" s="33">
        <f>IFERROR(__xludf.DUMMYFUNCTION("""COMPUTED_VALUE"""),35.0)</f>
        <v>35</v>
      </c>
      <c r="C498" s="33"/>
      <c r="D498" s="34" t="str">
        <f>IFERROR(__xludf.DUMMYFUNCTION("""COMPUTED_VALUE"""),"15")</f>
        <v>15</v>
      </c>
      <c r="E498" s="34" t="str">
        <f>IFERROR(__xludf.DUMMYFUNCTION("""COMPUTED_VALUE"""),"UNIDAD DE BIBLIOTECAS")</f>
        <v>UNIDAD DE BIBLIOTECAS</v>
      </c>
      <c r="F498" s="34" t="str">
        <f>IFERROR(__xludf.DUMMYFUNCTION("""COMPUTED_VALUE"""),"Técnico(a) de Biblioteca")</f>
        <v>Técnico(a) de Biblioteca</v>
      </c>
      <c r="G498" s="33" t="str">
        <f>IFERROR(__xludf.DUMMYFUNCTION("""COMPUTED_VALUE"""),"TECNICO DE BIBLIOTECA")</f>
        <v>TECNICO DE BIBLIOTECA</v>
      </c>
      <c r="H498">
        <f>IFERROR(__xludf.DUMMYFUNCTION("""COMPUTED_VALUE"""),18.0)</f>
        <v>18</v>
      </c>
      <c r="I498" s="34" t="str">
        <f>IFERROR(__xludf.DUMMYFUNCTION("""COMPUTED_VALUE"""),"Jornada Completa")</f>
        <v>Jornada Completa</v>
      </c>
      <c r="J498" s="33" t="str">
        <f>IFERROR(__xludf.DUMMYFUNCTION("""COMPUTED_VALUE"""),"A CONTRATA")</f>
        <v>A CONTRATA</v>
      </c>
      <c r="K498" s="33" t="str">
        <f>IFERROR(__xludf.DUMMYFUNCTION("""COMPUTED_VALUE"""),"TECNICO")</f>
        <v>TECNICO</v>
      </c>
      <c r="L498" s="34" t="str">
        <f>IFERROR(__xludf.DUMMYFUNCTION("""COMPUTED_VALUE"""),"INTERNO")</f>
        <v>INTERNO</v>
      </c>
      <c r="M498" s="34">
        <f>IFERROR(__xludf.DUMMYFUNCTION("""COMPUTED_VALUE"""),0.0)</f>
        <v>0</v>
      </c>
      <c r="N498" s="34" t="str">
        <f>IFERROR(__xludf.DUMMYFUNCTION("""COMPUTED_VALUE"""),"EXTERNO")</f>
        <v>EXTERNO</v>
      </c>
      <c r="O498">
        <f>IFERROR(__xludf.DUMMYFUNCTION("""COMPUTED_VALUE"""),1.0)</f>
        <v>1</v>
      </c>
      <c r="P498">
        <f>IFERROR(__xludf.DUMMYFUNCTION("""COMPUTED_VALUE"""),1.0)</f>
        <v>1</v>
      </c>
      <c r="Q498" s="35">
        <f>IFERROR(__xludf.DUMMYFUNCTION("""COMPUTED_VALUE"""),1.0)</f>
        <v>1</v>
      </c>
      <c r="R498" s="36" t="str">
        <f>IFERROR(__xludf.DUMMYFUNCTION("""COMPUTED_VALUE"""),"SELECCIONADO")</f>
        <v>SELECCIONADO</v>
      </c>
      <c r="S498" s="37">
        <f>IFERROR(__xludf.DUMMYFUNCTION("""COMPUTED_VALUE"""),42186.0)</f>
        <v>42186</v>
      </c>
      <c r="T498" s="34"/>
      <c r="U498" t="str">
        <f>IFERROR(__xludf.DUMMYFUNCTION("""COMPUTED_VALUE"""),"GLORIA MATTA BECERRA")</f>
        <v>GLORIA MATTA BECERRA</v>
      </c>
      <c r="V498" t="str">
        <f>IFERROR(__xludf.DUMMYFUNCTION("""COMPUTED_VALUE"""),"12889130-7")</f>
        <v>12889130-7</v>
      </c>
      <c r="W498" t="str">
        <f>IFERROR(__xludf.DUMMYFUNCTION("""COMPUTED_VALUE"""),"NO")</f>
        <v>NO</v>
      </c>
      <c r="AA498" s="38">
        <f>IFERROR(__xludf.DUMMYFUNCTION("""COMPUTED_VALUE"""),42166.0)</f>
        <v>42166</v>
      </c>
      <c r="AB498" s="38">
        <f>IFERROR(__xludf.DUMMYFUNCTION("""COMPUTED_VALUE"""),42172.0)</f>
        <v>42172</v>
      </c>
      <c r="AF498" s="39"/>
      <c r="AG498" s="39"/>
      <c r="AH498" s="34" t="str">
        <f>IFERROR(__xludf.DUMMYFUNCTION("""COMPUTED_VALUE"""),"PROCESO DE SELECCIÓN")</f>
        <v>PROCESO DE SELECCIÓN</v>
      </c>
      <c r="AI498" s="34" t="str">
        <f>IFERROR(__xludf.DUMMYFUNCTION("""COMPUTED_VALUE"""),"SUSANA BRAVO FUENTES")</f>
        <v>SUSANA BRAVO FUENTES</v>
      </c>
      <c r="AJ498" s="34"/>
      <c r="AK498" s="34" t="str">
        <f>IFERROR(__xludf.DUMMYFUNCTION("""COMPUTED_VALUE"""),"P")</f>
        <v>P</v>
      </c>
      <c r="AL498">
        <f>IFERROR(__xludf.DUMMYFUNCTION("""COMPUTED_VALUE"""),11.0)</f>
        <v>11</v>
      </c>
      <c r="AM498">
        <f>IFERROR(__xludf.DUMMYFUNCTION("""COMPUTED_VALUE"""),2015.0)</f>
        <v>2015</v>
      </c>
      <c r="AN498" t="str">
        <f t="shared" si="1"/>
        <v>12889130-7</v>
      </c>
    </row>
    <row r="499">
      <c r="A499" s="33">
        <f>IFERROR(__xludf.DUMMYFUNCTION("""COMPUTED_VALUE"""),1.6628961E7)</f>
        <v>16628961</v>
      </c>
      <c r="B499" s="33">
        <f>IFERROR(__xludf.DUMMYFUNCTION("""COMPUTED_VALUE"""),36.0)</f>
        <v>36</v>
      </c>
      <c r="C499" s="33"/>
      <c r="D499" s="34" t="str">
        <f>IFERROR(__xludf.DUMMYFUNCTION("""COMPUTED_VALUE"""),"3")</f>
        <v>3</v>
      </c>
      <c r="E499" s="34" t="str">
        <f>IFERROR(__xludf.DUMMYFUNCTION("""COMPUTED_VALUE"""),"UNIDAD DE GESTION DEL CAMPUS")</f>
        <v>UNIDAD DE GESTION DEL CAMPUS</v>
      </c>
      <c r="F499" s="34" t="str">
        <f>IFERROR(__xludf.DUMMYFUNCTION("""COMPUTED_VALUE"""),"Analista de Gestión I")</f>
        <v>Analista de Gestión I</v>
      </c>
      <c r="G499" s="33" t="str">
        <f>IFERROR(__xludf.DUMMYFUNCTION("""COMPUTED_VALUE"""),"ANALISTA I")</f>
        <v>ANALISTA I</v>
      </c>
      <c r="H499">
        <f>IFERROR(__xludf.DUMMYFUNCTION("""COMPUTED_VALUE"""),10.0)</f>
        <v>10</v>
      </c>
      <c r="I499" s="34" t="str">
        <f>IFERROR(__xludf.DUMMYFUNCTION("""COMPUTED_VALUE"""),"Jornada Completa")</f>
        <v>Jornada Completa</v>
      </c>
      <c r="J499" s="33" t="str">
        <f>IFERROR(__xludf.DUMMYFUNCTION("""COMPUTED_VALUE"""),"A CONTRATA")</f>
        <v>A CONTRATA</v>
      </c>
      <c r="K499" s="33" t="str">
        <f>IFERROR(__xludf.DUMMYFUNCTION("""COMPUTED_VALUE"""),"PROFESIONAL")</f>
        <v>PROFESIONAL</v>
      </c>
      <c r="L499" s="34" t="str">
        <f>IFERROR(__xludf.DUMMYFUNCTION("""COMPUTED_VALUE"""),"INTERNO")</f>
        <v>INTERNO</v>
      </c>
      <c r="M499" s="34">
        <f>IFERROR(__xludf.DUMMYFUNCTION("""COMPUTED_VALUE"""),3.0)</f>
        <v>3</v>
      </c>
      <c r="N499" s="34" t="str">
        <f>IFERROR(__xludf.DUMMYFUNCTION("""COMPUTED_VALUE"""),"EXTERNO")</f>
        <v>EXTERNO</v>
      </c>
      <c r="O499">
        <f>IFERROR(__xludf.DUMMYFUNCTION("""COMPUTED_VALUE"""),19.0)</f>
        <v>19</v>
      </c>
      <c r="P499">
        <f>IFERROR(__xludf.DUMMYFUNCTION("""COMPUTED_VALUE"""),4.0)</f>
        <v>4</v>
      </c>
      <c r="Q499" s="35">
        <f>IFERROR(__xludf.DUMMYFUNCTION("""COMPUTED_VALUE"""),2.0)</f>
        <v>2</v>
      </c>
      <c r="R499" s="36" t="str">
        <f>IFERROR(__xludf.DUMMYFUNCTION("""COMPUTED_VALUE"""),"SELECCIONADO")</f>
        <v>SELECCIONADO</v>
      </c>
      <c r="S499" s="37">
        <f>IFERROR(__xludf.DUMMYFUNCTION("""COMPUTED_VALUE"""),42177.0)</f>
        <v>42177</v>
      </c>
      <c r="T499" s="34"/>
      <c r="U499" t="str">
        <f>IFERROR(__xludf.DUMMYFUNCTION("""COMPUTED_VALUE"""),"PEDRO SAAVEDRA SANCHEZ")</f>
        <v>PEDRO SAAVEDRA SANCHEZ</v>
      </c>
      <c r="V499" t="str">
        <f>IFERROR(__xludf.DUMMYFUNCTION("""COMPUTED_VALUE"""),"16628961-0")</f>
        <v>16628961-0</v>
      </c>
      <c r="W499" t="str">
        <f>IFERROR(__xludf.DUMMYFUNCTION("""COMPUTED_VALUE"""),"SI")</f>
        <v>SI</v>
      </c>
      <c r="Y499" t="str">
        <f>IFERROR(__xludf.DUMMYFUNCTION("""COMPUTED_VALUE"""),"TRABAJO EN EQUIPO")</f>
        <v>TRABAJO EN EQUIPO</v>
      </c>
      <c r="AA499" s="38">
        <f>IFERROR(__xludf.DUMMYFUNCTION("""COMPUTED_VALUE"""),42150.0)</f>
        <v>42150</v>
      </c>
      <c r="AB499" s="38">
        <f>IFERROR(__xludf.DUMMYFUNCTION("""COMPUTED_VALUE"""),42152.0)</f>
        <v>42152</v>
      </c>
      <c r="AF499" s="39"/>
      <c r="AG499" s="39"/>
      <c r="AH499" s="34" t="str">
        <f>IFERROR(__xludf.DUMMYFUNCTION("""COMPUTED_VALUE"""),"PROCESO DE SELECCIÓN")</f>
        <v>PROCESO DE SELECCIÓN</v>
      </c>
      <c r="AI499" s="34" t="str">
        <f>IFERROR(__xludf.DUMMYFUNCTION("""COMPUTED_VALUE"""),"-")</f>
        <v>-</v>
      </c>
      <c r="AJ499" s="34"/>
      <c r="AK499" s="34" t="str">
        <f>IFERROR(__xludf.DUMMYFUNCTION("""COMPUTED_VALUE"""),"P")</f>
        <v>P</v>
      </c>
      <c r="AL499">
        <f>IFERROR(__xludf.DUMMYFUNCTION("""COMPUTED_VALUE"""),18.0)</f>
        <v>18</v>
      </c>
      <c r="AM499">
        <f>IFERROR(__xludf.DUMMYFUNCTION("""COMPUTED_VALUE"""),2015.0)</f>
        <v>2015</v>
      </c>
      <c r="AN499" t="str">
        <f t="shared" si="1"/>
        <v>16628961-0</v>
      </c>
    </row>
    <row r="500">
      <c r="A500" s="33">
        <f>IFERROR(__xludf.DUMMYFUNCTION("""COMPUTED_VALUE"""),1.1852318E7)</f>
        <v>11852318</v>
      </c>
      <c r="B500" s="33">
        <f>IFERROR(__xludf.DUMMYFUNCTION("""COMPUTED_VALUE"""),37.0)</f>
        <v>37</v>
      </c>
      <c r="C500" s="33"/>
      <c r="D500" s="34" t="str">
        <f>IFERROR(__xludf.DUMMYFUNCTION("""COMPUTED_VALUE"""),"40")</f>
        <v>40</v>
      </c>
      <c r="E500" s="34" t="str">
        <f>IFERROR(__xludf.DUMMYFUNCTION("""COMPUTED_VALUE"""),"FACULTAD DE INGENIERIA")</f>
        <v>FACULTAD DE INGENIERIA</v>
      </c>
      <c r="F500" s="34" t="str">
        <f>IFERROR(__xludf.DUMMYFUNCTION("""COMPUTED_VALUE"""),"Administrativo(a) de Apoyo")</f>
        <v>Administrativo(a) de Apoyo</v>
      </c>
      <c r="G500" s="33" t="str">
        <f>IFERROR(__xludf.DUMMYFUNCTION("""COMPUTED_VALUE"""),"ADMINISTRATIVO DE APOYO")</f>
        <v>ADMINISTRATIVO DE APOYO</v>
      </c>
      <c r="H500">
        <f>IFERROR(__xludf.DUMMYFUNCTION("""COMPUTED_VALUE"""),20.0)</f>
        <v>20</v>
      </c>
      <c r="I500" s="34" t="str">
        <f>IFERROR(__xludf.DUMMYFUNCTION("""COMPUTED_VALUE"""),"Jornada Completa")</f>
        <v>Jornada Completa</v>
      </c>
      <c r="J500" s="33" t="str">
        <f>IFERROR(__xludf.DUMMYFUNCTION("""COMPUTED_VALUE"""),"A CONTRATA")</f>
        <v>A CONTRATA</v>
      </c>
      <c r="K500" s="33" t="str">
        <f>IFERROR(__xludf.DUMMYFUNCTION("""COMPUTED_VALUE"""),"ADMINISTRATIVO")</f>
        <v>ADMINISTRATIVO</v>
      </c>
      <c r="L500" s="34" t="str">
        <f>IFERROR(__xludf.DUMMYFUNCTION("""COMPUTED_VALUE"""),"INTERNO")</f>
        <v>INTERNO</v>
      </c>
      <c r="M500" s="34">
        <f>IFERROR(__xludf.DUMMYFUNCTION("""COMPUTED_VALUE"""),2.0)</f>
        <v>2</v>
      </c>
      <c r="N500" s="34" t="str">
        <f>IFERROR(__xludf.DUMMYFUNCTION("""COMPUTED_VALUE"""),"EXTERNO")</f>
        <v>EXTERNO</v>
      </c>
      <c r="O500">
        <f>IFERROR(__xludf.DUMMYFUNCTION("""COMPUTED_VALUE"""),13.0)</f>
        <v>13</v>
      </c>
      <c r="P500">
        <f>IFERROR(__xludf.DUMMYFUNCTION("""COMPUTED_VALUE"""),1.0)</f>
        <v>1</v>
      </c>
      <c r="Q500" s="35">
        <f>IFERROR(__xludf.DUMMYFUNCTION("""COMPUTED_VALUE"""),1.0)</f>
        <v>1</v>
      </c>
      <c r="R500" s="36" t="str">
        <f>IFERROR(__xludf.DUMMYFUNCTION("""COMPUTED_VALUE"""),"SELECCIONADA")</f>
        <v>SELECCIONADA</v>
      </c>
      <c r="S500" s="37">
        <f>IFERROR(__xludf.DUMMYFUNCTION("""COMPUTED_VALUE"""),42186.0)</f>
        <v>42186</v>
      </c>
      <c r="T500" s="34"/>
      <c r="U500" t="str">
        <f>IFERROR(__xludf.DUMMYFUNCTION("""COMPUTED_VALUE"""),"ELISA ESPINOZA ABRIGO")</f>
        <v>ELISA ESPINOZA ABRIGO</v>
      </c>
      <c r="V500" t="str">
        <f>IFERROR(__xludf.DUMMYFUNCTION("""COMPUTED_VALUE"""),"11852318-0")</f>
        <v>11852318-0</v>
      </c>
      <c r="W500" t="str">
        <f>IFERROR(__xludf.DUMMYFUNCTION("""COMPUTED_VALUE"""),"SI")</f>
        <v>SI</v>
      </c>
      <c r="X500" t="str">
        <f>IFERROR(__xludf.DUMMYFUNCTION("""COMPUTED_VALUE"""),"COMUNICACION")</f>
        <v>COMUNICACION</v>
      </c>
      <c r="AA500" s="38">
        <f>IFERROR(__xludf.DUMMYFUNCTION("""COMPUTED_VALUE"""),42142.0)</f>
        <v>42142</v>
      </c>
      <c r="AB500" s="38">
        <f>IFERROR(__xludf.DUMMYFUNCTION("""COMPUTED_VALUE"""),42149.0)</f>
        <v>42149</v>
      </c>
      <c r="AF500" s="39"/>
      <c r="AG500" s="39"/>
      <c r="AH500" s="34" t="str">
        <f>IFERROR(__xludf.DUMMYFUNCTION("""COMPUTED_VALUE"""),"PROCESO DE SELECCIÓN")</f>
        <v>PROCESO DE SELECCIÓN</v>
      </c>
      <c r="AI500" s="34" t="str">
        <f>IFERROR(__xludf.DUMMYFUNCTION("""COMPUTED_VALUE"""),"MARIA ANGELICA VALENZUELA GOMEZ")</f>
        <v>MARIA ANGELICA VALENZUELA GOMEZ</v>
      </c>
      <c r="AJ500" s="34"/>
      <c r="AK500" s="34" t="str">
        <f>IFERROR(__xludf.DUMMYFUNCTION("""COMPUTED_VALUE"""),"P")</f>
        <v>P</v>
      </c>
      <c r="AL500">
        <f>IFERROR(__xludf.DUMMYFUNCTION("""COMPUTED_VALUE"""),28.0)</f>
        <v>28</v>
      </c>
      <c r="AM500">
        <f>IFERROR(__xludf.DUMMYFUNCTION("""COMPUTED_VALUE"""),2015.0)</f>
        <v>2015</v>
      </c>
      <c r="AN500" t="str">
        <f t="shared" si="1"/>
        <v>11852318-0</v>
      </c>
    </row>
    <row r="501">
      <c r="A501" s="33">
        <f>IFERROR(__xludf.DUMMYFUNCTION("""COMPUTED_VALUE"""),1.7349924E7)</f>
        <v>17349924</v>
      </c>
      <c r="B501" s="33">
        <f>IFERROR(__xludf.DUMMYFUNCTION("""COMPUTED_VALUE"""),38.0)</f>
        <v>38</v>
      </c>
      <c r="C501" s="33"/>
      <c r="D501" s="34" t="str">
        <f>IFERROR(__xludf.DUMMYFUNCTION("""COMPUTED_VALUE"""),"22")</f>
        <v>22</v>
      </c>
      <c r="E501" s="34" t="str">
        <f>IFERROR(__xludf.DUMMYFUNCTION("""COMPUTED_VALUE"""),"UNIDAD DE ATENCION DE SALUD")</f>
        <v>UNIDAD DE ATENCION DE SALUD</v>
      </c>
      <c r="F501" s="34" t="str">
        <f>IFERROR(__xludf.DUMMYFUNCTION("""COMPUTED_VALUE"""),"Médicos(as) y Dentistas")</f>
        <v>Médicos(as) y Dentistas</v>
      </c>
      <c r="G501" s="33" t="str">
        <f>IFERROR(__xludf.DUMMYFUNCTION("""COMPUTED_VALUE"""),"MEDICO CIRUJANO")</f>
        <v>MEDICO CIRUJANO</v>
      </c>
      <c r="I501" s="34" t="str">
        <f>IFERROR(__xludf.DUMMYFUNCTION("""COMPUTED_VALUE"""),"1/4 Jornada ")</f>
        <v>1/4 Jornada </v>
      </c>
      <c r="J501" s="33" t="str">
        <f>IFERROR(__xludf.DUMMYFUNCTION("""COMPUTED_VALUE"""),"Por 11 hrs. Ley 15.076")</f>
        <v>Por 11 hrs. Ley 15.076</v>
      </c>
      <c r="K501" s="33" t="str">
        <f>IFERROR(__xludf.DUMMYFUNCTION("""COMPUTED_VALUE"""),"PROFESIONAL")</f>
        <v>PROFESIONAL</v>
      </c>
      <c r="L501" s="34" t="str">
        <f>IFERROR(__xludf.DUMMYFUNCTION("""COMPUTED_VALUE"""),"NO")</f>
        <v>NO</v>
      </c>
      <c r="M501" s="34"/>
      <c r="N501" s="34" t="str">
        <f>IFERROR(__xludf.DUMMYFUNCTION("""COMPUTED_VALUE"""),"EXTERNO")</f>
        <v>EXTERNO</v>
      </c>
      <c r="O501">
        <f>IFERROR(__xludf.DUMMYFUNCTION("""COMPUTED_VALUE"""),1.0)</f>
        <v>1</v>
      </c>
      <c r="P501">
        <f>IFERROR(__xludf.DUMMYFUNCTION("""COMPUTED_VALUE"""),1.0)</f>
        <v>1</v>
      </c>
      <c r="Q501" s="35">
        <f>IFERROR(__xludf.DUMMYFUNCTION("""COMPUTED_VALUE"""),2.0)</f>
        <v>2</v>
      </c>
      <c r="R501" s="36" t="str">
        <f>IFERROR(__xludf.DUMMYFUNCTION("""COMPUTED_VALUE"""),"SELECCIONADA")</f>
        <v>SELECCIONADA</v>
      </c>
      <c r="S501" s="37">
        <f>IFERROR(__xludf.DUMMYFUNCTION("""COMPUTED_VALUE"""),42174.0)</f>
        <v>42174</v>
      </c>
      <c r="T501" s="34"/>
      <c r="U501" t="str">
        <f>IFERROR(__xludf.DUMMYFUNCTION("""COMPUTED_VALUE"""),"CATHERINE DIAZ SANHUEZA")</f>
        <v>CATHERINE DIAZ SANHUEZA</v>
      </c>
      <c r="V501" t="str">
        <f>IFERROR(__xludf.DUMMYFUNCTION("""COMPUTED_VALUE"""),"17349924-8")</f>
        <v>17349924-8</v>
      </c>
      <c r="W501" t="str">
        <f>IFERROR(__xludf.DUMMYFUNCTION("""COMPUTED_VALUE"""),"SI")</f>
        <v>SI</v>
      </c>
      <c r="AA501" s="38">
        <f>IFERROR(__xludf.DUMMYFUNCTION("""COMPUTED_VALUE"""),42151.0)</f>
        <v>42151</v>
      </c>
      <c r="AB501" s="38">
        <f>IFERROR(__xludf.DUMMYFUNCTION("""COMPUTED_VALUE"""),42179.0)</f>
        <v>42179</v>
      </c>
      <c r="AF501" s="39"/>
      <c r="AG501" s="39"/>
      <c r="AH501" s="34" t="str">
        <f>IFERROR(__xludf.DUMMYFUNCTION("""COMPUTED_VALUE"""),"PROCESO DE SELECCIÓN")</f>
        <v>PROCESO DE SELECCIÓN</v>
      </c>
      <c r="AI501" s="34" t="str">
        <f>IFERROR(__xludf.DUMMYFUNCTION("""COMPUTED_VALUE"""),"MARIO VALENZUELA OLEA")</f>
        <v>MARIO VALENZUELA OLEA</v>
      </c>
      <c r="AJ501" s="34"/>
      <c r="AK501" s="34" t="str">
        <f>IFERROR(__xludf.DUMMYFUNCTION("""COMPUTED_VALUE"""),"C")</f>
        <v>C</v>
      </c>
      <c r="AL501">
        <f>IFERROR(__xludf.DUMMYFUNCTION("""COMPUTED_VALUE"""),-4.0)</f>
        <v>-4</v>
      </c>
      <c r="AM501">
        <f>IFERROR(__xludf.DUMMYFUNCTION("""COMPUTED_VALUE"""),2015.0)</f>
        <v>2015</v>
      </c>
      <c r="AN501" t="str">
        <f t="shared" si="1"/>
        <v>17349924-8</v>
      </c>
    </row>
    <row r="502">
      <c r="A502" s="33">
        <f>IFERROR(__xludf.DUMMYFUNCTION("""COMPUTED_VALUE"""),1.0071458E7)</f>
        <v>10071458</v>
      </c>
      <c r="B502" s="33">
        <f>IFERROR(__xludf.DUMMYFUNCTION("""COMPUTED_VALUE"""),42.0)</f>
        <v>42</v>
      </c>
      <c r="C502" s="33"/>
      <c r="D502" s="34" t="str">
        <f>IFERROR(__xludf.DUMMYFUNCTION("""COMPUTED_VALUE"""),"3")</f>
        <v>3</v>
      </c>
      <c r="E502" s="34" t="str">
        <f>IFERROR(__xludf.DUMMYFUNCTION("""COMPUTED_VALUE"""),"UNIDAD DE GESTION DEL CAMPUS")</f>
        <v>UNIDAD DE GESTION DEL CAMPUS</v>
      </c>
      <c r="F502" s="34" t="str">
        <f>IFERROR(__xludf.DUMMYFUNCTION("""COMPUTED_VALUE"""),"Operador(a) de Caldera")</f>
        <v>Operador(a) de Caldera</v>
      </c>
      <c r="G502" s="33" t="str">
        <f>IFERROR(__xludf.DUMMYFUNCTION("""COMPUTED_VALUE"""),"OPERADOR DE CALDERA")</f>
        <v>OPERADOR DE CALDERA</v>
      </c>
      <c r="H502">
        <f>IFERROR(__xludf.DUMMYFUNCTION("""COMPUTED_VALUE"""),17.0)</f>
        <v>17</v>
      </c>
      <c r="I502" s="34" t="str">
        <f>IFERROR(__xludf.DUMMYFUNCTION("""COMPUTED_VALUE"""),"Jornada Completa")</f>
        <v>Jornada Completa</v>
      </c>
      <c r="J502" s="33" t="str">
        <f>IFERROR(__xludf.DUMMYFUNCTION("""COMPUTED_VALUE"""),"A CONTRATA")</f>
        <v>A CONTRATA</v>
      </c>
      <c r="K502" s="33" t="str">
        <f>IFERROR(__xludf.DUMMYFUNCTION("""COMPUTED_VALUE"""),"TECNICO")</f>
        <v>TECNICO</v>
      </c>
      <c r="L502" s="34" t="str">
        <f>IFERROR(__xludf.DUMMYFUNCTION("""COMPUTED_VALUE"""),"INTERNO")</f>
        <v>INTERNO</v>
      </c>
      <c r="M502" s="34">
        <f>IFERROR(__xludf.DUMMYFUNCTION("""COMPUTED_VALUE"""),0.0)</f>
        <v>0</v>
      </c>
      <c r="N502" s="34" t="str">
        <f>IFERROR(__xludf.DUMMYFUNCTION("""COMPUTED_VALUE"""),"EXTERNO")</f>
        <v>EXTERNO</v>
      </c>
      <c r="O502">
        <f>IFERROR(__xludf.DUMMYFUNCTION("""COMPUTED_VALUE"""),2.0)</f>
        <v>2</v>
      </c>
      <c r="P502">
        <f>IFERROR(__xludf.DUMMYFUNCTION("""COMPUTED_VALUE"""),1.0)</f>
        <v>1</v>
      </c>
      <c r="Q502" s="35">
        <f>IFERROR(__xludf.DUMMYFUNCTION("""COMPUTED_VALUE"""),2.0)</f>
        <v>2</v>
      </c>
      <c r="R502" s="36" t="str">
        <f>IFERROR(__xludf.DUMMYFUNCTION("""COMPUTED_VALUE"""),"SELECCIONADO")</f>
        <v>SELECCIONADO</v>
      </c>
      <c r="S502" s="37">
        <f>IFERROR(__xludf.DUMMYFUNCTION("""COMPUTED_VALUE"""),42170.0)</f>
        <v>42170</v>
      </c>
      <c r="T502" s="34"/>
      <c r="U502" t="str">
        <f>IFERROR(__xludf.DUMMYFUNCTION("""COMPUTED_VALUE"""),"ERICH RAMIREZ ALMARZA")</f>
        <v>ERICH RAMIREZ ALMARZA</v>
      </c>
      <c r="V502" t="str">
        <f>IFERROR(__xludf.DUMMYFUNCTION("""COMPUTED_VALUE"""),"10071458-2")</f>
        <v>10071458-2</v>
      </c>
      <c r="W502" t="str">
        <f>IFERROR(__xludf.DUMMYFUNCTION("""COMPUTED_VALUE"""),"SI")</f>
        <v>SI</v>
      </c>
      <c r="X502" t="str">
        <f>IFERROR(__xludf.DUMMYFUNCTION("""COMPUTED_VALUE"""),"COMUNICACION")</f>
        <v>COMUNICACION</v>
      </c>
      <c r="AA502" s="38">
        <f>IFERROR(__xludf.DUMMYFUNCTION("""COMPUTED_VALUE"""),42150.0)</f>
        <v>42150</v>
      </c>
      <c r="AB502" s="38">
        <f>IFERROR(__xludf.DUMMYFUNCTION("""COMPUTED_VALUE"""),42153.0)</f>
        <v>42153</v>
      </c>
      <c r="AF502" s="39"/>
      <c r="AG502" s="39"/>
      <c r="AH502" s="34" t="str">
        <f>IFERROR(__xludf.DUMMYFUNCTION("""COMPUTED_VALUE"""),"PROCESO DE SELECCIÓN")</f>
        <v>PROCESO DE SELECCIÓN</v>
      </c>
      <c r="AI502" s="34" t="str">
        <f>IFERROR(__xludf.DUMMYFUNCTION("""COMPUTED_VALUE"""),"-")</f>
        <v>-</v>
      </c>
      <c r="AJ502" s="34"/>
      <c r="AK502" s="34" t="str">
        <f>IFERROR(__xludf.DUMMYFUNCTION("""COMPUTED_VALUE"""),"C")</f>
        <v>C</v>
      </c>
      <c r="AL502">
        <f>IFERROR(__xludf.DUMMYFUNCTION("""COMPUTED_VALUE"""),12.0)</f>
        <v>12</v>
      </c>
      <c r="AM502">
        <f>IFERROR(__xludf.DUMMYFUNCTION("""COMPUTED_VALUE"""),2015.0)</f>
        <v>2015</v>
      </c>
      <c r="AN502" t="str">
        <f t="shared" si="1"/>
        <v>10071458-2</v>
      </c>
    </row>
    <row r="503">
      <c r="A503" s="33">
        <f>IFERROR(__xludf.DUMMYFUNCTION("""COMPUTED_VALUE"""),1.1902612E7)</f>
        <v>11902612</v>
      </c>
      <c r="B503" s="33">
        <f>IFERROR(__xludf.DUMMYFUNCTION("""COMPUTED_VALUE"""),48.0)</f>
        <v>48</v>
      </c>
      <c r="C503" s="33"/>
      <c r="D503" s="34" t="str">
        <f>IFERROR(__xludf.DUMMYFUNCTION("""COMPUTED_VALUE"""),"55")</f>
        <v>55</v>
      </c>
      <c r="E503" s="34" t="str">
        <f>IFERROR(__xludf.DUMMYFUNCTION("""COMPUTED_VALUE"""),"DEPARTAMENTO DE LINGÜÍSTICA Y LITERATURA")</f>
        <v>DEPARTAMENTO DE LINGÜÍSTICA Y LITERATURA</v>
      </c>
      <c r="F503" s="34" t="str">
        <f>IFERROR(__xludf.DUMMYFUNCTION("""COMPUTED_VALUE"""),"Estafeta")</f>
        <v>Estafeta</v>
      </c>
      <c r="G503" s="33" t="str">
        <f>IFERROR(__xludf.DUMMYFUNCTION("""COMPUTED_VALUE"""),"ESTAFETA")</f>
        <v>ESTAFETA</v>
      </c>
      <c r="H503">
        <f>IFERROR(__xludf.DUMMYFUNCTION("""COMPUTED_VALUE"""),23.0)</f>
        <v>23</v>
      </c>
      <c r="I503" s="34" t="str">
        <f>IFERROR(__xludf.DUMMYFUNCTION("""COMPUTED_VALUE"""),"Jornada Completa")</f>
        <v>Jornada Completa</v>
      </c>
      <c r="J503" s="33" t="str">
        <f>IFERROR(__xludf.DUMMYFUNCTION("""COMPUTED_VALUE"""),"A CONTRATA")</f>
        <v>A CONTRATA</v>
      </c>
      <c r="K503" s="33" t="str">
        <f>IFERROR(__xludf.DUMMYFUNCTION("""COMPUTED_VALUE"""),"AUXILIAR")</f>
        <v>AUXILIAR</v>
      </c>
      <c r="L503" s="34" t="str">
        <f>IFERROR(__xludf.DUMMYFUNCTION("""COMPUTED_VALUE"""),"INTERNO")</f>
        <v>INTERNO</v>
      </c>
      <c r="M503" s="34">
        <f>IFERROR(__xludf.DUMMYFUNCTION("""COMPUTED_VALUE"""),0.0)</f>
        <v>0</v>
      </c>
      <c r="N503" s="34" t="str">
        <f>IFERROR(__xludf.DUMMYFUNCTION("""COMPUTED_VALUE"""),"EXTERNO")</f>
        <v>EXTERNO</v>
      </c>
      <c r="O503">
        <f>IFERROR(__xludf.DUMMYFUNCTION("""COMPUTED_VALUE"""),9.0)</f>
        <v>9</v>
      </c>
      <c r="P503">
        <f>IFERROR(__xludf.DUMMYFUNCTION("""COMPUTED_VALUE"""),2.0)</f>
        <v>2</v>
      </c>
      <c r="Q503" s="35">
        <f>IFERROR(__xludf.DUMMYFUNCTION("""COMPUTED_VALUE"""),1.0)</f>
        <v>1</v>
      </c>
      <c r="R503" s="36" t="str">
        <f>IFERROR(__xludf.DUMMYFUNCTION("""COMPUTED_VALUE"""),"SELECCIONADA")</f>
        <v>SELECCIONADA</v>
      </c>
      <c r="S503" s="37">
        <f>IFERROR(__xludf.DUMMYFUNCTION("""COMPUTED_VALUE"""),42156.0)</f>
        <v>42156</v>
      </c>
      <c r="T503" s="34"/>
      <c r="U503" t="str">
        <f>IFERROR(__xludf.DUMMYFUNCTION("""COMPUTED_VALUE"""),"GERALDINE ASTETE IBARRA")</f>
        <v>GERALDINE ASTETE IBARRA</v>
      </c>
      <c r="V503" t="str">
        <f>IFERROR(__xludf.DUMMYFUNCTION("""COMPUTED_VALUE"""),"11902612-1")</f>
        <v>11902612-1</v>
      </c>
      <c r="W503" t="str">
        <f>IFERROR(__xludf.DUMMYFUNCTION("""COMPUTED_VALUE"""),"NO")</f>
        <v>NO</v>
      </c>
      <c r="AA503" s="38">
        <f>IFERROR(__xludf.DUMMYFUNCTION("""COMPUTED_VALUE"""),42142.0)</f>
        <v>42142</v>
      </c>
      <c r="AB503" s="38">
        <f>IFERROR(__xludf.DUMMYFUNCTION("""COMPUTED_VALUE"""),42149.0)</f>
        <v>42149</v>
      </c>
      <c r="AF503" s="39"/>
      <c r="AG503" s="39"/>
      <c r="AH503" s="34" t="str">
        <f>IFERROR(__xludf.DUMMYFUNCTION("""COMPUTED_VALUE"""),"PROCESO DE SELECCIÓN")</f>
        <v>PROCESO DE SELECCIÓN</v>
      </c>
      <c r="AI503" s="34" t="str">
        <f>IFERROR(__xludf.DUMMYFUNCTION("""COMPUTED_VALUE"""),"JOSE ORTEGA PINO")</f>
        <v>JOSE ORTEGA PINO</v>
      </c>
      <c r="AJ503" s="34"/>
      <c r="AK503" s="34" t="str">
        <f>IFERROR(__xludf.DUMMYFUNCTION("""COMPUTED_VALUE"""),"C")</f>
        <v>C</v>
      </c>
      <c r="AL503">
        <f>IFERROR(__xludf.DUMMYFUNCTION("""COMPUTED_VALUE"""),6.0)</f>
        <v>6</v>
      </c>
      <c r="AM503">
        <f>IFERROR(__xludf.DUMMYFUNCTION("""COMPUTED_VALUE"""),2015.0)</f>
        <v>2015</v>
      </c>
      <c r="AN503" t="str">
        <f t="shared" si="1"/>
        <v>11902612-1</v>
      </c>
    </row>
    <row r="504">
      <c r="A504" s="33">
        <f>IFERROR(__xludf.DUMMYFUNCTION("""COMPUTED_VALUE"""),9993392.0)</f>
        <v>9993392</v>
      </c>
      <c r="B504" s="33">
        <f>IFERROR(__xludf.DUMMYFUNCTION("""COMPUTED_VALUE"""),49.0)</f>
        <v>49</v>
      </c>
      <c r="C504" s="33"/>
      <c r="D504" s="34" t="str">
        <f>IFERROR(__xludf.DUMMYFUNCTION("""COMPUTED_VALUE"""),"55")</f>
        <v>55</v>
      </c>
      <c r="E504" s="34" t="str">
        <f>IFERROR(__xludf.DUMMYFUNCTION("""COMPUTED_VALUE"""),"FACULTAD DE HUMANIDADES")</f>
        <v>FACULTAD DE HUMANIDADES</v>
      </c>
      <c r="F504" s="34" t="str">
        <f>IFERROR(__xludf.DUMMYFUNCTION("""COMPUTED_VALUE"""),"Administrativo(a) de Registro Curricular")</f>
        <v>Administrativo(a) de Registro Curricular</v>
      </c>
      <c r="G504" s="33" t="str">
        <f>IFERROR(__xludf.DUMMYFUNCTION("""COMPUTED_VALUE"""),"ADMINISTRATIVO DE REGISTRO CURRICULAR")</f>
        <v>ADMINISTRATIVO DE REGISTRO CURRICULAR</v>
      </c>
      <c r="H504">
        <f>IFERROR(__xludf.DUMMYFUNCTION("""COMPUTED_VALUE"""),17.0)</f>
        <v>17</v>
      </c>
      <c r="I504" s="34" t="str">
        <f>IFERROR(__xludf.DUMMYFUNCTION("""COMPUTED_VALUE"""),"Jornada Completa")</f>
        <v>Jornada Completa</v>
      </c>
      <c r="J504" s="33" t="str">
        <f>IFERROR(__xludf.DUMMYFUNCTION("""COMPUTED_VALUE"""),"A CONTRATA")</f>
        <v>A CONTRATA</v>
      </c>
      <c r="K504" s="33" t="str">
        <f>IFERROR(__xludf.DUMMYFUNCTION("""COMPUTED_VALUE"""),"ADMINISTRATIVO")</f>
        <v>ADMINISTRATIVO</v>
      </c>
      <c r="L504" s="34" t="str">
        <f>IFERROR(__xludf.DUMMYFUNCTION("""COMPUTED_VALUE"""),"INTERNO")</f>
        <v>INTERNO</v>
      </c>
      <c r="M504" s="34">
        <f>IFERROR(__xludf.DUMMYFUNCTION("""COMPUTED_VALUE"""),1.0)</f>
        <v>1</v>
      </c>
      <c r="N504" s="34" t="str">
        <f>IFERROR(__xludf.DUMMYFUNCTION("""COMPUTED_VALUE"""),"EXTERNO")</f>
        <v>EXTERNO</v>
      </c>
      <c r="O504">
        <f>IFERROR(__xludf.DUMMYFUNCTION("""COMPUTED_VALUE"""),6.0)</f>
        <v>6</v>
      </c>
      <c r="P504">
        <f>IFERROR(__xludf.DUMMYFUNCTION("""COMPUTED_VALUE"""),1.0)</f>
        <v>1</v>
      </c>
      <c r="Q504" s="35">
        <f>IFERROR(__xludf.DUMMYFUNCTION("""COMPUTED_VALUE"""),1.0)</f>
        <v>1</v>
      </c>
      <c r="R504" s="36" t="str">
        <f>IFERROR(__xludf.DUMMYFUNCTION("""COMPUTED_VALUE"""),"SELECCIONADA")</f>
        <v>SELECCIONADA</v>
      </c>
      <c r="S504" s="37">
        <f>IFERROR(__xludf.DUMMYFUNCTION("""COMPUTED_VALUE"""),42186.0)</f>
        <v>42186</v>
      </c>
      <c r="T504" s="34"/>
      <c r="U504" t="str">
        <f>IFERROR(__xludf.DUMMYFUNCTION("""COMPUTED_VALUE"""),"MARIANELA MUNOZ CARVAJAL")</f>
        <v>MARIANELA MUNOZ CARVAJAL</v>
      </c>
      <c r="V504" t="str">
        <f>IFERROR(__xludf.DUMMYFUNCTION("""COMPUTED_VALUE"""),"09993392-5")</f>
        <v>09993392-5</v>
      </c>
      <c r="W504" t="str">
        <f>IFERROR(__xludf.DUMMYFUNCTION("""COMPUTED_VALUE"""),"SI")</f>
        <v>SI</v>
      </c>
      <c r="Y504" t="str">
        <f>IFERROR(__xludf.DUMMYFUNCTION("""COMPUTED_VALUE"""),"TRABAJO EN EQUIPO")</f>
        <v>TRABAJO EN EQUIPO</v>
      </c>
      <c r="AA504" s="38">
        <f>IFERROR(__xludf.DUMMYFUNCTION("""COMPUTED_VALUE"""),42090.0)</f>
        <v>42090</v>
      </c>
      <c r="AB504" s="38">
        <f>IFERROR(__xludf.DUMMYFUNCTION("""COMPUTED_VALUE"""),42095.0)</f>
        <v>42095</v>
      </c>
      <c r="AF504" s="39"/>
      <c r="AG504" s="39"/>
      <c r="AH504" s="34" t="str">
        <f>IFERROR(__xludf.DUMMYFUNCTION("""COMPUTED_VALUE"""),"PROCESO DE SELECCIÓN")</f>
        <v>PROCESO DE SELECCIÓN</v>
      </c>
      <c r="AI504" s="34" t="str">
        <f>IFERROR(__xludf.DUMMYFUNCTION("""COMPUTED_VALUE"""),"MARICEL CEA PINO")</f>
        <v>MARICEL CEA PINO</v>
      </c>
      <c r="AJ504" s="34"/>
      <c r="AK504" s="34" t="str">
        <f>IFERROR(__xludf.DUMMYFUNCTION("""COMPUTED_VALUE"""),"C")</f>
        <v>C</v>
      </c>
      <c r="AL504">
        <f>IFERROR(__xludf.DUMMYFUNCTION("""COMPUTED_VALUE"""),66.0)</f>
        <v>66</v>
      </c>
      <c r="AM504">
        <f>IFERROR(__xludf.DUMMYFUNCTION("""COMPUTED_VALUE"""),2015.0)</f>
        <v>2015</v>
      </c>
      <c r="AN504" t="str">
        <f t="shared" si="1"/>
        <v>09993392-5</v>
      </c>
    </row>
    <row r="505">
      <c r="A505" s="33">
        <f>IFERROR(__xludf.DUMMYFUNCTION("""COMPUTED_VALUE"""),1.3042684E7)</f>
        <v>13042684</v>
      </c>
      <c r="B505" s="33">
        <f>IFERROR(__xludf.DUMMYFUNCTION("""COMPUTED_VALUE"""),50.0)</f>
        <v>50</v>
      </c>
      <c r="C505" s="33"/>
      <c r="D505" s="34" t="str">
        <f>IFERROR(__xludf.DUMMYFUNCTION("""COMPUTED_VALUE"""),"15")</f>
        <v>15</v>
      </c>
      <c r="E505" s="34" t="str">
        <f>IFERROR(__xludf.DUMMYFUNCTION("""COMPUTED_VALUE"""),"UNIDAD DE REGISTRO ACADEMICO Y CURRICULAR")</f>
        <v>UNIDAD DE REGISTRO ACADEMICO Y CURRICULAR</v>
      </c>
      <c r="F505" s="34" t="str">
        <f>IFERROR(__xludf.DUMMYFUNCTION("""COMPUTED_VALUE"""),"Administrativo(a) de Proceso")</f>
        <v>Administrativo(a) de Proceso</v>
      </c>
      <c r="G505" s="33" t="str">
        <f>IFERROR(__xludf.DUMMYFUNCTION("""COMPUTED_VALUE"""),"ADMINISTRATIVO DE PROCESOS")</f>
        <v>ADMINISTRATIVO DE PROCESOS</v>
      </c>
      <c r="H505">
        <f>IFERROR(__xludf.DUMMYFUNCTION("""COMPUTED_VALUE"""),17.0)</f>
        <v>17</v>
      </c>
      <c r="I505" s="34" t="str">
        <f>IFERROR(__xludf.DUMMYFUNCTION("""COMPUTED_VALUE"""),"Jornada Completa")</f>
        <v>Jornada Completa</v>
      </c>
      <c r="J505" s="33" t="str">
        <f>IFERROR(__xludf.DUMMYFUNCTION("""COMPUTED_VALUE"""),"A CONTRATA")</f>
        <v>A CONTRATA</v>
      </c>
      <c r="K505" s="33" t="str">
        <f>IFERROR(__xludf.DUMMYFUNCTION("""COMPUTED_VALUE"""),"ADMINISTRATIVO")</f>
        <v>ADMINISTRATIVO</v>
      </c>
      <c r="L505" s="34" t="str">
        <f>IFERROR(__xludf.DUMMYFUNCTION("""COMPUTED_VALUE"""),"INTERNO")</f>
        <v>INTERNO</v>
      </c>
      <c r="M505" s="34">
        <f>IFERROR(__xludf.DUMMYFUNCTION("""COMPUTED_VALUE"""),3.0)</f>
        <v>3</v>
      </c>
      <c r="N505" s="34" t="str">
        <f>IFERROR(__xludf.DUMMYFUNCTION("""COMPUTED_VALUE"""),"NO")</f>
        <v>NO</v>
      </c>
      <c r="O505">
        <f>IFERROR(__xludf.DUMMYFUNCTION("""COMPUTED_VALUE"""),3.0)</f>
        <v>3</v>
      </c>
      <c r="P505">
        <f>IFERROR(__xludf.DUMMYFUNCTION("""COMPUTED_VALUE"""),1.0)</f>
        <v>1</v>
      </c>
      <c r="Q505" s="35">
        <f>IFERROR(__xludf.DUMMYFUNCTION("""COMPUTED_VALUE"""),0.0)</f>
        <v>0</v>
      </c>
      <c r="R505" s="36" t="str">
        <f>IFERROR(__xludf.DUMMYFUNCTION("""COMPUTED_VALUE"""),"SELECCIONADA")</f>
        <v>SELECCIONADA</v>
      </c>
      <c r="S505" s="37">
        <f>IFERROR(__xludf.DUMMYFUNCTION("""COMPUTED_VALUE"""),42206.0)</f>
        <v>42206</v>
      </c>
      <c r="T505" s="34" t="str">
        <f>IFERROR(__xludf.DUMMYFUNCTION("""COMPUTED_VALUE"""),"PAULA LEIVA DURAN")</f>
        <v>PAULA LEIVA DURAN</v>
      </c>
      <c r="V505" t="str">
        <f>IFERROR(__xludf.DUMMYFUNCTION("""COMPUTED_VALUE"""),"13042684-0")</f>
        <v>13042684-0</v>
      </c>
      <c r="W505" t="str">
        <f>IFERROR(__xludf.DUMMYFUNCTION("""COMPUTED_VALUE"""),"SI")</f>
        <v>SI</v>
      </c>
      <c r="X505" t="str">
        <f>IFERROR(__xludf.DUMMYFUNCTION("""COMPUTED_VALUE"""),"TRABAJO EN EQUIPO")</f>
        <v>TRABAJO EN EQUIPO</v>
      </c>
      <c r="AA505" s="38">
        <f>IFERROR(__xludf.DUMMYFUNCTION("""COMPUTED_VALUE"""),42143.0)</f>
        <v>42143</v>
      </c>
      <c r="AB505" s="38">
        <f>IFERROR(__xludf.DUMMYFUNCTION("""COMPUTED_VALUE"""),42149.0)</f>
        <v>42149</v>
      </c>
      <c r="AC505">
        <f>IFERROR(__xludf.DUMMYFUNCTION("""COMPUTED_VALUE"""),17.0)</f>
        <v>17</v>
      </c>
      <c r="AD505" t="str">
        <f>IFERROR(__xludf.DUMMYFUNCTION("""COMPUTED_VALUE"""),"ADMINISTRATIVO")</f>
        <v>ADMINISTRATIVO</v>
      </c>
      <c r="AF505" s="39" t="str">
        <f>IFERROR(__xludf.DUMMYFUNCTION("""COMPUTED_VALUE"""),"DIRECCION DE ADMINISTRACION Y FINANZAS")</f>
        <v>DIRECCION DE ADMINISTRACION Y FINANZAS</v>
      </c>
      <c r="AG505" s="39"/>
      <c r="AH505" s="34" t="str">
        <f>IFERROR(__xludf.DUMMYFUNCTION("""COMPUTED_VALUE"""),"PROCESO DE SELECCIÓN")</f>
        <v>PROCESO DE SELECCIÓN</v>
      </c>
      <c r="AI505" s="34" t="str">
        <f>IFERROR(__xludf.DUMMYFUNCTION("""COMPUTED_VALUE"""),"JOSE HUENUQUEO MALLEO")</f>
        <v>JOSE HUENUQUEO MALLEO</v>
      </c>
      <c r="AJ505" s="34"/>
      <c r="AK505" s="34" t="str">
        <f>IFERROR(__xludf.DUMMYFUNCTION("""COMPUTED_VALUE"""),"C")</f>
        <v>C</v>
      </c>
      <c r="AL505">
        <f>IFERROR(__xludf.DUMMYFUNCTION("""COMPUTED_VALUE"""),42.0)</f>
        <v>42</v>
      </c>
      <c r="AM505">
        <f>IFERROR(__xludf.DUMMYFUNCTION("""COMPUTED_VALUE"""),2015.0)</f>
        <v>2015</v>
      </c>
      <c r="AN505" t="str">
        <f t="shared" si="1"/>
        <v>13042684-0</v>
      </c>
    </row>
    <row r="506">
      <c r="A506" s="33">
        <f>IFERROR(__xludf.DUMMYFUNCTION("""COMPUTED_VALUE"""),1.7767682E7)</f>
        <v>17767682</v>
      </c>
      <c r="B506" s="33">
        <f>IFERROR(__xludf.DUMMYFUNCTION("""COMPUTED_VALUE"""),51.0)</f>
        <v>51</v>
      </c>
      <c r="C506" s="33"/>
      <c r="D506" s="34" t="str">
        <f>IFERROR(__xludf.DUMMYFUNCTION("""COMPUTED_VALUE"""),"40")</f>
        <v>40</v>
      </c>
      <c r="E506" s="34" t="str">
        <f>IFERROR(__xludf.DUMMYFUNCTION("""COMPUTED_VALUE"""),"DEPARTAMENTO DE INGENIERIA ELECTRICA")</f>
        <v>DEPARTAMENTO DE INGENIERIA ELECTRICA</v>
      </c>
      <c r="F506" s="34" t="str">
        <f>IFERROR(__xludf.DUMMYFUNCTION("""COMPUTED_VALUE"""),"Técnico(a) de Soporte Básico en Computación")</f>
        <v>Técnico(a) de Soporte Básico en Computación</v>
      </c>
      <c r="G506" s="33" t="str">
        <f>IFERROR(__xludf.DUMMYFUNCTION("""COMPUTED_VALUE"""),"TECNICO DE SOPORTE BASICO EN COMPUTACION")</f>
        <v>TECNICO DE SOPORTE BASICO EN COMPUTACION</v>
      </c>
      <c r="H506">
        <f>IFERROR(__xludf.DUMMYFUNCTION("""COMPUTED_VALUE"""),17.0)</f>
        <v>17</v>
      </c>
      <c r="I506" s="34" t="str">
        <f>IFERROR(__xludf.DUMMYFUNCTION("""COMPUTED_VALUE"""),"Jornada Completa")</f>
        <v>Jornada Completa</v>
      </c>
      <c r="J506" s="33" t="str">
        <f>IFERROR(__xludf.DUMMYFUNCTION("""COMPUTED_VALUE"""),"A CONTRATA")</f>
        <v>A CONTRATA</v>
      </c>
      <c r="K506" s="33" t="str">
        <f>IFERROR(__xludf.DUMMYFUNCTION("""COMPUTED_VALUE"""),"TECNICO")</f>
        <v>TECNICO</v>
      </c>
      <c r="L506" s="34" t="str">
        <f>IFERROR(__xludf.DUMMYFUNCTION("""COMPUTED_VALUE"""),"INTERNO")</f>
        <v>INTERNO</v>
      </c>
      <c r="M506" s="34">
        <f>IFERROR(__xludf.DUMMYFUNCTION("""COMPUTED_VALUE"""),2.0)</f>
        <v>2</v>
      </c>
      <c r="N506" s="34" t="str">
        <f>IFERROR(__xludf.DUMMYFUNCTION("""COMPUTED_VALUE"""),"EXTERNO")</f>
        <v>EXTERNO</v>
      </c>
      <c r="O506">
        <f>IFERROR(__xludf.DUMMYFUNCTION("""COMPUTED_VALUE"""),10.0)</f>
        <v>10</v>
      </c>
      <c r="P506">
        <f>IFERROR(__xludf.DUMMYFUNCTION("""COMPUTED_VALUE"""),1.0)</f>
        <v>1</v>
      </c>
      <c r="Q506" s="35">
        <f>IFERROR(__xludf.DUMMYFUNCTION("""COMPUTED_VALUE"""),2.0)</f>
        <v>2</v>
      </c>
      <c r="R506" s="36" t="str">
        <f>IFERROR(__xludf.DUMMYFUNCTION("""COMPUTED_VALUE"""),"SELECCIONADO")</f>
        <v>SELECCIONADO</v>
      </c>
      <c r="S506" s="37">
        <f>IFERROR(__xludf.DUMMYFUNCTION("""COMPUTED_VALUE"""),42198.0)</f>
        <v>42198</v>
      </c>
      <c r="T506" s="34"/>
      <c r="U506" t="str">
        <f>IFERROR(__xludf.DUMMYFUNCTION("""COMPUTED_VALUE"""),"JOSE CONTRERAS MUNOZ")</f>
        <v>JOSE CONTRERAS MUNOZ</v>
      </c>
      <c r="V506" t="str">
        <f>IFERROR(__xludf.DUMMYFUNCTION("""COMPUTED_VALUE"""),"17767682-9")</f>
        <v>17767682-9</v>
      </c>
      <c r="W506" t="str">
        <f>IFERROR(__xludf.DUMMYFUNCTION("""COMPUTED_VALUE"""),"NO")</f>
        <v>NO</v>
      </c>
      <c r="AA506" s="38">
        <f>IFERROR(__xludf.DUMMYFUNCTION("""COMPUTED_VALUE"""),42129.0)</f>
        <v>42129</v>
      </c>
      <c r="AB506" s="38">
        <f>IFERROR(__xludf.DUMMYFUNCTION("""COMPUTED_VALUE"""),42136.0)</f>
        <v>42136</v>
      </c>
      <c r="AF506" s="39"/>
      <c r="AG506" s="39"/>
      <c r="AH506" s="34" t="str">
        <f>IFERROR(__xludf.DUMMYFUNCTION("""COMPUTED_VALUE"""),"PROCESO DE SELECCIÓN")</f>
        <v>PROCESO DE SELECCIÓN</v>
      </c>
      <c r="AI506" s="34" t="str">
        <f>IFERROR(__xludf.DUMMYFUNCTION("""COMPUTED_VALUE"""),"-")</f>
        <v>-</v>
      </c>
      <c r="AJ506" s="34"/>
      <c r="AK506" s="34" t="str">
        <f>IFERROR(__xludf.DUMMYFUNCTION("""COMPUTED_VALUE"""),"C")</f>
        <v>C</v>
      </c>
      <c r="AL506">
        <f>IFERROR(__xludf.DUMMYFUNCTION("""COMPUTED_VALUE"""),45.0)</f>
        <v>45</v>
      </c>
      <c r="AM506">
        <f>IFERROR(__xludf.DUMMYFUNCTION("""COMPUTED_VALUE"""),2015.0)</f>
        <v>2015</v>
      </c>
      <c r="AN506" t="str">
        <f t="shared" si="1"/>
        <v>17767682-9</v>
      </c>
    </row>
    <row r="507">
      <c r="A507" s="33">
        <f>IFERROR(__xludf.DUMMYFUNCTION("""COMPUTED_VALUE"""),1.5428031E7)</f>
        <v>15428031</v>
      </c>
      <c r="B507" s="33">
        <f>IFERROR(__xludf.DUMMYFUNCTION("""COMPUTED_VALUE"""),52.0)</f>
        <v>52</v>
      </c>
      <c r="C507" s="33"/>
      <c r="D507" s="34" t="str">
        <f>IFERROR(__xludf.DUMMYFUNCTION("""COMPUTED_VALUE"""),"60")</f>
        <v>60</v>
      </c>
      <c r="E507" s="34" t="str">
        <f>IFERROR(__xludf.DUMMYFUNCTION("""COMPUTED_VALUE"""),"FACULTAD DE ADMINISTRACION Y ECONOMIA")</f>
        <v>FACULTAD DE ADMINISTRACION Y ECONOMIA</v>
      </c>
      <c r="F507" s="34" t="str">
        <f>IFERROR(__xludf.DUMMYFUNCTION("""COMPUTED_VALUE"""),"Analista Informático")</f>
        <v>Analista Informático</v>
      </c>
      <c r="G507" s="33" t="str">
        <f>IFERROR(__xludf.DUMMYFUNCTION("""COMPUTED_VALUE"""),"ANALISTA INFORMATICO")</f>
        <v>ANALISTA INFORMATICO</v>
      </c>
      <c r="H507">
        <f>IFERROR(__xludf.DUMMYFUNCTION("""COMPUTED_VALUE"""),10.0)</f>
        <v>10</v>
      </c>
      <c r="I507" s="34" t="str">
        <f>IFERROR(__xludf.DUMMYFUNCTION("""COMPUTED_VALUE"""),"Jornada Completa")</f>
        <v>Jornada Completa</v>
      </c>
      <c r="J507" s="33" t="str">
        <f>IFERROR(__xludf.DUMMYFUNCTION("""COMPUTED_VALUE"""),"A CONTRATA")</f>
        <v>A CONTRATA</v>
      </c>
      <c r="K507" s="33" t="str">
        <f>IFERROR(__xludf.DUMMYFUNCTION("""COMPUTED_VALUE"""),"PROFESIONAL")</f>
        <v>PROFESIONAL</v>
      </c>
      <c r="L507" s="34" t="str">
        <f>IFERROR(__xludf.DUMMYFUNCTION("""COMPUTED_VALUE"""),"INTERNO")</f>
        <v>INTERNO</v>
      </c>
      <c r="M507" s="34">
        <f>IFERROR(__xludf.DUMMYFUNCTION("""COMPUTED_VALUE"""),0.0)</f>
        <v>0</v>
      </c>
      <c r="N507" s="34" t="str">
        <f>IFERROR(__xludf.DUMMYFUNCTION("""COMPUTED_VALUE"""),"EXTERNO")</f>
        <v>EXTERNO</v>
      </c>
      <c r="O507">
        <f>IFERROR(__xludf.DUMMYFUNCTION("""COMPUTED_VALUE"""),10.0)</f>
        <v>10</v>
      </c>
      <c r="P507">
        <f>IFERROR(__xludf.DUMMYFUNCTION("""COMPUTED_VALUE"""),1.0)</f>
        <v>1</v>
      </c>
      <c r="Q507" s="35">
        <f>IFERROR(__xludf.DUMMYFUNCTION("""COMPUTED_VALUE"""),1.0)</f>
        <v>1</v>
      </c>
      <c r="R507" s="36" t="str">
        <f>IFERROR(__xludf.DUMMYFUNCTION("""COMPUTED_VALUE"""),"SELECCIONADO")</f>
        <v>SELECCIONADO</v>
      </c>
      <c r="S507" s="37">
        <f>IFERROR(__xludf.DUMMYFUNCTION("""COMPUTED_VALUE"""),42200.0)</f>
        <v>42200</v>
      </c>
      <c r="T507" s="34"/>
      <c r="U507" t="str">
        <f>IFERROR(__xludf.DUMMYFUNCTION("""COMPUTED_VALUE"""),"MAURICIO LOPEZ TAPIA")</f>
        <v>MAURICIO LOPEZ TAPIA</v>
      </c>
      <c r="V507" t="str">
        <f>IFERROR(__xludf.DUMMYFUNCTION("""COMPUTED_VALUE"""),"15428031-6")</f>
        <v>15428031-6</v>
      </c>
      <c r="W507" t="str">
        <f>IFERROR(__xludf.DUMMYFUNCTION("""COMPUTED_VALUE"""),"NO")</f>
        <v>NO</v>
      </c>
      <c r="AA507" s="38">
        <f>IFERROR(__xludf.DUMMYFUNCTION("""COMPUTED_VALUE"""),42177.0)</f>
        <v>42177</v>
      </c>
      <c r="AB507" s="38">
        <f>IFERROR(__xludf.DUMMYFUNCTION("""COMPUTED_VALUE"""),42181.0)</f>
        <v>42181</v>
      </c>
      <c r="AF507" s="39"/>
      <c r="AG507" s="39"/>
      <c r="AH507" s="34" t="str">
        <f>IFERROR(__xludf.DUMMYFUNCTION("""COMPUTED_VALUE"""),"PROCESO DE SELECCIÓN")</f>
        <v>PROCESO DE SELECCIÓN</v>
      </c>
      <c r="AI507" s="34" t="str">
        <f>IFERROR(__xludf.DUMMYFUNCTION("""COMPUTED_VALUE"""),"-")</f>
        <v>-</v>
      </c>
      <c r="AJ507" s="34"/>
      <c r="AK507" s="34" t="str">
        <f>IFERROR(__xludf.DUMMYFUNCTION("""COMPUTED_VALUE"""),"P")</f>
        <v>P</v>
      </c>
      <c r="AL507">
        <f>IFERROR(__xludf.DUMMYFUNCTION("""COMPUTED_VALUE"""),14.0)</f>
        <v>14</v>
      </c>
      <c r="AM507">
        <f>IFERROR(__xludf.DUMMYFUNCTION("""COMPUTED_VALUE"""),2015.0)</f>
        <v>2015</v>
      </c>
      <c r="AN507" t="str">
        <f t="shared" si="1"/>
        <v>15428031-6</v>
      </c>
    </row>
    <row r="508">
      <c r="A508" s="33">
        <f>IFERROR(__xludf.DUMMYFUNCTION("""COMPUTED_VALUE"""),9098074.0)</f>
        <v>9098074</v>
      </c>
      <c r="B508" s="33">
        <f>IFERROR(__xludf.DUMMYFUNCTION("""COMPUTED_VALUE"""),53.0)</f>
        <v>53</v>
      </c>
      <c r="C508" s="33"/>
      <c r="D508" s="34" t="str">
        <f>IFERROR(__xludf.DUMMYFUNCTION("""COMPUTED_VALUE"""),"3")</f>
        <v>3</v>
      </c>
      <c r="E508" s="34" t="str">
        <f>IFERROR(__xludf.DUMMYFUNCTION("""COMPUTED_VALUE"""),"UNIDAD DE ADQUISICIONES")</f>
        <v>UNIDAD DE ADQUISICIONES</v>
      </c>
      <c r="F508" s="34" t="str">
        <f>IFERROR(__xludf.DUMMYFUNCTION("""COMPUTED_VALUE"""),"Analista de Gestión II")</f>
        <v>Analista de Gestión II</v>
      </c>
      <c r="G508" s="33" t="str">
        <f>IFERROR(__xludf.DUMMYFUNCTION("""COMPUTED_VALUE"""),"ANALISTA II")</f>
        <v>ANALISTA II</v>
      </c>
      <c r="H508">
        <f>IFERROR(__xludf.DUMMYFUNCTION("""COMPUTED_VALUE"""),13.0)</f>
        <v>13</v>
      </c>
      <c r="I508" s="34" t="str">
        <f>IFERROR(__xludf.DUMMYFUNCTION("""COMPUTED_VALUE"""),"Jornada Completa")</f>
        <v>Jornada Completa</v>
      </c>
      <c r="J508" s="33" t="str">
        <f>IFERROR(__xludf.DUMMYFUNCTION("""COMPUTED_VALUE"""),"A CONTRATA")</f>
        <v>A CONTRATA</v>
      </c>
      <c r="K508" s="33" t="str">
        <f>IFERROR(__xludf.DUMMYFUNCTION("""COMPUTED_VALUE"""),"PROFESIONAL")</f>
        <v>PROFESIONAL</v>
      </c>
      <c r="L508" s="34" t="str">
        <f>IFERROR(__xludf.DUMMYFUNCTION("""COMPUTED_VALUE"""),"INTERNO")</f>
        <v>INTERNO</v>
      </c>
      <c r="M508" s="34">
        <f>IFERROR(__xludf.DUMMYFUNCTION("""COMPUTED_VALUE"""),3.0)</f>
        <v>3</v>
      </c>
      <c r="N508" s="34" t="str">
        <f>IFERROR(__xludf.DUMMYFUNCTION("""COMPUTED_VALUE"""),"NO")</f>
        <v>NO</v>
      </c>
      <c r="P508">
        <f>IFERROR(__xludf.DUMMYFUNCTION("""COMPUTED_VALUE"""),1.0)</f>
        <v>1</v>
      </c>
      <c r="Q508" s="35"/>
      <c r="R508" s="36" t="str">
        <f>IFERROR(__xludf.DUMMYFUNCTION("""COMPUTED_VALUE"""),"SELECCIONADA")</f>
        <v>SELECCIONADA</v>
      </c>
      <c r="S508" s="37">
        <f>IFERROR(__xludf.DUMMYFUNCTION("""COMPUTED_VALUE"""),42191.0)</f>
        <v>42191</v>
      </c>
      <c r="T508" s="34" t="str">
        <f>IFERROR(__xludf.DUMMYFUNCTION("""COMPUTED_VALUE"""),"ELIANA BAEZ SOTO")</f>
        <v>ELIANA BAEZ SOTO</v>
      </c>
      <c r="V508" t="str">
        <f>IFERROR(__xludf.DUMMYFUNCTION("""COMPUTED_VALUE"""),"09098074-2")</f>
        <v>09098074-2</v>
      </c>
      <c r="W508" t="str">
        <f>IFERROR(__xludf.DUMMYFUNCTION("""COMPUTED_VALUE"""),"SI")</f>
        <v>SI</v>
      </c>
      <c r="X508" t="str">
        <f>IFERROR(__xludf.DUMMYFUNCTION("""COMPUTED_VALUE"""),"Capacidad de Planificacion y Organizacion")</f>
        <v>Capacidad de Planificacion y Organizacion</v>
      </c>
      <c r="Y508" t="str">
        <f>IFERROR(__xludf.DUMMYFUNCTION("""COMPUTED_VALUE"""),"PENSAMIENTO ANALITICO")</f>
        <v>PENSAMIENTO ANALITICO</v>
      </c>
      <c r="AA508" s="38">
        <f>IFERROR(__xludf.DUMMYFUNCTION("""COMPUTED_VALUE"""),42128.0)</f>
        <v>42128</v>
      </c>
      <c r="AB508" s="38">
        <f>IFERROR(__xludf.DUMMYFUNCTION("""COMPUTED_VALUE"""),42132.0)</f>
        <v>42132</v>
      </c>
      <c r="AC508">
        <f>IFERROR(__xludf.DUMMYFUNCTION("""COMPUTED_VALUE"""),12.0)</f>
        <v>12</v>
      </c>
      <c r="AD508" t="str">
        <f>IFERROR(__xludf.DUMMYFUNCTION("""COMPUTED_VALUE"""),"ADMINISTRATIVO")</f>
        <v>ADMINISTRATIVO</v>
      </c>
      <c r="AF508" s="39" t="str">
        <f>IFERROR(__xludf.DUMMYFUNCTION("""COMPUTED_VALUE"""),"UNIDAD DE ADQUISICIONES")</f>
        <v>UNIDAD DE ADQUISICIONES</v>
      </c>
      <c r="AG508" s="39"/>
      <c r="AH508" s="34" t="str">
        <f>IFERROR(__xludf.DUMMYFUNCTION("""COMPUTED_VALUE"""),"PROCESO DE SELECCIÓN")</f>
        <v>PROCESO DE SELECCIÓN</v>
      </c>
      <c r="AI508" s="34" t="str">
        <f>IFERROR(__xludf.DUMMYFUNCTION("""COMPUTED_VALUE"""),"MONICA RIVERA")</f>
        <v>MONICA RIVERA</v>
      </c>
      <c r="AJ508" s="34"/>
      <c r="AK508" s="34" t="str">
        <f>IFERROR(__xludf.DUMMYFUNCTION("""COMPUTED_VALUE"""),"P")</f>
        <v>P</v>
      </c>
      <c r="AL508">
        <f>IFERROR(__xludf.DUMMYFUNCTION("""COMPUTED_VALUE"""),42.0)</f>
        <v>42</v>
      </c>
      <c r="AM508">
        <f>IFERROR(__xludf.DUMMYFUNCTION("""COMPUTED_VALUE"""),2015.0)</f>
        <v>2015</v>
      </c>
      <c r="AN508" t="str">
        <f t="shared" si="1"/>
        <v>09098074-2</v>
      </c>
    </row>
    <row r="509">
      <c r="A509" s="33">
        <f>IFERROR(__xludf.DUMMYFUNCTION("""COMPUTED_VALUE"""),1.0526735E7)</f>
        <v>10526735</v>
      </c>
      <c r="B509" s="33">
        <f>IFERROR(__xludf.DUMMYFUNCTION("""COMPUTED_VALUE"""),54.0)</f>
        <v>54</v>
      </c>
      <c r="C509" s="33"/>
      <c r="D509" s="34" t="str">
        <f>IFERROR(__xludf.DUMMYFUNCTION("""COMPUTED_VALUE"""),"22")</f>
        <v>22</v>
      </c>
      <c r="E509" s="34" t="str">
        <f>IFERROR(__xludf.DUMMYFUNCTION("""COMPUTED_VALUE"""),"UNIDAD DE ATENCION DE SALUD")</f>
        <v>UNIDAD DE ATENCION DE SALUD</v>
      </c>
      <c r="F509" s="34" t="str">
        <f>IFERROR(__xludf.DUMMYFUNCTION("""COMPUTED_VALUE"""),"Auxiliar de Servicios")</f>
        <v>Auxiliar de Servicios</v>
      </c>
      <c r="G509" s="33" t="str">
        <f>IFERROR(__xludf.DUMMYFUNCTION("""COMPUTED_VALUE"""),"AUXILIAR DE SERVICIOS")</f>
        <v>AUXILIAR DE SERVICIOS</v>
      </c>
      <c r="H509">
        <f>IFERROR(__xludf.DUMMYFUNCTION("""COMPUTED_VALUE"""),23.0)</f>
        <v>23</v>
      </c>
      <c r="I509" s="34" t="str">
        <f>IFERROR(__xludf.DUMMYFUNCTION("""COMPUTED_VALUE"""),"Jornada Completa")</f>
        <v>Jornada Completa</v>
      </c>
      <c r="J509" s="33" t="str">
        <f>IFERROR(__xludf.DUMMYFUNCTION("""COMPUTED_VALUE"""),"A CONTRATA")</f>
        <v>A CONTRATA</v>
      </c>
      <c r="K509" s="33" t="str">
        <f>IFERROR(__xludf.DUMMYFUNCTION("""COMPUTED_VALUE"""),"AUXILIAR")</f>
        <v>AUXILIAR</v>
      </c>
      <c r="L509" s="34" t="str">
        <f>IFERROR(__xludf.DUMMYFUNCTION("""COMPUTED_VALUE"""),"INTERNO")</f>
        <v>INTERNO</v>
      </c>
      <c r="M509" s="34">
        <f>IFERROR(__xludf.DUMMYFUNCTION("""COMPUTED_VALUE"""),0.0)</f>
        <v>0</v>
      </c>
      <c r="N509" s="34" t="str">
        <f>IFERROR(__xludf.DUMMYFUNCTION("""COMPUTED_VALUE"""),"EXTERNO")</f>
        <v>EXTERNO</v>
      </c>
      <c r="O509">
        <f>IFERROR(__xludf.DUMMYFUNCTION("""COMPUTED_VALUE"""),28.0)</f>
        <v>28</v>
      </c>
      <c r="P509">
        <f>IFERROR(__xludf.DUMMYFUNCTION("""COMPUTED_VALUE"""),3.0)</f>
        <v>3</v>
      </c>
      <c r="Q509" s="35">
        <f>IFERROR(__xludf.DUMMYFUNCTION("""COMPUTED_VALUE"""),6.0)</f>
        <v>6</v>
      </c>
      <c r="R509" s="36" t="str">
        <f>IFERROR(__xludf.DUMMYFUNCTION("""COMPUTED_VALUE"""),"SELECCIONADA")</f>
        <v>SELECCIONADA</v>
      </c>
      <c r="S509" s="37">
        <f>IFERROR(__xludf.DUMMYFUNCTION("""COMPUTED_VALUE"""),42220.0)</f>
        <v>42220</v>
      </c>
      <c r="T509" s="34"/>
      <c r="U509" t="str">
        <f>IFERROR(__xludf.DUMMYFUNCTION("""COMPUTED_VALUE"""),"ALEJANDRA GONZALEZ SARAVIA")</f>
        <v>ALEJANDRA GONZALEZ SARAVIA</v>
      </c>
      <c r="V509" t="str">
        <f>IFERROR(__xludf.DUMMYFUNCTION("""COMPUTED_VALUE"""),"10526735-5")</f>
        <v>10526735-5</v>
      </c>
      <c r="W509" t="str">
        <f>IFERROR(__xludf.DUMMYFUNCTION("""COMPUTED_VALUE"""),"NO")</f>
        <v>NO</v>
      </c>
      <c r="AA509" s="38">
        <f>IFERROR(__xludf.DUMMYFUNCTION("""COMPUTED_VALUE"""),42206.0)</f>
        <v>42206</v>
      </c>
      <c r="AB509" s="38">
        <f>IFERROR(__xludf.DUMMYFUNCTION("""COMPUTED_VALUE"""),42209.0)</f>
        <v>42209</v>
      </c>
      <c r="AF509" s="39"/>
      <c r="AG509" s="39"/>
      <c r="AH509" s="34" t="str">
        <f>IFERROR(__xludf.DUMMYFUNCTION("""COMPUTED_VALUE"""),"PROCESO DE SELECCIÓN")</f>
        <v>PROCESO DE SELECCIÓN</v>
      </c>
      <c r="AI509" s="34" t="str">
        <f>IFERROR(__xludf.DUMMYFUNCTION("""COMPUTED_VALUE"""),"FANNY FARIAS")</f>
        <v>FANNY FARIAS</v>
      </c>
      <c r="AJ509" s="34"/>
      <c r="AK509" s="34" t="str">
        <f>IFERROR(__xludf.DUMMYFUNCTION("""COMPUTED_VALUE"""),"C")</f>
        <v>C</v>
      </c>
      <c r="AL509">
        <f>IFERROR(__xludf.DUMMYFUNCTION("""COMPUTED_VALUE"""),8.0)</f>
        <v>8</v>
      </c>
      <c r="AM509">
        <f>IFERROR(__xludf.DUMMYFUNCTION("""COMPUTED_VALUE"""),2015.0)</f>
        <v>2015</v>
      </c>
      <c r="AN509" t="str">
        <f t="shared" si="1"/>
        <v>10526735-5</v>
      </c>
    </row>
    <row r="510">
      <c r="A510" s="33">
        <f>IFERROR(__xludf.DUMMYFUNCTION("""COMPUTED_VALUE"""),1.3496946E7)</f>
        <v>13496946</v>
      </c>
      <c r="B510" s="33">
        <f>IFERROR(__xludf.DUMMYFUNCTION("""COMPUTED_VALUE"""),55.0)</f>
        <v>55</v>
      </c>
      <c r="C510" s="33"/>
      <c r="D510" s="34" t="str">
        <f>IFERROR(__xludf.DUMMYFUNCTION("""COMPUTED_VALUE"""),"40")</f>
        <v>40</v>
      </c>
      <c r="E510" s="34" t="str">
        <f>IFERROR(__xludf.DUMMYFUNCTION("""COMPUTED_VALUE"""),"DEPARTAMENTO DE INGENIERIA INFORMATICA")</f>
        <v>DEPARTAMENTO DE INGENIERIA INFORMATICA</v>
      </c>
      <c r="F510" s="34" t="str">
        <f>IFERROR(__xludf.DUMMYFUNCTION("""COMPUTED_VALUE"""),"Estafeta")</f>
        <v>Estafeta</v>
      </c>
      <c r="G510" s="33" t="str">
        <f>IFERROR(__xludf.DUMMYFUNCTION("""COMPUTED_VALUE"""),"ESTAFETA")</f>
        <v>ESTAFETA</v>
      </c>
      <c r="H510">
        <f>IFERROR(__xludf.DUMMYFUNCTION("""COMPUTED_VALUE"""),23.0)</f>
        <v>23</v>
      </c>
      <c r="I510" s="34" t="str">
        <f>IFERROR(__xludf.DUMMYFUNCTION("""COMPUTED_VALUE"""),"Jornada Completa")</f>
        <v>Jornada Completa</v>
      </c>
      <c r="J510" s="33" t="str">
        <f>IFERROR(__xludf.DUMMYFUNCTION("""COMPUTED_VALUE"""),"A CONTRATA")</f>
        <v>A CONTRATA</v>
      </c>
      <c r="K510" s="33" t="str">
        <f>IFERROR(__xludf.DUMMYFUNCTION("""COMPUTED_VALUE"""),"AUXILIAR")</f>
        <v>AUXILIAR</v>
      </c>
      <c r="L510" s="34" t="str">
        <f>IFERROR(__xludf.DUMMYFUNCTION("""COMPUTED_VALUE"""),"INTERNO")</f>
        <v>INTERNO</v>
      </c>
      <c r="M510" s="34">
        <f>IFERROR(__xludf.DUMMYFUNCTION("""COMPUTED_VALUE"""),1.0)</f>
        <v>1</v>
      </c>
      <c r="N510" s="34" t="str">
        <f>IFERROR(__xludf.DUMMYFUNCTION("""COMPUTED_VALUE"""),"NO")</f>
        <v>NO</v>
      </c>
      <c r="P510">
        <f>IFERROR(__xludf.DUMMYFUNCTION("""COMPUTED_VALUE"""),1.0)</f>
        <v>1</v>
      </c>
      <c r="Q510" s="35">
        <f>IFERROR(__xludf.DUMMYFUNCTION("""COMPUTED_VALUE"""),0.0)</f>
        <v>0</v>
      </c>
      <c r="R510" s="36" t="str">
        <f>IFERROR(__xludf.DUMMYFUNCTION("""COMPUTED_VALUE"""),"SELECCIONADO")</f>
        <v>SELECCIONADO</v>
      </c>
      <c r="S510" s="37">
        <f>IFERROR(__xludf.DUMMYFUNCTION("""COMPUTED_VALUE"""),42235.0)</f>
        <v>42235</v>
      </c>
      <c r="T510" s="34" t="str">
        <f>IFERROR(__xludf.DUMMYFUNCTION("""COMPUTED_VALUE"""),"ARNALDO PEREZ CONTRERAS")</f>
        <v>ARNALDO PEREZ CONTRERAS</v>
      </c>
      <c r="V510" t="str">
        <f>IFERROR(__xludf.DUMMYFUNCTION("""COMPUTED_VALUE"""),"13496946-6")</f>
        <v>13496946-6</v>
      </c>
      <c r="W510" t="str">
        <f>IFERROR(__xludf.DUMMYFUNCTION("""COMPUTED_VALUE"""),"SI")</f>
        <v>SI</v>
      </c>
      <c r="Y510" t="str">
        <f>IFERROR(__xludf.DUMMYFUNCTION("""COMPUTED_VALUE"""),"Comunicacion")</f>
        <v>Comunicacion</v>
      </c>
      <c r="AA510" s="38">
        <f>IFERROR(__xludf.DUMMYFUNCTION("""COMPUTED_VALUE"""),42220.0)</f>
        <v>42220</v>
      </c>
      <c r="AB510" s="38">
        <f>IFERROR(__xludf.DUMMYFUNCTION("""COMPUTED_VALUE"""),42222.0)</f>
        <v>42222</v>
      </c>
      <c r="AC510">
        <f>IFERROR(__xludf.DUMMYFUNCTION("""COMPUTED_VALUE"""),24.0)</f>
        <v>24</v>
      </c>
      <c r="AD510" t="str">
        <f>IFERROR(__xludf.DUMMYFUNCTION("""COMPUTED_VALUE"""),"AUXILIAR")</f>
        <v>AUXILIAR</v>
      </c>
      <c r="AF510" s="39" t="str">
        <f>IFERROR(__xludf.DUMMYFUNCTION("""COMPUTED_VALUE"""),"DEPARTAMENTO DE INGENIERIA INFORMATICA")</f>
        <v>DEPARTAMENTO DE INGENIERIA INFORMATICA</v>
      </c>
      <c r="AG510" s="39"/>
      <c r="AH510" s="34" t="str">
        <f>IFERROR(__xludf.DUMMYFUNCTION("""COMPUTED_VALUE"""),"PROCESO DE SELECCIÓN")</f>
        <v>PROCESO DE SELECCIÓN</v>
      </c>
      <c r="AI510" s="34" t="str">
        <f>IFERROR(__xludf.DUMMYFUNCTION("""COMPUTED_VALUE"""),"CARLOS BUSTAMANTE HENRIQUEZ")</f>
        <v>CARLOS BUSTAMANTE HENRIQUEZ</v>
      </c>
      <c r="AJ510" s="34"/>
      <c r="AK510" s="34" t="str">
        <f>IFERROR(__xludf.DUMMYFUNCTION("""COMPUTED_VALUE"""),"P")</f>
        <v>P</v>
      </c>
      <c r="AL510">
        <f>IFERROR(__xludf.DUMMYFUNCTION("""COMPUTED_VALUE"""),10.0)</f>
        <v>10</v>
      </c>
      <c r="AM510">
        <f>IFERROR(__xludf.DUMMYFUNCTION("""COMPUTED_VALUE"""),2015.0)</f>
        <v>2015</v>
      </c>
      <c r="AN510" t="str">
        <f t="shared" si="1"/>
        <v>13496946-6</v>
      </c>
    </row>
    <row r="511">
      <c r="A511" s="33">
        <f>IFERROR(__xludf.DUMMYFUNCTION("""COMPUTED_VALUE"""),1.2513939E7)</f>
        <v>12513939</v>
      </c>
      <c r="B511" s="33">
        <f>IFERROR(__xludf.DUMMYFUNCTION("""COMPUTED_VALUE"""),56.0)</f>
        <v>56</v>
      </c>
      <c r="C511" s="33"/>
      <c r="D511" s="34" t="str">
        <f>IFERROR(__xludf.DUMMYFUNCTION("""COMPUTED_VALUE"""),"83")</f>
        <v>83</v>
      </c>
      <c r="E511" s="34" t="str">
        <f>IFERROR(__xludf.DUMMYFUNCTION("""COMPUTED_VALUE"""),"ESCUELA DE ENFERMERIA")</f>
        <v>ESCUELA DE ENFERMERIA</v>
      </c>
      <c r="F511" s="34" t="str">
        <f>IFERROR(__xludf.DUMMYFUNCTION("""COMPUTED_VALUE"""),"Mayordomo(a)")</f>
        <v>Mayordomo(a)</v>
      </c>
      <c r="G511" s="33" t="str">
        <f>IFERROR(__xludf.DUMMYFUNCTION("""COMPUTED_VALUE"""),"MAYORDOMO")</f>
        <v>MAYORDOMO</v>
      </c>
      <c r="H511">
        <f>IFERROR(__xludf.DUMMYFUNCTION("""COMPUTED_VALUE"""),21.0)</f>
        <v>21</v>
      </c>
      <c r="I511" s="34" t="str">
        <f>IFERROR(__xludf.DUMMYFUNCTION("""COMPUTED_VALUE"""),"Jornada Completa")</f>
        <v>Jornada Completa</v>
      </c>
      <c r="J511" s="33" t="str">
        <f>IFERROR(__xludf.DUMMYFUNCTION("""COMPUTED_VALUE"""),"A CONTRATA")</f>
        <v>A CONTRATA</v>
      </c>
      <c r="K511" s="33" t="str">
        <f>IFERROR(__xludf.DUMMYFUNCTION("""COMPUTED_VALUE"""),"AUXILIAR")</f>
        <v>AUXILIAR</v>
      </c>
      <c r="L511" s="34" t="str">
        <f>IFERROR(__xludf.DUMMYFUNCTION("""COMPUTED_VALUE"""),"INTERNO")</f>
        <v>INTERNO</v>
      </c>
      <c r="M511" s="34">
        <f>IFERROR(__xludf.DUMMYFUNCTION("""COMPUTED_VALUE"""),0.0)</f>
        <v>0</v>
      </c>
      <c r="N511" s="34" t="str">
        <f>IFERROR(__xludf.DUMMYFUNCTION("""COMPUTED_VALUE"""),"EXTERNO")</f>
        <v>EXTERNO</v>
      </c>
      <c r="O511">
        <f>IFERROR(__xludf.DUMMYFUNCTION("""COMPUTED_VALUE"""),19.0)</f>
        <v>19</v>
      </c>
      <c r="P511">
        <f>IFERROR(__xludf.DUMMYFUNCTION("""COMPUTED_VALUE"""),1.0)</f>
        <v>1</v>
      </c>
      <c r="Q511" s="35">
        <f>IFERROR(__xludf.DUMMYFUNCTION("""COMPUTED_VALUE"""),2.0)</f>
        <v>2</v>
      </c>
      <c r="R511" s="36" t="str">
        <f>IFERROR(__xludf.DUMMYFUNCTION("""COMPUTED_VALUE"""),"SELECCIONADO")</f>
        <v>SELECCIONADO</v>
      </c>
      <c r="S511" s="37">
        <f>IFERROR(__xludf.DUMMYFUNCTION("""COMPUTED_VALUE"""),42226.0)</f>
        <v>42226</v>
      </c>
      <c r="T511" s="34"/>
      <c r="U511" t="str">
        <f>IFERROR(__xludf.DUMMYFUNCTION("""COMPUTED_VALUE"""),"RODRIGO CAROCA MARTINEZ")</f>
        <v>RODRIGO CAROCA MARTINEZ</v>
      </c>
      <c r="V511" t="str">
        <f>IFERROR(__xludf.DUMMYFUNCTION("""COMPUTED_VALUE"""),"12513939-6")</f>
        <v>12513939-6</v>
      </c>
      <c r="W511" t="str">
        <f>IFERROR(__xludf.DUMMYFUNCTION("""COMPUTED_VALUE"""),"NO")</f>
        <v>NO</v>
      </c>
      <c r="AA511" s="38">
        <f>IFERROR(__xludf.DUMMYFUNCTION("""COMPUTED_VALUE"""),42178.0)</f>
        <v>42178</v>
      </c>
      <c r="AB511" s="38">
        <f>IFERROR(__xludf.DUMMYFUNCTION("""COMPUTED_VALUE"""),42183.0)</f>
        <v>42183</v>
      </c>
      <c r="AF511" s="39"/>
      <c r="AG511" s="39"/>
      <c r="AH511" s="34" t="str">
        <f>IFERROR(__xludf.DUMMYFUNCTION("""COMPUTED_VALUE"""),"PROCESO DE SELECCIÓN")</f>
        <v>PROCESO DE SELECCIÓN</v>
      </c>
      <c r="AI511" s="34" t="str">
        <f>IFERROR(__xludf.DUMMYFUNCTION("""COMPUTED_VALUE"""),"JAIME ARCE LOPEZ")</f>
        <v>JAIME ARCE LOPEZ</v>
      </c>
      <c r="AJ511" s="34"/>
      <c r="AK511" s="34" t="str">
        <f>IFERROR(__xludf.DUMMYFUNCTION("""COMPUTED_VALUE"""),"C")</f>
        <v>C</v>
      </c>
      <c r="AL511">
        <f>IFERROR(__xludf.DUMMYFUNCTION("""COMPUTED_VALUE"""),31.0)</f>
        <v>31</v>
      </c>
      <c r="AM511">
        <f>IFERROR(__xludf.DUMMYFUNCTION("""COMPUTED_VALUE"""),2015.0)</f>
        <v>2015</v>
      </c>
      <c r="AN511" t="str">
        <f t="shared" si="1"/>
        <v>12513939-6</v>
      </c>
    </row>
    <row r="512">
      <c r="A512" s="33">
        <f>IFERROR(__xludf.DUMMYFUNCTION("""COMPUTED_VALUE"""),1.5415292E7)</f>
        <v>15415292</v>
      </c>
      <c r="B512" s="33">
        <f>IFERROR(__xludf.DUMMYFUNCTION("""COMPUTED_VALUE"""),57.0)</f>
        <v>57</v>
      </c>
      <c r="C512" s="33"/>
      <c r="D512" s="34" t="str">
        <f>IFERROR(__xludf.DUMMYFUNCTION("""COMPUTED_VALUE"""),"40")</f>
        <v>40</v>
      </c>
      <c r="E512" s="34" t="str">
        <f>IFERROR(__xludf.DUMMYFUNCTION("""COMPUTED_VALUE"""),"FACULTAD DE INGENIERIA")</f>
        <v>FACULTAD DE INGENIERIA</v>
      </c>
      <c r="F512" s="34" t="str">
        <f>IFERROR(__xludf.DUMMYFUNCTION("""COMPUTED_VALUE"""),"Analista de Gestión I")</f>
        <v>Analista de Gestión I</v>
      </c>
      <c r="G512" s="33" t="str">
        <f>IFERROR(__xludf.DUMMYFUNCTION("""COMPUTED_VALUE"""),"ANALISTA I")</f>
        <v>ANALISTA I</v>
      </c>
      <c r="H512">
        <f>IFERROR(__xludf.DUMMYFUNCTION("""COMPUTED_VALUE"""),10.0)</f>
        <v>10</v>
      </c>
      <c r="I512" s="34" t="str">
        <f>IFERROR(__xludf.DUMMYFUNCTION("""COMPUTED_VALUE"""),"Jornada Completa")</f>
        <v>Jornada Completa</v>
      </c>
      <c r="J512" s="33" t="str">
        <f>IFERROR(__xludf.DUMMYFUNCTION("""COMPUTED_VALUE"""),"A CONTRATA")</f>
        <v>A CONTRATA</v>
      </c>
      <c r="K512" s="33" t="str">
        <f>IFERROR(__xludf.DUMMYFUNCTION("""COMPUTED_VALUE"""),"PROFESIONAL")</f>
        <v>PROFESIONAL</v>
      </c>
      <c r="L512" s="34" t="str">
        <f>IFERROR(__xludf.DUMMYFUNCTION("""COMPUTED_VALUE"""),"INTERNO")</f>
        <v>INTERNO</v>
      </c>
      <c r="M512" s="34">
        <f>IFERROR(__xludf.DUMMYFUNCTION("""COMPUTED_VALUE"""),4.0)</f>
        <v>4</v>
      </c>
      <c r="N512" s="34" t="str">
        <f>IFERROR(__xludf.DUMMYFUNCTION("""COMPUTED_VALUE"""),"NO")</f>
        <v>NO</v>
      </c>
      <c r="P512">
        <f>IFERROR(__xludf.DUMMYFUNCTION("""COMPUTED_VALUE"""),3.0)</f>
        <v>3</v>
      </c>
      <c r="Q512" s="35">
        <f>IFERROR(__xludf.DUMMYFUNCTION("""COMPUTED_VALUE"""),0.0)</f>
        <v>0</v>
      </c>
      <c r="R512" s="36" t="str">
        <f>IFERROR(__xludf.DUMMYFUNCTION("""COMPUTED_VALUE"""),"SELECCIONADA")</f>
        <v>SELECCIONADA</v>
      </c>
      <c r="S512" s="37">
        <f>IFERROR(__xludf.DUMMYFUNCTION("""COMPUTED_VALUE"""),42223.0)</f>
        <v>42223</v>
      </c>
      <c r="T512" s="34" t="str">
        <f>IFERROR(__xludf.DUMMYFUNCTION("""COMPUTED_VALUE"""),"BERNARDA DIAZ DIAZ")</f>
        <v>BERNARDA DIAZ DIAZ</v>
      </c>
      <c r="V512" t="str">
        <f>IFERROR(__xludf.DUMMYFUNCTION("""COMPUTED_VALUE"""),"15415292-K")</f>
        <v>15415292-K</v>
      </c>
      <c r="W512" t="str">
        <f>IFERROR(__xludf.DUMMYFUNCTION("""COMPUTED_VALUE"""),"SI")</f>
        <v>SI</v>
      </c>
      <c r="X512" t="str">
        <f>IFERROR(__xludf.DUMMYFUNCTION("""COMPUTED_VALUE"""),"Capacidad de Planificacion y Organizacion")</f>
        <v>Capacidad de Planificacion y Organizacion</v>
      </c>
      <c r="Y512" t="str">
        <f>IFERROR(__xludf.DUMMYFUNCTION("""COMPUTED_VALUE"""),"TRABAJO EN EQUIPO")</f>
        <v>TRABAJO EN EQUIPO</v>
      </c>
      <c r="Z512" t="str">
        <f>IFERROR(__xludf.DUMMYFUNCTION("""COMPUTED_VALUE"""),"PENSAMIENTO ANALITICO")</f>
        <v>PENSAMIENTO ANALITICO</v>
      </c>
      <c r="AA512" s="38">
        <f>IFERROR(__xludf.DUMMYFUNCTION("""COMPUTED_VALUE"""),42181.0)</f>
        <v>42181</v>
      </c>
      <c r="AB512" s="38">
        <f>IFERROR(__xludf.DUMMYFUNCTION("""COMPUTED_VALUE"""),42187.0)</f>
        <v>42187</v>
      </c>
      <c r="AC512">
        <f>IFERROR(__xludf.DUMMYFUNCTION("""COMPUTED_VALUE"""),17.0)</f>
        <v>17</v>
      </c>
      <c r="AD512" t="str">
        <f>IFERROR(__xludf.DUMMYFUNCTION("""COMPUTED_VALUE"""),"ADMINISTRATIVO")</f>
        <v>ADMINISTRATIVO</v>
      </c>
      <c r="AF512" s="39" t="str">
        <f>IFERROR(__xludf.DUMMYFUNCTION("""COMPUTED_VALUE"""),"FACULTAD DE INGENIERIA")</f>
        <v>FACULTAD DE INGENIERIA</v>
      </c>
      <c r="AG512" s="39"/>
      <c r="AH512" s="34" t="str">
        <f>IFERROR(__xludf.DUMMYFUNCTION("""COMPUTED_VALUE"""),"PROCESO DE SELECCIÓN")</f>
        <v>PROCESO DE SELECCIÓN</v>
      </c>
      <c r="AI512" s="34" t="str">
        <f>IFERROR(__xludf.DUMMYFUNCTION("""COMPUTED_VALUE"""),"-")</f>
        <v>-</v>
      </c>
      <c r="AJ512" s="34"/>
      <c r="AK512" s="34" t="str">
        <f>IFERROR(__xludf.DUMMYFUNCTION("""COMPUTED_VALUE"""),"P")</f>
        <v>P</v>
      </c>
      <c r="AL512">
        <f>IFERROR(__xludf.DUMMYFUNCTION("""COMPUTED_VALUE"""),27.0)</f>
        <v>27</v>
      </c>
      <c r="AM512">
        <f>IFERROR(__xludf.DUMMYFUNCTION("""COMPUTED_VALUE"""),2015.0)</f>
        <v>2015</v>
      </c>
      <c r="AN512" t="str">
        <f t="shared" si="1"/>
        <v>15415292-K</v>
      </c>
    </row>
    <row r="513">
      <c r="A513" s="33">
        <f>IFERROR(__xludf.DUMMYFUNCTION("""COMPUTED_VALUE"""),1.639066E7)</f>
        <v>16390660</v>
      </c>
      <c r="B513" s="33">
        <f>IFERROR(__xludf.DUMMYFUNCTION("""COMPUTED_VALUE"""),58.0)</f>
        <v>58</v>
      </c>
      <c r="C513" s="33"/>
      <c r="D513" s="34" t="str">
        <f>IFERROR(__xludf.DUMMYFUNCTION("""COMPUTED_VALUE"""),"22")</f>
        <v>22</v>
      </c>
      <c r="E513" s="34" t="str">
        <f>IFERROR(__xludf.DUMMYFUNCTION("""COMPUTED_VALUE"""),"DEPARTAMENTO DE GESTION DEL DEPORTE Y CULTURA")</f>
        <v>DEPARTAMENTO DE GESTION DEL DEPORTE Y CULTURA</v>
      </c>
      <c r="F513" s="34" t="str">
        <f>IFERROR(__xludf.DUMMYFUNCTION("""COMPUTED_VALUE"""),"Entrenador(a) Deportivo(a)")</f>
        <v>Entrenador(a) Deportivo(a)</v>
      </c>
      <c r="G513" s="33" t="str">
        <f>IFERROR(__xludf.DUMMYFUNCTION("""COMPUTED_VALUE"""),"PROFESOR ENTRENADOR DEPORTIVO FUTBOL")</f>
        <v>PROFESOR ENTRENADOR DEPORTIVO FUTBOL</v>
      </c>
      <c r="H513">
        <f>IFERROR(__xludf.DUMMYFUNCTION("""COMPUTED_VALUE"""),13.0)</f>
        <v>13</v>
      </c>
      <c r="I513" s="34" t="str">
        <f>IFERROR(__xludf.DUMMYFUNCTION("""COMPUTED_VALUE"""),"1/2 Jornada")</f>
        <v>1/2 Jornada</v>
      </c>
      <c r="J513" s="33" t="str">
        <f>IFERROR(__xludf.DUMMYFUNCTION("""COMPUTED_VALUE"""),"A CONTRATA")</f>
        <v>A CONTRATA</v>
      </c>
      <c r="K513" s="33" t="str">
        <f>IFERROR(__xludf.DUMMYFUNCTION("""COMPUTED_VALUE"""),"PROFESIONAL")</f>
        <v>PROFESIONAL</v>
      </c>
      <c r="L513" s="34" t="str">
        <f>IFERROR(__xludf.DUMMYFUNCTION("""COMPUTED_VALUE"""),"INTERNO")</f>
        <v>INTERNO</v>
      </c>
      <c r="M513" s="34">
        <f>IFERROR(__xludf.DUMMYFUNCTION("""COMPUTED_VALUE"""),1.0)</f>
        <v>1</v>
      </c>
      <c r="N513" s="34" t="str">
        <f>IFERROR(__xludf.DUMMYFUNCTION("""COMPUTED_VALUE"""),"EXTERNO")</f>
        <v>EXTERNO</v>
      </c>
      <c r="O513">
        <f>IFERROR(__xludf.DUMMYFUNCTION("""COMPUTED_VALUE"""),6.0)</f>
        <v>6</v>
      </c>
      <c r="P513">
        <f>IFERROR(__xludf.DUMMYFUNCTION("""COMPUTED_VALUE"""),3.0)</f>
        <v>3</v>
      </c>
      <c r="Q513" s="35">
        <f>IFERROR(__xludf.DUMMYFUNCTION("""COMPUTED_VALUE"""),1.0)</f>
        <v>1</v>
      </c>
      <c r="R513" s="36" t="str">
        <f>IFERROR(__xludf.DUMMYFUNCTION("""COMPUTED_VALUE"""),"SELECCIONADO")</f>
        <v>SELECCIONADO</v>
      </c>
      <c r="S513" s="37">
        <f>IFERROR(__xludf.DUMMYFUNCTION("""COMPUTED_VALUE"""),42248.0)</f>
        <v>42248</v>
      </c>
      <c r="T513" s="34" t="str">
        <f>IFERROR(__xludf.DUMMYFUNCTION("""COMPUTED_VALUE"""),"GIOVANNI NATALI FLANDEZ")</f>
        <v>GIOVANNI NATALI FLANDEZ</v>
      </c>
      <c r="V513" t="str">
        <f>IFERROR(__xludf.DUMMYFUNCTION("""COMPUTED_VALUE"""),"16390660-0")</f>
        <v>16390660-0</v>
      </c>
      <c r="W513" t="str">
        <f>IFERROR(__xludf.DUMMYFUNCTION("""COMPUTED_VALUE"""),"SI")</f>
        <v>SI</v>
      </c>
      <c r="X513" t="str">
        <f>IFERROR(__xludf.DUMMYFUNCTION("""COMPUTED_VALUE"""),"LIDERAZGO")</f>
        <v>LIDERAZGO</v>
      </c>
      <c r="Y513" t="str">
        <f>IFERROR(__xludf.DUMMYFUNCTION("""COMPUTED_VALUE"""),"TRABAJO EN EQUIPO")</f>
        <v>TRABAJO EN EQUIPO</v>
      </c>
      <c r="AA513" s="38">
        <f>IFERROR(__xludf.DUMMYFUNCTION("""COMPUTED_VALUE"""),42208.0)</f>
        <v>42208</v>
      </c>
      <c r="AB513" s="38">
        <f>IFERROR(__xludf.DUMMYFUNCTION("""COMPUTED_VALUE"""),42214.0)</f>
        <v>42214</v>
      </c>
      <c r="AD513" t="str">
        <f>IFERROR(__xludf.DUMMYFUNCTION("""COMPUTED_VALUE"""),"PROFESOR HORA")</f>
        <v>PROFESOR HORA</v>
      </c>
      <c r="AF513" s="39"/>
      <c r="AG513" s="39"/>
      <c r="AH513" s="34" t="str">
        <f>IFERROR(__xludf.DUMMYFUNCTION("""COMPUTED_VALUE"""),"PROCESO DE SELECCIÓN")</f>
        <v>PROCESO DE SELECCIÓN</v>
      </c>
      <c r="AI513" s="34" t="str">
        <f>IFERROR(__xludf.DUMMYFUNCTION("""COMPUTED_VALUE"""),"JORGE ZELADA ALLENDE")</f>
        <v>JORGE ZELADA ALLENDE</v>
      </c>
      <c r="AJ513" s="34"/>
      <c r="AK513" s="34" t="str">
        <f>IFERROR(__xludf.DUMMYFUNCTION("""COMPUTED_VALUE"""),"C")</f>
        <v>C</v>
      </c>
      <c r="AL513">
        <f>IFERROR(__xludf.DUMMYFUNCTION("""COMPUTED_VALUE"""),25.0)</f>
        <v>25</v>
      </c>
      <c r="AM513">
        <f>IFERROR(__xludf.DUMMYFUNCTION("""COMPUTED_VALUE"""),2015.0)</f>
        <v>2015</v>
      </c>
      <c r="AN513" t="str">
        <f t="shared" si="1"/>
        <v>16390660-0</v>
      </c>
    </row>
    <row r="514">
      <c r="A514" s="33">
        <f>IFERROR(__xludf.DUMMYFUNCTION("""COMPUTED_VALUE"""),1.4526364E7)</f>
        <v>14526364</v>
      </c>
      <c r="B514" s="33">
        <f>IFERROR(__xludf.DUMMYFUNCTION("""COMPUTED_VALUE"""),59.0)</f>
        <v>59</v>
      </c>
      <c r="C514" s="33"/>
      <c r="D514" s="34" t="str">
        <f>IFERROR(__xludf.DUMMYFUNCTION("""COMPUTED_VALUE"""),"15")</f>
        <v>15</v>
      </c>
      <c r="E514" s="34" t="str">
        <f>IFERROR(__xludf.DUMMYFUNCTION("""COMPUTED_VALUE"""),"VICERRECTORIA ACADEMICA")</f>
        <v>VICERRECTORIA ACADEMICA</v>
      </c>
      <c r="F514" s="34" t="str">
        <f>IFERROR(__xludf.DUMMYFUNCTION("""COMPUTED_VALUE"""),"Mayordomo(a)")</f>
        <v>Mayordomo(a)</v>
      </c>
      <c r="G514" s="33" t="str">
        <f>IFERROR(__xludf.DUMMYFUNCTION("""COMPUTED_VALUE"""),"MAYORDOMO")</f>
        <v>MAYORDOMO</v>
      </c>
      <c r="H514">
        <f>IFERROR(__xludf.DUMMYFUNCTION("""COMPUTED_VALUE"""),21.0)</f>
        <v>21</v>
      </c>
      <c r="I514" s="34" t="str">
        <f>IFERROR(__xludf.DUMMYFUNCTION("""COMPUTED_VALUE"""),"Jornada Completa")</f>
        <v>Jornada Completa</v>
      </c>
      <c r="J514" s="33" t="str">
        <f>IFERROR(__xludf.DUMMYFUNCTION("""COMPUTED_VALUE"""),"A CONTRATA")</f>
        <v>A CONTRATA</v>
      </c>
      <c r="K514" s="33" t="str">
        <f>IFERROR(__xludf.DUMMYFUNCTION("""COMPUTED_VALUE"""),"AUXILIAR")</f>
        <v>AUXILIAR</v>
      </c>
      <c r="L514" s="34" t="str">
        <f>IFERROR(__xludf.DUMMYFUNCTION("""COMPUTED_VALUE"""),"INTERNO")</f>
        <v>INTERNO</v>
      </c>
      <c r="M514" s="34">
        <f>IFERROR(__xludf.DUMMYFUNCTION("""COMPUTED_VALUE"""),0.0)</f>
        <v>0</v>
      </c>
      <c r="N514" s="34" t="str">
        <f>IFERROR(__xludf.DUMMYFUNCTION("""COMPUTED_VALUE"""),"EXTERNO")</f>
        <v>EXTERNO</v>
      </c>
      <c r="O514">
        <f>IFERROR(__xludf.DUMMYFUNCTION("""COMPUTED_VALUE"""),2.0)</f>
        <v>2</v>
      </c>
      <c r="P514">
        <f>IFERROR(__xludf.DUMMYFUNCTION("""COMPUTED_VALUE"""),2.0)</f>
        <v>2</v>
      </c>
      <c r="Q514" s="35">
        <f>IFERROR(__xludf.DUMMYFUNCTION("""COMPUTED_VALUE"""),1.0)</f>
        <v>1</v>
      </c>
      <c r="R514" s="36" t="str">
        <f>IFERROR(__xludf.DUMMYFUNCTION("""COMPUTED_VALUE"""),"SELECCIONADO")</f>
        <v>SELECCIONADO</v>
      </c>
      <c r="S514" s="37">
        <f>IFERROR(__xludf.DUMMYFUNCTION("""COMPUTED_VALUE"""),42254.0)</f>
        <v>42254</v>
      </c>
      <c r="T514" s="34"/>
      <c r="U514" t="str">
        <f>IFERROR(__xludf.DUMMYFUNCTION("""COMPUTED_VALUE"""),"HUGO MULCHI COSSIO")</f>
        <v>HUGO MULCHI COSSIO</v>
      </c>
      <c r="V514" t="str">
        <f>IFERROR(__xludf.DUMMYFUNCTION("""COMPUTED_VALUE"""),"14526364-6")</f>
        <v>14526364-6</v>
      </c>
      <c r="W514" t="str">
        <f>IFERROR(__xludf.DUMMYFUNCTION("""COMPUTED_VALUE"""),"NO")</f>
        <v>NO</v>
      </c>
      <c r="AA514" s="38">
        <f>IFERROR(__xludf.DUMMYFUNCTION("""COMPUTED_VALUE"""),42235.0)</f>
        <v>42235</v>
      </c>
      <c r="AB514" s="38">
        <f>IFERROR(__xludf.DUMMYFUNCTION("""COMPUTED_VALUE"""),42243.0)</f>
        <v>42243</v>
      </c>
      <c r="AF514" s="39"/>
      <c r="AG514" s="39"/>
      <c r="AH514" s="34" t="str">
        <f>IFERROR(__xludf.DUMMYFUNCTION("""COMPUTED_VALUE"""),"PROCESO DE SELECCIÓN")</f>
        <v>PROCESO DE SELECCIÓN</v>
      </c>
      <c r="AI514" s="34" t="str">
        <f>IFERROR(__xludf.DUMMYFUNCTION("""COMPUTED_VALUE"""),"-")</f>
        <v>-</v>
      </c>
      <c r="AJ514" s="34"/>
      <c r="AK514" s="34" t="str">
        <f>IFERROR(__xludf.DUMMYFUNCTION("""COMPUTED_VALUE"""),"C")</f>
        <v>C</v>
      </c>
      <c r="AL514">
        <f>IFERROR(__xludf.DUMMYFUNCTION("""COMPUTED_VALUE"""),8.0)</f>
        <v>8</v>
      </c>
      <c r="AM514">
        <f>IFERROR(__xludf.DUMMYFUNCTION("""COMPUTED_VALUE"""),2015.0)</f>
        <v>2015</v>
      </c>
      <c r="AN514" t="str">
        <f t="shared" si="1"/>
        <v>14526364-6</v>
      </c>
    </row>
    <row r="515">
      <c r="A515" s="33">
        <f>IFERROR(__xludf.DUMMYFUNCTION("""COMPUTED_VALUE"""),1.0506791E7)</f>
        <v>10506791</v>
      </c>
      <c r="B515" s="33">
        <f>IFERROR(__xludf.DUMMYFUNCTION("""COMPUTED_VALUE"""),60.0)</f>
        <v>60</v>
      </c>
      <c r="C515" s="33"/>
      <c r="D515" s="34" t="str">
        <f>IFERROR(__xludf.DUMMYFUNCTION("""COMPUTED_VALUE"""),"15")</f>
        <v>15</v>
      </c>
      <c r="E515" s="34" t="str">
        <f>IFERROR(__xludf.DUMMYFUNCTION("""COMPUTED_VALUE"""),"VICERRECTORIA ACADEMICA")</f>
        <v>VICERRECTORIA ACADEMICA</v>
      </c>
      <c r="F515" s="34" t="str">
        <f>IFERROR(__xludf.DUMMYFUNCTION("""COMPUTED_VALUE"""),"Mayordomo(a)")</f>
        <v>Mayordomo(a)</v>
      </c>
      <c r="G515" s="33" t="str">
        <f>IFERROR(__xludf.DUMMYFUNCTION("""COMPUTED_VALUE"""),"MAYORDOMO")</f>
        <v>MAYORDOMO</v>
      </c>
      <c r="H515">
        <f>IFERROR(__xludf.DUMMYFUNCTION("""COMPUTED_VALUE"""),21.0)</f>
        <v>21</v>
      </c>
      <c r="I515" s="34" t="str">
        <f>IFERROR(__xludf.DUMMYFUNCTION("""COMPUTED_VALUE"""),"Jornada Completa")</f>
        <v>Jornada Completa</v>
      </c>
      <c r="J515" s="33" t="str">
        <f>IFERROR(__xludf.DUMMYFUNCTION("""COMPUTED_VALUE"""),"A CONTRATA")</f>
        <v>A CONTRATA</v>
      </c>
      <c r="K515" s="33" t="str">
        <f>IFERROR(__xludf.DUMMYFUNCTION("""COMPUTED_VALUE"""),"AUXILIAR")</f>
        <v>AUXILIAR</v>
      </c>
      <c r="L515" s="34" t="str">
        <f>IFERROR(__xludf.DUMMYFUNCTION("""COMPUTED_VALUE"""),"INTERNO")</f>
        <v>INTERNO</v>
      </c>
      <c r="M515" s="34">
        <f>IFERROR(__xludf.DUMMYFUNCTION("""COMPUTED_VALUE"""),0.0)</f>
        <v>0</v>
      </c>
      <c r="N515" s="34" t="str">
        <f>IFERROR(__xludf.DUMMYFUNCTION("""COMPUTED_VALUE"""),"EXTERNO")</f>
        <v>EXTERNO</v>
      </c>
      <c r="O515">
        <f>IFERROR(__xludf.DUMMYFUNCTION("""COMPUTED_VALUE"""),2.0)</f>
        <v>2</v>
      </c>
      <c r="P515">
        <f>IFERROR(__xludf.DUMMYFUNCTION("""COMPUTED_VALUE"""),2.0)</f>
        <v>2</v>
      </c>
      <c r="Q515" s="35">
        <f>IFERROR(__xludf.DUMMYFUNCTION("""COMPUTED_VALUE"""),1.0)</f>
        <v>1</v>
      </c>
      <c r="R515" s="36" t="str">
        <f>IFERROR(__xludf.DUMMYFUNCTION("""COMPUTED_VALUE"""),"SELECCIONADO")</f>
        <v>SELECCIONADO</v>
      </c>
      <c r="S515" s="37">
        <f>IFERROR(__xludf.DUMMYFUNCTION("""COMPUTED_VALUE"""),42254.0)</f>
        <v>42254</v>
      </c>
      <c r="T515" s="34"/>
      <c r="U515" t="str">
        <f>IFERROR(__xludf.DUMMYFUNCTION("""COMPUTED_VALUE"""),"JUAN MORENO HUICHIPANE")</f>
        <v>JUAN MORENO HUICHIPANE</v>
      </c>
      <c r="V515" t="str">
        <f>IFERROR(__xludf.DUMMYFUNCTION("""COMPUTED_VALUE"""),"10506791-7")</f>
        <v>10506791-7</v>
      </c>
      <c r="W515" t="str">
        <f>IFERROR(__xludf.DUMMYFUNCTION("""COMPUTED_VALUE"""),"NO")</f>
        <v>NO</v>
      </c>
      <c r="AA515" s="38">
        <f>IFERROR(__xludf.DUMMYFUNCTION("""COMPUTED_VALUE"""),42235.0)</f>
        <v>42235</v>
      </c>
      <c r="AB515" s="38">
        <f>IFERROR(__xludf.DUMMYFUNCTION("""COMPUTED_VALUE"""),42243.0)</f>
        <v>42243</v>
      </c>
      <c r="AF515" s="39"/>
      <c r="AG515" s="39"/>
      <c r="AH515" s="34" t="str">
        <f>IFERROR(__xludf.DUMMYFUNCTION("""COMPUTED_VALUE"""),"PROCESO DE SELECCIÓN")</f>
        <v>PROCESO DE SELECCIÓN</v>
      </c>
      <c r="AI515" s="34" t="str">
        <f>IFERROR(__xludf.DUMMYFUNCTION("""COMPUTED_VALUE"""),"-")</f>
        <v>-</v>
      </c>
      <c r="AJ515" s="34"/>
      <c r="AK515" s="34" t="str">
        <f>IFERROR(__xludf.DUMMYFUNCTION("""COMPUTED_VALUE"""),"C")</f>
        <v>C</v>
      </c>
      <c r="AL515">
        <f>IFERROR(__xludf.DUMMYFUNCTION("""COMPUTED_VALUE"""),8.0)</f>
        <v>8</v>
      </c>
      <c r="AM515">
        <f>IFERROR(__xludf.DUMMYFUNCTION("""COMPUTED_VALUE"""),2015.0)</f>
        <v>2015</v>
      </c>
      <c r="AN515" t="str">
        <f t="shared" si="1"/>
        <v>10506791-7</v>
      </c>
    </row>
    <row r="516">
      <c r="A516" s="33">
        <f>IFERROR(__xludf.DUMMYFUNCTION("""COMPUTED_VALUE"""),1.431063E7)</f>
        <v>14310630</v>
      </c>
      <c r="B516" s="33">
        <f>IFERROR(__xludf.DUMMYFUNCTION("""COMPUTED_VALUE"""),61.0)</f>
        <v>61</v>
      </c>
      <c r="C516" s="33"/>
      <c r="D516" s="34" t="str">
        <f>IFERROR(__xludf.DUMMYFUNCTION("""COMPUTED_VALUE"""),"3")</f>
        <v>3</v>
      </c>
      <c r="E516" s="34" t="str">
        <f>IFERROR(__xludf.DUMMYFUNCTION("""COMPUTED_VALUE"""),"DEPARTAMENTO DE GESTION Y CONTROL DE CONTRATOS")</f>
        <v>DEPARTAMENTO DE GESTION Y CONTROL DE CONTRATOS</v>
      </c>
      <c r="F516" s="34" t="str">
        <f>IFERROR(__xludf.DUMMYFUNCTION("""COMPUTED_VALUE"""),"Abogado(a) Control de Contratos")</f>
        <v>Abogado(a) Control de Contratos</v>
      </c>
      <c r="G516" s="33" t="str">
        <f>IFERROR(__xludf.DUMMYFUNCTION("""COMPUTED_VALUE"""),"ABOGADO")</f>
        <v>ABOGADO</v>
      </c>
      <c r="H516">
        <f>IFERROR(__xludf.DUMMYFUNCTION("""COMPUTED_VALUE"""),6.0)</f>
        <v>6</v>
      </c>
      <c r="I516" s="34" t="str">
        <f>IFERROR(__xludf.DUMMYFUNCTION("""COMPUTED_VALUE"""),"Jornada Completa")</f>
        <v>Jornada Completa</v>
      </c>
      <c r="J516" s="33" t="str">
        <f>IFERROR(__xludf.DUMMYFUNCTION("""COMPUTED_VALUE"""),"A CONTRATA")</f>
        <v>A CONTRATA</v>
      </c>
      <c r="K516" s="33" t="str">
        <f>IFERROR(__xludf.DUMMYFUNCTION("""COMPUTED_VALUE"""),"PROFESIONAL")</f>
        <v>PROFESIONAL</v>
      </c>
      <c r="L516" s="34" t="str">
        <f>IFERROR(__xludf.DUMMYFUNCTION("""COMPUTED_VALUE"""),"INTERNO")</f>
        <v>INTERNO</v>
      </c>
      <c r="M516" s="34">
        <f>IFERROR(__xludf.DUMMYFUNCTION("""COMPUTED_VALUE"""),1.0)</f>
        <v>1</v>
      </c>
      <c r="N516" s="34" t="str">
        <f>IFERROR(__xludf.DUMMYFUNCTION("""COMPUTED_VALUE"""),"EXTERNO")</f>
        <v>EXTERNO</v>
      </c>
      <c r="O516">
        <f>IFERROR(__xludf.DUMMYFUNCTION("""COMPUTED_VALUE"""),19.0)</f>
        <v>19</v>
      </c>
      <c r="P516">
        <f>IFERROR(__xludf.DUMMYFUNCTION("""COMPUTED_VALUE"""),3.0)</f>
        <v>3</v>
      </c>
      <c r="Q516" s="35">
        <f>IFERROR(__xludf.DUMMYFUNCTION("""COMPUTED_VALUE"""),2.0)</f>
        <v>2</v>
      </c>
      <c r="R516" s="36" t="str">
        <f>IFERROR(__xludf.DUMMYFUNCTION("""COMPUTED_VALUE"""),"SELECCIONADO")</f>
        <v>SELECCIONADO</v>
      </c>
      <c r="S516" s="37">
        <f>IFERROR(__xludf.DUMMYFUNCTION("""COMPUTED_VALUE"""),42219.0)</f>
        <v>42219</v>
      </c>
      <c r="T516" s="34"/>
      <c r="U516" t="str">
        <f>IFERROR(__xludf.DUMMYFUNCTION("""COMPUTED_VALUE"""),"GERMAN LEDEZMA URTUBIA")</f>
        <v>GERMAN LEDEZMA URTUBIA</v>
      </c>
      <c r="V516" t="str">
        <f>IFERROR(__xludf.DUMMYFUNCTION("""COMPUTED_VALUE"""),"14310630-6")</f>
        <v>14310630-6</v>
      </c>
      <c r="W516" t="str">
        <f>IFERROR(__xludf.DUMMYFUNCTION("""COMPUTED_VALUE"""),"NO")</f>
        <v>NO</v>
      </c>
      <c r="AA516" s="38">
        <f>IFERROR(__xludf.DUMMYFUNCTION("""COMPUTED_VALUE"""),42178.0)</f>
        <v>42178</v>
      </c>
      <c r="AB516" s="38">
        <f>IFERROR(__xludf.DUMMYFUNCTION("""COMPUTED_VALUE"""),42185.0)</f>
        <v>42185</v>
      </c>
      <c r="AF516" s="39"/>
      <c r="AG516" s="39"/>
      <c r="AH516" s="34" t="str">
        <f>IFERROR(__xludf.DUMMYFUNCTION("""COMPUTED_VALUE"""),"PROCESO DE SELECCIÓN")</f>
        <v>PROCESO DE SELECCIÓN</v>
      </c>
      <c r="AI516" s="34" t="str">
        <f>IFERROR(__xludf.DUMMYFUNCTION("""COMPUTED_VALUE"""),"-")</f>
        <v>-</v>
      </c>
      <c r="AJ516" s="34"/>
      <c r="AK516" s="34" t="str">
        <f>IFERROR(__xludf.DUMMYFUNCTION("""COMPUTED_VALUE"""),"E")</f>
        <v>E</v>
      </c>
      <c r="AL516">
        <f>IFERROR(__xludf.DUMMYFUNCTION("""COMPUTED_VALUE"""),25.0)</f>
        <v>25</v>
      </c>
      <c r="AM516">
        <f>IFERROR(__xludf.DUMMYFUNCTION("""COMPUTED_VALUE"""),2015.0)</f>
        <v>2015</v>
      </c>
      <c r="AN516" t="str">
        <f t="shared" si="1"/>
        <v>14310630-6</v>
      </c>
    </row>
    <row r="517">
      <c r="A517" s="33">
        <f>IFERROR(__xludf.DUMMYFUNCTION("""COMPUTED_VALUE"""),1.4123013E7)</f>
        <v>14123013</v>
      </c>
      <c r="B517" s="33">
        <f>IFERROR(__xludf.DUMMYFUNCTION("""COMPUTED_VALUE"""),62.0)</f>
        <v>62</v>
      </c>
      <c r="C517" s="33"/>
      <c r="D517" s="34" t="str">
        <f>IFERROR(__xludf.DUMMYFUNCTION("""COMPUTED_VALUE"""),"120")</f>
        <v>120</v>
      </c>
      <c r="E517" s="34" t="str">
        <f>IFERROR(__xludf.DUMMYFUNCTION("""COMPUTED_VALUE"""),"DEPARTAMENTO DE COMUNICACIONES ")</f>
        <v>DEPARTAMENTO DE COMUNICACIONES </v>
      </c>
      <c r="F517" s="34" t="str">
        <f>IFERROR(__xludf.DUMMYFUNCTION("""COMPUTED_VALUE"""),"Periodista")</f>
        <v>Periodista</v>
      </c>
      <c r="G517" s="33" t="str">
        <f>IFERROR(__xludf.DUMMYFUNCTION("""COMPUTED_VALUE"""),"PERIODISTA ")</f>
        <v>PERIODISTA </v>
      </c>
      <c r="H517">
        <f>IFERROR(__xludf.DUMMYFUNCTION("""COMPUTED_VALUE"""),14.0)</f>
        <v>14</v>
      </c>
      <c r="I517" s="34" t="str">
        <f>IFERROR(__xludf.DUMMYFUNCTION("""COMPUTED_VALUE"""),"Jornada Completa")</f>
        <v>Jornada Completa</v>
      </c>
      <c r="J517" s="33" t="str">
        <f>IFERROR(__xludf.DUMMYFUNCTION("""COMPUTED_VALUE"""),"A CONTRATA")</f>
        <v>A CONTRATA</v>
      </c>
      <c r="K517" s="33" t="str">
        <f>IFERROR(__xludf.DUMMYFUNCTION("""COMPUTED_VALUE"""),"PROFESIONAL")</f>
        <v>PROFESIONAL</v>
      </c>
      <c r="L517" s="34" t="str">
        <f>IFERROR(__xludf.DUMMYFUNCTION("""COMPUTED_VALUE"""),"INTERNO")</f>
        <v>INTERNO</v>
      </c>
      <c r="M517" s="34">
        <f>IFERROR(__xludf.DUMMYFUNCTION("""COMPUTED_VALUE"""),0.0)</f>
        <v>0</v>
      </c>
      <c r="N517" s="34" t="str">
        <f>IFERROR(__xludf.DUMMYFUNCTION("""COMPUTED_VALUE"""),"EXTERNO")</f>
        <v>EXTERNO</v>
      </c>
      <c r="O517">
        <f>IFERROR(__xludf.DUMMYFUNCTION("""COMPUTED_VALUE"""),16.0)</f>
        <v>16</v>
      </c>
      <c r="P517">
        <f>IFERROR(__xludf.DUMMYFUNCTION("""COMPUTED_VALUE"""),2.0)</f>
        <v>2</v>
      </c>
      <c r="Q517" s="35">
        <f>IFERROR(__xludf.DUMMYFUNCTION("""COMPUTED_VALUE"""),1.0)</f>
        <v>1</v>
      </c>
      <c r="R517" s="36" t="str">
        <f>IFERROR(__xludf.DUMMYFUNCTION("""COMPUTED_VALUE"""),"SELECCIONADO")</f>
        <v>SELECCIONADO</v>
      </c>
      <c r="S517" s="37">
        <f>IFERROR(__xludf.DUMMYFUNCTION("""COMPUTED_VALUE"""),42222.0)</f>
        <v>42222</v>
      </c>
      <c r="T517" s="34"/>
      <c r="U517" t="str">
        <f>IFERROR(__xludf.DUMMYFUNCTION("""COMPUTED_VALUE"""),"TOMAS PARKER CERDA")</f>
        <v>TOMAS PARKER CERDA</v>
      </c>
      <c r="V517" t="str">
        <f>IFERROR(__xludf.DUMMYFUNCTION("""COMPUTED_VALUE"""),"14123013-1")</f>
        <v>14123013-1</v>
      </c>
      <c r="W517" t="str">
        <f>IFERROR(__xludf.DUMMYFUNCTION("""COMPUTED_VALUE"""),"SI")</f>
        <v>SI</v>
      </c>
      <c r="X517" t="str">
        <f>IFERROR(__xludf.DUMMYFUNCTION("""COMPUTED_VALUE"""),"TRABAJO EN EQUIPO")</f>
        <v>TRABAJO EN EQUIPO</v>
      </c>
      <c r="AA517" s="38">
        <f>IFERROR(__xludf.DUMMYFUNCTION("""COMPUTED_VALUE"""),42178.0)</f>
        <v>42178</v>
      </c>
      <c r="AB517" s="38">
        <f>IFERROR(__xludf.DUMMYFUNCTION("""COMPUTED_VALUE"""),42185.0)</f>
        <v>42185</v>
      </c>
      <c r="AF517" s="39"/>
      <c r="AG517" s="39"/>
      <c r="AH517" s="34" t="str">
        <f>IFERROR(__xludf.DUMMYFUNCTION("""COMPUTED_VALUE"""),"PROCESO DE SELECCIÓN")</f>
        <v>PROCESO DE SELECCIÓN</v>
      </c>
      <c r="AI517" s="34" t="str">
        <f>IFERROR(__xludf.DUMMYFUNCTION("""COMPUTED_VALUE"""),"SANDRA GOMEZ SOTO")</f>
        <v>SANDRA GOMEZ SOTO</v>
      </c>
      <c r="AJ517" s="34"/>
      <c r="AK517" s="34" t="str">
        <f>IFERROR(__xludf.DUMMYFUNCTION("""COMPUTED_VALUE"""),"P")</f>
        <v>P</v>
      </c>
      <c r="AL517">
        <f>IFERROR(__xludf.DUMMYFUNCTION("""COMPUTED_VALUE"""),28.0)</f>
        <v>28</v>
      </c>
      <c r="AM517">
        <f>IFERROR(__xludf.DUMMYFUNCTION("""COMPUTED_VALUE"""),2015.0)</f>
        <v>2015</v>
      </c>
      <c r="AN517" t="str">
        <f t="shared" si="1"/>
        <v>14123013-1</v>
      </c>
    </row>
    <row r="518">
      <c r="A518" s="33">
        <f>IFERROR(__xludf.DUMMYFUNCTION("""COMPUTED_VALUE"""),1.3898274E7)</f>
        <v>13898274</v>
      </c>
      <c r="B518" s="33">
        <f>IFERROR(__xludf.DUMMYFUNCTION("""COMPUTED_VALUE"""),63.0)</f>
        <v>63</v>
      </c>
      <c r="C518" s="33"/>
      <c r="D518" s="34" t="str">
        <f>IFERROR(__xludf.DUMMYFUNCTION("""COMPUTED_VALUE"""),"3")</f>
        <v>3</v>
      </c>
      <c r="E518" s="34" t="str">
        <f>IFERROR(__xludf.DUMMYFUNCTION("""COMPUTED_VALUE"""),"DEPARTAMENTO DE RECURSOS HUMANOS")</f>
        <v>DEPARTAMENTO DE RECURSOS HUMANOS</v>
      </c>
      <c r="F518" s="34" t="str">
        <f>IFERROR(__xludf.DUMMYFUNCTION("""COMPUTED_VALUE"""),"Administrativo(a) de Recursos Humanos")</f>
        <v>Administrativo(a) de Recursos Humanos</v>
      </c>
      <c r="G518" s="33" t="str">
        <f>IFERROR(__xludf.DUMMYFUNCTION("""COMPUTED_VALUE"""),"ADMINISTRATIVO DE RECURSOS HUMANOS")</f>
        <v>ADMINISTRATIVO DE RECURSOS HUMANOS</v>
      </c>
      <c r="H518">
        <f>IFERROR(__xludf.DUMMYFUNCTION("""COMPUTED_VALUE"""),17.0)</f>
        <v>17</v>
      </c>
      <c r="I518" s="34" t="str">
        <f>IFERROR(__xludf.DUMMYFUNCTION("""COMPUTED_VALUE"""),"Jornada Completa")</f>
        <v>Jornada Completa</v>
      </c>
      <c r="J518" s="33" t="str">
        <f>IFERROR(__xludf.DUMMYFUNCTION("""COMPUTED_VALUE"""),"A CONTRATA")</f>
        <v>A CONTRATA</v>
      </c>
      <c r="K518" s="33" t="str">
        <f>IFERROR(__xludf.DUMMYFUNCTION("""COMPUTED_VALUE"""),"ADMINISTRATIVO")</f>
        <v>ADMINISTRATIVO</v>
      </c>
      <c r="L518" s="34" t="str">
        <f>IFERROR(__xludf.DUMMYFUNCTION("""COMPUTED_VALUE"""),"INTERNO")</f>
        <v>INTERNO</v>
      </c>
      <c r="M518" s="34">
        <f>IFERROR(__xludf.DUMMYFUNCTION("""COMPUTED_VALUE"""),2.0)</f>
        <v>2</v>
      </c>
      <c r="N518" s="34" t="str">
        <f>IFERROR(__xludf.DUMMYFUNCTION("""COMPUTED_VALUE"""),"NO")</f>
        <v>NO</v>
      </c>
      <c r="P518">
        <f>IFERROR(__xludf.DUMMYFUNCTION("""COMPUTED_VALUE"""),2.0)</f>
        <v>2</v>
      </c>
      <c r="Q518" s="35">
        <f>IFERROR(__xludf.DUMMYFUNCTION("""COMPUTED_VALUE"""),1.0)</f>
        <v>1</v>
      </c>
      <c r="R518" s="36" t="str">
        <f>IFERROR(__xludf.DUMMYFUNCTION("""COMPUTED_VALUE"""),"SELECCIONADO")</f>
        <v>SELECCIONADO</v>
      </c>
      <c r="S518" s="37">
        <f>IFERROR(__xludf.DUMMYFUNCTION("""COMPUTED_VALUE"""),42226.0)</f>
        <v>42226</v>
      </c>
      <c r="T518" s="34" t="str">
        <f>IFERROR(__xludf.DUMMYFUNCTION("""COMPUTED_VALUE"""),"CARLOS BUSTAMANTE HENRIQUEZ")</f>
        <v>CARLOS BUSTAMANTE HENRIQUEZ</v>
      </c>
      <c r="V518" t="str">
        <f>IFERROR(__xludf.DUMMYFUNCTION("""COMPUTED_VALUE"""),"13898274-2")</f>
        <v>13898274-2</v>
      </c>
      <c r="W518" t="str">
        <f>IFERROR(__xludf.DUMMYFUNCTION("""COMPUTED_VALUE"""),"SI")</f>
        <v>SI</v>
      </c>
      <c r="X518" t="str">
        <f>IFERROR(__xludf.DUMMYFUNCTION("""COMPUTED_VALUE"""),"TRABAJO EN EQUIPO")</f>
        <v>TRABAJO EN EQUIPO</v>
      </c>
      <c r="Y518" t="str">
        <f>IFERROR(__xludf.DUMMYFUNCTION("""COMPUTED_VALUE"""),"Preocupacion por el Orden y la Claridad")</f>
        <v>Preocupacion por el Orden y la Claridad</v>
      </c>
      <c r="Z518" t="str">
        <f>IFERROR(__xludf.DUMMYFUNCTION("""COMPUTED_VALUE"""),"ORIENTACION A LOS RESULTADOS")</f>
        <v>ORIENTACION A LOS RESULTADOS</v>
      </c>
      <c r="AA518" s="38">
        <f>IFERROR(__xludf.DUMMYFUNCTION("""COMPUTED_VALUE"""),42186.0)</f>
        <v>42186</v>
      </c>
      <c r="AB518" s="38">
        <f>IFERROR(__xludf.DUMMYFUNCTION("""COMPUTED_VALUE"""),42188.0)</f>
        <v>42188</v>
      </c>
      <c r="AC518">
        <f>IFERROR(__xludf.DUMMYFUNCTION("""COMPUTED_VALUE"""),24.0)</f>
        <v>24</v>
      </c>
      <c r="AD518" t="str">
        <f>IFERROR(__xludf.DUMMYFUNCTION("""COMPUTED_VALUE"""),"AUXILIAR")</f>
        <v>AUXILIAR</v>
      </c>
      <c r="AE518" t="str">
        <f>IFERROR(__xludf.DUMMYFUNCTION("""COMPUTED_VALUE"""),"ESTAFETA")</f>
        <v>ESTAFETA</v>
      </c>
      <c r="AF518" s="39" t="str">
        <f>IFERROR(__xludf.DUMMYFUNCTION("""COMPUTED_VALUE"""),"DEPARTAMENTO DE INGENIERIA INFORMATICA")</f>
        <v>DEPARTAMENTO DE INGENIERIA INFORMATICA</v>
      </c>
      <c r="AG518" s="39"/>
      <c r="AH518" s="34" t="str">
        <f>IFERROR(__xludf.DUMMYFUNCTION("""COMPUTED_VALUE"""),"PROCESO DE SELECCIÓN")</f>
        <v>PROCESO DE SELECCIÓN</v>
      </c>
      <c r="AI518" s="34" t="str">
        <f>IFERROR(__xludf.DUMMYFUNCTION("""COMPUTED_VALUE"""),"JAIME BASAEZ")</f>
        <v>JAIME BASAEZ</v>
      </c>
      <c r="AJ518" s="34"/>
      <c r="AK518" s="34" t="str">
        <f>IFERROR(__xludf.DUMMYFUNCTION("""COMPUTED_VALUE"""),"P")</f>
        <v>P</v>
      </c>
      <c r="AL518">
        <f>IFERROR(__xludf.DUMMYFUNCTION("""COMPUTED_VALUE"""),27.0)</f>
        <v>27</v>
      </c>
      <c r="AM518">
        <f>IFERROR(__xludf.DUMMYFUNCTION("""COMPUTED_VALUE"""),2015.0)</f>
        <v>2015</v>
      </c>
      <c r="AN518" t="str">
        <f t="shared" si="1"/>
        <v>13898274-2</v>
      </c>
    </row>
    <row r="519">
      <c r="A519" s="33">
        <f>IFERROR(__xludf.DUMMYFUNCTION("""COMPUTED_VALUE"""),1.8767118E7)</f>
        <v>18767118</v>
      </c>
      <c r="B519" s="33">
        <f>IFERROR(__xludf.DUMMYFUNCTION("""COMPUTED_VALUE"""),64.0)</f>
        <v>64</v>
      </c>
      <c r="C519" s="33"/>
      <c r="D519" s="34" t="str">
        <f>IFERROR(__xludf.DUMMYFUNCTION("""COMPUTED_VALUE"""),"120")</f>
        <v>120</v>
      </c>
      <c r="E519" s="34" t="str">
        <f>IFERROR(__xludf.DUMMYFUNCTION("""COMPUTED_VALUE"""),"DEPARTAMENTO DE SELLO EDITORIAL")</f>
        <v>DEPARTAMENTO DE SELLO EDITORIAL</v>
      </c>
      <c r="F519" s="34" t="str">
        <f>IFERROR(__xludf.DUMMYFUNCTION("""COMPUTED_VALUE"""),"Administrativo(a) de Apoyo")</f>
        <v>Administrativo(a) de Apoyo</v>
      </c>
      <c r="G519" s="33" t="str">
        <f>IFERROR(__xludf.DUMMYFUNCTION("""COMPUTED_VALUE"""),"ADMINISTRATIVO DE APOYO")</f>
        <v>ADMINISTRATIVO DE APOYO</v>
      </c>
      <c r="H519">
        <f>IFERROR(__xludf.DUMMYFUNCTION("""COMPUTED_VALUE"""),21.0)</f>
        <v>21</v>
      </c>
      <c r="I519" s="34" t="str">
        <f>IFERROR(__xludf.DUMMYFUNCTION("""COMPUTED_VALUE"""),"Jornada Completa")</f>
        <v>Jornada Completa</v>
      </c>
      <c r="J519" s="33" t="str">
        <f>IFERROR(__xludf.DUMMYFUNCTION("""COMPUTED_VALUE"""),"A CONTRATA")</f>
        <v>A CONTRATA</v>
      </c>
      <c r="K519" s="33" t="str">
        <f>IFERROR(__xludf.DUMMYFUNCTION("""COMPUTED_VALUE"""),"ADMINISTRATIVO")</f>
        <v>ADMINISTRATIVO</v>
      </c>
      <c r="L519" s="34" t="str">
        <f>IFERROR(__xludf.DUMMYFUNCTION("""COMPUTED_VALUE"""),"INTERNO")</f>
        <v>INTERNO</v>
      </c>
      <c r="M519" s="34">
        <f>IFERROR(__xludf.DUMMYFUNCTION("""COMPUTED_VALUE"""),24.0)</f>
        <v>24</v>
      </c>
      <c r="N519" s="34" t="str">
        <f>IFERROR(__xludf.DUMMYFUNCTION("""COMPUTED_VALUE"""),"EXTERNO")</f>
        <v>EXTERNO</v>
      </c>
      <c r="O519">
        <f>IFERROR(__xludf.DUMMYFUNCTION("""COMPUTED_VALUE"""),24.0)</f>
        <v>24</v>
      </c>
      <c r="P519">
        <f>IFERROR(__xludf.DUMMYFUNCTION("""COMPUTED_VALUE"""),1.0)</f>
        <v>1</v>
      </c>
      <c r="Q519" s="35">
        <f>IFERROR(__xludf.DUMMYFUNCTION("""COMPUTED_VALUE"""),3.0)</f>
        <v>3</v>
      </c>
      <c r="R519" s="36" t="str">
        <f>IFERROR(__xludf.DUMMYFUNCTION("""COMPUTED_VALUE"""),"SELECCIONADO")</f>
        <v>SELECCIONADO</v>
      </c>
      <c r="S519" s="37">
        <f>IFERROR(__xludf.DUMMYFUNCTION("""COMPUTED_VALUE"""),42268.0)</f>
        <v>42268</v>
      </c>
      <c r="T519" s="34"/>
      <c r="U519" t="str">
        <f>IFERROR(__xludf.DUMMYFUNCTION("""COMPUTED_VALUE"""),"ARIEL ALMONACID MOLINA")</f>
        <v>ARIEL ALMONACID MOLINA</v>
      </c>
      <c r="V519" t="str">
        <f>IFERROR(__xludf.DUMMYFUNCTION("""COMPUTED_VALUE"""),"18767118-3")</f>
        <v>18767118-3</v>
      </c>
      <c r="W519" t="str">
        <f>IFERROR(__xludf.DUMMYFUNCTION("""COMPUTED_VALUE"""),"NO")</f>
        <v>NO</v>
      </c>
      <c r="AA519" s="38">
        <f>IFERROR(__xludf.DUMMYFUNCTION("""COMPUTED_VALUE"""),42226.0)</f>
        <v>42226</v>
      </c>
      <c r="AB519" s="38">
        <f>IFERROR(__xludf.DUMMYFUNCTION("""COMPUTED_VALUE"""),42233.0)</f>
        <v>42233</v>
      </c>
      <c r="AF519" s="39"/>
      <c r="AG519" s="39"/>
      <c r="AH519" s="34" t="str">
        <f>IFERROR(__xludf.DUMMYFUNCTION("""COMPUTED_VALUE"""),"PROCESO DE SELECCIÓN")</f>
        <v>PROCESO DE SELECCIÓN</v>
      </c>
      <c r="AI519" s="34" t="str">
        <f>IFERROR(__xludf.DUMMYFUNCTION("""COMPUTED_VALUE"""),"JOSE ARROYO MANCILLA")</f>
        <v>JOSE ARROYO MANCILLA</v>
      </c>
      <c r="AJ519" s="34"/>
      <c r="AK519" s="34" t="str">
        <f>IFERROR(__xludf.DUMMYFUNCTION("""COMPUTED_VALUE"""),"E")</f>
        <v>E</v>
      </c>
      <c r="AL519">
        <f>IFERROR(__xludf.DUMMYFUNCTION("""COMPUTED_VALUE"""),26.0)</f>
        <v>26</v>
      </c>
      <c r="AM519">
        <f>IFERROR(__xludf.DUMMYFUNCTION("""COMPUTED_VALUE"""),2015.0)</f>
        <v>2015</v>
      </c>
      <c r="AN519" t="str">
        <f t="shared" si="1"/>
        <v>18767118-3</v>
      </c>
    </row>
    <row r="520">
      <c r="A520" s="33">
        <f>IFERROR(__xludf.DUMMYFUNCTION("""COMPUTED_VALUE"""),1.3665776E7)</f>
        <v>13665776</v>
      </c>
      <c r="B520" s="33">
        <f>IFERROR(__xludf.DUMMYFUNCTION("""COMPUTED_VALUE"""),65.0)</f>
        <v>65</v>
      </c>
      <c r="C520" s="33"/>
      <c r="D520" s="34" t="str">
        <f>IFERROR(__xludf.DUMMYFUNCTION("""COMPUTED_VALUE"""),"40")</f>
        <v>40</v>
      </c>
      <c r="E520" s="34" t="str">
        <f>IFERROR(__xludf.DUMMYFUNCTION("""COMPUTED_VALUE"""),"DEPARTAMENTO DE INGENIERIA GEOGRAFICA")</f>
        <v>DEPARTAMENTO DE INGENIERIA GEOGRAFICA</v>
      </c>
      <c r="F520" s="34" t="str">
        <f>IFERROR(__xludf.DUMMYFUNCTION("""COMPUTED_VALUE"""),"Técnico(a) de Soporte Básico en Computación")</f>
        <v>Técnico(a) de Soporte Básico en Computación</v>
      </c>
      <c r="G520" s="33" t="str">
        <f>IFERROR(__xludf.DUMMYFUNCTION("""COMPUTED_VALUE"""),"TÉCNICO DE SOPORTE BÁSICO EN COMPUTACIÓN")</f>
        <v>TÉCNICO DE SOPORTE BÁSICO EN COMPUTACIÓN</v>
      </c>
      <c r="H520">
        <f>IFERROR(__xludf.DUMMYFUNCTION("""COMPUTED_VALUE"""),17.0)</f>
        <v>17</v>
      </c>
      <c r="I520" s="34" t="str">
        <f>IFERROR(__xludf.DUMMYFUNCTION("""COMPUTED_VALUE"""),"Jornada Completa")</f>
        <v>Jornada Completa</v>
      </c>
      <c r="J520" s="33" t="str">
        <f>IFERROR(__xludf.DUMMYFUNCTION("""COMPUTED_VALUE"""),"A CONTRATA")</f>
        <v>A CONTRATA</v>
      </c>
      <c r="K520" s="33" t="str">
        <f>IFERROR(__xludf.DUMMYFUNCTION("""COMPUTED_VALUE"""),"TECNICO")</f>
        <v>TECNICO</v>
      </c>
      <c r="L520" s="34" t="str">
        <f>IFERROR(__xludf.DUMMYFUNCTION("""COMPUTED_VALUE"""),"INTERNO")</f>
        <v>INTERNO</v>
      </c>
      <c r="M520" s="34">
        <f>IFERROR(__xludf.DUMMYFUNCTION("""COMPUTED_VALUE"""),2.0)</f>
        <v>2</v>
      </c>
      <c r="N520" s="34" t="str">
        <f>IFERROR(__xludf.DUMMYFUNCTION("""COMPUTED_VALUE"""),"NO")</f>
        <v>NO</v>
      </c>
      <c r="P520">
        <f>IFERROR(__xludf.DUMMYFUNCTION("""COMPUTED_VALUE"""),1.0)</f>
        <v>1</v>
      </c>
      <c r="Q520" s="35">
        <f>IFERROR(__xludf.DUMMYFUNCTION("""COMPUTED_VALUE"""),0.0)</f>
        <v>0</v>
      </c>
      <c r="R520" s="36" t="str">
        <f>IFERROR(__xludf.DUMMYFUNCTION("""COMPUTED_VALUE"""),"SELECCIONADO")</f>
        <v>SELECCIONADO</v>
      </c>
      <c r="S520" s="37">
        <f>IFERROR(__xludf.DUMMYFUNCTION("""COMPUTED_VALUE"""),42278.0)</f>
        <v>42278</v>
      </c>
      <c r="T520" s="34" t="str">
        <f>IFERROR(__xludf.DUMMYFUNCTION("""COMPUTED_VALUE"""),"CRISTIAN ROJAS CABALLERO")</f>
        <v>CRISTIAN ROJAS CABALLERO</v>
      </c>
      <c r="V520" t="str">
        <f>IFERROR(__xludf.DUMMYFUNCTION("""COMPUTED_VALUE"""),"13665776-3")</f>
        <v>13665776-3</v>
      </c>
      <c r="W520" t="str">
        <f>IFERROR(__xludf.DUMMYFUNCTION("""COMPUTED_VALUE"""),"SI")</f>
        <v>SI</v>
      </c>
      <c r="Z520" t="str">
        <f>IFERROR(__xludf.DUMMYFUNCTION("""COMPUTED_VALUE"""),"ORIENTACION A LOS RESULTADOS")</f>
        <v>ORIENTACION A LOS RESULTADOS</v>
      </c>
      <c r="AA520" s="38">
        <f>IFERROR(__xludf.DUMMYFUNCTION("""COMPUTED_VALUE"""),42241.0)</f>
        <v>42241</v>
      </c>
      <c r="AB520" s="38">
        <f>IFERROR(__xludf.DUMMYFUNCTION("""COMPUTED_VALUE"""),42243.0)</f>
        <v>42243</v>
      </c>
      <c r="AC520">
        <f>IFERROR(__xludf.DUMMYFUNCTION("""COMPUTED_VALUE"""),20.0)</f>
        <v>20</v>
      </c>
      <c r="AD520" t="str">
        <f>IFERROR(__xludf.DUMMYFUNCTION("""COMPUTED_VALUE"""),"AUXILIAR")</f>
        <v>AUXILIAR</v>
      </c>
      <c r="AE520" t="str">
        <f>IFERROR(__xludf.DUMMYFUNCTION("""COMPUTED_VALUE"""),"AUXILIAR DE SERVICIOS")</f>
        <v>AUXILIAR DE SERVICIOS</v>
      </c>
      <c r="AF520" s="39" t="str">
        <f>IFERROR(__xludf.DUMMYFUNCTION("""COMPUTED_VALUE"""),"DEPARTAMENTO DE INGENIERIA GEOGRAFICA")</f>
        <v>DEPARTAMENTO DE INGENIERIA GEOGRAFICA</v>
      </c>
      <c r="AG520" s="39"/>
      <c r="AH520" s="34" t="str">
        <f>IFERROR(__xludf.DUMMYFUNCTION("""COMPUTED_VALUE"""),"PROCESO DE SELECCIÓN")</f>
        <v>PROCESO DE SELECCIÓN</v>
      </c>
      <c r="AI520" s="34" t="str">
        <f>IFERROR(__xludf.DUMMYFUNCTION("""COMPUTED_VALUE"""),"CLAUDIO YOTSUMOTO")</f>
        <v>CLAUDIO YOTSUMOTO</v>
      </c>
      <c r="AJ520" s="34"/>
      <c r="AK520" s="34" t="str">
        <f>IFERROR(__xludf.DUMMYFUNCTION("""COMPUTED_VALUE"""),"P")</f>
        <v>P</v>
      </c>
      <c r="AL520">
        <f>IFERROR(__xludf.DUMMYFUNCTION("""COMPUTED_VALUE"""),26.0)</f>
        <v>26</v>
      </c>
      <c r="AM520">
        <f>IFERROR(__xludf.DUMMYFUNCTION("""COMPUTED_VALUE"""),2015.0)</f>
        <v>2015</v>
      </c>
      <c r="AN520" t="str">
        <f t="shared" si="1"/>
        <v>13665776-3</v>
      </c>
    </row>
    <row r="521">
      <c r="A521" s="33">
        <f>IFERROR(__xludf.DUMMYFUNCTION("""COMPUTED_VALUE"""),1.6749757E7)</f>
        <v>16749757</v>
      </c>
      <c r="B521" s="33">
        <f>IFERROR(__xludf.DUMMYFUNCTION("""COMPUTED_VALUE"""),66.0)</f>
        <v>66</v>
      </c>
      <c r="C521" s="33"/>
      <c r="D521" s="34" t="str">
        <f>IFERROR(__xludf.DUMMYFUNCTION("""COMPUTED_VALUE"""),"40")</f>
        <v>40</v>
      </c>
      <c r="E521" s="34" t="str">
        <f>IFERROR(__xludf.DUMMYFUNCTION("""COMPUTED_VALUE"""),"FACULTAD DE INGENIERIA")</f>
        <v>FACULTAD DE INGENIERIA</v>
      </c>
      <c r="F521" s="34" t="str">
        <f>IFERROR(__xludf.DUMMYFUNCTION("""COMPUTED_VALUE"""),"Analista de Proyectos I")</f>
        <v>Analista de Proyectos I</v>
      </c>
      <c r="G521" s="33" t="str">
        <f>IFERROR(__xludf.DUMMYFUNCTION("""COMPUTED_VALUE"""),"ANALISTA DE PROYECTOS")</f>
        <v>ANALISTA DE PROYECTOS</v>
      </c>
      <c r="H521">
        <f>IFERROR(__xludf.DUMMYFUNCTION("""COMPUTED_VALUE"""),10.0)</f>
        <v>10</v>
      </c>
      <c r="I521" s="34" t="str">
        <f>IFERROR(__xludf.DUMMYFUNCTION("""COMPUTED_VALUE"""),"1/2 Jornada")</f>
        <v>1/2 Jornada</v>
      </c>
      <c r="J521" s="33" t="str">
        <f>IFERROR(__xludf.DUMMYFUNCTION("""COMPUTED_VALUE"""),"A CONTRATA")</f>
        <v>A CONTRATA</v>
      </c>
      <c r="K521" s="33" t="str">
        <f>IFERROR(__xludf.DUMMYFUNCTION("""COMPUTED_VALUE"""),"PROFESIONAL")</f>
        <v>PROFESIONAL</v>
      </c>
      <c r="L521" s="34" t="str">
        <f>IFERROR(__xludf.DUMMYFUNCTION("""COMPUTED_VALUE"""),"INTERNO")</f>
        <v>INTERNO</v>
      </c>
      <c r="M521" s="34">
        <f>IFERROR(__xludf.DUMMYFUNCTION("""COMPUTED_VALUE"""),2.0)</f>
        <v>2</v>
      </c>
      <c r="N521" s="34" t="str">
        <f>IFERROR(__xludf.DUMMYFUNCTION("""COMPUTED_VALUE"""),"NO")</f>
        <v>NO</v>
      </c>
      <c r="P521">
        <f>IFERROR(__xludf.DUMMYFUNCTION("""COMPUTED_VALUE"""),1.0)</f>
        <v>1</v>
      </c>
      <c r="Q521" s="35">
        <f>IFERROR(__xludf.DUMMYFUNCTION("""COMPUTED_VALUE"""),0.0)</f>
        <v>0</v>
      </c>
      <c r="R521" s="36" t="str">
        <f>IFERROR(__xludf.DUMMYFUNCTION("""COMPUTED_VALUE"""),"SELECCIONADO")</f>
        <v>SELECCIONADO</v>
      </c>
      <c r="S521" s="37">
        <f>IFERROR(__xludf.DUMMYFUNCTION("""COMPUTED_VALUE"""),42278.0)</f>
        <v>42278</v>
      </c>
      <c r="T521" s="34" t="str">
        <f>IFERROR(__xludf.DUMMYFUNCTION("""COMPUTED_VALUE"""),"LUCIANO HIDALGO SEPULVEDA")</f>
        <v>LUCIANO HIDALGO SEPULVEDA</v>
      </c>
      <c r="V521" t="str">
        <f>IFERROR(__xludf.DUMMYFUNCTION("""COMPUTED_VALUE"""),"16749757-8")</f>
        <v>16749757-8</v>
      </c>
      <c r="W521" t="str">
        <f>IFERROR(__xludf.DUMMYFUNCTION("""COMPUTED_VALUE"""),"NO")</f>
        <v>NO</v>
      </c>
      <c r="AA521" s="38">
        <f>IFERROR(__xludf.DUMMYFUNCTION("""COMPUTED_VALUE"""),42208.0)</f>
        <v>42208</v>
      </c>
      <c r="AB521" s="38">
        <f>IFERROR(__xludf.DUMMYFUNCTION("""COMPUTED_VALUE"""),42212.0)</f>
        <v>42212</v>
      </c>
      <c r="AD521" t="str">
        <f>IFERROR(__xludf.DUMMYFUNCTION("""COMPUTED_VALUE"""),"PROFESOR HORA")</f>
        <v>PROFESOR HORA</v>
      </c>
      <c r="AF521" s="39"/>
      <c r="AG521" s="39"/>
      <c r="AH521" s="34" t="str">
        <f>IFERROR(__xludf.DUMMYFUNCTION("""COMPUTED_VALUE"""),"PROCESO DE SELECCIÓN")</f>
        <v>PROCESO DE SELECCIÓN</v>
      </c>
      <c r="AI521" s="34" t="str">
        <f>IFERROR(__xludf.DUMMYFUNCTION("""COMPUTED_VALUE"""),"-")</f>
        <v>-</v>
      </c>
      <c r="AJ521" s="34"/>
      <c r="AK521" s="34" t="str">
        <f>IFERROR(__xludf.DUMMYFUNCTION("""COMPUTED_VALUE"""),"P")</f>
        <v>P</v>
      </c>
      <c r="AL521">
        <f>IFERROR(__xludf.DUMMYFUNCTION("""COMPUTED_VALUE"""),49.0)</f>
        <v>49</v>
      </c>
      <c r="AM521">
        <f>IFERROR(__xludf.DUMMYFUNCTION("""COMPUTED_VALUE"""),2015.0)</f>
        <v>2015</v>
      </c>
      <c r="AN521" t="str">
        <f t="shared" si="1"/>
        <v>16749757-8</v>
      </c>
    </row>
    <row r="522">
      <c r="A522" s="33">
        <f>IFERROR(__xludf.DUMMYFUNCTION("""COMPUTED_VALUE"""),1.6006444E7)</f>
        <v>16006444</v>
      </c>
      <c r="B522" s="33">
        <f>IFERROR(__xludf.DUMMYFUNCTION("""COMPUTED_VALUE"""),67.0)</f>
        <v>67</v>
      </c>
      <c r="C522" s="33"/>
      <c r="D522" s="34" t="str">
        <f>IFERROR(__xludf.DUMMYFUNCTION("""COMPUTED_VALUE"""),"50")</f>
        <v>50</v>
      </c>
      <c r="E522" s="34" t="str">
        <f>IFERROR(__xludf.DUMMYFUNCTION("""COMPUTED_VALUE"""),"FACULTAD DE CIENCIA")</f>
        <v>FACULTAD DE CIENCIA</v>
      </c>
      <c r="F522" s="34" t="str">
        <f>IFERROR(__xludf.DUMMYFUNCTION("""COMPUTED_VALUE"""),"Encargado(a) de Vinculación con el Medio")</f>
        <v>Encargado(a) de Vinculación con el Medio</v>
      </c>
      <c r="G522" s="33" t="str">
        <f>IFERROR(__xludf.DUMMYFUNCTION("""COMPUTED_VALUE"""),"ENCARGADO DE VINCULACION CON EL MEDIO")</f>
        <v>ENCARGADO DE VINCULACION CON EL MEDIO</v>
      </c>
      <c r="H522">
        <f>IFERROR(__xludf.DUMMYFUNCTION("""COMPUTED_VALUE"""),13.0)</f>
        <v>13</v>
      </c>
      <c r="I522" s="34" t="str">
        <f>IFERROR(__xludf.DUMMYFUNCTION("""COMPUTED_VALUE"""),"Jornada Completa")</f>
        <v>Jornada Completa</v>
      </c>
      <c r="J522" s="33" t="str">
        <f>IFERROR(__xludf.DUMMYFUNCTION("""COMPUTED_VALUE"""),"A CONTRATA")</f>
        <v>A CONTRATA</v>
      </c>
      <c r="K522" s="33" t="str">
        <f>IFERROR(__xludf.DUMMYFUNCTION("""COMPUTED_VALUE"""),"PROFESIONAL")</f>
        <v>PROFESIONAL</v>
      </c>
      <c r="L522" s="34" t="str">
        <f>IFERROR(__xludf.DUMMYFUNCTION("""COMPUTED_VALUE"""),"INTERNO")</f>
        <v>INTERNO</v>
      </c>
      <c r="M522" s="34">
        <f>IFERROR(__xludf.DUMMYFUNCTION("""COMPUTED_VALUE"""),4.0)</f>
        <v>4</v>
      </c>
      <c r="N522" s="34" t="str">
        <f>IFERROR(__xludf.DUMMYFUNCTION("""COMPUTED_VALUE"""),"EXTERNO")</f>
        <v>EXTERNO</v>
      </c>
      <c r="O522">
        <f>IFERROR(__xludf.DUMMYFUNCTION("""COMPUTED_VALUE"""),33.0)</f>
        <v>33</v>
      </c>
      <c r="P522">
        <f>IFERROR(__xludf.DUMMYFUNCTION("""COMPUTED_VALUE"""),1.0)</f>
        <v>1</v>
      </c>
      <c r="Q522" s="35">
        <f>IFERROR(__xludf.DUMMYFUNCTION("""COMPUTED_VALUE"""),3.0)</f>
        <v>3</v>
      </c>
      <c r="R522" s="36" t="str">
        <f>IFERROR(__xludf.DUMMYFUNCTION("""COMPUTED_VALUE"""),"SELECCIONADO")</f>
        <v>SELECCIONADO</v>
      </c>
      <c r="S522" s="37">
        <f>IFERROR(__xludf.DUMMYFUNCTION("""COMPUTED_VALUE"""),42278.0)</f>
        <v>42278</v>
      </c>
      <c r="T522" s="34"/>
      <c r="U522" t="str">
        <f>IFERROR(__xludf.DUMMYFUNCTION("""COMPUTED_VALUE"""),"FRANCISCA MIRANDA REYES")</f>
        <v>FRANCISCA MIRANDA REYES</v>
      </c>
      <c r="V522" t="str">
        <f>IFERROR(__xludf.DUMMYFUNCTION("""COMPUTED_VALUE"""),"16006444-7")</f>
        <v>16006444-7</v>
      </c>
      <c r="W522" t="str">
        <f>IFERROR(__xludf.DUMMYFUNCTION("""COMPUTED_VALUE"""),"NO")</f>
        <v>NO</v>
      </c>
      <c r="X522" t="str">
        <f>IFERROR(__xludf.DUMMYFUNCTION("""COMPUTED_VALUE"""),"Capacidad de Planificacion y Organizacion")</f>
        <v>Capacidad de Planificacion y Organizacion</v>
      </c>
      <c r="AA522" s="38">
        <f>IFERROR(__xludf.DUMMYFUNCTION("""COMPUTED_VALUE"""),42216.0)</f>
        <v>42216</v>
      </c>
      <c r="AB522" s="38">
        <f>IFERROR(__xludf.DUMMYFUNCTION("""COMPUTED_VALUE"""),42223.0)</f>
        <v>42223</v>
      </c>
      <c r="AF522" s="39"/>
      <c r="AG522" s="39"/>
      <c r="AH522" s="34" t="str">
        <f>IFERROR(__xludf.DUMMYFUNCTION("""COMPUTED_VALUE"""),"PROCESO DE SELECCIÓN")</f>
        <v>PROCESO DE SELECCIÓN</v>
      </c>
      <c r="AI522" s="34" t="str">
        <f>IFERROR(__xludf.DUMMYFUNCTION("""COMPUTED_VALUE"""),"-")</f>
        <v>-</v>
      </c>
      <c r="AJ522" s="34"/>
      <c r="AK522" s="34" t="str">
        <f>IFERROR(__xludf.DUMMYFUNCTION("""COMPUTED_VALUE"""),"P")</f>
        <v>P</v>
      </c>
      <c r="AL522">
        <f>IFERROR(__xludf.DUMMYFUNCTION("""COMPUTED_VALUE"""),40.0)</f>
        <v>40</v>
      </c>
      <c r="AM522">
        <f>IFERROR(__xludf.DUMMYFUNCTION("""COMPUTED_VALUE"""),2015.0)</f>
        <v>2015</v>
      </c>
      <c r="AN522" t="str">
        <f t="shared" si="1"/>
        <v>16006444-7</v>
      </c>
    </row>
    <row r="523">
      <c r="A523" s="33">
        <f>IFERROR(__xludf.DUMMYFUNCTION("""COMPUTED_VALUE"""),1.306823E7)</f>
        <v>13068230</v>
      </c>
      <c r="B523" s="33">
        <f>IFERROR(__xludf.DUMMYFUNCTION("""COMPUTED_VALUE"""),68.0)</f>
        <v>68</v>
      </c>
      <c r="C523" s="33"/>
      <c r="D523" s="34" t="str">
        <f>IFERROR(__xludf.DUMMYFUNCTION("""COMPUTED_VALUE"""),"15")</f>
        <v>15</v>
      </c>
      <c r="E523" s="34" t="str">
        <f>IFERROR(__xludf.DUMMYFUNCTION("""COMPUTED_VALUE"""),"VICERRECTORIA ACADEMICA")</f>
        <v>VICERRECTORIA ACADEMICA</v>
      </c>
      <c r="F523" s="34" t="str">
        <f>IFERROR(__xludf.DUMMYFUNCTION("""COMPUTED_VALUE"""),"Auxiliar de Servicios")</f>
        <v>Auxiliar de Servicios</v>
      </c>
      <c r="G523" s="33" t="str">
        <f>IFERROR(__xludf.DUMMYFUNCTION("""COMPUTED_VALUE"""),"AUXILIAR DE SERVICIOS")</f>
        <v>AUXILIAR DE SERVICIOS</v>
      </c>
      <c r="H523">
        <f>IFERROR(__xludf.DUMMYFUNCTION("""COMPUTED_VALUE"""),23.0)</f>
        <v>23</v>
      </c>
      <c r="I523" s="34" t="str">
        <f>IFERROR(__xludf.DUMMYFUNCTION("""COMPUTED_VALUE"""),"Jornada Completa")</f>
        <v>Jornada Completa</v>
      </c>
      <c r="J523" s="33" t="str">
        <f>IFERROR(__xludf.DUMMYFUNCTION("""COMPUTED_VALUE"""),"A CONTRATA")</f>
        <v>A CONTRATA</v>
      </c>
      <c r="K523" s="33" t="str">
        <f>IFERROR(__xludf.DUMMYFUNCTION("""COMPUTED_VALUE"""),"AUXILIAR")</f>
        <v>AUXILIAR</v>
      </c>
      <c r="L523" s="34" t="str">
        <f>IFERROR(__xludf.DUMMYFUNCTION("""COMPUTED_VALUE"""),"INTERNO")</f>
        <v>INTERNO</v>
      </c>
      <c r="M523" s="34">
        <f>IFERROR(__xludf.DUMMYFUNCTION("""COMPUTED_VALUE"""),0.0)</f>
        <v>0</v>
      </c>
      <c r="N523" s="34" t="str">
        <f>IFERROR(__xludf.DUMMYFUNCTION("""COMPUTED_VALUE"""),"EXTERNO")</f>
        <v>EXTERNO</v>
      </c>
      <c r="O523">
        <f>IFERROR(__xludf.DUMMYFUNCTION("""COMPUTED_VALUE"""),26.0)</f>
        <v>26</v>
      </c>
      <c r="P523">
        <f>IFERROR(__xludf.DUMMYFUNCTION("""COMPUTED_VALUE"""),2.0)</f>
        <v>2</v>
      </c>
      <c r="Q523" s="35">
        <f>IFERROR(__xludf.DUMMYFUNCTION("""COMPUTED_VALUE"""),4.0)</f>
        <v>4</v>
      </c>
      <c r="R523" s="36" t="str">
        <f>IFERROR(__xludf.DUMMYFUNCTION("""COMPUTED_VALUE"""),"SELECCIONADO")</f>
        <v>SELECCIONADO</v>
      </c>
      <c r="S523" s="37">
        <f>IFERROR(__xludf.DUMMYFUNCTION("""COMPUTED_VALUE"""),42296.0)</f>
        <v>42296</v>
      </c>
      <c r="T523" s="34"/>
      <c r="U523" t="str">
        <f>IFERROR(__xludf.DUMMYFUNCTION("""COMPUTED_VALUE"""),"JUAN HERNANDEZ HERNANDEZ")</f>
        <v>JUAN HERNANDEZ HERNANDEZ</v>
      </c>
      <c r="V523" t="str">
        <f>IFERROR(__xludf.DUMMYFUNCTION("""COMPUTED_VALUE"""),"13068230-8")</f>
        <v>13068230-8</v>
      </c>
      <c r="W523" t="str">
        <f>IFERROR(__xludf.DUMMYFUNCTION("""COMPUTED_VALUE"""),"NO")</f>
        <v>NO</v>
      </c>
      <c r="AA523" s="38">
        <f>IFERROR(__xludf.DUMMYFUNCTION("""COMPUTED_VALUE"""),42269.0)</f>
        <v>42269</v>
      </c>
      <c r="AB523" s="38">
        <f>IFERROR(__xludf.DUMMYFUNCTION("""COMPUTED_VALUE"""),42277.0)</f>
        <v>42277</v>
      </c>
      <c r="AF523" s="39"/>
      <c r="AG523" s="39"/>
      <c r="AH523" s="34" t="str">
        <f>IFERROR(__xludf.DUMMYFUNCTION("""COMPUTED_VALUE"""),"PROCESO DE SELECCIÓN")</f>
        <v>PROCESO DE SELECCIÓN</v>
      </c>
      <c r="AI523" s="34" t="str">
        <f>IFERROR(__xludf.DUMMYFUNCTION("""COMPUTED_VALUE"""),"-")</f>
        <v>-</v>
      </c>
      <c r="AJ523" s="34"/>
      <c r="AK523" s="34" t="str">
        <f>IFERROR(__xludf.DUMMYFUNCTION("""COMPUTED_VALUE"""),"E")</f>
        <v>E</v>
      </c>
      <c r="AL523">
        <f>IFERROR(__xludf.DUMMYFUNCTION("""COMPUTED_VALUE"""),14.0)</f>
        <v>14</v>
      </c>
      <c r="AM523">
        <f>IFERROR(__xludf.DUMMYFUNCTION("""COMPUTED_VALUE"""),2015.0)</f>
        <v>2015</v>
      </c>
      <c r="AN523" t="str">
        <f t="shared" si="1"/>
        <v>13068230-8</v>
      </c>
    </row>
    <row r="524">
      <c r="A524" s="33">
        <f>IFERROR(__xludf.DUMMYFUNCTION("""COMPUTED_VALUE"""),1.666616E7)</f>
        <v>16666160</v>
      </c>
      <c r="B524" s="33">
        <f>IFERROR(__xludf.DUMMYFUNCTION("""COMPUTED_VALUE"""),69.0)</f>
        <v>69</v>
      </c>
      <c r="C524" s="33"/>
      <c r="D524" s="34" t="str">
        <f>IFERROR(__xludf.DUMMYFUNCTION("""COMPUTED_VALUE"""),"3")</f>
        <v>3</v>
      </c>
      <c r="E524" s="34" t="str">
        <f>IFERROR(__xludf.DUMMYFUNCTION("""COMPUTED_VALUE"""),"DEPARTAMENTO DE RECURSOS HUMANOS")</f>
        <v>DEPARTAMENTO DE RECURSOS HUMANOS</v>
      </c>
      <c r="F524" s="34" t="str">
        <f>IFERROR(__xludf.DUMMYFUNCTION("""COMPUTED_VALUE"""),"Administrativo(a) de Recursos Humanos")</f>
        <v>Administrativo(a) de Recursos Humanos</v>
      </c>
      <c r="G524" s="33" t="str">
        <f>IFERROR(__xludf.DUMMYFUNCTION("""COMPUTED_VALUE"""),"ADMINISTRATIVO DE RECURSOS HUMANOS")</f>
        <v>ADMINISTRATIVO DE RECURSOS HUMANOS</v>
      </c>
      <c r="H524">
        <f>IFERROR(__xludf.DUMMYFUNCTION("""COMPUTED_VALUE"""),17.0)</f>
        <v>17</v>
      </c>
      <c r="I524" s="34" t="str">
        <f>IFERROR(__xludf.DUMMYFUNCTION("""COMPUTED_VALUE"""),"Jornada Completa")</f>
        <v>Jornada Completa</v>
      </c>
      <c r="J524" s="33" t="str">
        <f>IFERROR(__xludf.DUMMYFUNCTION("""COMPUTED_VALUE"""),"A CONTRATA")</f>
        <v>A CONTRATA</v>
      </c>
      <c r="K524" s="33" t="str">
        <f>IFERROR(__xludf.DUMMYFUNCTION("""COMPUTED_VALUE"""),"ADMINISTRATIVO")</f>
        <v>ADMINISTRATIVO</v>
      </c>
      <c r="L524" s="34" t="str">
        <f>IFERROR(__xludf.DUMMYFUNCTION("""COMPUTED_VALUE"""),"INTERNO")</f>
        <v>INTERNO</v>
      </c>
      <c r="M524" s="34">
        <f>IFERROR(__xludf.DUMMYFUNCTION("""COMPUTED_VALUE"""),1.0)</f>
        <v>1</v>
      </c>
      <c r="N524" s="34" t="str">
        <f>IFERROR(__xludf.DUMMYFUNCTION("""COMPUTED_VALUE"""),"EXTERNO")</f>
        <v>EXTERNO</v>
      </c>
      <c r="O524">
        <f>IFERROR(__xludf.DUMMYFUNCTION("""COMPUTED_VALUE"""),13.0)</f>
        <v>13</v>
      </c>
      <c r="P524">
        <f>IFERROR(__xludf.DUMMYFUNCTION("""COMPUTED_VALUE"""),1.0)</f>
        <v>1</v>
      </c>
      <c r="Q524" s="35">
        <f>IFERROR(__xludf.DUMMYFUNCTION("""COMPUTED_VALUE"""),1.0)</f>
        <v>1</v>
      </c>
      <c r="R524" s="36" t="str">
        <f>IFERROR(__xludf.DUMMYFUNCTION("""COMPUTED_VALUE"""),"SELECCIONADA")</f>
        <v>SELECCIONADA</v>
      </c>
      <c r="S524" s="37">
        <f>IFERROR(__xludf.DUMMYFUNCTION("""COMPUTED_VALUE"""),42278.0)</f>
        <v>42278</v>
      </c>
      <c r="T524" s="34"/>
      <c r="U524" t="str">
        <f>IFERROR(__xludf.DUMMYFUNCTION("""COMPUTED_VALUE"""),"JOSELYN MAULEN MANRIQUEZ")</f>
        <v>JOSELYN MAULEN MANRIQUEZ</v>
      </c>
      <c r="V524" t="str">
        <f>IFERROR(__xludf.DUMMYFUNCTION("""COMPUTED_VALUE"""),"16666160-9")</f>
        <v>16666160-9</v>
      </c>
      <c r="W524" t="str">
        <f>IFERROR(__xludf.DUMMYFUNCTION("""COMPUTED_VALUE"""),"NO")</f>
        <v>NO</v>
      </c>
      <c r="AA524" s="38">
        <f>IFERROR(__xludf.DUMMYFUNCTION("""COMPUTED_VALUE"""),42199.0)</f>
        <v>42199</v>
      </c>
      <c r="AB524" s="38">
        <f>IFERROR(__xludf.DUMMYFUNCTION("""COMPUTED_VALUE"""),42207.0)</f>
        <v>42207</v>
      </c>
      <c r="AF524" s="39"/>
      <c r="AG524" s="39"/>
      <c r="AH524" s="34" t="str">
        <f>IFERROR(__xludf.DUMMYFUNCTION("""COMPUTED_VALUE"""),"PROCESO DE SELECCIÓN")</f>
        <v>PROCESO DE SELECCIÓN</v>
      </c>
      <c r="AI524" s="34" t="str">
        <f>IFERROR(__xludf.DUMMYFUNCTION("""COMPUTED_VALUE"""),"JUAN SALINAS")</f>
        <v>JUAN SALINAS</v>
      </c>
      <c r="AJ524" s="34"/>
      <c r="AK524" s="34" t="str">
        <f>IFERROR(__xludf.DUMMYFUNCTION("""COMPUTED_VALUE"""),"P")</f>
        <v>P</v>
      </c>
      <c r="AL524">
        <f>IFERROR(__xludf.DUMMYFUNCTION("""COMPUTED_VALUE"""),52.0)</f>
        <v>52</v>
      </c>
      <c r="AM524">
        <f>IFERROR(__xludf.DUMMYFUNCTION("""COMPUTED_VALUE"""),2015.0)</f>
        <v>2015</v>
      </c>
      <c r="AN524" t="str">
        <f t="shared" si="1"/>
        <v>16666160-9</v>
      </c>
    </row>
    <row r="525">
      <c r="A525" s="33">
        <f>IFERROR(__xludf.DUMMYFUNCTION("""COMPUTED_VALUE"""),1.6951912E7)</f>
        <v>16951912</v>
      </c>
      <c r="B525" s="33">
        <f>IFERROR(__xludf.DUMMYFUNCTION("""COMPUTED_VALUE"""),70.0)</f>
        <v>70</v>
      </c>
      <c r="C525" s="33"/>
      <c r="D525" s="34" t="str">
        <f>IFERROR(__xludf.DUMMYFUNCTION("""COMPUTED_VALUE"""),"11")</f>
        <v>11</v>
      </c>
      <c r="E525" s="34" t="str">
        <f>IFERROR(__xludf.DUMMYFUNCTION("""COMPUTED_VALUE"""),"VICERRECTORIA DE INVESTIGACION, DESARROLLO E INNOVACION")</f>
        <v>VICERRECTORIA DE INVESTIGACION, DESARROLLO E INNOVACION</v>
      </c>
      <c r="F525" s="34" t="str">
        <f>IFERROR(__xludf.DUMMYFUNCTION("""COMPUTED_VALUE"""),"Mayordomo(a)")</f>
        <v>Mayordomo(a)</v>
      </c>
      <c r="G525" s="33" t="str">
        <f>IFERROR(__xludf.DUMMYFUNCTION("""COMPUTED_VALUE"""),"MAYORDOMO")</f>
        <v>MAYORDOMO</v>
      </c>
      <c r="H525">
        <f>IFERROR(__xludf.DUMMYFUNCTION("""COMPUTED_VALUE"""),21.0)</f>
        <v>21</v>
      </c>
      <c r="I525" s="34" t="str">
        <f>IFERROR(__xludf.DUMMYFUNCTION("""COMPUTED_VALUE"""),"Jornada Completa")</f>
        <v>Jornada Completa</v>
      </c>
      <c r="J525" s="33" t="str">
        <f>IFERROR(__xludf.DUMMYFUNCTION("""COMPUTED_VALUE"""),"A CONTRATA")</f>
        <v>A CONTRATA</v>
      </c>
      <c r="K525" s="33" t="str">
        <f>IFERROR(__xludf.DUMMYFUNCTION("""COMPUTED_VALUE"""),"AUXILIAR")</f>
        <v>AUXILIAR</v>
      </c>
      <c r="L525" s="34" t="str">
        <f>IFERROR(__xludf.DUMMYFUNCTION("""COMPUTED_VALUE"""),"INTERNO")</f>
        <v>INTERNO</v>
      </c>
      <c r="M525" s="34">
        <f>IFERROR(__xludf.DUMMYFUNCTION("""COMPUTED_VALUE"""),0.0)</f>
        <v>0</v>
      </c>
      <c r="N525" s="34" t="str">
        <f>IFERROR(__xludf.DUMMYFUNCTION("""COMPUTED_VALUE"""),"EXTERNO")</f>
        <v>EXTERNO</v>
      </c>
      <c r="O525">
        <f>IFERROR(__xludf.DUMMYFUNCTION("""COMPUTED_VALUE"""),4.0)</f>
        <v>4</v>
      </c>
      <c r="P525">
        <f>IFERROR(__xludf.DUMMYFUNCTION("""COMPUTED_VALUE"""),2.0)</f>
        <v>2</v>
      </c>
      <c r="Q525" s="35">
        <f>IFERROR(__xludf.DUMMYFUNCTION("""COMPUTED_VALUE"""),1.0)</f>
        <v>1</v>
      </c>
      <c r="R525" s="36" t="str">
        <f>IFERROR(__xludf.DUMMYFUNCTION("""COMPUTED_VALUE"""),"SELECCIONADO")</f>
        <v>SELECCIONADO</v>
      </c>
      <c r="S525" s="37">
        <f>IFERROR(__xludf.DUMMYFUNCTION("""COMPUTED_VALUE"""),42240.0)</f>
        <v>42240</v>
      </c>
      <c r="T525" s="34"/>
      <c r="U525" t="str">
        <f>IFERROR(__xludf.DUMMYFUNCTION("""COMPUTED_VALUE"""),"ALEXIS CABELLO ARAVENA")</f>
        <v>ALEXIS CABELLO ARAVENA</v>
      </c>
      <c r="V525" t="str">
        <f>IFERROR(__xludf.DUMMYFUNCTION("""COMPUTED_VALUE"""),"16951912-9")</f>
        <v>16951912-9</v>
      </c>
      <c r="W525" t="str">
        <f>IFERROR(__xludf.DUMMYFUNCTION("""COMPUTED_VALUE"""),"NO")</f>
        <v>NO</v>
      </c>
      <c r="AA525" s="38">
        <f>IFERROR(__xludf.DUMMYFUNCTION("""COMPUTED_VALUE"""),42223.0)</f>
        <v>42223</v>
      </c>
      <c r="AB525" s="38">
        <f>IFERROR(__xludf.DUMMYFUNCTION("""COMPUTED_VALUE"""),42226.0)</f>
        <v>42226</v>
      </c>
      <c r="AF525" s="39"/>
      <c r="AG525" s="39"/>
      <c r="AH525" s="34" t="str">
        <f>IFERROR(__xludf.DUMMYFUNCTION("""COMPUTED_VALUE"""),"PROCESO DE SELECCIÓN")</f>
        <v>PROCESO DE SELECCIÓN</v>
      </c>
      <c r="AI525" s="34" t="str">
        <f>IFERROR(__xludf.DUMMYFUNCTION("""COMPUTED_VALUE"""),"-")</f>
        <v>-</v>
      </c>
      <c r="AJ525" s="34"/>
      <c r="AK525" s="34" t="str">
        <f>IFERROR(__xludf.DUMMYFUNCTION("""COMPUTED_VALUE"""),"P")</f>
        <v>P</v>
      </c>
      <c r="AL525">
        <f>IFERROR(__xludf.DUMMYFUNCTION("""COMPUTED_VALUE"""),11.0)</f>
        <v>11</v>
      </c>
      <c r="AM525">
        <f>IFERROR(__xludf.DUMMYFUNCTION("""COMPUTED_VALUE"""),2015.0)</f>
        <v>2015</v>
      </c>
      <c r="AN525" t="str">
        <f t="shared" si="1"/>
        <v>16951912-9</v>
      </c>
    </row>
    <row r="526">
      <c r="A526" s="33">
        <f>IFERROR(__xludf.DUMMYFUNCTION("""COMPUTED_VALUE"""),1.6924975E7)</f>
        <v>16924975</v>
      </c>
      <c r="B526" s="33">
        <f>IFERROR(__xludf.DUMMYFUNCTION("""COMPUTED_VALUE"""),71.0)</f>
        <v>71</v>
      </c>
      <c r="C526" s="33"/>
      <c r="D526" s="34" t="str">
        <f>IFERROR(__xludf.DUMMYFUNCTION("""COMPUTED_VALUE"""),"11")</f>
        <v>11</v>
      </c>
      <c r="E526" s="34" t="str">
        <f>IFERROR(__xludf.DUMMYFUNCTION("""COMPUTED_VALUE"""),"VICERRECTORIA DE INVESTIGACION, DESARROLLO E INNOVACION")</f>
        <v>VICERRECTORIA DE INVESTIGACION, DESARROLLO E INNOVACION</v>
      </c>
      <c r="F526" s="34" t="str">
        <f>IFERROR(__xludf.DUMMYFUNCTION("""COMPUTED_VALUE"""),"Mayordomo(a)")</f>
        <v>Mayordomo(a)</v>
      </c>
      <c r="G526" s="33" t="str">
        <f>IFERROR(__xludf.DUMMYFUNCTION("""COMPUTED_VALUE"""),"MAYORDOMO")</f>
        <v>MAYORDOMO</v>
      </c>
      <c r="H526">
        <f>IFERROR(__xludf.DUMMYFUNCTION("""COMPUTED_VALUE"""),21.0)</f>
        <v>21</v>
      </c>
      <c r="I526" s="34" t="str">
        <f>IFERROR(__xludf.DUMMYFUNCTION("""COMPUTED_VALUE"""),"Jornada Completa")</f>
        <v>Jornada Completa</v>
      </c>
      <c r="J526" s="33" t="str">
        <f>IFERROR(__xludf.DUMMYFUNCTION("""COMPUTED_VALUE"""),"A CONTRATA")</f>
        <v>A CONTRATA</v>
      </c>
      <c r="K526" s="33" t="str">
        <f>IFERROR(__xludf.DUMMYFUNCTION("""COMPUTED_VALUE"""),"AUXILIAR")</f>
        <v>AUXILIAR</v>
      </c>
      <c r="L526" s="34" t="str">
        <f>IFERROR(__xludf.DUMMYFUNCTION("""COMPUTED_VALUE"""),"INTERNO")</f>
        <v>INTERNO</v>
      </c>
      <c r="M526" s="34">
        <f>IFERROR(__xludf.DUMMYFUNCTION("""COMPUTED_VALUE"""),0.0)</f>
        <v>0</v>
      </c>
      <c r="N526" s="34" t="str">
        <f>IFERROR(__xludf.DUMMYFUNCTION("""COMPUTED_VALUE"""),"EXTERNO")</f>
        <v>EXTERNO</v>
      </c>
      <c r="O526">
        <f>IFERROR(__xludf.DUMMYFUNCTION("""COMPUTED_VALUE"""),4.0)</f>
        <v>4</v>
      </c>
      <c r="P526">
        <f>IFERROR(__xludf.DUMMYFUNCTION("""COMPUTED_VALUE"""),2.0)</f>
        <v>2</v>
      </c>
      <c r="Q526" s="35">
        <f>IFERROR(__xludf.DUMMYFUNCTION("""COMPUTED_VALUE"""),1.0)</f>
        <v>1</v>
      </c>
      <c r="R526" s="36" t="str">
        <f>IFERROR(__xludf.DUMMYFUNCTION("""COMPUTED_VALUE"""),"SELECCIONADO")</f>
        <v>SELECCIONADO</v>
      </c>
      <c r="S526" s="37">
        <f>IFERROR(__xludf.DUMMYFUNCTION("""COMPUTED_VALUE"""),42240.0)</f>
        <v>42240</v>
      </c>
      <c r="T526" s="34"/>
      <c r="U526" t="str">
        <f>IFERROR(__xludf.DUMMYFUNCTION("""COMPUTED_VALUE"""),"BRIAN LUNA MARTINEZ")</f>
        <v>BRIAN LUNA MARTINEZ</v>
      </c>
      <c r="V526" t="str">
        <f>IFERROR(__xludf.DUMMYFUNCTION("""COMPUTED_VALUE"""),"16924975-K")</f>
        <v>16924975-K</v>
      </c>
      <c r="W526" t="str">
        <f>IFERROR(__xludf.DUMMYFUNCTION("""COMPUTED_VALUE"""),"NO")</f>
        <v>NO</v>
      </c>
      <c r="AA526" s="38">
        <f>IFERROR(__xludf.DUMMYFUNCTION("""COMPUTED_VALUE"""),42223.0)</f>
        <v>42223</v>
      </c>
      <c r="AB526" s="38">
        <f>IFERROR(__xludf.DUMMYFUNCTION("""COMPUTED_VALUE"""),42226.0)</f>
        <v>42226</v>
      </c>
      <c r="AF526" s="39"/>
      <c r="AG526" s="39"/>
      <c r="AH526" s="34" t="str">
        <f>IFERROR(__xludf.DUMMYFUNCTION("""COMPUTED_VALUE"""),"PROCESO DE SELECCIÓN")</f>
        <v>PROCESO DE SELECCIÓN</v>
      </c>
      <c r="AI526" s="34" t="str">
        <f>IFERROR(__xludf.DUMMYFUNCTION("""COMPUTED_VALUE"""),"-")</f>
        <v>-</v>
      </c>
      <c r="AJ526" s="34"/>
      <c r="AK526" s="34" t="str">
        <f>IFERROR(__xludf.DUMMYFUNCTION("""COMPUTED_VALUE"""),"E")</f>
        <v>E</v>
      </c>
      <c r="AL526">
        <f>IFERROR(__xludf.DUMMYFUNCTION("""COMPUTED_VALUE"""),11.0)</f>
        <v>11</v>
      </c>
      <c r="AM526">
        <f>IFERROR(__xludf.DUMMYFUNCTION("""COMPUTED_VALUE"""),2015.0)</f>
        <v>2015</v>
      </c>
      <c r="AN526" t="str">
        <f t="shared" si="1"/>
        <v>16924975-K</v>
      </c>
    </row>
    <row r="527">
      <c r="A527" s="33">
        <f>IFERROR(__xludf.DUMMYFUNCTION("""COMPUTED_VALUE"""),5900912.0)</f>
        <v>5900912</v>
      </c>
      <c r="B527" s="33">
        <f>IFERROR(__xludf.DUMMYFUNCTION("""COMPUTED_VALUE"""),72.0)</f>
        <v>72</v>
      </c>
      <c r="C527" s="33"/>
      <c r="D527" s="34" t="str">
        <f>IFERROR(__xludf.DUMMYFUNCTION("""COMPUTED_VALUE"""),"95")</f>
        <v>95</v>
      </c>
      <c r="E527" s="34" t="str">
        <f>IFERROR(__xludf.DUMMYFUNCTION("""COMPUTED_VALUE"""),"FACULTAD DE QUIMICA Y BIOLOGIA")</f>
        <v>FACULTAD DE QUIMICA Y BIOLOGIA</v>
      </c>
      <c r="F527" s="34" t="str">
        <f>IFERROR(__xludf.DUMMYFUNCTION("""COMPUTED_VALUE"""),"Encargado(a) de Laboratorio")</f>
        <v>Encargado(a) de Laboratorio</v>
      </c>
      <c r="G527" s="33" t="str">
        <f>IFERROR(__xludf.DUMMYFUNCTION("""COMPUTED_VALUE"""),"ENCARGADO DE LABORATORIO")</f>
        <v>ENCARGADO DE LABORATORIO</v>
      </c>
      <c r="H527">
        <f>IFERROR(__xludf.DUMMYFUNCTION("""COMPUTED_VALUE"""),13.0)</f>
        <v>13</v>
      </c>
      <c r="I527" s="34" t="str">
        <f>IFERROR(__xludf.DUMMYFUNCTION("""COMPUTED_VALUE"""),"1/2 Jornada")</f>
        <v>1/2 Jornada</v>
      </c>
      <c r="J527" s="33" t="str">
        <f>IFERROR(__xludf.DUMMYFUNCTION("""COMPUTED_VALUE"""),"A CONTRATA")</f>
        <v>A CONTRATA</v>
      </c>
      <c r="K527" s="33" t="str">
        <f>IFERROR(__xludf.DUMMYFUNCTION("""COMPUTED_VALUE"""),"PROFESIONAL")</f>
        <v>PROFESIONAL</v>
      </c>
      <c r="L527" s="34" t="str">
        <f>IFERROR(__xludf.DUMMYFUNCTION("""COMPUTED_VALUE"""),"INTERNO")</f>
        <v>INTERNO</v>
      </c>
      <c r="M527" s="34">
        <f>IFERROR(__xludf.DUMMYFUNCTION("""COMPUTED_VALUE"""),0.0)</f>
        <v>0</v>
      </c>
      <c r="N527" s="34" t="str">
        <f>IFERROR(__xludf.DUMMYFUNCTION("""COMPUTED_VALUE"""),"EXTERNO")</f>
        <v>EXTERNO</v>
      </c>
      <c r="O527">
        <f>IFERROR(__xludf.DUMMYFUNCTION("""COMPUTED_VALUE"""),8.0)</f>
        <v>8</v>
      </c>
      <c r="P527">
        <f>IFERROR(__xludf.DUMMYFUNCTION("""COMPUTED_VALUE"""),2.0)</f>
        <v>2</v>
      </c>
      <c r="Q527" s="35">
        <f>IFERROR(__xludf.DUMMYFUNCTION("""COMPUTED_VALUE"""),1.0)</f>
        <v>1</v>
      </c>
      <c r="R527" s="36" t="str">
        <f>IFERROR(__xludf.DUMMYFUNCTION("""COMPUTED_VALUE"""),"SELECCIONADO")</f>
        <v>SELECCIONADO</v>
      </c>
      <c r="S527" s="37">
        <f>IFERROR(__xludf.DUMMYFUNCTION("""COMPUTED_VALUE"""),42296.0)</f>
        <v>42296</v>
      </c>
      <c r="T527" s="34"/>
      <c r="U527" t="str">
        <f>IFERROR(__xludf.DUMMYFUNCTION("""COMPUTED_VALUE"""),"SERGIO ALEGRIA NUNEZ")</f>
        <v>SERGIO ALEGRIA NUNEZ</v>
      </c>
      <c r="V527" t="str">
        <f>IFERROR(__xludf.DUMMYFUNCTION("""COMPUTED_VALUE"""),"05900912-5")</f>
        <v>05900912-5</v>
      </c>
      <c r="W527" t="str">
        <f>IFERROR(__xludf.DUMMYFUNCTION("""COMPUTED_VALUE"""),"NO")</f>
        <v>NO</v>
      </c>
      <c r="AA527" s="38">
        <f>IFERROR(__xludf.DUMMYFUNCTION("""COMPUTED_VALUE"""),42192.0)</f>
        <v>42192</v>
      </c>
      <c r="AB527" s="38">
        <f>IFERROR(__xludf.DUMMYFUNCTION("""COMPUTED_VALUE"""),42199.0)</f>
        <v>42199</v>
      </c>
      <c r="AF527" s="39"/>
      <c r="AG527" s="39"/>
      <c r="AH527" s="34" t="str">
        <f>IFERROR(__xludf.DUMMYFUNCTION("""COMPUTED_VALUE"""),"PROCESO DE SELECCIÓN")</f>
        <v>PROCESO DE SELECCIÓN</v>
      </c>
      <c r="AI527" s="34" t="str">
        <f>IFERROR(__xludf.DUMMYFUNCTION("""COMPUTED_VALUE"""),"-")</f>
        <v>-</v>
      </c>
      <c r="AJ527" s="34"/>
      <c r="AK527" s="34" t="str">
        <f>IFERROR(__xludf.DUMMYFUNCTION("""COMPUTED_VALUE"""),"P")</f>
        <v>P</v>
      </c>
      <c r="AL527">
        <f>IFERROR(__xludf.DUMMYFUNCTION("""COMPUTED_VALUE"""),70.0)</f>
        <v>70</v>
      </c>
      <c r="AM527">
        <f>IFERROR(__xludf.DUMMYFUNCTION("""COMPUTED_VALUE"""),2015.0)</f>
        <v>2015</v>
      </c>
      <c r="AN527" t="str">
        <f t="shared" si="1"/>
        <v>05900912-5</v>
      </c>
    </row>
    <row r="528">
      <c r="A528" s="33">
        <f>IFERROR(__xludf.DUMMYFUNCTION("""COMPUTED_VALUE"""),1.3937544E7)</f>
        <v>13937544</v>
      </c>
      <c r="B528" s="33">
        <f>IFERROR(__xludf.DUMMYFUNCTION("""COMPUTED_VALUE"""),73.0)</f>
        <v>73</v>
      </c>
      <c r="C528" s="33"/>
      <c r="D528" s="34" t="str">
        <f>IFERROR(__xludf.DUMMYFUNCTION("""COMPUTED_VALUE"""),"60")</f>
        <v>60</v>
      </c>
      <c r="E528" s="34" t="str">
        <f>IFERROR(__xludf.DUMMYFUNCTION("""COMPUTED_VALUE"""),"FACULTAD DE ADMINISTRACION Y ECONOMIA")</f>
        <v>FACULTAD DE ADMINISTRACION Y ECONOMIA</v>
      </c>
      <c r="F528" s="34" t="str">
        <f>IFERROR(__xludf.DUMMYFUNCTION("""COMPUTED_VALUE"""),"Auxiliar de Servicios")</f>
        <v>Auxiliar de Servicios</v>
      </c>
      <c r="G528" s="33" t="str">
        <f>IFERROR(__xludf.DUMMYFUNCTION("""COMPUTED_VALUE"""),"AUXILIAR DE SERVICIOS")</f>
        <v>AUXILIAR DE SERVICIOS</v>
      </c>
      <c r="H528">
        <f>IFERROR(__xludf.DUMMYFUNCTION("""COMPUTED_VALUE"""),23.0)</f>
        <v>23</v>
      </c>
      <c r="I528" s="34" t="str">
        <f>IFERROR(__xludf.DUMMYFUNCTION("""COMPUTED_VALUE"""),"Jornada Completa")</f>
        <v>Jornada Completa</v>
      </c>
      <c r="J528" s="33" t="str">
        <f>IFERROR(__xludf.DUMMYFUNCTION("""COMPUTED_VALUE"""),"A CONTRATA")</f>
        <v>A CONTRATA</v>
      </c>
      <c r="K528" s="33" t="str">
        <f>IFERROR(__xludf.DUMMYFUNCTION("""COMPUTED_VALUE"""),"AUXILIAR")</f>
        <v>AUXILIAR</v>
      </c>
      <c r="L528" s="34" t="str">
        <f>IFERROR(__xludf.DUMMYFUNCTION("""COMPUTED_VALUE"""),"INTERNO")</f>
        <v>INTERNO</v>
      </c>
      <c r="M528" s="34">
        <f>IFERROR(__xludf.DUMMYFUNCTION("""COMPUTED_VALUE"""),0.0)</f>
        <v>0</v>
      </c>
      <c r="N528" s="34" t="str">
        <f>IFERROR(__xludf.DUMMYFUNCTION("""COMPUTED_VALUE"""),"EXTERNO")</f>
        <v>EXTERNO</v>
      </c>
      <c r="O528">
        <f>IFERROR(__xludf.DUMMYFUNCTION("""COMPUTED_VALUE"""),5.0)</f>
        <v>5</v>
      </c>
      <c r="P528">
        <f>IFERROR(__xludf.DUMMYFUNCTION("""COMPUTED_VALUE"""),1.0)</f>
        <v>1</v>
      </c>
      <c r="Q528" s="35">
        <f>IFERROR(__xludf.DUMMYFUNCTION("""COMPUTED_VALUE"""),1.0)</f>
        <v>1</v>
      </c>
      <c r="R528" s="36" t="str">
        <f>IFERROR(__xludf.DUMMYFUNCTION("""COMPUTED_VALUE"""),"SELECCIONADA")</f>
        <v>SELECCIONADA</v>
      </c>
      <c r="S528" s="37">
        <f>IFERROR(__xludf.DUMMYFUNCTION("""COMPUTED_VALUE"""),42275.0)</f>
        <v>42275</v>
      </c>
      <c r="T528" s="34"/>
      <c r="U528" t="str">
        <f>IFERROR(__xludf.DUMMYFUNCTION("""COMPUTED_VALUE"""),"MIRIAM MORALES RIVERA")</f>
        <v>MIRIAM MORALES RIVERA</v>
      </c>
      <c r="V528" t="str">
        <f>IFERROR(__xludf.DUMMYFUNCTION("""COMPUTED_VALUE"""),"13937544-0")</f>
        <v>13937544-0</v>
      </c>
      <c r="W528" t="str">
        <f>IFERROR(__xludf.DUMMYFUNCTION("""COMPUTED_VALUE"""),"NO")</f>
        <v>NO</v>
      </c>
      <c r="Z528" t="str">
        <f>IFERROR(__xludf.DUMMYFUNCTION("""COMPUTED_VALUE"""),"Comunicacion")</f>
        <v>Comunicacion</v>
      </c>
      <c r="AA528" s="38">
        <f>IFERROR(__xludf.DUMMYFUNCTION("""COMPUTED_VALUE"""),42228.0)</f>
        <v>42228</v>
      </c>
      <c r="AB528" s="38">
        <f>IFERROR(__xludf.DUMMYFUNCTION("""COMPUTED_VALUE"""),42235.0)</f>
        <v>42235</v>
      </c>
      <c r="AF528" s="39"/>
      <c r="AG528" s="39"/>
      <c r="AH528" s="34" t="str">
        <f>IFERROR(__xludf.DUMMYFUNCTION("""COMPUTED_VALUE"""),"PROCESO DE SELECCIÓN")</f>
        <v>PROCESO DE SELECCIÓN</v>
      </c>
      <c r="AI528" s="34" t="str">
        <f>IFERROR(__xludf.DUMMYFUNCTION("""COMPUTED_VALUE"""),"-")</f>
        <v>-</v>
      </c>
      <c r="AJ528" s="34"/>
      <c r="AK528" s="34" t="str">
        <f>IFERROR(__xludf.DUMMYFUNCTION("""COMPUTED_VALUE"""),"P")</f>
        <v>P</v>
      </c>
      <c r="AL528">
        <f>IFERROR(__xludf.DUMMYFUNCTION("""COMPUTED_VALUE"""),29.0)</f>
        <v>29</v>
      </c>
      <c r="AM528">
        <f>IFERROR(__xludf.DUMMYFUNCTION("""COMPUTED_VALUE"""),2015.0)</f>
        <v>2015</v>
      </c>
      <c r="AN528" t="str">
        <f t="shared" si="1"/>
        <v>13937544-0</v>
      </c>
    </row>
    <row r="529">
      <c r="A529" s="33">
        <f>IFERROR(__xludf.DUMMYFUNCTION("""COMPUTED_VALUE"""),9063120.0)</f>
        <v>9063120</v>
      </c>
      <c r="B529" s="33">
        <f>IFERROR(__xludf.DUMMYFUNCTION("""COMPUTED_VALUE"""),74.0)</f>
        <v>74</v>
      </c>
      <c r="C529" s="33"/>
      <c r="D529" s="34" t="str">
        <f>IFERROR(__xludf.DUMMYFUNCTION("""COMPUTED_VALUE"""),"60")</f>
        <v>60</v>
      </c>
      <c r="E529" s="34" t="str">
        <f>IFERROR(__xludf.DUMMYFUNCTION("""COMPUTED_VALUE"""),"FACULTAD DE ADMINISTRACION Y ECONOMIA")</f>
        <v>FACULTAD DE ADMINISTRACION Y ECONOMIA</v>
      </c>
      <c r="F529" s="34" t="str">
        <f>IFERROR(__xludf.DUMMYFUNCTION("""COMPUTED_VALUE"""),"Encargado(a) de Vinculación con el Medio")</f>
        <v>Encargado(a) de Vinculación con el Medio</v>
      </c>
      <c r="G529" s="33" t="str">
        <f>IFERROR(__xludf.DUMMYFUNCTION("""COMPUTED_VALUE"""),"ENCARGADO DE VINCULACION CON EL MEDIO")</f>
        <v>ENCARGADO DE VINCULACION CON EL MEDIO</v>
      </c>
      <c r="H529">
        <f>IFERROR(__xludf.DUMMYFUNCTION("""COMPUTED_VALUE"""),13.0)</f>
        <v>13</v>
      </c>
      <c r="I529" s="34" t="str">
        <f>IFERROR(__xludf.DUMMYFUNCTION("""COMPUTED_VALUE"""),"1/2 Jornada")</f>
        <v>1/2 Jornada</v>
      </c>
      <c r="J529" s="33" t="str">
        <f>IFERROR(__xludf.DUMMYFUNCTION("""COMPUTED_VALUE"""),"A CONTRATA")</f>
        <v>A CONTRATA</v>
      </c>
      <c r="K529" s="33" t="str">
        <f>IFERROR(__xludf.DUMMYFUNCTION("""COMPUTED_VALUE"""),"PROFESIONAL")</f>
        <v>PROFESIONAL</v>
      </c>
      <c r="L529" s="34" t="str">
        <f>IFERROR(__xludf.DUMMYFUNCTION("""COMPUTED_VALUE"""),"INTERNO")</f>
        <v>INTERNO</v>
      </c>
      <c r="M529" s="34">
        <f>IFERROR(__xludf.DUMMYFUNCTION("""COMPUTED_VALUE"""),0.0)</f>
        <v>0</v>
      </c>
      <c r="N529" s="34" t="str">
        <f>IFERROR(__xludf.DUMMYFUNCTION("""COMPUTED_VALUE"""),"EXTERNO")</f>
        <v>EXTERNO</v>
      </c>
      <c r="O529">
        <f>IFERROR(__xludf.DUMMYFUNCTION("""COMPUTED_VALUE"""),3.0)</f>
        <v>3</v>
      </c>
      <c r="P529">
        <f>IFERROR(__xludf.DUMMYFUNCTION("""COMPUTED_VALUE"""),1.0)</f>
        <v>1</v>
      </c>
      <c r="Q529" s="35">
        <f>IFERROR(__xludf.DUMMYFUNCTION("""COMPUTED_VALUE"""),1.0)</f>
        <v>1</v>
      </c>
      <c r="R529" s="36" t="str">
        <f>IFERROR(__xludf.DUMMYFUNCTION("""COMPUTED_VALUE"""),"SELECCIONADA")</f>
        <v>SELECCIONADA</v>
      </c>
      <c r="S529" s="37">
        <f>IFERROR(__xludf.DUMMYFUNCTION("""COMPUTED_VALUE"""),42243.0)</f>
        <v>42243</v>
      </c>
      <c r="T529" s="34"/>
      <c r="U529" t="str">
        <f>IFERROR(__xludf.DUMMYFUNCTION("""COMPUTED_VALUE"""),"VALENTINA DEL CAMPO ESCARATE")</f>
        <v>VALENTINA DEL CAMPO ESCARATE</v>
      </c>
      <c r="V529" t="str">
        <f>IFERROR(__xludf.DUMMYFUNCTION("""COMPUTED_VALUE"""),"09063120-9")</f>
        <v>09063120-9</v>
      </c>
      <c r="W529" t="str">
        <f>IFERROR(__xludf.DUMMYFUNCTION("""COMPUTED_VALUE"""),"NO")</f>
        <v>NO</v>
      </c>
      <c r="X529" t="str">
        <f>IFERROR(__xludf.DUMMYFUNCTION("""COMPUTED_VALUE"""),"Capacidad de Planificacion y Organizacion")</f>
        <v>Capacidad de Planificacion y Organizacion</v>
      </c>
      <c r="AA529" s="38">
        <f>IFERROR(__xludf.DUMMYFUNCTION("""COMPUTED_VALUE"""),42222.0)</f>
        <v>42222</v>
      </c>
      <c r="AB529" s="38">
        <f>IFERROR(__xludf.DUMMYFUNCTION("""COMPUTED_VALUE"""),42229.0)</f>
        <v>42229</v>
      </c>
      <c r="AF529" s="39"/>
      <c r="AG529" s="39"/>
      <c r="AH529" s="34" t="str">
        <f>IFERROR(__xludf.DUMMYFUNCTION("""COMPUTED_VALUE"""),"PROCESO DE SELECCIÓN")</f>
        <v>PROCESO DE SELECCIÓN</v>
      </c>
      <c r="AI529" s="34" t="str">
        <f>IFERROR(__xludf.DUMMYFUNCTION("""COMPUTED_VALUE"""),"CRISTINA BARRIA")</f>
        <v>CRISTINA BARRIA</v>
      </c>
      <c r="AJ529" s="34"/>
      <c r="AK529" s="34" t="str">
        <f>IFERROR(__xludf.DUMMYFUNCTION("""COMPUTED_VALUE"""),"P")</f>
        <v>P</v>
      </c>
      <c r="AL529">
        <f>IFERROR(__xludf.DUMMYFUNCTION("""COMPUTED_VALUE"""),11.0)</f>
        <v>11</v>
      </c>
      <c r="AM529">
        <f>IFERROR(__xludf.DUMMYFUNCTION("""COMPUTED_VALUE"""),2015.0)</f>
        <v>2015</v>
      </c>
      <c r="AN529" t="str">
        <f t="shared" si="1"/>
        <v>09063120-9</v>
      </c>
    </row>
    <row r="530">
      <c r="A530" s="33">
        <f>IFERROR(__xludf.DUMMYFUNCTION("""COMPUTED_VALUE"""),1.400322E7)</f>
        <v>14003220</v>
      </c>
      <c r="B530" s="33">
        <f>IFERROR(__xludf.DUMMYFUNCTION("""COMPUTED_VALUE"""),75.0)</f>
        <v>75</v>
      </c>
      <c r="C530" s="33"/>
      <c r="D530" s="34" t="str">
        <f>IFERROR(__xludf.DUMMYFUNCTION("""COMPUTED_VALUE"""),"15")</f>
        <v>15</v>
      </c>
      <c r="E530" s="34" t="str">
        <f>IFERROR(__xludf.DUMMYFUNCTION("""COMPUTED_VALUE"""),"UNIDAD DE BIBLIOTECAS")</f>
        <v>UNIDAD DE BIBLIOTECAS</v>
      </c>
      <c r="F530" s="34" t="str">
        <f>IFERROR(__xludf.DUMMYFUNCTION("""COMPUTED_VALUE"""),"Bibliotecario(a)")</f>
        <v>Bibliotecario(a)</v>
      </c>
      <c r="G530" s="33" t="str">
        <f>IFERROR(__xludf.DUMMYFUNCTION("""COMPUTED_VALUE"""),"BIBLIOTECARIO")</f>
        <v>BIBLIOTECARIO</v>
      </c>
      <c r="H530">
        <f>IFERROR(__xludf.DUMMYFUNCTION("""COMPUTED_VALUE"""),14.0)</f>
        <v>14</v>
      </c>
      <c r="I530" s="34" t="str">
        <f>IFERROR(__xludf.DUMMYFUNCTION("""COMPUTED_VALUE"""),"Jornada Completa")</f>
        <v>Jornada Completa</v>
      </c>
      <c r="J530" s="33" t="str">
        <f>IFERROR(__xludf.DUMMYFUNCTION("""COMPUTED_VALUE"""),"A CONTRATA")</f>
        <v>A CONTRATA</v>
      </c>
      <c r="K530" s="33" t="str">
        <f>IFERROR(__xludf.DUMMYFUNCTION("""COMPUTED_VALUE"""),"PROFESIONAL")</f>
        <v>PROFESIONAL</v>
      </c>
      <c r="L530" s="34" t="str">
        <f>IFERROR(__xludf.DUMMYFUNCTION("""COMPUTED_VALUE"""),"INTERNO")</f>
        <v>INTERNO</v>
      </c>
      <c r="M530" s="34">
        <f>IFERROR(__xludf.DUMMYFUNCTION("""COMPUTED_VALUE"""),0.0)</f>
        <v>0</v>
      </c>
      <c r="N530" s="34" t="str">
        <f>IFERROR(__xludf.DUMMYFUNCTION("""COMPUTED_VALUE"""),"EXTERNO")</f>
        <v>EXTERNO</v>
      </c>
      <c r="O530">
        <f>IFERROR(__xludf.DUMMYFUNCTION("""COMPUTED_VALUE"""),12.0)</f>
        <v>12</v>
      </c>
      <c r="P530">
        <f>IFERROR(__xludf.DUMMYFUNCTION("""COMPUTED_VALUE"""),2.0)</f>
        <v>2</v>
      </c>
      <c r="Q530" s="35">
        <f>IFERROR(__xludf.DUMMYFUNCTION("""COMPUTED_VALUE"""),1.0)</f>
        <v>1</v>
      </c>
      <c r="R530" s="36" t="str">
        <f>IFERROR(__xludf.DUMMYFUNCTION("""COMPUTED_VALUE"""),"SELECCIONADA")</f>
        <v>SELECCIONADA</v>
      </c>
      <c r="S530" s="37">
        <f>IFERROR(__xludf.DUMMYFUNCTION("""COMPUTED_VALUE"""),42296.0)</f>
        <v>42296</v>
      </c>
      <c r="T530" s="34"/>
      <c r="U530" t="str">
        <f>IFERROR(__xludf.DUMMYFUNCTION("""COMPUTED_VALUE"""),"MABEL MATSUMOTO JIMENEZ")</f>
        <v>MABEL MATSUMOTO JIMENEZ</v>
      </c>
      <c r="V530" t="str">
        <f>IFERROR(__xludf.DUMMYFUNCTION("""COMPUTED_VALUE"""),"14003220-4")</f>
        <v>14003220-4</v>
      </c>
      <c r="W530" t="str">
        <f>IFERROR(__xludf.DUMMYFUNCTION("""COMPUTED_VALUE"""),"SI")</f>
        <v>SI</v>
      </c>
      <c r="Z530" t="str">
        <f>IFERROR(__xludf.DUMMYFUNCTION("""COMPUTED_VALUE"""),"Capacidad de Planificacion y Organizacion")</f>
        <v>Capacidad de Planificacion y Organizacion</v>
      </c>
      <c r="AA530" s="38">
        <f>IFERROR(__xludf.DUMMYFUNCTION("""COMPUTED_VALUE"""),42205.0)</f>
        <v>42205</v>
      </c>
      <c r="AB530" s="38">
        <f>IFERROR(__xludf.DUMMYFUNCTION("""COMPUTED_VALUE"""),42212.0)</f>
        <v>42212</v>
      </c>
      <c r="AF530" s="39"/>
      <c r="AG530" s="39"/>
      <c r="AH530" s="34" t="str">
        <f>IFERROR(__xludf.DUMMYFUNCTION("""COMPUTED_VALUE"""),"PROCESO DE SELECCIÓN")</f>
        <v>PROCESO DE SELECCIÓN</v>
      </c>
      <c r="AI530" s="34" t="str">
        <f>IFERROR(__xludf.DUMMYFUNCTION("""COMPUTED_VALUE"""),"-")</f>
        <v>-</v>
      </c>
      <c r="AJ530" s="34"/>
      <c r="AK530" s="34" t="str">
        <f>IFERROR(__xludf.DUMMYFUNCTION("""COMPUTED_VALUE"""),"E")</f>
        <v>E</v>
      </c>
      <c r="AL530">
        <f>IFERROR(__xludf.DUMMYFUNCTION("""COMPUTED_VALUE"""),61.0)</f>
        <v>61</v>
      </c>
      <c r="AM530">
        <f>IFERROR(__xludf.DUMMYFUNCTION("""COMPUTED_VALUE"""),2015.0)</f>
        <v>2015</v>
      </c>
      <c r="AN530" t="str">
        <f t="shared" si="1"/>
        <v>14003220-4</v>
      </c>
    </row>
    <row r="531">
      <c r="A531" s="33">
        <f>IFERROR(__xludf.DUMMYFUNCTION("""COMPUTED_VALUE"""),7687205.0)</f>
        <v>7687205</v>
      </c>
      <c r="B531" s="33">
        <f>IFERROR(__xludf.DUMMYFUNCTION("""COMPUTED_VALUE"""),76.0)</f>
        <v>76</v>
      </c>
      <c r="C531" s="33"/>
      <c r="D531" s="34" t="str">
        <f>IFERROR(__xludf.DUMMYFUNCTION("""COMPUTED_VALUE"""),"40")</f>
        <v>40</v>
      </c>
      <c r="E531" s="34" t="str">
        <f>IFERROR(__xludf.DUMMYFUNCTION("""COMPUTED_VALUE"""),"DEPARTAMENTO DE INGENIERIA INFORMATICA")</f>
        <v>DEPARTAMENTO DE INGENIERIA INFORMATICA</v>
      </c>
      <c r="F531" s="34" t="str">
        <f>IFERROR(__xludf.DUMMYFUNCTION("""COMPUTED_VALUE"""),"Auxiliar de Servicios")</f>
        <v>Auxiliar de Servicios</v>
      </c>
      <c r="G531" s="33" t="str">
        <f>IFERROR(__xludf.DUMMYFUNCTION("""COMPUTED_VALUE"""),"AUXILIAR DE SERVICIOS")</f>
        <v>AUXILIAR DE SERVICIOS</v>
      </c>
      <c r="H531">
        <f>IFERROR(__xludf.DUMMYFUNCTION("""COMPUTED_VALUE"""),23.0)</f>
        <v>23</v>
      </c>
      <c r="I531" s="34" t="str">
        <f>IFERROR(__xludf.DUMMYFUNCTION("""COMPUTED_VALUE"""),"Jornada Completa")</f>
        <v>Jornada Completa</v>
      </c>
      <c r="J531" s="33" t="str">
        <f>IFERROR(__xludf.DUMMYFUNCTION("""COMPUTED_VALUE"""),"A CONTRATA")</f>
        <v>A CONTRATA</v>
      </c>
      <c r="K531" s="33" t="str">
        <f>IFERROR(__xludf.DUMMYFUNCTION("""COMPUTED_VALUE"""),"AUXILIAR")</f>
        <v>AUXILIAR</v>
      </c>
      <c r="L531" s="34" t="str">
        <f>IFERROR(__xludf.DUMMYFUNCTION("""COMPUTED_VALUE"""),"INTERNO")</f>
        <v>INTERNO</v>
      </c>
      <c r="M531" s="34">
        <f>IFERROR(__xludf.DUMMYFUNCTION("""COMPUTED_VALUE"""),1.0)</f>
        <v>1</v>
      </c>
      <c r="N531" s="34" t="str">
        <f>IFERROR(__xludf.DUMMYFUNCTION("""COMPUTED_VALUE"""),"EXTERNO")</f>
        <v>EXTERNO</v>
      </c>
      <c r="O531">
        <f>IFERROR(__xludf.DUMMYFUNCTION("""COMPUTED_VALUE"""),4.0)</f>
        <v>4</v>
      </c>
      <c r="P531">
        <f>IFERROR(__xludf.DUMMYFUNCTION("""COMPUTED_VALUE"""),2.0)</f>
        <v>2</v>
      </c>
      <c r="Q531" s="35">
        <f>IFERROR(__xludf.DUMMYFUNCTION("""COMPUTED_VALUE"""),1.0)</f>
        <v>1</v>
      </c>
      <c r="R531" s="36" t="str">
        <f>IFERROR(__xludf.DUMMYFUNCTION("""COMPUTED_VALUE"""),"SELECCIONADO")</f>
        <v>SELECCIONADO</v>
      </c>
      <c r="S531" s="37">
        <f>IFERROR(__xludf.DUMMYFUNCTION("""COMPUTED_VALUE"""),42310.0)</f>
        <v>42310</v>
      </c>
      <c r="T531" s="34"/>
      <c r="U531" t="str">
        <f>IFERROR(__xludf.DUMMYFUNCTION("""COMPUTED_VALUE"""),"PEDRO CASTRO AGUSTO")</f>
        <v>PEDRO CASTRO AGUSTO</v>
      </c>
      <c r="V531" t="str">
        <f>IFERROR(__xludf.DUMMYFUNCTION("""COMPUTED_VALUE"""),"07687205-8")</f>
        <v>07687205-8</v>
      </c>
      <c r="W531" t="str">
        <f>IFERROR(__xludf.DUMMYFUNCTION("""COMPUTED_VALUE"""),"NO")</f>
        <v>NO</v>
      </c>
      <c r="AA531" s="38">
        <f>IFERROR(__xludf.DUMMYFUNCTION("""COMPUTED_VALUE"""),42284.0)</f>
        <v>42284</v>
      </c>
      <c r="AB531" s="38">
        <f>IFERROR(__xludf.DUMMYFUNCTION("""COMPUTED_VALUE"""),42291.0)</f>
        <v>42291</v>
      </c>
      <c r="AF531" s="39"/>
      <c r="AG531" s="39"/>
      <c r="AH531" s="34" t="str">
        <f>IFERROR(__xludf.DUMMYFUNCTION("""COMPUTED_VALUE"""),"PROCESO DE SELECCIÓN")</f>
        <v>PROCESO DE SELECCIÓN</v>
      </c>
      <c r="AI531" s="34" t="str">
        <f>IFERROR(__xludf.DUMMYFUNCTION("""COMPUTED_VALUE"""),"ARNALDO PEREZ")</f>
        <v>ARNALDO PEREZ</v>
      </c>
      <c r="AJ531" s="34"/>
      <c r="AK531" s="34" t="str">
        <f>IFERROR(__xludf.DUMMYFUNCTION("""COMPUTED_VALUE"""),"C")</f>
        <v>C</v>
      </c>
      <c r="AL531">
        <f>IFERROR(__xludf.DUMMYFUNCTION("""COMPUTED_VALUE"""),14.0)</f>
        <v>14</v>
      </c>
      <c r="AM531">
        <f>IFERROR(__xludf.DUMMYFUNCTION("""COMPUTED_VALUE"""),2015.0)</f>
        <v>2015</v>
      </c>
      <c r="AN531" t="str">
        <f t="shared" si="1"/>
        <v>07687205-8</v>
      </c>
    </row>
    <row r="532">
      <c r="A532" s="33">
        <f>IFERROR(__xludf.DUMMYFUNCTION("""COMPUTED_VALUE"""),1.3353713E7)</f>
        <v>13353713</v>
      </c>
      <c r="B532" s="33">
        <f>IFERROR(__xludf.DUMMYFUNCTION("""COMPUTED_VALUE"""),77.0)</f>
        <v>77</v>
      </c>
      <c r="C532" s="33"/>
      <c r="D532" s="34" t="str">
        <f>IFERROR(__xludf.DUMMYFUNCTION("""COMPUTED_VALUE"""),"3")</f>
        <v>3</v>
      </c>
      <c r="E532" s="34" t="str">
        <f>IFERROR(__xludf.DUMMYFUNCTION("""COMPUTED_VALUE"""),"UNIDAD DE GESTION DEL CAMPUS")</f>
        <v>UNIDAD DE GESTION DEL CAMPUS</v>
      </c>
      <c r="F532" s="34" t="str">
        <f>IFERROR(__xludf.DUMMYFUNCTION("""COMPUTED_VALUE"""),"Técnico(a) Eléctrico")</f>
        <v>Técnico(a) Eléctrico</v>
      </c>
      <c r="G532" s="33" t="str">
        <f>IFERROR(__xludf.DUMMYFUNCTION("""COMPUTED_VALUE"""),"TECNICO ELECTRICO")</f>
        <v>TECNICO ELECTRICO</v>
      </c>
      <c r="H532">
        <f>IFERROR(__xludf.DUMMYFUNCTION("""COMPUTED_VALUE"""),17.0)</f>
        <v>17</v>
      </c>
      <c r="I532" s="34" t="str">
        <f>IFERROR(__xludf.DUMMYFUNCTION("""COMPUTED_VALUE"""),"Jornada Completa")</f>
        <v>Jornada Completa</v>
      </c>
      <c r="J532" s="33" t="str">
        <f>IFERROR(__xludf.DUMMYFUNCTION("""COMPUTED_VALUE"""),"A CONTRATA")</f>
        <v>A CONTRATA</v>
      </c>
      <c r="K532" s="33" t="str">
        <f>IFERROR(__xludf.DUMMYFUNCTION("""COMPUTED_VALUE"""),"TECNICO")</f>
        <v>TECNICO</v>
      </c>
      <c r="L532" s="34" t="str">
        <f>IFERROR(__xludf.DUMMYFUNCTION("""COMPUTED_VALUE"""),"INTERNO")</f>
        <v>INTERNO</v>
      </c>
      <c r="M532" s="34">
        <f>IFERROR(__xludf.DUMMYFUNCTION("""COMPUTED_VALUE"""),1.0)</f>
        <v>1</v>
      </c>
      <c r="N532" s="34" t="str">
        <f>IFERROR(__xludf.DUMMYFUNCTION("""COMPUTED_VALUE"""),"NO")</f>
        <v>NO</v>
      </c>
      <c r="Q532" s="35">
        <f>IFERROR(__xludf.DUMMYFUNCTION("""COMPUTED_VALUE"""),0.0)</f>
        <v>0</v>
      </c>
      <c r="R532" s="36" t="str">
        <f>IFERROR(__xludf.DUMMYFUNCTION("""COMPUTED_VALUE"""),"SELECCIONADO")</f>
        <v>SELECCIONADO</v>
      </c>
      <c r="S532" s="37">
        <f>IFERROR(__xludf.DUMMYFUNCTION("""COMPUTED_VALUE"""),42248.0)</f>
        <v>42248</v>
      </c>
      <c r="T532" s="34" t="str">
        <f>IFERROR(__xludf.DUMMYFUNCTION("""COMPUTED_VALUE"""),"MAURICIO PIZARRO GONZALEZ")</f>
        <v>MAURICIO PIZARRO GONZALEZ</v>
      </c>
      <c r="V532" t="str">
        <f>IFERROR(__xludf.DUMMYFUNCTION("""COMPUTED_VALUE"""),"13353713-9")</f>
        <v>13353713-9</v>
      </c>
      <c r="W532" t="str">
        <f>IFERROR(__xludf.DUMMYFUNCTION("""COMPUTED_VALUE"""),"NO")</f>
        <v>NO</v>
      </c>
      <c r="AA532" s="38">
        <f>IFERROR(__xludf.DUMMYFUNCTION("""COMPUTED_VALUE"""),42221.0)</f>
        <v>42221</v>
      </c>
      <c r="AB532" s="38">
        <f>IFERROR(__xludf.DUMMYFUNCTION("""COMPUTED_VALUE"""),42226.0)</f>
        <v>42226</v>
      </c>
      <c r="AC532">
        <f>IFERROR(__xludf.DUMMYFUNCTION("""COMPUTED_VALUE"""),21.0)</f>
        <v>21</v>
      </c>
      <c r="AD532" t="str">
        <f>IFERROR(__xludf.DUMMYFUNCTION("""COMPUTED_VALUE"""),"TECNICO")</f>
        <v>TECNICO</v>
      </c>
      <c r="AF532" s="39" t="str">
        <f>IFERROR(__xludf.DUMMYFUNCTION("""COMPUTED_VALUE"""),"UNIDAD DE GESTION DEL CAMPUS")</f>
        <v>UNIDAD DE GESTION DEL CAMPUS</v>
      </c>
      <c r="AG532" s="39"/>
      <c r="AH532" s="34" t="str">
        <f>IFERROR(__xludf.DUMMYFUNCTION("""COMPUTED_VALUE"""),"PROCESO DE SELECCIÓN")</f>
        <v>PROCESO DE SELECCIÓN</v>
      </c>
      <c r="AI532" s="34" t="str">
        <f>IFERROR(__xludf.DUMMYFUNCTION("""COMPUTED_VALUE"""),"EGOR MONTECINOS")</f>
        <v>EGOR MONTECINOS</v>
      </c>
      <c r="AJ532" s="34"/>
      <c r="AK532" s="34" t="str">
        <f>IFERROR(__xludf.DUMMYFUNCTION("""COMPUTED_VALUE"""),"P")</f>
        <v>P</v>
      </c>
      <c r="AL532">
        <f>IFERROR(__xludf.DUMMYFUNCTION("""COMPUTED_VALUE"""),17.0)</f>
        <v>17</v>
      </c>
      <c r="AM532">
        <f>IFERROR(__xludf.DUMMYFUNCTION("""COMPUTED_VALUE"""),2015.0)</f>
        <v>2015</v>
      </c>
      <c r="AN532" t="str">
        <f t="shared" si="1"/>
        <v>13353713-9</v>
      </c>
    </row>
    <row r="533">
      <c r="A533" s="33">
        <f>IFERROR(__xludf.DUMMYFUNCTION("""COMPUTED_VALUE"""),1.0874837E7)</f>
        <v>10874837</v>
      </c>
      <c r="B533" s="33">
        <f>IFERROR(__xludf.DUMMYFUNCTION("""COMPUTED_VALUE"""),78.0)</f>
        <v>78</v>
      </c>
      <c r="C533" s="33"/>
      <c r="D533" s="34" t="str">
        <f>IFERROR(__xludf.DUMMYFUNCTION("""COMPUTED_VALUE"""),"15")</f>
        <v>15</v>
      </c>
      <c r="E533" s="34" t="str">
        <f>IFERROR(__xludf.DUMMYFUNCTION("""COMPUTED_VALUE"""),"VICERRECTORIA ACADEMICA")</f>
        <v>VICERRECTORIA ACADEMICA</v>
      </c>
      <c r="F533" s="34" t="str">
        <f>IFERROR(__xludf.DUMMYFUNCTION("""COMPUTED_VALUE"""),"Auxiliar de Servicios")</f>
        <v>Auxiliar de Servicios</v>
      </c>
      <c r="G533" s="33" t="str">
        <f>IFERROR(__xludf.DUMMYFUNCTION("""COMPUTED_VALUE"""),"AUXILIAR DE SERVICIOS")</f>
        <v>AUXILIAR DE SERVICIOS</v>
      </c>
      <c r="H533">
        <f>IFERROR(__xludf.DUMMYFUNCTION("""COMPUTED_VALUE"""),23.0)</f>
        <v>23</v>
      </c>
      <c r="I533" s="34" t="str">
        <f>IFERROR(__xludf.DUMMYFUNCTION("""COMPUTED_VALUE"""),"Jornada Completa")</f>
        <v>Jornada Completa</v>
      </c>
      <c r="J533" s="33" t="str">
        <f>IFERROR(__xludf.DUMMYFUNCTION("""COMPUTED_VALUE"""),"A CONTRATA")</f>
        <v>A CONTRATA</v>
      </c>
      <c r="K533" s="33" t="str">
        <f>IFERROR(__xludf.DUMMYFUNCTION("""COMPUTED_VALUE"""),"AUXILIAR")</f>
        <v>AUXILIAR</v>
      </c>
      <c r="L533" s="34" t="str">
        <f>IFERROR(__xludf.DUMMYFUNCTION("""COMPUTED_VALUE"""),"INTERNO")</f>
        <v>INTERNO</v>
      </c>
      <c r="M533" s="34">
        <f>IFERROR(__xludf.DUMMYFUNCTION("""COMPUTED_VALUE"""),0.0)</f>
        <v>0</v>
      </c>
      <c r="N533" s="34" t="str">
        <f>IFERROR(__xludf.DUMMYFUNCTION("""COMPUTED_VALUE"""),"EXTERNO")</f>
        <v>EXTERNO</v>
      </c>
      <c r="O533">
        <f>IFERROR(__xludf.DUMMYFUNCTION("""COMPUTED_VALUE"""),1.0)</f>
        <v>1</v>
      </c>
      <c r="P533">
        <f>IFERROR(__xludf.DUMMYFUNCTION("""COMPUTED_VALUE"""),1.0)</f>
        <v>1</v>
      </c>
      <c r="Q533" s="35">
        <f>IFERROR(__xludf.DUMMYFUNCTION("""COMPUTED_VALUE"""),1.0)</f>
        <v>1</v>
      </c>
      <c r="R533" s="36" t="str">
        <f>IFERROR(__xludf.DUMMYFUNCTION("""COMPUTED_VALUE"""),"SELECCIONADA")</f>
        <v>SELECCIONADA</v>
      </c>
      <c r="S533" s="37">
        <f>IFERROR(__xludf.DUMMYFUNCTION("""COMPUTED_VALUE"""),42303.0)</f>
        <v>42303</v>
      </c>
      <c r="T533" s="34"/>
      <c r="U533" t="str">
        <f>IFERROR(__xludf.DUMMYFUNCTION("""COMPUTED_VALUE"""),"ANGELICA FLORES FERNANDEZ")</f>
        <v>ANGELICA FLORES FERNANDEZ</v>
      </c>
      <c r="V533" t="str">
        <f>IFERROR(__xludf.DUMMYFUNCTION("""COMPUTED_VALUE"""),"10874837-0")</f>
        <v>10874837-0</v>
      </c>
      <c r="W533" t="str">
        <f>IFERROR(__xludf.DUMMYFUNCTION("""COMPUTED_VALUE"""),"NO")</f>
        <v>NO</v>
      </c>
      <c r="AA533" s="38">
        <f>IFERROR(__xludf.DUMMYFUNCTION("""COMPUTED_VALUE"""),42269.0)</f>
        <v>42269</v>
      </c>
      <c r="AB533" s="38">
        <f>IFERROR(__xludf.DUMMYFUNCTION("""COMPUTED_VALUE"""),42277.0)</f>
        <v>42277</v>
      </c>
      <c r="AF533" s="39"/>
      <c r="AG533" s="39"/>
      <c r="AH533" s="34" t="str">
        <f>IFERROR(__xludf.DUMMYFUNCTION("""COMPUTED_VALUE"""),"PROCESO DE SELECCIÓN")</f>
        <v>PROCESO DE SELECCIÓN</v>
      </c>
      <c r="AI533" s="34" t="str">
        <f>IFERROR(__xludf.DUMMYFUNCTION("""COMPUTED_VALUE"""),"-")</f>
        <v>-</v>
      </c>
      <c r="AJ533" s="34"/>
      <c r="AK533" s="34" t="str">
        <f>IFERROR(__xludf.DUMMYFUNCTION("""COMPUTED_VALUE"""),"C")</f>
        <v>C</v>
      </c>
      <c r="AL533">
        <f>IFERROR(__xludf.DUMMYFUNCTION("""COMPUTED_VALUE"""),19.0)</f>
        <v>19</v>
      </c>
      <c r="AM533">
        <f>IFERROR(__xludf.DUMMYFUNCTION("""COMPUTED_VALUE"""),2015.0)</f>
        <v>2015</v>
      </c>
      <c r="AN533" t="str">
        <f t="shared" si="1"/>
        <v>10874837-0</v>
      </c>
    </row>
    <row r="534">
      <c r="A534" s="33">
        <f>IFERROR(__xludf.DUMMYFUNCTION("""COMPUTED_VALUE"""),1.5617714E7)</f>
        <v>15617714</v>
      </c>
      <c r="B534" s="33">
        <f>IFERROR(__xludf.DUMMYFUNCTION("""COMPUTED_VALUE"""),79.0)</f>
        <v>79</v>
      </c>
      <c r="C534" s="33"/>
      <c r="D534" s="34" t="str">
        <f>IFERROR(__xludf.DUMMYFUNCTION("""COMPUTED_VALUE"""),"22")</f>
        <v>22</v>
      </c>
      <c r="E534" s="34" t="str">
        <f>IFERROR(__xludf.DUMMYFUNCTION("""COMPUTED_VALUE"""),"UNIDAD DE ATENCION DE SALUD")</f>
        <v>UNIDAD DE ATENCION DE SALUD</v>
      </c>
      <c r="F534" s="34" t="str">
        <f>IFERROR(__xludf.DUMMYFUNCTION("""COMPUTED_VALUE"""),"Matrón(a)")</f>
        <v>Matrón(a)</v>
      </c>
      <c r="G534" s="33" t="str">
        <f>IFERROR(__xludf.DUMMYFUNCTION("""COMPUTED_VALUE"""),"MATRONA")</f>
        <v>MATRONA</v>
      </c>
      <c r="H534">
        <f>IFERROR(__xludf.DUMMYFUNCTION("""COMPUTED_VALUE"""),13.0)</f>
        <v>13</v>
      </c>
      <c r="I534" s="34" t="str">
        <f>IFERROR(__xludf.DUMMYFUNCTION("""COMPUTED_VALUE"""),"Jornada Completa")</f>
        <v>Jornada Completa</v>
      </c>
      <c r="J534" s="33" t="str">
        <f>IFERROR(__xludf.DUMMYFUNCTION("""COMPUTED_VALUE"""),"A CONTRATA")</f>
        <v>A CONTRATA</v>
      </c>
      <c r="K534" s="33" t="str">
        <f>IFERROR(__xludf.DUMMYFUNCTION("""COMPUTED_VALUE"""),"PROFESIONAL")</f>
        <v>PROFESIONAL</v>
      </c>
      <c r="L534" s="34" t="str">
        <f>IFERROR(__xludf.DUMMYFUNCTION("""COMPUTED_VALUE"""),"INTERNO")</f>
        <v>INTERNO</v>
      </c>
      <c r="M534" s="34">
        <f>IFERROR(__xludf.DUMMYFUNCTION("""COMPUTED_VALUE"""),0.0)</f>
        <v>0</v>
      </c>
      <c r="N534" s="34" t="str">
        <f>IFERROR(__xludf.DUMMYFUNCTION("""COMPUTED_VALUE"""),"EXTERNO")</f>
        <v>EXTERNO</v>
      </c>
      <c r="O534">
        <f>IFERROR(__xludf.DUMMYFUNCTION("""COMPUTED_VALUE"""),10.0)</f>
        <v>10</v>
      </c>
      <c r="P534">
        <f>IFERROR(__xludf.DUMMYFUNCTION("""COMPUTED_VALUE"""),1.0)</f>
        <v>1</v>
      </c>
      <c r="Q534" s="35">
        <f>IFERROR(__xludf.DUMMYFUNCTION("""COMPUTED_VALUE"""),3.0)</f>
        <v>3</v>
      </c>
      <c r="R534" s="36" t="str">
        <f>IFERROR(__xludf.DUMMYFUNCTION("""COMPUTED_VALUE"""),"SELECCIONADA")</f>
        <v>SELECCIONADA</v>
      </c>
      <c r="S534" s="37">
        <f>IFERROR(__xludf.DUMMYFUNCTION("""COMPUTED_VALUE"""),42310.0)</f>
        <v>42310</v>
      </c>
      <c r="T534" s="34"/>
      <c r="U534" t="str">
        <f>IFERROR(__xludf.DUMMYFUNCTION("""COMPUTED_VALUE"""),"ESTEFANIA DE LA PENA PARADA")</f>
        <v>ESTEFANIA DE LA PENA PARADA</v>
      </c>
      <c r="V534" t="str">
        <f>IFERROR(__xludf.DUMMYFUNCTION("""COMPUTED_VALUE"""),"15617714-8")</f>
        <v>15617714-8</v>
      </c>
      <c r="W534" t="str">
        <f>IFERROR(__xludf.DUMMYFUNCTION("""COMPUTED_VALUE"""),"NO")</f>
        <v>NO</v>
      </c>
      <c r="AA534" s="38">
        <f>IFERROR(__xludf.DUMMYFUNCTION("""COMPUTED_VALUE"""),42283.0)</f>
        <v>42283</v>
      </c>
      <c r="AB534" s="38">
        <f>IFERROR(__xludf.DUMMYFUNCTION("""COMPUTED_VALUE"""),42290.0)</f>
        <v>42290</v>
      </c>
      <c r="AF534" s="39"/>
      <c r="AG534" s="39"/>
      <c r="AH534" s="34" t="str">
        <f>IFERROR(__xludf.DUMMYFUNCTION("""COMPUTED_VALUE"""),"PROCESO DE SELECCIÓN")</f>
        <v>PROCESO DE SELECCIÓN</v>
      </c>
      <c r="AI534" s="34" t="str">
        <f>IFERROR(__xludf.DUMMYFUNCTION("""COMPUTED_VALUE"""),"PAULINA DIAZ ROZAS")</f>
        <v>PAULINA DIAZ ROZAS</v>
      </c>
      <c r="AJ534" s="34"/>
      <c r="AK534" s="34" t="str">
        <f>IFERROR(__xludf.DUMMYFUNCTION("""COMPUTED_VALUE"""),"E")</f>
        <v>E</v>
      </c>
      <c r="AL534">
        <f>IFERROR(__xludf.DUMMYFUNCTION("""COMPUTED_VALUE"""),15.0)</f>
        <v>15</v>
      </c>
      <c r="AM534">
        <f>IFERROR(__xludf.DUMMYFUNCTION("""COMPUTED_VALUE"""),2015.0)</f>
        <v>2015</v>
      </c>
      <c r="AN534" t="str">
        <f t="shared" si="1"/>
        <v>15617714-8</v>
      </c>
    </row>
    <row r="535">
      <c r="A535" s="33">
        <f>IFERROR(__xludf.DUMMYFUNCTION("""COMPUTED_VALUE"""),1.4201293E7)</f>
        <v>14201293</v>
      </c>
      <c r="B535" s="33">
        <f>IFERROR(__xludf.DUMMYFUNCTION("""COMPUTED_VALUE"""),80.0)</f>
        <v>80</v>
      </c>
      <c r="C535" s="33"/>
      <c r="D535" s="34" t="str">
        <f>IFERROR(__xludf.DUMMYFUNCTION("""COMPUTED_VALUE"""),"22")</f>
        <v>22</v>
      </c>
      <c r="E535" s="34" t="str">
        <f>IFERROR(__xludf.DUMMYFUNCTION("""COMPUTED_VALUE"""),"DEPARTAMENTO DE ASIGNACION DE BENEFICIOS ESTUDIANTILES")</f>
        <v>DEPARTAMENTO DE ASIGNACION DE BENEFICIOS ESTUDIANTILES</v>
      </c>
      <c r="F535" s="34" t="str">
        <f>IFERROR(__xludf.DUMMYFUNCTION("""COMPUTED_VALUE"""),"Analista de Gestión II")</f>
        <v>Analista de Gestión II</v>
      </c>
      <c r="G535" s="33" t="str">
        <f>IFERROR(__xludf.DUMMYFUNCTION("""COMPUTED_VALUE"""),"ANALISTA II")</f>
        <v>ANALISTA II</v>
      </c>
      <c r="H535">
        <f>IFERROR(__xludf.DUMMYFUNCTION("""COMPUTED_VALUE"""),11.0)</f>
        <v>11</v>
      </c>
      <c r="I535" s="34" t="str">
        <f>IFERROR(__xludf.DUMMYFUNCTION("""COMPUTED_VALUE"""),"Jornada Completa")</f>
        <v>Jornada Completa</v>
      </c>
      <c r="J535" s="33" t="str">
        <f>IFERROR(__xludf.DUMMYFUNCTION("""COMPUTED_VALUE"""),"A CONTRATA")</f>
        <v>A CONTRATA</v>
      </c>
      <c r="K535" s="33" t="str">
        <f>IFERROR(__xludf.DUMMYFUNCTION("""COMPUTED_VALUE"""),"PROFESIONAL")</f>
        <v>PROFESIONAL</v>
      </c>
      <c r="L535" s="34" t="str">
        <f>IFERROR(__xludf.DUMMYFUNCTION("""COMPUTED_VALUE"""),"INTERNO")</f>
        <v>INTERNO</v>
      </c>
      <c r="M535" s="34">
        <f>IFERROR(__xludf.DUMMYFUNCTION("""COMPUTED_VALUE"""),0.0)</f>
        <v>0</v>
      </c>
      <c r="N535" s="34" t="str">
        <f>IFERROR(__xludf.DUMMYFUNCTION("""COMPUTED_VALUE"""),"EXTERNO")</f>
        <v>EXTERNO</v>
      </c>
      <c r="Q535" s="35">
        <f>IFERROR(__xludf.DUMMYFUNCTION("""COMPUTED_VALUE"""),6.0)</f>
        <v>6</v>
      </c>
      <c r="R535" s="36" t="str">
        <f>IFERROR(__xludf.DUMMYFUNCTION("""COMPUTED_VALUE"""),"SELECCIONADO")</f>
        <v>SELECCIONADO</v>
      </c>
      <c r="S535" s="37">
        <f>IFERROR(__xludf.DUMMYFUNCTION("""COMPUTED_VALUE"""),42317.0)</f>
        <v>42317</v>
      </c>
      <c r="T535" s="34"/>
      <c r="U535" t="str">
        <f>IFERROR(__xludf.DUMMYFUNCTION("""COMPUTED_VALUE"""),"RODRIGO HUERTA GATICA")</f>
        <v>RODRIGO HUERTA GATICA</v>
      </c>
      <c r="V535" t="str">
        <f>IFERROR(__xludf.DUMMYFUNCTION("""COMPUTED_VALUE"""),"14201293-6")</f>
        <v>14201293-6</v>
      </c>
      <c r="W535" t="str">
        <f>IFERROR(__xludf.DUMMYFUNCTION("""COMPUTED_VALUE"""),"NO")</f>
        <v>NO</v>
      </c>
      <c r="AA535" s="38">
        <f>IFERROR(__xludf.DUMMYFUNCTION("""COMPUTED_VALUE"""),42242.0)</f>
        <v>42242</v>
      </c>
      <c r="AB535" s="38">
        <f>IFERROR(__xludf.DUMMYFUNCTION("""COMPUTED_VALUE"""),42268.0)</f>
        <v>42268</v>
      </c>
      <c r="AF535" s="39"/>
      <c r="AG535" s="39"/>
      <c r="AH535" s="34" t="str">
        <f>IFERROR(__xludf.DUMMYFUNCTION("""COMPUTED_VALUE"""),"PROCESO DE SELECCIÓN")</f>
        <v>PROCESO DE SELECCIÓN</v>
      </c>
      <c r="AI535" s="34" t="str">
        <f>IFERROR(__xludf.DUMMYFUNCTION("""COMPUTED_VALUE"""),"-")</f>
        <v>-</v>
      </c>
      <c r="AJ535" s="34"/>
      <c r="AK535" s="34" t="str">
        <f>IFERROR(__xludf.DUMMYFUNCTION("""COMPUTED_VALUE"""),"E")</f>
        <v>E</v>
      </c>
      <c r="AL535">
        <f>IFERROR(__xludf.DUMMYFUNCTION("""COMPUTED_VALUE"""),36.0)</f>
        <v>36</v>
      </c>
      <c r="AM535">
        <f>IFERROR(__xludf.DUMMYFUNCTION("""COMPUTED_VALUE"""),2015.0)</f>
        <v>2015</v>
      </c>
      <c r="AN535" t="str">
        <f t="shared" si="1"/>
        <v>14201293-6</v>
      </c>
    </row>
    <row r="536">
      <c r="A536" s="33">
        <f>IFERROR(__xludf.DUMMYFUNCTION("""COMPUTED_VALUE"""),1.0275145E7)</f>
        <v>10275145</v>
      </c>
      <c r="B536" s="33">
        <f>IFERROR(__xludf.DUMMYFUNCTION("""COMPUTED_VALUE"""),81.0)</f>
        <v>81</v>
      </c>
      <c r="C536" s="33"/>
      <c r="D536" s="34" t="str">
        <f>IFERROR(__xludf.DUMMYFUNCTION("""COMPUTED_VALUE"""),"60")</f>
        <v>60</v>
      </c>
      <c r="E536" s="34" t="str">
        <f>IFERROR(__xludf.DUMMYFUNCTION("""COMPUTED_VALUE"""),"FACULTAD DE ADMINISTRACION Y ECONOMIA")</f>
        <v>FACULTAD DE ADMINISTRACION Y ECONOMIA</v>
      </c>
      <c r="F536" s="34" t="str">
        <f>IFERROR(__xludf.DUMMYFUNCTION("""COMPUTED_VALUE"""),"Encargado(a) de Bodega, Bienes y Servicios")</f>
        <v>Encargado(a) de Bodega, Bienes y Servicios</v>
      </c>
      <c r="G536" s="33" t="str">
        <f>IFERROR(__xludf.DUMMYFUNCTION("""COMPUTED_VALUE"""),"ENCARGADO DE BODEGA")</f>
        <v>ENCARGADO DE BODEGA</v>
      </c>
      <c r="H536">
        <f>IFERROR(__xludf.DUMMYFUNCTION("""COMPUTED_VALUE"""),20.0)</f>
        <v>20</v>
      </c>
      <c r="I536" s="34" t="str">
        <f>IFERROR(__xludf.DUMMYFUNCTION("""COMPUTED_VALUE"""),"Jornada Completa")</f>
        <v>Jornada Completa</v>
      </c>
      <c r="J536" s="33" t="str">
        <f>IFERROR(__xludf.DUMMYFUNCTION("""COMPUTED_VALUE"""),"A CONTRATA")</f>
        <v>A CONTRATA</v>
      </c>
      <c r="K536" s="33" t="str">
        <f>IFERROR(__xludf.DUMMYFUNCTION("""COMPUTED_VALUE"""),"ADMINISTRATIVO")</f>
        <v>ADMINISTRATIVO</v>
      </c>
      <c r="L536" s="34" t="str">
        <f>IFERROR(__xludf.DUMMYFUNCTION("""COMPUTED_VALUE"""),"INTERNO")</f>
        <v>INTERNO</v>
      </c>
      <c r="M536" s="34">
        <f>IFERROR(__xludf.DUMMYFUNCTION("""COMPUTED_VALUE"""),0.0)</f>
        <v>0</v>
      </c>
      <c r="N536" s="34" t="str">
        <f>IFERROR(__xludf.DUMMYFUNCTION("""COMPUTED_VALUE"""),"EXTERNO")</f>
        <v>EXTERNO</v>
      </c>
      <c r="O536">
        <f>IFERROR(__xludf.DUMMYFUNCTION("""COMPUTED_VALUE"""),13.0)</f>
        <v>13</v>
      </c>
      <c r="P536">
        <f>IFERROR(__xludf.DUMMYFUNCTION("""COMPUTED_VALUE"""),1.0)</f>
        <v>1</v>
      </c>
      <c r="Q536" s="35">
        <f>IFERROR(__xludf.DUMMYFUNCTION("""COMPUTED_VALUE"""),2.0)</f>
        <v>2</v>
      </c>
      <c r="R536" s="36" t="str">
        <f>IFERROR(__xludf.DUMMYFUNCTION("""COMPUTED_VALUE"""),"SELECCIONADO")</f>
        <v>SELECCIONADO</v>
      </c>
      <c r="S536" s="37">
        <f>IFERROR(__xludf.DUMMYFUNCTION("""COMPUTED_VALUE"""),42304.0)</f>
        <v>42304</v>
      </c>
      <c r="T536" s="34"/>
      <c r="U536" t="str">
        <f>IFERROR(__xludf.DUMMYFUNCTION("""COMPUTED_VALUE"""),"FERNANDO VASQUEZ RAMIREZ")</f>
        <v>FERNANDO VASQUEZ RAMIREZ</v>
      </c>
      <c r="V536" t="str">
        <f>IFERROR(__xludf.DUMMYFUNCTION("""COMPUTED_VALUE"""),"10275145-0")</f>
        <v>10275145-0</v>
      </c>
      <c r="W536" t="str">
        <f>IFERROR(__xludf.DUMMYFUNCTION("""COMPUTED_VALUE"""),"SI")</f>
        <v>SI</v>
      </c>
      <c r="Z536" t="str">
        <f>IFERROR(__xludf.DUMMYFUNCTION("""COMPUTED_VALUE"""),"INICIATIVA")</f>
        <v>INICIATIVA</v>
      </c>
      <c r="AA536" s="38">
        <f>IFERROR(__xludf.DUMMYFUNCTION("""COMPUTED_VALUE"""),42230.0)</f>
        <v>42230</v>
      </c>
      <c r="AB536" s="38">
        <f>IFERROR(__xludf.DUMMYFUNCTION("""COMPUTED_VALUE"""),42233.0)</f>
        <v>42233</v>
      </c>
      <c r="AF536" s="39"/>
      <c r="AG536" s="39"/>
      <c r="AH536" s="34" t="str">
        <f>IFERROR(__xludf.DUMMYFUNCTION("""COMPUTED_VALUE"""),"PROCESO DE SELECCIÓN")</f>
        <v>PROCESO DE SELECCIÓN</v>
      </c>
      <c r="AI536" s="34" t="str">
        <f>IFERROR(__xludf.DUMMYFUNCTION("""COMPUTED_VALUE"""),"ALEJANDRO GOMEZ")</f>
        <v>ALEJANDRO GOMEZ</v>
      </c>
      <c r="AJ536" s="34"/>
      <c r="AK536" s="34" t="str">
        <f>IFERROR(__xludf.DUMMYFUNCTION("""COMPUTED_VALUE"""),"P")</f>
        <v>P</v>
      </c>
      <c r="AL536">
        <f>IFERROR(__xludf.DUMMYFUNCTION("""COMPUTED_VALUE"""),52.0)</f>
        <v>52</v>
      </c>
      <c r="AM536">
        <f>IFERROR(__xludf.DUMMYFUNCTION("""COMPUTED_VALUE"""),2015.0)</f>
        <v>2015</v>
      </c>
      <c r="AN536" t="str">
        <f t="shared" si="1"/>
        <v>10275145-0</v>
      </c>
    </row>
    <row r="537">
      <c r="A537" s="33">
        <f>IFERROR(__xludf.DUMMYFUNCTION("""COMPUTED_VALUE"""),1.7879933E7)</f>
        <v>17879933</v>
      </c>
      <c r="B537" s="33">
        <f>IFERROR(__xludf.DUMMYFUNCTION("""COMPUTED_VALUE"""),82.0)</f>
        <v>82</v>
      </c>
      <c r="C537" s="33"/>
      <c r="D537" s="34" t="str">
        <f>IFERROR(__xludf.DUMMYFUNCTION("""COMPUTED_VALUE"""),"15")</f>
        <v>15</v>
      </c>
      <c r="E537" s="34" t="str">
        <f>IFERROR(__xludf.DUMMYFUNCTION("""COMPUTED_VALUE"""),"UNIDAD DE BIBLIOTECAS")</f>
        <v>UNIDAD DE BIBLIOTECAS</v>
      </c>
      <c r="F537" s="34" t="str">
        <f>IFERROR(__xludf.DUMMYFUNCTION("""COMPUTED_VALUE"""),"Estafeta")</f>
        <v>Estafeta</v>
      </c>
      <c r="G537" s="33" t="str">
        <f>IFERROR(__xludf.DUMMYFUNCTION("""COMPUTED_VALUE"""),"ESTAFETA")</f>
        <v>ESTAFETA</v>
      </c>
      <c r="H537">
        <f>IFERROR(__xludf.DUMMYFUNCTION("""COMPUTED_VALUE"""),23.0)</f>
        <v>23</v>
      </c>
      <c r="I537" s="34" t="str">
        <f>IFERROR(__xludf.DUMMYFUNCTION("""COMPUTED_VALUE"""),"Jornada Completa")</f>
        <v>Jornada Completa</v>
      </c>
      <c r="J537" s="33" t="str">
        <f>IFERROR(__xludf.DUMMYFUNCTION("""COMPUTED_VALUE"""),"A CONTRATA")</f>
        <v>A CONTRATA</v>
      </c>
      <c r="K537" s="33" t="str">
        <f>IFERROR(__xludf.DUMMYFUNCTION("""COMPUTED_VALUE"""),"AUXILIAR")</f>
        <v>AUXILIAR</v>
      </c>
      <c r="L537" s="34" t="str">
        <f>IFERROR(__xludf.DUMMYFUNCTION("""COMPUTED_VALUE"""),"INTERNO")</f>
        <v>INTERNO</v>
      </c>
      <c r="M537" s="34">
        <f>IFERROR(__xludf.DUMMYFUNCTION("""COMPUTED_VALUE"""),0.0)</f>
        <v>0</v>
      </c>
      <c r="N537" s="34" t="str">
        <f>IFERROR(__xludf.DUMMYFUNCTION("""COMPUTED_VALUE"""),"EXTERNO")</f>
        <v>EXTERNO</v>
      </c>
      <c r="O537">
        <f>IFERROR(__xludf.DUMMYFUNCTION("""COMPUTED_VALUE"""),9.0)</f>
        <v>9</v>
      </c>
      <c r="P537">
        <f>IFERROR(__xludf.DUMMYFUNCTION("""COMPUTED_VALUE"""),1.0)</f>
        <v>1</v>
      </c>
      <c r="Q537" s="35">
        <f>IFERROR(__xludf.DUMMYFUNCTION("""COMPUTED_VALUE"""),1.0)</f>
        <v>1</v>
      </c>
      <c r="R537" s="36" t="str">
        <f>IFERROR(__xludf.DUMMYFUNCTION("""COMPUTED_VALUE"""),"SELECCIONADA")</f>
        <v>SELECCIONADA</v>
      </c>
      <c r="S537" s="37">
        <f>IFERROR(__xludf.DUMMYFUNCTION("""COMPUTED_VALUE"""),42310.0)</f>
        <v>42310</v>
      </c>
      <c r="T537" s="34"/>
      <c r="U537" t="str">
        <f>IFERROR(__xludf.DUMMYFUNCTION("""COMPUTED_VALUE"""),"SUSANA CERDA ARANCIBIA")</f>
        <v>SUSANA CERDA ARANCIBIA</v>
      </c>
      <c r="V537" t="str">
        <f>IFERROR(__xludf.DUMMYFUNCTION("""COMPUTED_VALUE"""),"17879933-9")</f>
        <v>17879933-9</v>
      </c>
      <c r="W537" t="str">
        <f>IFERROR(__xludf.DUMMYFUNCTION("""COMPUTED_VALUE"""),"NO")</f>
        <v>NO</v>
      </c>
      <c r="AA537" s="38">
        <f>IFERROR(__xludf.DUMMYFUNCTION("""COMPUTED_VALUE"""),42283.0)</f>
        <v>42283</v>
      </c>
      <c r="AB537" s="38">
        <f>IFERROR(__xludf.DUMMYFUNCTION("""COMPUTED_VALUE"""),42290.0)</f>
        <v>42290</v>
      </c>
      <c r="AF537" s="39"/>
      <c r="AG537" s="39"/>
      <c r="AH537" s="34" t="str">
        <f>IFERROR(__xludf.DUMMYFUNCTION("""COMPUTED_VALUE"""),"PROCESO DE SELECCIÓN")</f>
        <v>PROCESO DE SELECCIÓN</v>
      </c>
      <c r="AI537" s="34" t="str">
        <f>IFERROR(__xludf.DUMMYFUNCTION("""COMPUTED_VALUE"""),"JACOB BORQUEZ SOTO")</f>
        <v>JACOB BORQUEZ SOTO</v>
      </c>
      <c r="AJ537" s="34"/>
      <c r="AK537" s="34" t="str">
        <f>IFERROR(__xludf.DUMMYFUNCTION("""COMPUTED_VALUE"""),"P")</f>
        <v>P</v>
      </c>
      <c r="AL537">
        <f>IFERROR(__xludf.DUMMYFUNCTION("""COMPUTED_VALUE"""),15.0)</f>
        <v>15</v>
      </c>
      <c r="AM537">
        <f>IFERROR(__xludf.DUMMYFUNCTION("""COMPUTED_VALUE"""),2015.0)</f>
        <v>2015</v>
      </c>
      <c r="AN537" t="str">
        <f t="shared" si="1"/>
        <v>17879933-9</v>
      </c>
    </row>
    <row r="538">
      <c r="A538" s="33">
        <f>IFERROR(__xludf.DUMMYFUNCTION("""COMPUTED_VALUE"""),1.7663754E7)</f>
        <v>17663754</v>
      </c>
      <c r="B538" s="33">
        <f>IFERROR(__xludf.DUMMYFUNCTION("""COMPUTED_VALUE"""),83.0)</f>
        <v>83</v>
      </c>
      <c r="C538" s="33"/>
      <c r="D538" s="34" t="str">
        <f>IFERROR(__xludf.DUMMYFUNCTION("""COMPUTED_VALUE"""),"3")</f>
        <v>3</v>
      </c>
      <c r="E538" s="34" t="str">
        <f>IFERROR(__xludf.DUMMYFUNCTION("""COMPUTED_VALUE"""),"DEPARTAMENTO DE FINANZAS Y TESORERIA")</f>
        <v>DEPARTAMENTO DE FINANZAS Y TESORERIA</v>
      </c>
      <c r="F538" s="34" t="str">
        <f>IFERROR(__xludf.DUMMYFUNCTION("""COMPUTED_VALUE"""),"Administrativo(a) Contable")</f>
        <v>Administrativo(a) Contable</v>
      </c>
      <c r="G538" s="33" t="str">
        <f>IFERROR(__xludf.DUMMYFUNCTION("""COMPUTED_VALUE"""),"ADMINISTRATIVO CONTABLE")</f>
        <v>ADMINISTRATIVO CONTABLE</v>
      </c>
      <c r="H538">
        <f>IFERROR(__xludf.DUMMYFUNCTION("""COMPUTED_VALUE"""),17.0)</f>
        <v>17</v>
      </c>
      <c r="I538" s="34" t="str">
        <f>IFERROR(__xludf.DUMMYFUNCTION("""COMPUTED_VALUE"""),"Jornada Completa")</f>
        <v>Jornada Completa</v>
      </c>
      <c r="J538" s="33" t="str">
        <f>IFERROR(__xludf.DUMMYFUNCTION("""COMPUTED_VALUE"""),"A CONTRATA")</f>
        <v>A CONTRATA</v>
      </c>
      <c r="K538" s="33" t="str">
        <f>IFERROR(__xludf.DUMMYFUNCTION("""COMPUTED_VALUE"""),"TECNICO")</f>
        <v>TECNICO</v>
      </c>
      <c r="L538" s="34" t="str">
        <f>IFERROR(__xludf.DUMMYFUNCTION("""COMPUTED_VALUE"""),"INTERNO")</f>
        <v>INTERNO</v>
      </c>
      <c r="M538" s="34">
        <f>IFERROR(__xludf.DUMMYFUNCTION("""COMPUTED_VALUE"""),0.0)</f>
        <v>0</v>
      </c>
      <c r="N538" s="34" t="str">
        <f>IFERROR(__xludf.DUMMYFUNCTION("""COMPUTED_VALUE"""),"EXTERNO")</f>
        <v>EXTERNO</v>
      </c>
      <c r="O538">
        <f>IFERROR(__xludf.DUMMYFUNCTION("""COMPUTED_VALUE"""),13.0)</f>
        <v>13</v>
      </c>
      <c r="P538">
        <f>IFERROR(__xludf.DUMMYFUNCTION("""COMPUTED_VALUE"""),1.0)</f>
        <v>1</v>
      </c>
      <c r="Q538" s="35">
        <f>IFERROR(__xludf.DUMMYFUNCTION("""COMPUTED_VALUE"""),2.0)</f>
        <v>2</v>
      </c>
      <c r="R538" s="36" t="str">
        <f>IFERROR(__xludf.DUMMYFUNCTION("""COMPUTED_VALUE"""),"SELECCIONADA")</f>
        <v>SELECCIONADA</v>
      </c>
      <c r="S538" s="37">
        <f>IFERROR(__xludf.DUMMYFUNCTION("""COMPUTED_VALUE"""),42324.0)</f>
        <v>42324</v>
      </c>
      <c r="T538" s="34"/>
      <c r="U538" t="str">
        <f>IFERROR(__xludf.DUMMYFUNCTION("""COMPUTED_VALUE"""),"MARIA PAZ CUBILLOS CASTRO")</f>
        <v>MARIA PAZ CUBILLOS CASTRO</v>
      </c>
      <c r="V538" t="str">
        <f>IFERROR(__xludf.DUMMYFUNCTION("""COMPUTED_VALUE"""),"17663754-4")</f>
        <v>17663754-4</v>
      </c>
      <c r="W538" t="str">
        <f>IFERROR(__xludf.DUMMYFUNCTION("""COMPUTED_VALUE"""),"NO")</f>
        <v>NO</v>
      </c>
      <c r="AA538" s="38">
        <f>IFERROR(__xludf.DUMMYFUNCTION("""COMPUTED_VALUE"""),42278.0)</f>
        <v>42278</v>
      </c>
      <c r="AB538" s="38">
        <f>IFERROR(__xludf.DUMMYFUNCTION("""COMPUTED_VALUE"""),42285.0)</f>
        <v>42285</v>
      </c>
      <c r="AF538" s="39"/>
      <c r="AG538" s="39"/>
      <c r="AH538" s="34" t="str">
        <f>IFERROR(__xludf.DUMMYFUNCTION("""COMPUTED_VALUE"""),"PROCESO DE SELECCIÓN")</f>
        <v>PROCESO DE SELECCIÓN</v>
      </c>
      <c r="AI538" s="34" t="str">
        <f>IFERROR(__xludf.DUMMYFUNCTION("""COMPUTED_VALUE"""),"PAULA LEIVA")</f>
        <v>PAULA LEIVA</v>
      </c>
      <c r="AJ538" s="34"/>
      <c r="AK538" s="34" t="str">
        <f>IFERROR(__xludf.DUMMYFUNCTION("""COMPUTED_VALUE"""),"P")</f>
        <v>P</v>
      </c>
      <c r="AL538">
        <f>IFERROR(__xludf.DUMMYFUNCTION("""COMPUTED_VALUE"""),28.0)</f>
        <v>28</v>
      </c>
      <c r="AM538">
        <f>IFERROR(__xludf.DUMMYFUNCTION("""COMPUTED_VALUE"""),2015.0)</f>
        <v>2015</v>
      </c>
      <c r="AN538" t="str">
        <f t="shared" si="1"/>
        <v>17663754-4</v>
      </c>
    </row>
    <row r="539">
      <c r="A539" s="33">
        <f>IFERROR(__xludf.DUMMYFUNCTION("""COMPUTED_VALUE"""),1.6660591E7)</f>
        <v>16660591</v>
      </c>
      <c r="B539" s="33">
        <f>IFERROR(__xludf.DUMMYFUNCTION("""COMPUTED_VALUE"""),84.0)</f>
        <v>84</v>
      </c>
      <c r="C539" s="33"/>
      <c r="D539" s="34" t="str">
        <f>IFERROR(__xludf.DUMMYFUNCTION("""COMPUTED_VALUE"""),"15")</f>
        <v>15</v>
      </c>
      <c r="E539" s="34" t="str">
        <f>IFERROR(__xludf.DUMMYFUNCTION("""COMPUTED_VALUE"""),"INSTITUTO DE ESTUDIOS AVANZADOS")</f>
        <v>INSTITUTO DE ESTUDIOS AVANZADOS</v>
      </c>
      <c r="F539" s="34" t="str">
        <f>IFERROR(__xludf.DUMMYFUNCTION("""COMPUTED_VALUE"""),"Secretario(a) de Apoyo Docente")</f>
        <v>Secretario(a) de Apoyo Docente</v>
      </c>
      <c r="G539" s="33" t="str">
        <f>IFERROR(__xludf.DUMMYFUNCTION("""COMPUTED_VALUE"""),"SECRETARIA DE APOYO DOCENTE")</f>
        <v>SECRETARIA DE APOYO DOCENTE</v>
      </c>
      <c r="H539">
        <f>IFERROR(__xludf.DUMMYFUNCTION("""COMPUTED_VALUE"""),17.0)</f>
        <v>17</v>
      </c>
      <c r="I539" s="34" t="str">
        <f>IFERROR(__xludf.DUMMYFUNCTION("""COMPUTED_VALUE"""),"Jornada Completa")</f>
        <v>Jornada Completa</v>
      </c>
      <c r="J539" s="33" t="str">
        <f>IFERROR(__xludf.DUMMYFUNCTION("""COMPUTED_VALUE"""),"A CONTRATA")</f>
        <v>A CONTRATA</v>
      </c>
      <c r="K539" s="33" t="str">
        <f>IFERROR(__xludf.DUMMYFUNCTION("""COMPUTED_VALUE"""),"TECNICO")</f>
        <v>TECNICO</v>
      </c>
      <c r="L539" s="34" t="str">
        <f>IFERROR(__xludf.DUMMYFUNCTION("""COMPUTED_VALUE"""),"INTERNO")</f>
        <v>INTERNO</v>
      </c>
      <c r="M539" s="34">
        <f>IFERROR(__xludf.DUMMYFUNCTION("""COMPUTED_VALUE"""),0.0)</f>
        <v>0</v>
      </c>
      <c r="N539" s="34" t="str">
        <f>IFERROR(__xludf.DUMMYFUNCTION("""COMPUTED_VALUE"""),"EXTERNO")</f>
        <v>EXTERNO</v>
      </c>
      <c r="O539">
        <f>IFERROR(__xludf.DUMMYFUNCTION("""COMPUTED_VALUE"""),7.0)</f>
        <v>7</v>
      </c>
      <c r="P539">
        <f>IFERROR(__xludf.DUMMYFUNCTION("""COMPUTED_VALUE"""),1.0)</f>
        <v>1</v>
      </c>
      <c r="Q539" s="35">
        <f>IFERROR(__xludf.DUMMYFUNCTION("""COMPUTED_VALUE"""),1.0)</f>
        <v>1</v>
      </c>
      <c r="R539" s="36" t="str">
        <f>IFERROR(__xludf.DUMMYFUNCTION("""COMPUTED_VALUE"""),"SELECCIONADA")</f>
        <v>SELECCIONADA</v>
      </c>
      <c r="S539" s="37">
        <f>IFERROR(__xludf.DUMMYFUNCTION("""COMPUTED_VALUE"""),42268.0)</f>
        <v>42268</v>
      </c>
      <c r="T539" s="34"/>
      <c r="U539" t="str">
        <f>IFERROR(__xludf.DUMMYFUNCTION("""COMPUTED_VALUE"""),"DANIELA OLATE SALINAS")</f>
        <v>DANIELA OLATE SALINAS</v>
      </c>
      <c r="V539" t="str">
        <f>IFERROR(__xludf.DUMMYFUNCTION("""COMPUTED_VALUE"""),"16660591-1")</f>
        <v>16660591-1</v>
      </c>
      <c r="W539" t="str">
        <f>IFERROR(__xludf.DUMMYFUNCTION("""COMPUTED_VALUE"""),"NO")</f>
        <v>NO</v>
      </c>
      <c r="AA539" s="38">
        <f>IFERROR(__xludf.DUMMYFUNCTION("""COMPUTED_VALUE"""),42200.0)</f>
        <v>42200</v>
      </c>
      <c r="AB539" s="38">
        <f>IFERROR(__xludf.DUMMYFUNCTION("""COMPUTED_VALUE"""),42207.0)</f>
        <v>42207</v>
      </c>
      <c r="AF539" s="39"/>
      <c r="AG539" s="39"/>
      <c r="AH539" s="34" t="str">
        <f>IFERROR(__xludf.DUMMYFUNCTION("""COMPUTED_VALUE"""),"PROCESO DE SELECCIÓN")</f>
        <v>PROCESO DE SELECCIÓN</v>
      </c>
      <c r="AI539" s="34" t="str">
        <f>IFERROR(__xludf.DUMMYFUNCTION("""COMPUTED_VALUE"""),"INGRID CANIULEF MENDEZ")</f>
        <v>INGRID CANIULEF MENDEZ</v>
      </c>
      <c r="AJ539" s="34"/>
      <c r="AK539" s="34" t="str">
        <f>IFERROR(__xludf.DUMMYFUNCTION("""COMPUTED_VALUE"""),"E")</f>
        <v>E</v>
      </c>
      <c r="AL539">
        <f>IFERROR(__xludf.DUMMYFUNCTION("""COMPUTED_VALUE"""),44.0)</f>
        <v>44</v>
      </c>
      <c r="AM539">
        <f>IFERROR(__xludf.DUMMYFUNCTION("""COMPUTED_VALUE"""),2015.0)</f>
        <v>2015</v>
      </c>
      <c r="AN539" t="str">
        <f t="shared" si="1"/>
        <v>16660591-1</v>
      </c>
    </row>
    <row r="540">
      <c r="A540" s="33">
        <f>IFERROR(__xludf.DUMMYFUNCTION("""COMPUTED_VALUE"""),1.925895E7)</f>
        <v>19258950</v>
      </c>
      <c r="B540" s="33">
        <f>IFERROR(__xludf.DUMMYFUNCTION("""COMPUTED_VALUE"""),85.0)</f>
        <v>85</v>
      </c>
      <c r="C540" s="33"/>
      <c r="D540" s="34" t="str">
        <f>IFERROR(__xludf.DUMMYFUNCTION("""COMPUTED_VALUE"""),"22")</f>
        <v>22</v>
      </c>
      <c r="E540" s="34" t="str">
        <f>IFERROR(__xludf.DUMMYFUNCTION("""COMPUTED_VALUE"""),"UNIDAD DE ADMINISTRACION DE SERVICIOS ALIMENTARIOS")</f>
        <v>UNIDAD DE ADMINISTRACION DE SERVICIOS ALIMENTARIOS</v>
      </c>
      <c r="F540" s="34" t="str">
        <f>IFERROR(__xludf.DUMMYFUNCTION("""COMPUTED_VALUE"""),"Auxiliar de Servicios")</f>
        <v>Auxiliar de Servicios</v>
      </c>
      <c r="G540" s="33" t="str">
        <f>IFERROR(__xludf.DUMMYFUNCTION("""COMPUTED_VALUE"""),"AUXILIAR DE SERVICIOS")</f>
        <v>AUXILIAR DE SERVICIOS</v>
      </c>
      <c r="H540">
        <f>IFERROR(__xludf.DUMMYFUNCTION("""COMPUTED_VALUE"""),23.0)</f>
        <v>23</v>
      </c>
      <c r="I540" s="34" t="str">
        <f>IFERROR(__xludf.DUMMYFUNCTION("""COMPUTED_VALUE"""),"Jornada Completa")</f>
        <v>Jornada Completa</v>
      </c>
      <c r="J540" s="33" t="str">
        <f>IFERROR(__xludf.DUMMYFUNCTION("""COMPUTED_VALUE"""),"A CONTRATA")</f>
        <v>A CONTRATA</v>
      </c>
      <c r="K540" s="33" t="str">
        <f>IFERROR(__xludf.DUMMYFUNCTION("""COMPUTED_VALUE"""),"AUXILIAR")</f>
        <v>AUXILIAR</v>
      </c>
      <c r="L540" s="34" t="str">
        <f>IFERROR(__xludf.DUMMYFUNCTION("""COMPUTED_VALUE"""),"INTERNO")</f>
        <v>INTERNO</v>
      </c>
      <c r="M540" s="34">
        <f>IFERROR(__xludf.DUMMYFUNCTION("""COMPUTED_VALUE"""),0.0)</f>
        <v>0</v>
      </c>
      <c r="N540" s="34" t="str">
        <f>IFERROR(__xludf.DUMMYFUNCTION("""COMPUTED_VALUE"""),"EXTERNO")</f>
        <v>EXTERNO</v>
      </c>
      <c r="P540">
        <f>IFERROR(__xludf.DUMMYFUNCTION("""COMPUTED_VALUE"""),1.0)</f>
        <v>1</v>
      </c>
      <c r="Q540" s="35">
        <f>IFERROR(__xludf.DUMMYFUNCTION("""COMPUTED_VALUE"""),1.0)</f>
        <v>1</v>
      </c>
      <c r="R540" s="36" t="str">
        <f>IFERROR(__xludf.DUMMYFUNCTION("""COMPUTED_VALUE"""),"SELECCIONADO")</f>
        <v>SELECCIONADO</v>
      </c>
      <c r="S540" s="37">
        <f>IFERROR(__xludf.DUMMYFUNCTION("""COMPUTED_VALUE"""),42292.0)</f>
        <v>42292</v>
      </c>
      <c r="T540" s="34"/>
      <c r="U540" t="str">
        <f>IFERROR(__xludf.DUMMYFUNCTION("""COMPUTED_VALUE"""),"JONATHAN MONTECINOS ASTROZA")</f>
        <v>JONATHAN MONTECINOS ASTROZA</v>
      </c>
      <c r="V540" t="str">
        <f>IFERROR(__xludf.DUMMYFUNCTION("""COMPUTED_VALUE"""),"19258950-9")</f>
        <v>19258950-9</v>
      </c>
      <c r="W540" t="str">
        <f>IFERROR(__xludf.DUMMYFUNCTION("""COMPUTED_VALUE"""),"NO")</f>
        <v>NO</v>
      </c>
      <c r="AA540" s="38">
        <f>IFERROR(__xludf.DUMMYFUNCTION("""COMPUTED_VALUE"""),42269.0)</f>
        <v>42269</v>
      </c>
      <c r="AB540" s="38">
        <f>IFERROR(__xludf.DUMMYFUNCTION("""COMPUTED_VALUE"""),42277.0)</f>
        <v>42277</v>
      </c>
      <c r="AF540" s="39"/>
      <c r="AG540" s="39"/>
      <c r="AH540" s="34" t="str">
        <f>IFERROR(__xludf.DUMMYFUNCTION("""COMPUTED_VALUE"""),"PROCESO DE SELECCIÓN")</f>
        <v>PROCESO DE SELECCIÓN</v>
      </c>
      <c r="AI540" s="34" t="str">
        <f>IFERROR(__xludf.DUMMYFUNCTION("""COMPUTED_VALUE"""),"-")</f>
        <v>-</v>
      </c>
      <c r="AJ540" s="34"/>
      <c r="AK540" s="34" t="str">
        <f>IFERROR(__xludf.DUMMYFUNCTION("""COMPUTED_VALUE"""),"C")</f>
        <v>C</v>
      </c>
      <c r="AL540">
        <f>IFERROR(__xludf.DUMMYFUNCTION("""COMPUTED_VALUE"""),12.0)</f>
        <v>12</v>
      </c>
      <c r="AM540">
        <f>IFERROR(__xludf.DUMMYFUNCTION("""COMPUTED_VALUE"""),2015.0)</f>
        <v>2015</v>
      </c>
      <c r="AN540" t="str">
        <f t="shared" si="1"/>
        <v>19258950-9</v>
      </c>
    </row>
    <row r="541">
      <c r="A541" s="33">
        <f>IFERROR(__xludf.DUMMYFUNCTION("""COMPUTED_VALUE"""),1.4367797E7)</f>
        <v>14367797</v>
      </c>
      <c r="B541" s="33">
        <f>IFERROR(__xludf.DUMMYFUNCTION("""COMPUTED_VALUE"""),86.0)</f>
        <v>86</v>
      </c>
      <c r="C541" s="33"/>
      <c r="D541" s="34" t="str">
        <f>IFERROR(__xludf.DUMMYFUNCTION("""COMPUTED_VALUE"""),"3")</f>
        <v>3</v>
      </c>
      <c r="E541" s="34" t="str">
        <f>IFERROR(__xludf.DUMMYFUNCTION("""COMPUTED_VALUE"""),"DEPARTAMENTO DE GESTION Y CONTROL DE CONTRATOS")</f>
        <v>DEPARTAMENTO DE GESTION Y CONTROL DE CONTRATOS</v>
      </c>
      <c r="F541" s="34" t="str">
        <f>IFERROR(__xludf.DUMMYFUNCTION("""COMPUTED_VALUE"""),"#N/A")</f>
        <v>#N/A</v>
      </c>
      <c r="G541" s="33" t="str">
        <f>IFERROR(__xludf.DUMMYFUNCTION("""COMPUTED_VALUE"""),"ABOGADO")</f>
        <v>ABOGADO</v>
      </c>
      <c r="H541">
        <f>IFERROR(__xludf.DUMMYFUNCTION("""COMPUTED_VALUE"""),6.0)</f>
        <v>6</v>
      </c>
      <c r="I541" s="34" t="str">
        <f>IFERROR(__xludf.DUMMYFUNCTION("""COMPUTED_VALUE"""),"Jornada Completa")</f>
        <v>Jornada Completa</v>
      </c>
      <c r="J541" s="33" t="str">
        <f>IFERROR(__xludf.DUMMYFUNCTION("""COMPUTED_VALUE"""),"A CONTRATA")</f>
        <v>A CONTRATA</v>
      </c>
      <c r="K541" s="33" t="str">
        <f>IFERROR(__xludf.DUMMYFUNCTION("""COMPUTED_VALUE"""),"PROFESIONAL")</f>
        <v>PROFESIONAL</v>
      </c>
      <c r="L541" s="34" t="str">
        <f>IFERROR(__xludf.DUMMYFUNCTION("""COMPUTED_VALUE"""),"INTERNO")</f>
        <v>INTERNO</v>
      </c>
      <c r="M541" s="34">
        <f>IFERROR(__xludf.DUMMYFUNCTION("""COMPUTED_VALUE"""),1.0)</f>
        <v>1</v>
      </c>
      <c r="N541" s="34" t="str">
        <f>IFERROR(__xludf.DUMMYFUNCTION("""COMPUTED_VALUE"""),"EXTERNO")</f>
        <v>EXTERNO</v>
      </c>
      <c r="O541">
        <f>IFERROR(__xludf.DUMMYFUNCTION("""COMPUTED_VALUE"""),1.0)</f>
        <v>1</v>
      </c>
      <c r="P541">
        <f>IFERROR(__xludf.DUMMYFUNCTION("""COMPUTED_VALUE"""),1.0)</f>
        <v>1</v>
      </c>
      <c r="Q541" s="35">
        <f>IFERROR(__xludf.DUMMYFUNCTION("""COMPUTED_VALUE"""),1.0)</f>
        <v>1</v>
      </c>
      <c r="R541" s="36" t="str">
        <f>IFERROR(__xludf.DUMMYFUNCTION("""COMPUTED_VALUE"""),"SELECCIONADA")</f>
        <v>SELECCIONADA</v>
      </c>
      <c r="S541" s="37">
        <f>IFERROR(__xludf.DUMMYFUNCTION("""COMPUTED_VALUE"""),42285.0)</f>
        <v>42285</v>
      </c>
      <c r="T541" s="34"/>
      <c r="U541" t="str">
        <f>IFERROR(__xludf.DUMMYFUNCTION("""COMPUTED_VALUE"""),"NELLY GUTIERREZ IBACETA")</f>
        <v>NELLY GUTIERREZ IBACETA</v>
      </c>
      <c r="V541" t="str">
        <f>IFERROR(__xludf.DUMMYFUNCTION("""COMPUTED_VALUE"""),"14367797-4")</f>
        <v>14367797-4</v>
      </c>
      <c r="W541" t="str">
        <f>IFERROR(__xludf.DUMMYFUNCTION("""COMPUTED_VALUE"""),"NO")</f>
        <v>NO</v>
      </c>
      <c r="AA541" s="38">
        <f>IFERROR(__xludf.DUMMYFUNCTION("""COMPUTED_VALUE"""),42164.0)</f>
        <v>42164</v>
      </c>
      <c r="AB541" s="38">
        <f>IFERROR(__xludf.DUMMYFUNCTION("""COMPUTED_VALUE"""),42166.0)</f>
        <v>42166</v>
      </c>
      <c r="AF541" s="39"/>
      <c r="AG541" s="39"/>
      <c r="AH541" s="34" t="str">
        <f>IFERROR(__xludf.DUMMYFUNCTION("""COMPUTED_VALUE"""),"PROCESO DE SELECCIÓN")</f>
        <v>PROCESO DE SELECCIÓN</v>
      </c>
      <c r="AI541" s="34" t="str">
        <f>IFERROR(__xludf.DUMMYFUNCTION("""COMPUTED_VALUE"""),"-")</f>
        <v>-</v>
      </c>
      <c r="AJ541" s="34"/>
      <c r="AK541" s="34" t="str">
        <f>IFERROR(__xludf.DUMMYFUNCTION("""COMPUTED_VALUE"""),"E")</f>
        <v>E</v>
      </c>
      <c r="AL541">
        <f>IFERROR(__xludf.DUMMYFUNCTION("""COMPUTED_VALUE"""),86.0)</f>
        <v>86</v>
      </c>
      <c r="AM541">
        <f>IFERROR(__xludf.DUMMYFUNCTION("""COMPUTED_VALUE"""),2015.0)</f>
        <v>2015</v>
      </c>
      <c r="AN541" t="str">
        <f t="shared" si="1"/>
        <v>14367797-4</v>
      </c>
    </row>
    <row r="542">
      <c r="A542" s="33">
        <f>IFERROR(__xludf.DUMMYFUNCTION("""COMPUTED_VALUE"""),1.5843366E7)</f>
        <v>15843366</v>
      </c>
      <c r="B542" s="33">
        <f>IFERROR(__xludf.DUMMYFUNCTION("""COMPUTED_VALUE"""),87.0)</f>
        <v>87</v>
      </c>
      <c r="C542" s="33"/>
      <c r="D542" s="34" t="str">
        <f>IFERROR(__xludf.DUMMYFUNCTION("""COMPUTED_VALUE"""),"15")</f>
        <v>15</v>
      </c>
      <c r="E542" s="34" t="str">
        <f>IFERROR(__xludf.DUMMYFUNCTION("""COMPUTED_VALUE"""),"UNIDAD DE INNOVACION EDUCATIVA")</f>
        <v>UNIDAD DE INNOVACION EDUCATIVA</v>
      </c>
      <c r="F542" s="34" t="str">
        <f>IFERROR(__xludf.DUMMYFUNCTION("""COMPUTED_VALUE"""),"Analista de Proyectos I")</f>
        <v>Analista de Proyectos I</v>
      </c>
      <c r="G542" s="33" t="str">
        <f>IFERROR(__xludf.DUMMYFUNCTION("""COMPUTED_VALUE"""),"ANALISTA DE PROYECTOS")</f>
        <v>ANALISTA DE PROYECTOS</v>
      </c>
      <c r="H542">
        <f>IFERROR(__xludf.DUMMYFUNCTION("""COMPUTED_VALUE"""),8.0)</f>
        <v>8</v>
      </c>
      <c r="I542" s="34" t="str">
        <f>IFERROR(__xludf.DUMMYFUNCTION("""COMPUTED_VALUE"""),"Jornada Completa")</f>
        <v>Jornada Completa</v>
      </c>
      <c r="J542" s="33" t="str">
        <f>IFERROR(__xludf.DUMMYFUNCTION("""COMPUTED_VALUE"""),"A CONTRATA")</f>
        <v>A CONTRATA</v>
      </c>
      <c r="K542" s="33" t="str">
        <f>IFERROR(__xludf.DUMMYFUNCTION("""COMPUTED_VALUE"""),"PROFESIONAL")</f>
        <v>PROFESIONAL</v>
      </c>
      <c r="L542" s="34" t="str">
        <f>IFERROR(__xludf.DUMMYFUNCTION("""COMPUTED_VALUE"""),"NO")</f>
        <v>NO</v>
      </c>
      <c r="M542" s="34"/>
      <c r="N542" s="34" t="str">
        <f>IFERROR(__xludf.DUMMYFUNCTION("""COMPUTED_VALUE"""),"NO")</f>
        <v>NO</v>
      </c>
      <c r="O542">
        <f>IFERROR(__xludf.DUMMYFUNCTION("""COMPUTED_VALUE"""),1.0)</f>
        <v>1</v>
      </c>
      <c r="P542">
        <f>IFERROR(__xludf.DUMMYFUNCTION("""COMPUTED_VALUE"""),1.0)</f>
        <v>1</v>
      </c>
      <c r="Q542" s="35"/>
      <c r="R542" s="36" t="str">
        <f>IFERROR(__xludf.DUMMYFUNCTION("""COMPUTED_VALUE"""),"SELECCIONADA")</f>
        <v>SELECCIONADA</v>
      </c>
      <c r="S542" s="37">
        <f>IFERROR(__xludf.DUMMYFUNCTION("""COMPUTED_VALUE"""),42339.0)</f>
        <v>42339</v>
      </c>
      <c r="T542" s="34"/>
      <c r="U542" t="str">
        <f>IFERROR(__xludf.DUMMYFUNCTION("""COMPUTED_VALUE"""),"DANIELA MATURANA CASTILLO")</f>
        <v>DANIELA MATURANA CASTILLO</v>
      </c>
      <c r="V542" t="str">
        <f>IFERROR(__xludf.DUMMYFUNCTION("""COMPUTED_VALUE"""),"15843366-4")</f>
        <v>15843366-4</v>
      </c>
      <c r="W542" t="str">
        <f>IFERROR(__xludf.DUMMYFUNCTION("""COMPUTED_VALUE"""),"NO")</f>
        <v>NO</v>
      </c>
      <c r="AA542" s="38"/>
      <c r="AB542" s="38">
        <f>IFERROR(__xludf.DUMMYFUNCTION("""COMPUTED_VALUE"""),42318.0)</f>
        <v>42318</v>
      </c>
      <c r="AF542" s="39"/>
      <c r="AG542" s="39"/>
      <c r="AH542" s="34" t="str">
        <f>IFERROR(__xludf.DUMMYFUNCTION("""COMPUTED_VALUE"""),"REGULARIZACIÓN CONTRACTUAL")</f>
        <v>REGULARIZACIÓN CONTRACTUAL</v>
      </c>
      <c r="AI542" s="34" t="str">
        <f>IFERROR(__xludf.DUMMYFUNCTION("""COMPUTED_VALUE"""),"JORGE MARCHANT")</f>
        <v>JORGE MARCHANT</v>
      </c>
      <c r="AJ542" s="34"/>
      <c r="AK542" s="34"/>
      <c r="AL542">
        <f>IFERROR(__xludf.DUMMYFUNCTION("""COMPUTED_VALUE"""),16.0)</f>
        <v>16</v>
      </c>
      <c r="AM542">
        <f>IFERROR(__xludf.DUMMYFUNCTION("""COMPUTED_VALUE"""),2015.0)</f>
        <v>2015</v>
      </c>
      <c r="AN542" t="str">
        <f t="shared" si="1"/>
        <v>15843366-4</v>
      </c>
    </row>
    <row r="543">
      <c r="A543" s="33">
        <f>IFERROR(__xludf.DUMMYFUNCTION("""COMPUTED_VALUE"""),1.5642034E7)</f>
        <v>15642034</v>
      </c>
      <c r="B543" s="33">
        <f>IFERROR(__xludf.DUMMYFUNCTION("""COMPUTED_VALUE"""),88.0)</f>
        <v>88</v>
      </c>
      <c r="C543" s="33"/>
      <c r="D543" s="34" t="str">
        <f>IFERROR(__xludf.DUMMYFUNCTION("""COMPUTED_VALUE"""),"15")</f>
        <v>15</v>
      </c>
      <c r="E543" s="34" t="str">
        <f>IFERROR(__xludf.DUMMYFUNCTION("""COMPUTED_VALUE"""),"UNIDAD DE INNOVACION EDUCATIVA")</f>
        <v>UNIDAD DE INNOVACION EDUCATIVA</v>
      </c>
      <c r="F543" s="34" t="str">
        <f>IFERROR(__xludf.DUMMYFUNCTION("""COMPUTED_VALUE"""),"Analista de Proyectos I")</f>
        <v>Analista de Proyectos I</v>
      </c>
      <c r="G543" s="33" t="str">
        <f>IFERROR(__xludf.DUMMYFUNCTION("""COMPUTED_VALUE"""),"ANALISTA DE PROYECTOS")</f>
        <v>ANALISTA DE PROYECTOS</v>
      </c>
      <c r="H543">
        <f>IFERROR(__xludf.DUMMYFUNCTION("""COMPUTED_VALUE"""),8.0)</f>
        <v>8</v>
      </c>
      <c r="I543" s="34" t="str">
        <f>IFERROR(__xludf.DUMMYFUNCTION("""COMPUTED_VALUE"""),"Jornada Completa")</f>
        <v>Jornada Completa</v>
      </c>
      <c r="J543" s="33" t="str">
        <f>IFERROR(__xludf.DUMMYFUNCTION("""COMPUTED_VALUE"""),"A CONTRATA")</f>
        <v>A CONTRATA</v>
      </c>
      <c r="K543" s="33" t="str">
        <f>IFERROR(__xludf.DUMMYFUNCTION("""COMPUTED_VALUE"""),"PROFESIONAL")</f>
        <v>PROFESIONAL</v>
      </c>
      <c r="L543" s="34" t="str">
        <f>IFERROR(__xludf.DUMMYFUNCTION("""COMPUTED_VALUE"""),"NO")</f>
        <v>NO</v>
      </c>
      <c r="M543" s="34"/>
      <c r="N543" s="34" t="str">
        <f>IFERROR(__xludf.DUMMYFUNCTION("""COMPUTED_VALUE"""),"NO")</f>
        <v>NO</v>
      </c>
      <c r="O543">
        <f>IFERROR(__xludf.DUMMYFUNCTION("""COMPUTED_VALUE"""),1.0)</f>
        <v>1</v>
      </c>
      <c r="P543">
        <f>IFERROR(__xludf.DUMMYFUNCTION("""COMPUTED_VALUE"""),1.0)</f>
        <v>1</v>
      </c>
      <c r="Q543" s="35"/>
      <c r="R543" s="36" t="str">
        <f>IFERROR(__xludf.DUMMYFUNCTION("""COMPUTED_VALUE"""),"SELECCIONADA")</f>
        <v>SELECCIONADA</v>
      </c>
      <c r="S543" s="37">
        <f>IFERROR(__xludf.DUMMYFUNCTION("""COMPUTED_VALUE"""),42339.0)</f>
        <v>42339</v>
      </c>
      <c r="T543" s="34"/>
      <c r="U543" t="str">
        <f>IFERROR(__xludf.DUMMYFUNCTION("""COMPUTED_VALUE"""),"DANIELA BERTHOLET RODRIGUEZ")</f>
        <v>DANIELA BERTHOLET RODRIGUEZ</v>
      </c>
      <c r="V543" t="str">
        <f>IFERROR(__xludf.DUMMYFUNCTION("""COMPUTED_VALUE"""),"15642034-4")</f>
        <v>15642034-4</v>
      </c>
      <c r="W543" t="str">
        <f>IFERROR(__xludf.DUMMYFUNCTION("""COMPUTED_VALUE"""),"NO")</f>
        <v>NO</v>
      </c>
      <c r="AA543" s="38"/>
      <c r="AB543" s="38">
        <f>IFERROR(__xludf.DUMMYFUNCTION("""COMPUTED_VALUE"""),42318.0)</f>
        <v>42318</v>
      </c>
      <c r="AF543" s="39"/>
      <c r="AG543" s="39"/>
      <c r="AH543" s="34" t="str">
        <f>IFERROR(__xludf.DUMMYFUNCTION("""COMPUTED_VALUE"""),"REGULARIZACIÓN CONTRACTUAL")</f>
        <v>REGULARIZACIÓN CONTRACTUAL</v>
      </c>
      <c r="AI543" s="34" t="str">
        <f>IFERROR(__xludf.DUMMYFUNCTION("""COMPUTED_VALUE"""),"ELISA MARCHANT")</f>
        <v>ELISA MARCHANT</v>
      </c>
      <c r="AJ543" s="34"/>
      <c r="AK543" s="34"/>
      <c r="AL543">
        <f>IFERROR(__xludf.DUMMYFUNCTION("""COMPUTED_VALUE"""),16.0)</f>
        <v>16</v>
      </c>
      <c r="AM543">
        <f>IFERROR(__xludf.DUMMYFUNCTION("""COMPUTED_VALUE"""),2015.0)</f>
        <v>2015</v>
      </c>
      <c r="AN543" t="str">
        <f t="shared" si="1"/>
        <v>15642034-4</v>
      </c>
    </row>
    <row r="544">
      <c r="A544" s="33">
        <f>IFERROR(__xludf.DUMMYFUNCTION("""COMPUTED_VALUE"""),1.3554568E7)</f>
        <v>13554568</v>
      </c>
      <c r="B544" s="33">
        <f>IFERROR(__xludf.DUMMYFUNCTION("""COMPUTED_VALUE"""),89.0)</f>
        <v>89</v>
      </c>
      <c r="C544" s="33"/>
      <c r="D544" s="34" t="str">
        <f>IFERROR(__xludf.DUMMYFUNCTION("""COMPUTED_VALUE"""),"40")</f>
        <v>40</v>
      </c>
      <c r="E544" s="34" t="str">
        <f>IFERROR(__xludf.DUMMYFUNCTION("""COMPUTED_VALUE"""),"DEPARTAMENTO DE INGENIERIA INDUSTRIAL")</f>
        <v>DEPARTAMENTO DE INGENIERIA INDUSTRIAL</v>
      </c>
      <c r="F544" s="34" t="str">
        <f>IFERROR(__xludf.DUMMYFUNCTION("""COMPUTED_VALUE"""),"Mayordomo(a)")</f>
        <v>Mayordomo(a)</v>
      </c>
      <c r="G544" s="33" t="str">
        <f>IFERROR(__xludf.DUMMYFUNCTION("""COMPUTED_VALUE"""),"MAYORDOMO")</f>
        <v>MAYORDOMO</v>
      </c>
      <c r="H544">
        <f>IFERROR(__xludf.DUMMYFUNCTION("""COMPUTED_VALUE"""),21.0)</f>
        <v>21</v>
      </c>
      <c r="I544" s="34" t="str">
        <f>IFERROR(__xludf.DUMMYFUNCTION("""COMPUTED_VALUE"""),"Jornada Completa")</f>
        <v>Jornada Completa</v>
      </c>
      <c r="J544" s="33" t="str">
        <f>IFERROR(__xludf.DUMMYFUNCTION("""COMPUTED_VALUE"""),"A CONTRATA")</f>
        <v>A CONTRATA</v>
      </c>
      <c r="K544" s="33" t="str">
        <f>IFERROR(__xludf.DUMMYFUNCTION("""COMPUTED_VALUE"""),"AUXILIAR")</f>
        <v>AUXILIAR</v>
      </c>
      <c r="L544" s="34" t="str">
        <f>IFERROR(__xludf.DUMMYFUNCTION("""COMPUTED_VALUE"""),"INTERNO")</f>
        <v>INTERNO</v>
      </c>
      <c r="M544" s="34">
        <f>IFERROR(__xludf.DUMMYFUNCTION("""COMPUTED_VALUE"""),1.0)</f>
        <v>1</v>
      </c>
      <c r="N544" s="34" t="str">
        <f>IFERROR(__xludf.DUMMYFUNCTION("""COMPUTED_VALUE"""),"EXTERNO")</f>
        <v>EXTERNO</v>
      </c>
      <c r="O544">
        <f>IFERROR(__xludf.DUMMYFUNCTION("""COMPUTED_VALUE"""),16.0)</f>
        <v>16</v>
      </c>
      <c r="P544">
        <f>IFERROR(__xludf.DUMMYFUNCTION("""COMPUTED_VALUE"""),5.0)</f>
        <v>5</v>
      </c>
      <c r="Q544" s="35">
        <f>IFERROR(__xludf.DUMMYFUNCTION("""COMPUTED_VALUE"""),4.0)</f>
        <v>4</v>
      </c>
      <c r="R544" s="36" t="str">
        <f>IFERROR(__xludf.DUMMYFUNCTION("""COMPUTED_VALUE"""),"SELECCIONADO")</f>
        <v>SELECCIONADO</v>
      </c>
      <c r="S544" s="37">
        <f>IFERROR(__xludf.DUMMYFUNCTION("""COMPUTED_VALUE"""),42331.0)</f>
        <v>42331</v>
      </c>
      <c r="T544" s="34"/>
      <c r="U544" t="str">
        <f>IFERROR(__xludf.DUMMYFUNCTION("""COMPUTED_VALUE"""),"LEONARDO LOPEZ LOPEZ")</f>
        <v>LEONARDO LOPEZ LOPEZ</v>
      </c>
      <c r="V544" t="str">
        <f>IFERROR(__xludf.DUMMYFUNCTION("""COMPUTED_VALUE"""),"13554568-6")</f>
        <v>13554568-6</v>
      </c>
      <c r="W544" t="str">
        <f>IFERROR(__xludf.DUMMYFUNCTION("""COMPUTED_VALUE"""),"NO")</f>
        <v>NO</v>
      </c>
      <c r="AA544" s="38">
        <f>IFERROR(__xludf.DUMMYFUNCTION("""COMPUTED_VALUE"""),42312.0)</f>
        <v>42312</v>
      </c>
      <c r="AB544" s="38">
        <f>IFERROR(__xludf.DUMMYFUNCTION("""COMPUTED_VALUE"""),42319.0)</f>
        <v>42319</v>
      </c>
      <c r="AF544" s="39"/>
      <c r="AG544" s="39"/>
      <c r="AH544" s="34" t="str">
        <f>IFERROR(__xludf.DUMMYFUNCTION("""COMPUTED_VALUE"""),"PROCESO DE SELECCIÓN")</f>
        <v>PROCESO DE SELECCIÓN</v>
      </c>
      <c r="AI544" s="34" t="str">
        <f>IFERROR(__xludf.DUMMYFUNCTION("""COMPUTED_VALUE"""),"RAUL DE LA VEGA")</f>
        <v>RAUL DE LA VEGA</v>
      </c>
      <c r="AJ544" s="34"/>
      <c r="AK544" s="34" t="str">
        <f>IFERROR(__xludf.DUMMYFUNCTION("""COMPUTED_VALUE"""),"E")</f>
        <v>E</v>
      </c>
      <c r="AL544">
        <f>IFERROR(__xludf.DUMMYFUNCTION("""COMPUTED_VALUE"""),9.0)</f>
        <v>9</v>
      </c>
      <c r="AM544">
        <f>IFERROR(__xludf.DUMMYFUNCTION("""COMPUTED_VALUE"""),2015.0)</f>
        <v>2015</v>
      </c>
      <c r="AN544" t="str">
        <f t="shared" si="1"/>
        <v>13554568-6</v>
      </c>
    </row>
    <row r="545">
      <c r="A545" s="33">
        <f>IFERROR(__xludf.DUMMYFUNCTION("""COMPUTED_VALUE"""),1.6928712E7)</f>
        <v>16928712</v>
      </c>
      <c r="B545" s="33">
        <f>IFERROR(__xludf.DUMMYFUNCTION("""COMPUTED_VALUE"""),90.0)</f>
        <v>90</v>
      </c>
      <c r="C545" s="33"/>
      <c r="D545" s="34" t="str">
        <f>IFERROR(__xludf.DUMMYFUNCTION("""COMPUTED_VALUE"""),"3")</f>
        <v>3</v>
      </c>
      <c r="E545" s="34" t="str">
        <f>IFERROR(__xludf.DUMMYFUNCTION("""COMPUTED_VALUE"""),"UNIDAD DE BIENESTAR DEL PERSONAL")</f>
        <v>UNIDAD DE BIENESTAR DEL PERSONAL</v>
      </c>
      <c r="F545" s="34" t="str">
        <f>IFERROR(__xludf.DUMMYFUNCTION("""COMPUTED_VALUE"""),"Técnico(a) en Atención de Párvulos")</f>
        <v>Técnico(a) en Atención de Párvulos</v>
      </c>
      <c r="G545" s="33" t="str">
        <f>IFERROR(__xludf.DUMMYFUNCTION("""COMPUTED_VALUE"""),"TECNICO DE PARVULOS")</f>
        <v>TECNICO DE PARVULOS</v>
      </c>
      <c r="H545">
        <f>IFERROR(__xludf.DUMMYFUNCTION("""COMPUTED_VALUE"""),21.0)</f>
        <v>21</v>
      </c>
      <c r="I545" s="34" t="str">
        <f>IFERROR(__xludf.DUMMYFUNCTION("""COMPUTED_VALUE"""),"Jornada Completa")</f>
        <v>Jornada Completa</v>
      </c>
      <c r="J545" s="33" t="str">
        <f>IFERROR(__xludf.DUMMYFUNCTION("""COMPUTED_VALUE"""),"A CONTRATA")</f>
        <v>A CONTRATA</v>
      </c>
      <c r="K545" s="33" t="str">
        <f>IFERROR(__xludf.DUMMYFUNCTION("""COMPUTED_VALUE"""),"TECNICO")</f>
        <v>TECNICO</v>
      </c>
      <c r="L545" s="34" t="str">
        <f>IFERROR(__xludf.DUMMYFUNCTION("""COMPUTED_VALUE"""),"INTERNO")</f>
        <v>INTERNO</v>
      </c>
      <c r="M545" s="34">
        <f>IFERROR(__xludf.DUMMYFUNCTION("""COMPUTED_VALUE"""),0.0)</f>
        <v>0</v>
      </c>
      <c r="N545" s="34" t="str">
        <f>IFERROR(__xludf.DUMMYFUNCTION("""COMPUTED_VALUE"""),"EXTERNO")</f>
        <v>EXTERNO</v>
      </c>
      <c r="O545">
        <f>IFERROR(__xludf.DUMMYFUNCTION("""COMPUTED_VALUE"""),2.0)</f>
        <v>2</v>
      </c>
      <c r="P545">
        <f>IFERROR(__xludf.DUMMYFUNCTION("""COMPUTED_VALUE"""),2.0)</f>
        <v>2</v>
      </c>
      <c r="Q545" s="35">
        <f>IFERROR(__xludf.DUMMYFUNCTION("""COMPUTED_VALUE"""),1.0)</f>
        <v>1</v>
      </c>
      <c r="R545" s="36" t="str">
        <f>IFERROR(__xludf.DUMMYFUNCTION("""COMPUTED_VALUE"""),"SELECCIONADA")</f>
        <v>SELECCIONADA</v>
      </c>
      <c r="S545" s="37">
        <f>IFERROR(__xludf.DUMMYFUNCTION("""COMPUTED_VALUE"""),42339.0)</f>
        <v>42339</v>
      </c>
      <c r="T545" s="34"/>
      <c r="U545" t="str">
        <f>IFERROR(__xludf.DUMMYFUNCTION("""COMPUTED_VALUE"""),"LISSETTE DURAN SILVA")</f>
        <v>LISSETTE DURAN SILVA</v>
      </c>
      <c r="V545" t="str">
        <f>IFERROR(__xludf.DUMMYFUNCTION("""COMPUTED_VALUE"""),"16928712-0")</f>
        <v>16928712-0</v>
      </c>
      <c r="W545" t="str">
        <f>IFERROR(__xludf.DUMMYFUNCTION("""COMPUTED_VALUE"""),"NO")</f>
        <v>NO</v>
      </c>
      <c r="AA545" s="38">
        <f>IFERROR(__xludf.DUMMYFUNCTION("""COMPUTED_VALUE"""),42310.0)</f>
        <v>42310</v>
      </c>
      <c r="AB545" s="38">
        <f>IFERROR(__xludf.DUMMYFUNCTION("""COMPUTED_VALUE"""),42317.0)</f>
        <v>42317</v>
      </c>
      <c r="AF545" s="39"/>
      <c r="AG545" s="39"/>
      <c r="AH545" s="34" t="str">
        <f>IFERROR(__xludf.DUMMYFUNCTION("""COMPUTED_VALUE"""),"PROCESO DE SELECCIÓN")</f>
        <v>PROCESO DE SELECCIÓN</v>
      </c>
      <c r="AI545" s="34" t="str">
        <f>IFERROR(__xludf.DUMMYFUNCTION("""COMPUTED_VALUE"""),"-")</f>
        <v>-</v>
      </c>
      <c r="AJ545" s="34"/>
      <c r="AK545" s="34" t="str">
        <f>IFERROR(__xludf.DUMMYFUNCTION("""COMPUTED_VALUE"""),"P")</f>
        <v>P</v>
      </c>
      <c r="AL545">
        <f>IFERROR(__xludf.DUMMYFUNCTION("""COMPUTED_VALUE"""),17.0)</f>
        <v>17</v>
      </c>
      <c r="AM545">
        <f>IFERROR(__xludf.DUMMYFUNCTION("""COMPUTED_VALUE"""),2015.0)</f>
        <v>2015</v>
      </c>
      <c r="AN545" t="str">
        <f t="shared" si="1"/>
        <v>16928712-0</v>
      </c>
    </row>
    <row r="546">
      <c r="A546" s="33">
        <f>IFERROR(__xludf.DUMMYFUNCTION("""COMPUTED_VALUE"""),1.346216E7)</f>
        <v>13462160</v>
      </c>
      <c r="B546" s="33">
        <f>IFERROR(__xludf.DUMMYFUNCTION("""COMPUTED_VALUE"""),91.0)</f>
        <v>91</v>
      </c>
      <c r="C546" s="33"/>
      <c r="D546" s="34" t="str">
        <f>IFERROR(__xludf.DUMMYFUNCTION("""COMPUTED_VALUE"""),"40")</f>
        <v>40</v>
      </c>
      <c r="E546" s="34" t="str">
        <f>IFERROR(__xludf.DUMMYFUNCTION("""COMPUTED_VALUE"""),"DEPARTAMENTO DE INGENIERIA GEOGRAFICA")</f>
        <v>DEPARTAMENTO DE INGENIERIA GEOGRAFICA</v>
      </c>
      <c r="F546" s="34" t="str">
        <f>IFERROR(__xludf.DUMMYFUNCTION("""COMPUTED_VALUE"""),"Mayordomo(a)")</f>
        <v>Mayordomo(a)</v>
      </c>
      <c r="G546" s="33" t="str">
        <f>IFERROR(__xludf.DUMMYFUNCTION("""COMPUTED_VALUE"""),"MAYORDOMO")</f>
        <v>MAYORDOMO</v>
      </c>
      <c r="H546">
        <f>IFERROR(__xludf.DUMMYFUNCTION("""COMPUTED_VALUE"""),21.0)</f>
        <v>21</v>
      </c>
      <c r="I546" s="34" t="str">
        <f>IFERROR(__xludf.DUMMYFUNCTION("""COMPUTED_VALUE"""),"Jornada Completa")</f>
        <v>Jornada Completa</v>
      </c>
      <c r="J546" s="33" t="str">
        <f>IFERROR(__xludf.DUMMYFUNCTION("""COMPUTED_VALUE"""),"A CONTRATA")</f>
        <v>A CONTRATA</v>
      </c>
      <c r="K546" s="33" t="str">
        <f>IFERROR(__xludf.DUMMYFUNCTION("""COMPUTED_VALUE"""),"AUXILIAR")</f>
        <v>AUXILIAR</v>
      </c>
      <c r="L546" s="34" t="str">
        <f>IFERROR(__xludf.DUMMYFUNCTION("""COMPUTED_VALUE"""),"INTERNO")</f>
        <v>INTERNO</v>
      </c>
      <c r="M546" s="34">
        <f>IFERROR(__xludf.DUMMYFUNCTION("""COMPUTED_VALUE"""),1.0)</f>
        <v>1</v>
      </c>
      <c r="N546" s="34" t="str">
        <f>IFERROR(__xludf.DUMMYFUNCTION("""COMPUTED_VALUE"""),"EXTERNO")</f>
        <v>EXTERNO</v>
      </c>
      <c r="O546">
        <f>IFERROR(__xludf.DUMMYFUNCTION("""COMPUTED_VALUE"""),1.0)</f>
        <v>1</v>
      </c>
      <c r="P546">
        <f>IFERROR(__xludf.DUMMYFUNCTION("""COMPUTED_VALUE"""),1.0)</f>
        <v>1</v>
      </c>
      <c r="Q546" s="35">
        <f>IFERROR(__xludf.DUMMYFUNCTION("""COMPUTED_VALUE"""),1.0)</f>
        <v>1</v>
      </c>
      <c r="R546" s="36" t="str">
        <f>IFERROR(__xludf.DUMMYFUNCTION("""COMPUTED_VALUE"""),"SELECCIONADA")</f>
        <v>SELECCIONADA</v>
      </c>
      <c r="S546" s="37">
        <f>IFERROR(__xludf.DUMMYFUNCTION("""COMPUTED_VALUE"""),42339.0)</f>
        <v>42339</v>
      </c>
      <c r="T546" s="34"/>
      <c r="U546" t="str">
        <f>IFERROR(__xludf.DUMMYFUNCTION("""COMPUTED_VALUE"""),"RUTH VERGARA MUNOZ")</f>
        <v>RUTH VERGARA MUNOZ</v>
      </c>
      <c r="V546" t="str">
        <f>IFERROR(__xludf.DUMMYFUNCTION("""COMPUTED_VALUE"""),"13462160-5")</f>
        <v>13462160-5</v>
      </c>
      <c r="W546" t="str">
        <f>IFERROR(__xludf.DUMMYFUNCTION("""COMPUTED_VALUE"""),"NO")</f>
        <v>NO</v>
      </c>
      <c r="AA546" s="38">
        <f>IFERROR(__xludf.DUMMYFUNCTION("""COMPUTED_VALUE"""),42313.0)</f>
        <v>42313</v>
      </c>
      <c r="AB546" s="38">
        <f>IFERROR(__xludf.DUMMYFUNCTION("""COMPUTED_VALUE"""),42320.0)</f>
        <v>42320</v>
      </c>
      <c r="AF546" s="39"/>
      <c r="AG546" s="39"/>
      <c r="AH546" s="34" t="str">
        <f>IFERROR(__xludf.DUMMYFUNCTION("""COMPUTED_VALUE"""),"PROCESO DE SELECCIÓN")</f>
        <v>PROCESO DE SELECCIÓN</v>
      </c>
      <c r="AI546" s="34" t="str">
        <f>IFERROR(__xludf.DUMMYFUNCTION("""COMPUTED_VALUE"""),"CRISTIAN ROJAS CABALLERO")</f>
        <v>CRISTIAN ROJAS CABALLERO</v>
      </c>
      <c r="AJ546" s="34"/>
      <c r="AK546" s="34" t="str">
        <f>IFERROR(__xludf.DUMMYFUNCTION("""COMPUTED_VALUE"""),"P")</f>
        <v>P</v>
      </c>
      <c r="AL546">
        <f>IFERROR(__xludf.DUMMYFUNCTION("""COMPUTED_VALUE"""),14.0)</f>
        <v>14</v>
      </c>
      <c r="AM546">
        <f>IFERROR(__xludf.DUMMYFUNCTION("""COMPUTED_VALUE"""),2015.0)</f>
        <v>2015</v>
      </c>
      <c r="AN546" t="str">
        <f t="shared" si="1"/>
        <v>13462160-5</v>
      </c>
    </row>
    <row r="547">
      <c r="A547" s="33">
        <f>IFERROR(__xludf.DUMMYFUNCTION("""COMPUTED_VALUE"""),1.3254211E7)</f>
        <v>13254211</v>
      </c>
      <c r="B547" s="33">
        <f>IFERROR(__xludf.DUMMYFUNCTION("""COMPUTED_VALUE"""),92.0)</f>
        <v>92</v>
      </c>
      <c r="C547" s="33"/>
      <c r="D547" s="34" t="str">
        <f>IFERROR(__xludf.DUMMYFUNCTION("""COMPUTED_VALUE"""),"40")</f>
        <v>40</v>
      </c>
      <c r="E547" s="34" t="str">
        <f>IFERROR(__xludf.DUMMYFUNCTION("""COMPUTED_VALUE"""),"FACULTAD DE INGENIERIA")</f>
        <v>FACULTAD DE INGENIERIA</v>
      </c>
      <c r="F547" s="34" t="str">
        <f>IFERROR(__xludf.DUMMYFUNCTION("""COMPUTED_VALUE"""),"Analista de Proyectos I")</f>
        <v>Analista de Proyectos I</v>
      </c>
      <c r="G547" s="33" t="str">
        <f>IFERROR(__xludf.DUMMYFUNCTION("""COMPUTED_VALUE"""),"ANALISTA DE PROYECTOS")</f>
        <v>ANALISTA DE PROYECTOS</v>
      </c>
      <c r="H547">
        <f>IFERROR(__xludf.DUMMYFUNCTION("""COMPUTED_VALUE"""),10.0)</f>
        <v>10</v>
      </c>
      <c r="I547" s="34" t="str">
        <f>IFERROR(__xludf.DUMMYFUNCTION("""COMPUTED_VALUE"""),"Jornada Completa")</f>
        <v>Jornada Completa</v>
      </c>
      <c r="J547" s="33" t="str">
        <f>IFERROR(__xludf.DUMMYFUNCTION("""COMPUTED_VALUE"""),"A CONTRATA")</f>
        <v>A CONTRATA</v>
      </c>
      <c r="K547" s="33" t="str">
        <f>IFERROR(__xludf.DUMMYFUNCTION("""COMPUTED_VALUE"""),"PROFESIONAL")</f>
        <v>PROFESIONAL</v>
      </c>
      <c r="L547" s="34" t="str">
        <f>IFERROR(__xludf.DUMMYFUNCTION("""COMPUTED_VALUE"""),"INTERNO")</f>
        <v>INTERNO</v>
      </c>
      <c r="M547" s="34">
        <f>IFERROR(__xludf.DUMMYFUNCTION("""COMPUTED_VALUE"""),0.0)</f>
        <v>0</v>
      </c>
      <c r="N547" s="34" t="str">
        <f>IFERROR(__xludf.DUMMYFUNCTION("""COMPUTED_VALUE"""),"EXTERNO")</f>
        <v>EXTERNO</v>
      </c>
      <c r="O547">
        <f>IFERROR(__xludf.DUMMYFUNCTION("""COMPUTED_VALUE"""),4.0)</f>
        <v>4</v>
      </c>
      <c r="P547">
        <f>IFERROR(__xludf.DUMMYFUNCTION("""COMPUTED_VALUE"""),1.0)</f>
        <v>1</v>
      </c>
      <c r="Q547" s="35">
        <f>IFERROR(__xludf.DUMMYFUNCTION("""COMPUTED_VALUE"""),1.0)</f>
        <v>1</v>
      </c>
      <c r="R547" s="36" t="str">
        <f>IFERROR(__xludf.DUMMYFUNCTION("""COMPUTED_VALUE"""),"SELECCIONADA")</f>
        <v>SELECCIONADA</v>
      </c>
      <c r="S547" s="37">
        <f>IFERROR(__xludf.DUMMYFUNCTION("""COMPUTED_VALUE"""),42326.0)</f>
        <v>42326</v>
      </c>
      <c r="T547" s="34"/>
      <c r="U547" t="str">
        <f>IFERROR(__xludf.DUMMYFUNCTION("""COMPUTED_VALUE"""),"SORAYA ABARCA CERDA")</f>
        <v>SORAYA ABARCA CERDA</v>
      </c>
      <c r="V547" t="str">
        <f>IFERROR(__xludf.DUMMYFUNCTION("""COMPUTED_VALUE"""),"13254211-2")</f>
        <v>13254211-2</v>
      </c>
      <c r="W547" t="str">
        <f>IFERROR(__xludf.DUMMYFUNCTION("""COMPUTED_VALUE"""),"SI")</f>
        <v>SI</v>
      </c>
      <c r="X547" t="str">
        <f>IFERROR(__xludf.DUMMYFUNCTION("""COMPUTED_VALUE"""),"Capacidad de Planificacion y Organizacion")</f>
        <v>Capacidad de Planificacion y Organizacion</v>
      </c>
      <c r="Z547" t="str">
        <f>IFERROR(__xludf.DUMMYFUNCTION("""COMPUTED_VALUE"""),"ORIENTACION A LOS RESULTADOS")</f>
        <v>ORIENTACION A LOS RESULTADOS</v>
      </c>
      <c r="AA547" s="38">
        <f>IFERROR(__xludf.DUMMYFUNCTION("""COMPUTED_VALUE"""),42291.0)</f>
        <v>42291</v>
      </c>
      <c r="AB547" s="38">
        <f>IFERROR(__xludf.DUMMYFUNCTION("""COMPUTED_VALUE"""),42293.0)</f>
        <v>42293</v>
      </c>
      <c r="AF547" s="39"/>
      <c r="AG547" s="39"/>
      <c r="AH547" s="34" t="str">
        <f>IFERROR(__xludf.DUMMYFUNCTION("""COMPUTED_VALUE"""),"PROCESO DE SELECCIÓN")</f>
        <v>PROCESO DE SELECCIÓN</v>
      </c>
      <c r="AI547" s="34" t="str">
        <f>IFERROR(__xludf.DUMMYFUNCTION("""COMPUTED_VALUE"""),"-")</f>
        <v>-</v>
      </c>
      <c r="AJ547" s="34"/>
      <c r="AK547" s="34" t="str">
        <f>IFERROR(__xludf.DUMMYFUNCTION("""COMPUTED_VALUE"""),"P")</f>
        <v>P</v>
      </c>
      <c r="AL547">
        <f>IFERROR(__xludf.DUMMYFUNCTION("""COMPUTED_VALUE"""),24.0)</f>
        <v>24</v>
      </c>
      <c r="AM547">
        <f>IFERROR(__xludf.DUMMYFUNCTION("""COMPUTED_VALUE"""),2015.0)</f>
        <v>2015</v>
      </c>
      <c r="AN547" t="str">
        <f t="shared" si="1"/>
        <v>13254211-2</v>
      </c>
    </row>
    <row r="548">
      <c r="A548" s="33">
        <f>IFERROR(__xludf.DUMMYFUNCTION("""COMPUTED_VALUE"""),1.2880526E7)</f>
        <v>12880526</v>
      </c>
      <c r="B548" s="33">
        <f>IFERROR(__xludf.DUMMYFUNCTION("""COMPUTED_VALUE"""),93.0)</f>
        <v>93</v>
      </c>
      <c r="C548" s="33"/>
      <c r="D548" s="34" t="str">
        <f>IFERROR(__xludf.DUMMYFUNCTION("""COMPUTED_VALUE"""),"40")</f>
        <v>40</v>
      </c>
      <c r="E548" s="34" t="str">
        <f>IFERROR(__xludf.DUMMYFUNCTION("""COMPUTED_VALUE"""),"FACULTAD DE INGENIERIA")</f>
        <v>FACULTAD DE INGENIERIA</v>
      </c>
      <c r="F548" s="34" t="str">
        <f>IFERROR(__xludf.DUMMYFUNCTION("""COMPUTED_VALUE"""),"Analista de Proyectos I")</f>
        <v>Analista de Proyectos I</v>
      </c>
      <c r="G548" s="33" t="str">
        <f>IFERROR(__xludf.DUMMYFUNCTION("""COMPUTED_VALUE"""),"ANALISTA DE PROYECTOS")</f>
        <v>ANALISTA DE PROYECTOS</v>
      </c>
      <c r="H548">
        <f>IFERROR(__xludf.DUMMYFUNCTION("""COMPUTED_VALUE"""),10.0)</f>
        <v>10</v>
      </c>
      <c r="I548" s="34" t="str">
        <f>IFERROR(__xludf.DUMMYFUNCTION("""COMPUTED_VALUE"""),"Jornada Completa")</f>
        <v>Jornada Completa</v>
      </c>
      <c r="J548" s="33" t="str">
        <f>IFERROR(__xludf.DUMMYFUNCTION("""COMPUTED_VALUE"""),"A CONTRATA")</f>
        <v>A CONTRATA</v>
      </c>
      <c r="K548" s="33" t="str">
        <f>IFERROR(__xludf.DUMMYFUNCTION("""COMPUTED_VALUE"""),"PROFESIONAL")</f>
        <v>PROFESIONAL</v>
      </c>
      <c r="L548" s="34" t="str">
        <f>IFERROR(__xludf.DUMMYFUNCTION("""COMPUTED_VALUE"""),"INTERNO")</f>
        <v>INTERNO</v>
      </c>
      <c r="M548" s="34">
        <f>IFERROR(__xludf.DUMMYFUNCTION("""COMPUTED_VALUE"""),0.0)</f>
        <v>0</v>
      </c>
      <c r="N548" s="34" t="str">
        <f>IFERROR(__xludf.DUMMYFUNCTION("""COMPUTED_VALUE"""),"EXTERNO")</f>
        <v>EXTERNO</v>
      </c>
      <c r="O548">
        <f>IFERROR(__xludf.DUMMYFUNCTION("""COMPUTED_VALUE"""),2.0)</f>
        <v>2</v>
      </c>
      <c r="P548">
        <f>IFERROR(__xludf.DUMMYFUNCTION("""COMPUTED_VALUE"""),1.0)</f>
        <v>1</v>
      </c>
      <c r="Q548" s="35">
        <f>IFERROR(__xludf.DUMMYFUNCTION("""COMPUTED_VALUE"""),1.0)</f>
        <v>1</v>
      </c>
      <c r="R548" s="36" t="str">
        <f>IFERROR(__xludf.DUMMYFUNCTION("""COMPUTED_VALUE"""),"SELECCIONADO")</f>
        <v>SELECCIONADO</v>
      </c>
      <c r="S548" s="37">
        <f>IFERROR(__xludf.DUMMYFUNCTION("""COMPUTED_VALUE"""),42356.0)</f>
        <v>42356</v>
      </c>
      <c r="T548" s="34"/>
      <c r="U548" t="str">
        <f>IFERROR(__xludf.DUMMYFUNCTION("""COMPUTED_VALUE"""),"JAIME PARRAGUEZ ROZAS")</f>
        <v>JAIME PARRAGUEZ ROZAS</v>
      </c>
      <c r="V548" t="str">
        <f>IFERROR(__xludf.DUMMYFUNCTION("""COMPUTED_VALUE"""),"12880526-5")</f>
        <v>12880526-5</v>
      </c>
      <c r="W548" t="str">
        <f>IFERROR(__xludf.DUMMYFUNCTION("""COMPUTED_VALUE"""),"NO")</f>
        <v>NO</v>
      </c>
      <c r="AA548" s="38">
        <f>IFERROR(__xludf.DUMMYFUNCTION("""COMPUTED_VALUE"""),42276.0)</f>
        <v>42276</v>
      </c>
      <c r="AB548" s="38">
        <f>IFERROR(__xludf.DUMMYFUNCTION("""COMPUTED_VALUE"""),42283.0)</f>
        <v>42283</v>
      </c>
      <c r="AF548" s="39"/>
      <c r="AG548" s="39"/>
      <c r="AH548" s="34" t="str">
        <f>IFERROR(__xludf.DUMMYFUNCTION("""COMPUTED_VALUE"""),"PROCESO DE SELECCIÓN")</f>
        <v>PROCESO DE SELECCIÓN</v>
      </c>
      <c r="AI548" s="34" t="str">
        <f>IFERROR(__xludf.DUMMYFUNCTION("""COMPUTED_VALUE"""),"-")</f>
        <v>-</v>
      </c>
      <c r="AJ548" s="34"/>
      <c r="AK548" s="34" t="str">
        <f>IFERROR(__xludf.DUMMYFUNCTION("""COMPUTED_VALUE"""),"P")</f>
        <v>P</v>
      </c>
      <c r="AL548">
        <f>IFERROR(__xludf.DUMMYFUNCTION("""COMPUTED_VALUE"""),54.0)</f>
        <v>54</v>
      </c>
      <c r="AM548">
        <f>IFERROR(__xludf.DUMMYFUNCTION("""COMPUTED_VALUE"""),2015.0)</f>
        <v>2015</v>
      </c>
      <c r="AN548" t="str">
        <f t="shared" si="1"/>
        <v>12880526-5</v>
      </c>
    </row>
    <row r="549">
      <c r="A549" s="33">
        <f>IFERROR(__xludf.DUMMYFUNCTION("""COMPUTED_VALUE"""),1.6379746E7)</f>
        <v>16379746</v>
      </c>
      <c r="B549" s="33">
        <f>IFERROR(__xludf.DUMMYFUNCTION("""COMPUTED_VALUE"""),94.0)</f>
        <v>94</v>
      </c>
      <c r="C549" s="33"/>
      <c r="D549" s="34" t="str">
        <f>IFERROR(__xludf.DUMMYFUNCTION("""COMPUTED_VALUE"""),"15")</f>
        <v>15</v>
      </c>
      <c r="E549" s="34" t="str">
        <f>IFERROR(__xludf.DUMMYFUNCTION("""COMPUTED_VALUE"""),"ESCUELA DE ARQUITECTURA")</f>
        <v>ESCUELA DE ARQUITECTURA</v>
      </c>
      <c r="F549" s="34" t="str">
        <f>IFERROR(__xludf.DUMMYFUNCTION("""COMPUTED_VALUE"""),"Estafeta")</f>
        <v>Estafeta</v>
      </c>
      <c r="G549" s="33" t="str">
        <f>IFERROR(__xludf.DUMMYFUNCTION("""COMPUTED_VALUE"""),"ESTAFETA")</f>
        <v>ESTAFETA</v>
      </c>
      <c r="H549">
        <f>IFERROR(__xludf.DUMMYFUNCTION("""COMPUTED_VALUE"""),23.0)</f>
        <v>23</v>
      </c>
      <c r="I549" s="34" t="str">
        <f>IFERROR(__xludf.DUMMYFUNCTION("""COMPUTED_VALUE"""),"Jornada Completa")</f>
        <v>Jornada Completa</v>
      </c>
      <c r="J549" s="33" t="str">
        <f>IFERROR(__xludf.DUMMYFUNCTION("""COMPUTED_VALUE"""),"A CONTRATA")</f>
        <v>A CONTRATA</v>
      </c>
      <c r="K549" s="33" t="str">
        <f>IFERROR(__xludf.DUMMYFUNCTION("""COMPUTED_VALUE"""),"AUXILIAR")</f>
        <v>AUXILIAR</v>
      </c>
      <c r="L549" s="34" t="str">
        <f>IFERROR(__xludf.DUMMYFUNCTION("""COMPUTED_VALUE"""),"INTERNO")</f>
        <v>INTERNO</v>
      </c>
      <c r="M549" s="34">
        <f>IFERROR(__xludf.DUMMYFUNCTION("""COMPUTED_VALUE"""),0.0)</f>
        <v>0</v>
      </c>
      <c r="N549" s="34" t="str">
        <f>IFERROR(__xludf.DUMMYFUNCTION("""COMPUTED_VALUE"""),"EXTERNO")</f>
        <v>EXTERNO</v>
      </c>
      <c r="O549">
        <f>IFERROR(__xludf.DUMMYFUNCTION("""COMPUTED_VALUE"""),35.0)</f>
        <v>35</v>
      </c>
      <c r="P549">
        <f>IFERROR(__xludf.DUMMYFUNCTION("""COMPUTED_VALUE"""),4.0)</f>
        <v>4</v>
      </c>
      <c r="Q549" s="35">
        <f>IFERROR(__xludf.DUMMYFUNCTION("""COMPUTED_VALUE"""),3.0)</f>
        <v>3</v>
      </c>
      <c r="R549" s="36" t="str">
        <f>IFERROR(__xludf.DUMMYFUNCTION("""COMPUTED_VALUE"""),"SELECCIONADO")</f>
        <v>SELECCIONADO</v>
      </c>
      <c r="S549" s="37">
        <f>IFERROR(__xludf.DUMMYFUNCTION("""COMPUTED_VALUE"""),42331.0)</f>
        <v>42331</v>
      </c>
      <c r="T549" s="34"/>
      <c r="U549" t="str">
        <f>IFERROR(__xludf.DUMMYFUNCTION("""COMPUTED_VALUE"""),"CHRISTIAN LLANOS BARRERA")</f>
        <v>CHRISTIAN LLANOS BARRERA</v>
      </c>
      <c r="V549" t="str">
        <f>IFERROR(__xludf.DUMMYFUNCTION("""COMPUTED_VALUE"""),"16379746-1")</f>
        <v>16379746-1</v>
      </c>
      <c r="W549" t="str">
        <f>IFERROR(__xludf.DUMMYFUNCTION("""COMPUTED_VALUE"""),"SI")</f>
        <v>SI</v>
      </c>
      <c r="Y549" t="str">
        <f>IFERROR(__xludf.DUMMYFUNCTION("""COMPUTED_VALUE"""),"Comunicacion")</f>
        <v>Comunicacion</v>
      </c>
      <c r="AA549" s="38">
        <f>IFERROR(__xludf.DUMMYFUNCTION("""COMPUTED_VALUE"""),42276.0)</f>
        <v>42276</v>
      </c>
      <c r="AB549" s="38">
        <f>IFERROR(__xludf.DUMMYFUNCTION("""COMPUTED_VALUE"""),42283.0)</f>
        <v>42283</v>
      </c>
      <c r="AF549" s="39"/>
      <c r="AG549" s="39"/>
      <c r="AH549" s="34" t="str">
        <f>IFERROR(__xludf.DUMMYFUNCTION("""COMPUTED_VALUE"""),"PROCESO DE SELECCIÓN")</f>
        <v>PROCESO DE SELECCIÓN</v>
      </c>
      <c r="AI549" s="34" t="str">
        <f>IFERROR(__xludf.DUMMYFUNCTION("""COMPUTED_VALUE"""),"MARCOS HERNANDEZ CAMPOS")</f>
        <v>MARCOS HERNANDEZ CAMPOS</v>
      </c>
      <c r="AJ549" s="34"/>
      <c r="AK549" s="34" t="str">
        <f>IFERROR(__xludf.DUMMYFUNCTION("""COMPUTED_VALUE"""),"P")</f>
        <v>P</v>
      </c>
      <c r="AL549">
        <f>IFERROR(__xludf.DUMMYFUNCTION("""COMPUTED_VALUE"""),35.0)</f>
        <v>35</v>
      </c>
      <c r="AM549">
        <f>IFERROR(__xludf.DUMMYFUNCTION("""COMPUTED_VALUE"""),2015.0)</f>
        <v>2015</v>
      </c>
      <c r="AN549" t="str">
        <f t="shared" si="1"/>
        <v>16379746-1</v>
      </c>
    </row>
    <row r="550">
      <c r="A550" s="33">
        <f>IFERROR(__xludf.DUMMYFUNCTION("""COMPUTED_VALUE"""),1.7251936E7)</f>
        <v>17251936</v>
      </c>
      <c r="B550" s="33">
        <f>IFERROR(__xludf.DUMMYFUNCTION("""COMPUTED_VALUE"""),95.0)</f>
        <v>95</v>
      </c>
      <c r="C550" s="33"/>
      <c r="D550" s="34" t="str">
        <f>IFERROR(__xludf.DUMMYFUNCTION("""COMPUTED_VALUE"""),"15")</f>
        <v>15</v>
      </c>
      <c r="E550" s="34" t="str">
        <f>IFERROR(__xludf.DUMMYFUNCTION("""COMPUTED_VALUE"""),"UNIDAD DE BIBLIOTECAS")</f>
        <v>UNIDAD DE BIBLIOTECAS</v>
      </c>
      <c r="F550" s="34" t="str">
        <f>IFERROR(__xludf.DUMMYFUNCTION("""COMPUTED_VALUE"""),"Técnico(a) de Biblioteca")</f>
        <v>Técnico(a) de Biblioteca</v>
      </c>
      <c r="G550" s="33" t="str">
        <f>IFERROR(__xludf.DUMMYFUNCTION("""COMPUTED_VALUE"""),"TECNICO DE BIBLIOTECA")</f>
        <v>TECNICO DE BIBLIOTECA</v>
      </c>
      <c r="H550">
        <f>IFERROR(__xludf.DUMMYFUNCTION("""COMPUTED_VALUE"""),18.0)</f>
        <v>18</v>
      </c>
      <c r="I550" s="34" t="str">
        <f>IFERROR(__xludf.DUMMYFUNCTION("""COMPUTED_VALUE"""),"Jornada Completa")</f>
        <v>Jornada Completa</v>
      </c>
      <c r="J550" s="33" t="str">
        <f>IFERROR(__xludf.DUMMYFUNCTION("""COMPUTED_VALUE"""),"A CONTRATA")</f>
        <v>A CONTRATA</v>
      </c>
      <c r="K550" s="33" t="str">
        <f>IFERROR(__xludf.DUMMYFUNCTION("""COMPUTED_VALUE"""),"TECNICO")</f>
        <v>TECNICO</v>
      </c>
      <c r="L550" s="34" t="str">
        <f>IFERROR(__xludf.DUMMYFUNCTION("""COMPUTED_VALUE"""),"INTERNO")</f>
        <v>INTERNO</v>
      </c>
      <c r="M550" s="34">
        <f>IFERROR(__xludf.DUMMYFUNCTION("""COMPUTED_VALUE"""),0.0)</f>
        <v>0</v>
      </c>
      <c r="N550" s="34" t="str">
        <f>IFERROR(__xludf.DUMMYFUNCTION("""COMPUTED_VALUE"""),"EXTERNO")</f>
        <v>EXTERNO</v>
      </c>
      <c r="O550">
        <f>IFERROR(__xludf.DUMMYFUNCTION("""COMPUTED_VALUE"""),14.0)</f>
        <v>14</v>
      </c>
      <c r="P550">
        <f>IFERROR(__xludf.DUMMYFUNCTION("""COMPUTED_VALUE"""),2.0)</f>
        <v>2</v>
      </c>
      <c r="Q550" s="35">
        <f>IFERROR(__xludf.DUMMYFUNCTION("""COMPUTED_VALUE"""),3.0)</f>
        <v>3</v>
      </c>
      <c r="R550" s="36" t="str">
        <f>IFERROR(__xludf.DUMMYFUNCTION("""COMPUTED_VALUE"""),"SELECCIONADA")</f>
        <v>SELECCIONADA</v>
      </c>
      <c r="S550" s="37">
        <f>IFERROR(__xludf.DUMMYFUNCTION("""COMPUTED_VALUE"""),42347.0)</f>
        <v>42347</v>
      </c>
      <c r="T550" s="34"/>
      <c r="U550" t="str">
        <f>IFERROR(__xludf.DUMMYFUNCTION("""COMPUTED_VALUE"""),"ESTER ZUNIGA ESPINOZA")</f>
        <v>ESTER ZUNIGA ESPINOZA</v>
      </c>
      <c r="V550" t="str">
        <f>IFERROR(__xludf.DUMMYFUNCTION("""COMPUTED_VALUE"""),"17251936-9")</f>
        <v>17251936-9</v>
      </c>
      <c r="W550" t="str">
        <f>IFERROR(__xludf.DUMMYFUNCTION("""COMPUTED_VALUE"""),"NO")</f>
        <v>NO</v>
      </c>
      <c r="AA550" s="38">
        <f>IFERROR(__xludf.DUMMYFUNCTION("""COMPUTED_VALUE"""),42306.0)</f>
        <v>42306</v>
      </c>
      <c r="AB550" s="38">
        <f>IFERROR(__xludf.DUMMYFUNCTION("""COMPUTED_VALUE"""),42313.0)</f>
        <v>42313</v>
      </c>
      <c r="AF550" s="39"/>
      <c r="AG550" s="39"/>
      <c r="AH550" s="34" t="str">
        <f>IFERROR(__xludf.DUMMYFUNCTION("""COMPUTED_VALUE"""),"PROCESO DE SELECCIÓN")</f>
        <v>PROCESO DE SELECCIÓN</v>
      </c>
      <c r="AI550" s="34" t="str">
        <f>IFERROR(__xludf.DUMMYFUNCTION("""COMPUTED_VALUE"""),"ANA MARIA MUNOZ SEGUEL")</f>
        <v>ANA MARIA MUNOZ SEGUEL</v>
      </c>
      <c r="AJ550" s="34"/>
      <c r="AK550" s="34" t="str">
        <f>IFERROR(__xludf.DUMMYFUNCTION("""COMPUTED_VALUE"""),"E")</f>
        <v>E</v>
      </c>
      <c r="AL550">
        <f>IFERROR(__xludf.DUMMYFUNCTION("""COMPUTED_VALUE"""),25.0)</f>
        <v>25</v>
      </c>
      <c r="AM550">
        <f>IFERROR(__xludf.DUMMYFUNCTION("""COMPUTED_VALUE"""),2015.0)</f>
        <v>2015</v>
      </c>
      <c r="AN550" t="str">
        <f t="shared" si="1"/>
        <v>17251936-9</v>
      </c>
    </row>
    <row r="551">
      <c r="A551" s="33">
        <f>IFERROR(__xludf.DUMMYFUNCTION("""COMPUTED_VALUE"""),1.5665644E7)</f>
        <v>15665644</v>
      </c>
      <c r="B551" s="33">
        <f>IFERROR(__xludf.DUMMYFUNCTION("""COMPUTED_VALUE"""),96.0)</f>
        <v>96</v>
      </c>
      <c r="C551" s="33"/>
      <c r="D551" s="34" t="str">
        <f>IFERROR(__xludf.DUMMYFUNCTION("""COMPUTED_VALUE"""),"50")</f>
        <v>50</v>
      </c>
      <c r="E551" s="34" t="str">
        <f>IFERROR(__xludf.DUMMYFUNCTION("""COMPUTED_VALUE"""),"DEPARTAMENTO DE FISICA")</f>
        <v>DEPARTAMENTO DE FISICA</v>
      </c>
      <c r="F551" s="34" t="str">
        <f>IFERROR(__xludf.DUMMYFUNCTION("""COMPUTED_VALUE"""),"Jefe(a) de Laboratorio")</f>
        <v>Jefe(a) de Laboratorio</v>
      </c>
      <c r="G551" s="33" t="str">
        <f>IFERROR(__xludf.DUMMYFUNCTION("""COMPUTED_VALUE"""),"JEFE DE LABORATORIO")</f>
        <v>JEFE DE LABORATORIO</v>
      </c>
      <c r="H551">
        <f>IFERROR(__xludf.DUMMYFUNCTION("""COMPUTED_VALUE"""),13.0)</f>
        <v>13</v>
      </c>
      <c r="I551" s="34" t="str">
        <f>IFERROR(__xludf.DUMMYFUNCTION("""COMPUTED_VALUE"""),"Jornada Completa")</f>
        <v>Jornada Completa</v>
      </c>
      <c r="J551" s="33" t="str">
        <f>IFERROR(__xludf.DUMMYFUNCTION("""COMPUTED_VALUE"""),"A CONTRATA")</f>
        <v>A CONTRATA</v>
      </c>
      <c r="K551" s="33" t="str">
        <f>IFERROR(__xludf.DUMMYFUNCTION("""COMPUTED_VALUE"""),"PROFESIONAL")</f>
        <v>PROFESIONAL</v>
      </c>
      <c r="L551" s="34" t="str">
        <f>IFERROR(__xludf.DUMMYFUNCTION("""COMPUTED_VALUE"""),"INTERNO")</f>
        <v>INTERNO</v>
      </c>
      <c r="M551" s="34">
        <f>IFERROR(__xludf.DUMMYFUNCTION("""COMPUTED_VALUE"""),1.0)</f>
        <v>1</v>
      </c>
      <c r="N551" s="34" t="str">
        <f>IFERROR(__xludf.DUMMYFUNCTION("""COMPUTED_VALUE"""),"NO")</f>
        <v>NO</v>
      </c>
      <c r="P551">
        <f>IFERROR(__xludf.DUMMYFUNCTION("""COMPUTED_VALUE"""),1.0)</f>
        <v>1</v>
      </c>
      <c r="Q551" s="35">
        <f>IFERROR(__xludf.DUMMYFUNCTION("""COMPUTED_VALUE"""),0.0)</f>
        <v>0</v>
      </c>
      <c r="R551" s="36" t="str">
        <f>IFERROR(__xludf.DUMMYFUNCTION("""COMPUTED_VALUE"""),"SELECCIONADA")</f>
        <v>SELECCIONADA</v>
      </c>
      <c r="S551" s="37">
        <f>IFERROR(__xludf.DUMMYFUNCTION("""COMPUTED_VALUE"""),42324.0)</f>
        <v>42324</v>
      </c>
      <c r="T551" s="34" t="str">
        <f>IFERROR(__xludf.DUMMYFUNCTION("""COMPUTED_VALUE"""),"DANIELA BRICENO GUTIERREZ")</f>
        <v>DANIELA BRICENO GUTIERREZ</v>
      </c>
      <c r="V551" t="str">
        <f>IFERROR(__xludf.DUMMYFUNCTION("""COMPUTED_VALUE"""),"15665644-5")</f>
        <v>15665644-5</v>
      </c>
      <c r="W551" t="str">
        <f>IFERROR(__xludf.DUMMYFUNCTION("""COMPUTED_VALUE"""),"SI")</f>
        <v>SI</v>
      </c>
      <c r="X551" t="str">
        <f>IFERROR(__xludf.DUMMYFUNCTION("""COMPUTED_VALUE"""),"Capacidad de Planificacion y Organizacion")</f>
        <v>Capacidad de Planificacion y Organizacion</v>
      </c>
      <c r="Y551" t="str">
        <f>IFERROR(__xludf.DUMMYFUNCTION("""COMPUTED_VALUE"""),"TRABAJO EN EQUIPO")</f>
        <v>TRABAJO EN EQUIPO</v>
      </c>
      <c r="Z551" t="str">
        <f>IFERROR(__xludf.DUMMYFUNCTION("""COMPUTED_VALUE"""),"TOLERANCIA A LA PRESION")</f>
        <v>TOLERANCIA A LA PRESION</v>
      </c>
      <c r="AA551" s="38">
        <f>IFERROR(__xludf.DUMMYFUNCTION("""COMPUTED_VALUE"""),42275.0)</f>
        <v>42275</v>
      </c>
      <c r="AB551" s="38">
        <f>IFERROR(__xludf.DUMMYFUNCTION("""COMPUTED_VALUE"""),42278.0)</f>
        <v>42278</v>
      </c>
      <c r="AF551" s="39"/>
      <c r="AG551" s="39"/>
      <c r="AH551" s="34" t="str">
        <f>IFERROR(__xludf.DUMMYFUNCTION("""COMPUTED_VALUE"""),"PROCESO DE SELECCIÓN")</f>
        <v>PROCESO DE SELECCIÓN</v>
      </c>
      <c r="AI551" s="34" t="str">
        <f>IFERROR(__xludf.DUMMYFUNCTION("""COMPUTED_VALUE"""),"RUBEN GARATE COLLADO")</f>
        <v>RUBEN GARATE COLLADO</v>
      </c>
      <c r="AJ551" s="34"/>
      <c r="AK551" s="34" t="str">
        <f>IFERROR(__xludf.DUMMYFUNCTION("""COMPUTED_VALUE"""),"P")</f>
        <v>P</v>
      </c>
      <c r="AL551">
        <f>IFERROR(__xludf.DUMMYFUNCTION("""COMPUTED_VALUE"""),33.0)</f>
        <v>33</v>
      </c>
      <c r="AM551">
        <f>IFERROR(__xludf.DUMMYFUNCTION("""COMPUTED_VALUE"""),2015.0)</f>
        <v>2015</v>
      </c>
      <c r="AN551" t="str">
        <f t="shared" si="1"/>
        <v>15665644-5</v>
      </c>
    </row>
    <row r="552">
      <c r="A552" s="33">
        <f>IFERROR(__xludf.DUMMYFUNCTION("""COMPUTED_VALUE"""),1.7254189E7)</f>
        <v>17254189</v>
      </c>
      <c r="B552" s="33">
        <f>IFERROR(__xludf.DUMMYFUNCTION("""COMPUTED_VALUE"""),97.0)</f>
        <v>97</v>
      </c>
      <c r="C552" s="33"/>
      <c r="D552" s="34" t="str">
        <f>IFERROR(__xludf.DUMMYFUNCTION("""COMPUTED_VALUE"""),"55")</f>
        <v>55</v>
      </c>
      <c r="E552" s="34" t="str">
        <f>IFERROR(__xludf.DUMMYFUNCTION("""COMPUTED_VALUE"""),"FACULTAD DE HUMANIDADES")</f>
        <v>FACULTAD DE HUMANIDADES</v>
      </c>
      <c r="F552" s="34" t="str">
        <f>IFERROR(__xludf.DUMMYFUNCTION("""COMPUTED_VALUE"""),"Encargado(a) de Vinculación con el Medio")</f>
        <v>Encargado(a) de Vinculación con el Medio</v>
      </c>
      <c r="G552" s="33" t="str">
        <f>IFERROR(__xludf.DUMMYFUNCTION("""COMPUTED_VALUE"""),"ENCARGADO DE VINCULACION CON EL MEDIO")</f>
        <v>ENCARGADO DE VINCULACION CON EL MEDIO</v>
      </c>
      <c r="H552">
        <f>IFERROR(__xludf.DUMMYFUNCTION("""COMPUTED_VALUE"""),13.0)</f>
        <v>13</v>
      </c>
      <c r="I552" s="34" t="str">
        <f>IFERROR(__xludf.DUMMYFUNCTION("""COMPUTED_VALUE"""),"Jornada Completa")</f>
        <v>Jornada Completa</v>
      </c>
      <c r="J552" s="33" t="str">
        <f>IFERROR(__xludf.DUMMYFUNCTION("""COMPUTED_VALUE"""),"A CONTRATA")</f>
        <v>A CONTRATA</v>
      </c>
      <c r="K552" s="33" t="str">
        <f>IFERROR(__xludf.DUMMYFUNCTION("""COMPUTED_VALUE"""),"PROFESIONAL")</f>
        <v>PROFESIONAL</v>
      </c>
      <c r="L552" s="34" t="str">
        <f>IFERROR(__xludf.DUMMYFUNCTION("""COMPUTED_VALUE"""),"INTERNO")</f>
        <v>INTERNO</v>
      </c>
      <c r="M552" s="34">
        <f>IFERROR(__xludf.DUMMYFUNCTION("""COMPUTED_VALUE"""),3.0)</f>
        <v>3</v>
      </c>
      <c r="N552" s="34" t="str">
        <f>IFERROR(__xludf.DUMMYFUNCTION("""COMPUTED_VALUE"""),"EXTERNO")</f>
        <v>EXTERNO</v>
      </c>
      <c r="O552">
        <f>IFERROR(__xludf.DUMMYFUNCTION("""COMPUTED_VALUE"""),10.0)</f>
        <v>10</v>
      </c>
      <c r="P552">
        <f>IFERROR(__xludf.DUMMYFUNCTION("""COMPUTED_VALUE"""),2.0)</f>
        <v>2</v>
      </c>
      <c r="Q552" s="35">
        <f>IFERROR(__xludf.DUMMYFUNCTION("""COMPUTED_VALUE"""),1.0)</f>
        <v>1</v>
      </c>
      <c r="R552" s="36" t="str">
        <f>IFERROR(__xludf.DUMMYFUNCTION("""COMPUTED_VALUE"""),"SELECCIONADO")</f>
        <v>SELECCIONADO</v>
      </c>
      <c r="S552" s="37">
        <f>IFERROR(__xludf.DUMMYFUNCTION("""COMPUTED_VALUE"""),42278.0)</f>
        <v>42278</v>
      </c>
      <c r="T552" s="34"/>
      <c r="U552" t="str">
        <f>IFERROR(__xludf.DUMMYFUNCTION("""COMPUTED_VALUE"""),"ALEX ARAYA LILLO")</f>
        <v>ALEX ARAYA LILLO</v>
      </c>
      <c r="V552" t="str">
        <f>IFERROR(__xludf.DUMMYFUNCTION("""COMPUTED_VALUE"""),"17254189-5")</f>
        <v>17254189-5</v>
      </c>
      <c r="W552" t="str">
        <f>IFERROR(__xludf.DUMMYFUNCTION("""COMPUTED_VALUE"""),"NO")</f>
        <v>NO</v>
      </c>
      <c r="AA552" s="38">
        <f>IFERROR(__xludf.DUMMYFUNCTION("""COMPUTED_VALUE"""),42200.0)</f>
        <v>42200</v>
      </c>
      <c r="AB552" s="38">
        <f>IFERROR(__xludf.DUMMYFUNCTION("""COMPUTED_VALUE"""),42208.0)</f>
        <v>42208</v>
      </c>
      <c r="AF552" s="39"/>
      <c r="AG552" s="39"/>
      <c r="AH552" s="34" t="str">
        <f>IFERROR(__xludf.DUMMYFUNCTION("""COMPUTED_VALUE"""),"PROCESO DE SELECCIÓN")</f>
        <v>PROCESO DE SELECCIÓN</v>
      </c>
      <c r="AI552" s="34" t="str">
        <f>IFERROR(__xludf.DUMMYFUNCTION("""COMPUTED_VALUE"""),"-")</f>
        <v>-</v>
      </c>
      <c r="AJ552" s="34"/>
      <c r="AK552" s="34" t="str">
        <f>IFERROR(__xludf.DUMMYFUNCTION("""COMPUTED_VALUE"""),"P")</f>
        <v>P</v>
      </c>
      <c r="AL552">
        <f>IFERROR(__xludf.DUMMYFUNCTION("""COMPUTED_VALUE"""),51.0)</f>
        <v>51</v>
      </c>
      <c r="AM552">
        <f>IFERROR(__xludf.DUMMYFUNCTION("""COMPUTED_VALUE"""),2015.0)</f>
        <v>2015</v>
      </c>
      <c r="AN552" t="str">
        <f t="shared" si="1"/>
        <v>17254189-5</v>
      </c>
    </row>
    <row r="553">
      <c r="A553" s="33">
        <f>IFERROR(__xludf.DUMMYFUNCTION("""COMPUTED_VALUE"""),9765223.0)</f>
        <v>9765223</v>
      </c>
      <c r="B553" s="33">
        <f>IFERROR(__xludf.DUMMYFUNCTION("""COMPUTED_VALUE"""),99.0)</f>
        <v>99</v>
      </c>
      <c r="C553" s="33"/>
      <c r="D553" s="34" t="str">
        <f>IFERROR(__xludf.DUMMYFUNCTION("""COMPUTED_VALUE"""),"5")</f>
        <v>5</v>
      </c>
      <c r="E553" s="34" t="str">
        <f>IFERROR(__xludf.DUMMYFUNCTION("""COMPUTED_VALUE"""),"SECRETARIA GENERAL")</f>
        <v>SECRETARIA GENERAL</v>
      </c>
      <c r="F553" s="34" t="str">
        <f>IFERROR(__xludf.DUMMYFUNCTION("""COMPUTED_VALUE"""),"Administrativo(a) de Apoyo")</f>
        <v>Administrativo(a) de Apoyo</v>
      </c>
      <c r="G553" s="33" t="str">
        <f>IFERROR(__xludf.DUMMYFUNCTION("""COMPUTED_VALUE"""),"ADMINISTRATIVO DE APOYO")</f>
        <v>ADMINISTRATIVO DE APOYO</v>
      </c>
      <c r="H553">
        <f>IFERROR(__xludf.DUMMYFUNCTION("""COMPUTED_VALUE"""),20.0)</f>
        <v>20</v>
      </c>
      <c r="I553" s="34" t="str">
        <f>IFERROR(__xludf.DUMMYFUNCTION("""COMPUTED_VALUE"""),"Jornada Completa")</f>
        <v>Jornada Completa</v>
      </c>
      <c r="J553" s="33" t="str">
        <f>IFERROR(__xludf.DUMMYFUNCTION("""COMPUTED_VALUE"""),"A CONTRATA")</f>
        <v>A CONTRATA</v>
      </c>
      <c r="K553" s="33" t="str">
        <f>IFERROR(__xludf.DUMMYFUNCTION("""COMPUTED_VALUE"""),"ADMINISTRATIVO")</f>
        <v>ADMINISTRATIVO</v>
      </c>
      <c r="L553" s="34" t="str">
        <f>IFERROR(__xludf.DUMMYFUNCTION("""COMPUTED_VALUE"""),"INTERNO")</f>
        <v>INTERNO</v>
      </c>
      <c r="M553" s="34">
        <f>IFERROR(__xludf.DUMMYFUNCTION("""COMPUTED_VALUE"""),1.0)</f>
        <v>1</v>
      </c>
      <c r="N553" s="34" t="str">
        <f>IFERROR(__xludf.DUMMYFUNCTION("""COMPUTED_VALUE"""),"NO")</f>
        <v>NO</v>
      </c>
      <c r="P553">
        <f>IFERROR(__xludf.DUMMYFUNCTION("""COMPUTED_VALUE"""),1.0)</f>
        <v>1</v>
      </c>
      <c r="Q553" s="35">
        <f>IFERROR(__xludf.DUMMYFUNCTION("""COMPUTED_VALUE"""),0.0)</f>
        <v>0</v>
      </c>
      <c r="R553" s="36" t="str">
        <f>IFERROR(__xludf.DUMMYFUNCTION("""COMPUTED_VALUE"""),"SELECCIONADO")</f>
        <v>SELECCIONADO</v>
      </c>
      <c r="S553" s="37">
        <f>IFERROR(__xludf.DUMMYFUNCTION("""COMPUTED_VALUE"""),42370.0)</f>
        <v>42370</v>
      </c>
      <c r="T553" s="34" t="str">
        <f>IFERROR(__xludf.DUMMYFUNCTION("""COMPUTED_VALUE"""),"GEORGE RIQUELME CABRERA")</f>
        <v>GEORGE RIQUELME CABRERA</v>
      </c>
      <c r="V553" t="str">
        <f>IFERROR(__xludf.DUMMYFUNCTION("""COMPUTED_VALUE"""),"09765223-6")</f>
        <v>09765223-6</v>
      </c>
      <c r="W553" t="str">
        <f>IFERROR(__xludf.DUMMYFUNCTION("""COMPUTED_VALUE"""),"NO")</f>
        <v>NO</v>
      </c>
      <c r="AA553" s="38">
        <f>IFERROR(__xludf.DUMMYFUNCTION("""COMPUTED_VALUE"""),42290.0)</f>
        <v>42290</v>
      </c>
      <c r="AB553" s="38">
        <f>IFERROR(__xludf.DUMMYFUNCTION("""COMPUTED_VALUE"""),42292.0)</f>
        <v>42292</v>
      </c>
      <c r="AF553" s="39"/>
      <c r="AG553" s="39"/>
      <c r="AH553" s="34" t="str">
        <f>IFERROR(__xludf.DUMMYFUNCTION("""COMPUTED_VALUE"""),"PROCESO DE SELECCIÓN")</f>
        <v>PROCESO DE SELECCIÓN</v>
      </c>
      <c r="AI553" s="34" t="str">
        <f>IFERROR(__xludf.DUMMYFUNCTION("""COMPUTED_VALUE"""),"-")</f>
        <v>-</v>
      </c>
      <c r="AJ553" s="34"/>
      <c r="AK553" s="34" t="str">
        <f>IFERROR(__xludf.DUMMYFUNCTION("""COMPUTED_VALUE"""),"C")</f>
        <v>C</v>
      </c>
      <c r="AL553">
        <f>IFERROR(__xludf.DUMMYFUNCTION("""COMPUTED_VALUE"""),57.0)</f>
        <v>57</v>
      </c>
      <c r="AM553">
        <f>IFERROR(__xludf.DUMMYFUNCTION("""COMPUTED_VALUE"""),2015.0)</f>
        <v>2015</v>
      </c>
      <c r="AN553" t="str">
        <f t="shared" si="1"/>
        <v>09765223-6</v>
      </c>
    </row>
    <row r="554">
      <c r="A554" s="33">
        <f>IFERROR(__xludf.DUMMYFUNCTION("""COMPUTED_VALUE"""),1.7662691E7)</f>
        <v>17662691</v>
      </c>
      <c r="B554" s="33">
        <f>IFERROR(__xludf.DUMMYFUNCTION("""COMPUTED_VALUE"""),100.0)</f>
        <v>100</v>
      </c>
      <c r="C554" s="33"/>
      <c r="D554" s="34" t="str">
        <f>IFERROR(__xludf.DUMMYFUNCTION("""COMPUTED_VALUE"""),"120")</f>
        <v>120</v>
      </c>
      <c r="E554" s="34" t="str">
        <f>IFERROR(__xludf.DUMMYFUNCTION("""COMPUTED_VALUE"""),"UNIDAD DE RADIO")</f>
        <v>UNIDAD DE RADIO</v>
      </c>
      <c r="F554" s="34" t="str">
        <f>IFERROR(__xludf.DUMMYFUNCTION("""COMPUTED_VALUE"""),"Radio Controlador(a)")</f>
        <v>Radio Controlador(a)</v>
      </c>
      <c r="G554" s="33" t="str">
        <f>IFERROR(__xludf.DUMMYFUNCTION("""COMPUTED_VALUE"""),"RADIO CONTROLADOR")</f>
        <v>RADIO CONTROLADOR</v>
      </c>
      <c r="H554">
        <f>IFERROR(__xludf.DUMMYFUNCTION("""COMPUTED_VALUE"""),17.0)</f>
        <v>17</v>
      </c>
      <c r="I554" s="34" t="str">
        <f>IFERROR(__xludf.DUMMYFUNCTION("""COMPUTED_VALUE"""),"Jornada Completa")</f>
        <v>Jornada Completa</v>
      </c>
      <c r="J554" s="33" t="str">
        <f>IFERROR(__xludf.DUMMYFUNCTION("""COMPUTED_VALUE"""),"A CONTRATA")</f>
        <v>A CONTRATA</v>
      </c>
      <c r="K554" s="33" t="str">
        <f>IFERROR(__xludf.DUMMYFUNCTION("""COMPUTED_VALUE"""),"TECNICO")</f>
        <v>TECNICO</v>
      </c>
      <c r="L554" s="34" t="str">
        <f>IFERROR(__xludf.DUMMYFUNCTION("""COMPUTED_VALUE"""),"INTERNO")</f>
        <v>INTERNO</v>
      </c>
      <c r="M554" s="34">
        <f>IFERROR(__xludf.DUMMYFUNCTION("""COMPUTED_VALUE"""),0.0)</f>
        <v>0</v>
      </c>
      <c r="N554" s="34" t="str">
        <f>IFERROR(__xludf.DUMMYFUNCTION("""COMPUTED_VALUE"""),"EXTERNO")</f>
        <v>EXTERNO</v>
      </c>
      <c r="O554">
        <f>IFERROR(__xludf.DUMMYFUNCTION("""COMPUTED_VALUE"""),6.0)</f>
        <v>6</v>
      </c>
      <c r="P554">
        <f>IFERROR(__xludf.DUMMYFUNCTION("""COMPUTED_VALUE"""),2.0)</f>
        <v>2</v>
      </c>
      <c r="Q554" s="35">
        <f>IFERROR(__xludf.DUMMYFUNCTION("""COMPUTED_VALUE"""),1.0)</f>
        <v>1</v>
      </c>
      <c r="R554" s="36" t="str">
        <f>IFERROR(__xludf.DUMMYFUNCTION("""COMPUTED_VALUE"""),"SELECCIONADO")</f>
        <v>SELECCIONADO</v>
      </c>
      <c r="S554" s="37">
        <f>IFERROR(__xludf.DUMMYFUNCTION("""COMPUTED_VALUE"""),42339.0)</f>
        <v>42339</v>
      </c>
      <c r="T554" s="34"/>
      <c r="U554" t="str">
        <f>IFERROR(__xludf.DUMMYFUNCTION("""COMPUTED_VALUE"""),"PEDRO ZAMORANO ROBLERO")</f>
        <v>PEDRO ZAMORANO ROBLERO</v>
      </c>
      <c r="V554" t="str">
        <f>IFERROR(__xludf.DUMMYFUNCTION("""COMPUTED_VALUE"""),"17662691-7")</f>
        <v>17662691-7</v>
      </c>
      <c r="W554" t="str">
        <f>IFERROR(__xludf.DUMMYFUNCTION("""COMPUTED_VALUE"""),"SI")</f>
        <v>SI</v>
      </c>
      <c r="Y554" t="str">
        <f>IFERROR(__xludf.DUMMYFUNCTION("""COMPUTED_VALUE"""),"FLEXIBILIDAD")</f>
        <v>FLEXIBILIDAD</v>
      </c>
      <c r="AA554" s="38">
        <f>IFERROR(__xludf.DUMMYFUNCTION("""COMPUTED_VALUE"""),42286.0)</f>
        <v>42286</v>
      </c>
      <c r="AB554" s="38">
        <f>IFERROR(__xludf.DUMMYFUNCTION("""COMPUTED_VALUE"""),42293.0)</f>
        <v>42293</v>
      </c>
      <c r="AF554" s="39"/>
      <c r="AG554" s="39"/>
      <c r="AH554" s="34" t="str">
        <f>IFERROR(__xludf.DUMMYFUNCTION("""COMPUTED_VALUE"""),"PROCESO DE SELECCIÓN")</f>
        <v>PROCESO DE SELECCIÓN</v>
      </c>
      <c r="AI554" s="34" t="str">
        <f>IFERROR(__xludf.DUMMYFUNCTION("""COMPUTED_VALUE"""),"ALDO MIRANDA PORRAS")</f>
        <v>ALDO MIRANDA PORRAS</v>
      </c>
      <c r="AJ554" s="34"/>
      <c r="AK554" s="34" t="str">
        <f>IFERROR(__xludf.DUMMYFUNCTION("""COMPUTED_VALUE"""),"P")</f>
        <v>P</v>
      </c>
      <c r="AL554">
        <f>IFERROR(__xludf.DUMMYFUNCTION("""COMPUTED_VALUE"""),33.0)</f>
        <v>33</v>
      </c>
      <c r="AM554">
        <f>IFERROR(__xludf.DUMMYFUNCTION("""COMPUTED_VALUE"""),2015.0)</f>
        <v>2015</v>
      </c>
      <c r="AN554" t="str">
        <f t="shared" si="1"/>
        <v>17662691-7</v>
      </c>
    </row>
    <row r="555">
      <c r="A555" s="33">
        <f>IFERROR(__xludf.DUMMYFUNCTION("""COMPUTED_VALUE"""),1.3923654E7)</f>
        <v>13923654</v>
      </c>
      <c r="B555" s="33">
        <f>IFERROR(__xludf.DUMMYFUNCTION("""COMPUTED_VALUE"""),101.0)</f>
        <v>101</v>
      </c>
      <c r="C555" s="33"/>
      <c r="D555" s="34" t="str">
        <f>IFERROR(__xludf.DUMMYFUNCTION("""COMPUTED_VALUE"""),"3")</f>
        <v>3</v>
      </c>
      <c r="E555" s="34" t="str">
        <f>IFERROR(__xludf.DUMMYFUNCTION("""COMPUTED_VALUE"""),"DEPARTAMENTO DE FINANZAS Y TESORERIA")</f>
        <v>DEPARTAMENTO DE FINANZAS Y TESORERIA</v>
      </c>
      <c r="F555" s="34" t="str">
        <f>IFERROR(__xludf.DUMMYFUNCTION("""COMPUTED_VALUE"""),"Analista Contable II")</f>
        <v>Analista Contable II</v>
      </c>
      <c r="G555" s="33" t="str">
        <f>IFERROR(__xludf.DUMMYFUNCTION("""COMPUTED_VALUE"""),"ANALISTA CONTABLE II")</f>
        <v>ANALISTA CONTABLE II</v>
      </c>
      <c r="H555">
        <f>IFERROR(__xludf.DUMMYFUNCTION("""COMPUTED_VALUE"""),13.0)</f>
        <v>13</v>
      </c>
      <c r="I555" s="34" t="str">
        <f>IFERROR(__xludf.DUMMYFUNCTION("""COMPUTED_VALUE"""),"Jornada Completa")</f>
        <v>Jornada Completa</v>
      </c>
      <c r="J555" s="33" t="str">
        <f>IFERROR(__xludf.DUMMYFUNCTION("""COMPUTED_VALUE"""),"A CONTRATA")</f>
        <v>A CONTRATA</v>
      </c>
      <c r="K555" s="33" t="str">
        <f>IFERROR(__xludf.DUMMYFUNCTION("""COMPUTED_VALUE"""),"PROFESIONAL")</f>
        <v>PROFESIONAL</v>
      </c>
      <c r="L555" s="34" t="str">
        <f>IFERROR(__xludf.DUMMYFUNCTION("""COMPUTED_VALUE"""),"INTERNO")</f>
        <v>INTERNO</v>
      </c>
      <c r="M555" s="34">
        <f>IFERROR(__xludf.DUMMYFUNCTION("""COMPUTED_VALUE"""),1.0)</f>
        <v>1</v>
      </c>
      <c r="N555" s="34" t="str">
        <f>IFERROR(__xludf.DUMMYFUNCTION("""COMPUTED_VALUE"""),"EXTERNO")</f>
        <v>EXTERNO</v>
      </c>
      <c r="O555">
        <f>IFERROR(__xludf.DUMMYFUNCTION("""COMPUTED_VALUE"""),4.0)</f>
        <v>4</v>
      </c>
      <c r="P555">
        <f>IFERROR(__xludf.DUMMYFUNCTION("""COMPUTED_VALUE"""),2.0)</f>
        <v>2</v>
      </c>
      <c r="Q555" s="35">
        <f>IFERROR(__xludf.DUMMYFUNCTION("""COMPUTED_VALUE"""),2.0)</f>
        <v>2</v>
      </c>
      <c r="R555" s="36" t="str">
        <f>IFERROR(__xludf.DUMMYFUNCTION("""COMPUTED_VALUE"""),"SELECCIONADA")</f>
        <v>SELECCIONADA</v>
      </c>
      <c r="S555" s="37">
        <f>IFERROR(__xludf.DUMMYFUNCTION("""COMPUTED_VALUE"""),42430.0)</f>
        <v>42430</v>
      </c>
      <c r="T555" s="34"/>
      <c r="U555" t="str">
        <f>IFERROR(__xludf.DUMMYFUNCTION("""COMPUTED_VALUE"""),"LESLEY DOÑA RIOSECO")</f>
        <v>LESLEY DOÑA RIOSECO</v>
      </c>
      <c r="V555" t="str">
        <f>IFERROR(__xludf.DUMMYFUNCTION("""COMPUTED_VALUE"""),"13923654-8")</f>
        <v>13923654-8</v>
      </c>
      <c r="W555" t="str">
        <f>IFERROR(__xludf.DUMMYFUNCTION("""COMPUTED_VALUE"""),"NO")</f>
        <v>NO</v>
      </c>
      <c r="AA555" s="38">
        <f>IFERROR(__xludf.DUMMYFUNCTION("""COMPUTED_VALUE"""),42366.0)</f>
        <v>42366</v>
      </c>
      <c r="AB555" s="38">
        <f>IFERROR(__xludf.DUMMYFUNCTION("""COMPUTED_VALUE"""),42373.0)</f>
        <v>42373</v>
      </c>
      <c r="AF555" s="39"/>
      <c r="AG555" s="39"/>
      <c r="AH555" s="34" t="str">
        <f>IFERROR(__xludf.DUMMYFUNCTION("""COMPUTED_VALUE"""),"PROCESO DE SELECCIÓN")</f>
        <v>PROCESO DE SELECCIÓN</v>
      </c>
      <c r="AI555" s="34" t="str">
        <f>IFERROR(__xludf.DUMMYFUNCTION("""COMPUTED_VALUE"""),"LUIS CONCHA")</f>
        <v>LUIS CONCHA</v>
      </c>
      <c r="AJ555" s="34"/>
      <c r="AK555" s="34" t="str">
        <f>IFERROR(__xludf.DUMMYFUNCTION("""COMPUTED_VALUE"""),"E")</f>
        <v>E</v>
      </c>
      <c r="AL555">
        <f>IFERROR(__xludf.DUMMYFUNCTION("""COMPUTED_VALUE"""),42.0)</f>
        <v>42</v>
      </c>
      <c r="AM555">
        <f>IFERROR(__xludf.DUMMYFUNCTION("""COMPUTED_VALUE"""),2015.0)</f>
        <v>2015</v>
      </c>
      <c r="AN555" t="str">
        <f t="shared" si="1"/>
        <v>13923654-8</v>
      </c>
    </row>
    <row r="556">
      <c r="A556" s="33">
        <f>IFERROR(__xludf.DUMMYFUNCTION("""COMPUTED_VALUE"""),1.6176069E7)</f>
        <v>16176069</v>
      </c>
      <c r="B556" s="33">
        <f>IFERROR(__xludf.DUMMYFUNCTION("""COMPUTED_VALUE"""),102.0)</f>
        <v>102</v>
      </c>
      <c r="C556" s="33"/>
      <c r="D556" s="34" t="str">
        <f>IFERROR(__xludf.DUMMYFUNCTION("""COMPUTED_VALUE"""),"3")</f>
        <v>3</v>
      </c>
      <c r="E556" s="34" t="str">
        <f>IFERROR(__xludf.DUMMYFUNCTION("""COMPUTED_VALUE"""),"DEPARTAMENTO DE FINANZAS Y TESORERIA")</f>
        <v>DEPARTAMENTO DE FINANZAS Y TESORERIA</v>
      </c>
      <c r="F556" s="34" t="str">
        <f>IFERROR(__xludf.DUMMYFUNCTION("""COMPUTED_VALUE"""),"Analista de Gestión II")</f>
        <v>Analista de Gestión II</v>
      </c>
      <c r="G556" s="33" t="str">
        <f>IFERROR(__xludf.DUMMYFUNCTION("""COMPUTED_VALUE"""),"ANALISTA II")</f>
        <v>ANALISTA II</v>
      </c>
      <c r="H556">
        <f>IFERROR(__xludf.DUMMYFUNCTION("""COMPUTED_VALUE"""),13.0)</f>
        <v>13</v>
      </c>
      <c r="I556" s="34" t="str">
        <f>IFERROR(__xludf.DUMMYFUNCTION("""COMPUTED_VALUE"""),"Jornada Completa")</f>
        <v>Jornada Completa</v>
      </c>
      <c r="J556" s="33" t="str">
        <f>IFERROR(__xludf.DUMMYFUNCTION("""COMPUTED_VALUE"""),"A CONTRATA")</f>
        <v>A CONTRATA</v>
      </c>
      <c r="K556" s="33" t="str">
        <f>IFERROR(__xludf.DUMMYFUNCTION("""COMPUTED_VALUE"""),"PROFESIONAL")</f>
        <v>PROFESIONAL</v>
      </c>
      <c r="L556" s="34" t="str">
        <f>IFERROR(__xludf.DUMMYFUNCTION("""COMPUTED_VALUE"""),"INTERNO")</f>
        <v>INTERNO</v>
      </c>
      <c r="M556" s="34">
        <f>IFERROR(__xludf.DUMMYFUNCTION("""COMPUTED_VALUE"""),1.0)</f>
        <v>1</v>
      </c>
      <c r="N556" s="34" t="str">
        <f>IFERROR(__xludf.DUMMYFUNCTION("""COMPUTED_VALUE"""),"EXTERNO")</f>
        <v>EXTERNO</v>
      </c>
      <c r="O556">
        <f>IFERROR(__xludf.DUMMYFUNCTION("""COMPUTED_VALUE"""),7.0)</f>
        <v>7</v>
      </c>
      <c r="P556">
        <f>IFERROR(__xludf.DUMMYFUNCTION("""COMPUTED_VALUE"""),2.0)</f>
        <v>2</v>
      </c>
      <c r="Q556" s="35">
        <f>IFERROR(__xludf.DUMMYFUNCTION("""COMPUTED_VALUE"""),1.0)</f>
        <v>1</v>
      </c>
      <c r="R556" s="36" t="str">
        <f>IFERROR(__xludf.DUMMYFUNCTION("""COMPUTED_VALUE"""),"SELECCIONADA")</f>
        <v>SELECCIONADA</v>
      </c>
      <c r="S556" s="37">
        <f>IFERROR(__xludf.DUMMYFUNCTION("""COMPUTED_VALUE"""),42430.0)</f>
        <v>42430</v>
      </c>
      <c r="T556" s="34"/>
      <c r="U556" t="str">
        <f>IFERROR(__xludf.DUMMYFUNCTION("""COMPUTED_VALUE"""),"ROCIO BERRIOS SANHUEZA")</f>
        <v>ROCIO BERRIOS SANHUEZA</v>
      </c>
      <c r="V556" t="str">
        <f>IFERROR(__xludf.DUMMYFUNCTION("""COMPUTED_VALUE"""),"16176069-2")</f>
        <v>16176069-2</v>
      </c>
      <c r="W556" t="str">
        <f>IFERROR(__xludf.DUMMYFUNCTION("""COMPUTED_VALUE"""),"SI")</f>
        <v>SI</v>
      </c>
      <c r="X556" t="str">
        <f>IFERROR(__xludf.DUMMYFUNCTION("""COMPUTED_VALUE"""),"Capacidad de Planificacion y Organizacion")</f>
        <v>Capacidad de Planificacion y Organizacion</v>
      </c>
      <c r="Y556" t="str">
        <f>IFERROR(__xludf.DUMMYFUNCTION("""COMPUTED_VALUE"""),"INICIATIVA")</f>
        <v>INICIATIVA</v>
      </c>
      <c r="AA556" s="38">
        <f>IFERROR(__xludf.DUMMYFUNCTION("""COMPUTED_VALUE"""),42338.0)</f>
        <v>42338</v>
      </c>
      <c r="AB556" s="38">
        <f>IFERROR(__xludf.DUMMYFUNCTION("""COMPUTED_VALUE"""),42345.0)</f>
        <v>42345</v>
      </c>
      <c r="AF556" s="39"/>
      <c r="AG556" s="39"/>
      <c r="AH556" s="34" t="str">
        <f>IFERROR(__xludf.DUMMYFUNCTION("""COMPUTED_VALUE"""),"PROCESO DE SELECCIÓN")</f>
        <v>PROCESO DE SELECCIÓN</v>
      </c>
      <c r="AI556" s="34" t="str">
        <f>IFERROR(__xludf.DUMMYFUNCTION("""COMPUTED_VALUE"""),"-")</f>
        <v>-</v>
      </c>
      <c r="AJ556" s="34"/>
      <c r="AK556" s="34" t="str">
        <f>IFERROR(__xludf.DUMMYFUNCTION("""COMPUTED_VALUE"""),"E")</f>
        <v>E</v>
      </c>
      <c r="AL556">
        <f>IFERROR(__xludf.DUMMYFUNCTION("""COMPUTED_VALUE"""),62.0)</f>
        <v>62</v>
      </c>
      <c r="AM556">
        <f>IFERROR(__xludf.DUMMYFUNCTION("""COMPUTED_VALUE"""),2015.0)</f>
        <v>2015</v>
      </c>
      <c r="AN556" t="str">
        <f t="shared" si="1"/>
        <v>16176069-2</v>
      </c>
    </row>
    <row r="557">
      <c r="A557" s="33">
        <f>IFERROR(__xludf.DUMMYFUNCTION("""COMPUTED_VALUE"""),1.0972162E7)</f>
        <v>10972162</v>
      </c>
      <c r="B557" s="33">
        <f>IFERROR(__xludf.DUMMYFUNCTION("""COMPUTED_VALUE"""),103.0)</f>
        <v>103</v>
      </c>
      <c r="C557" s="33"/>
      <c r="D557" s="34" t="str">
        <f>IFERROR(__xludf.DUMMYFUNCTION("""COMPUTED_VALUE"""),"3")</f>
        <v>3</v>
      </c>
      <c r="E557" s="34" t="str">
        <f>IFERROR(__xludf.DUMMYFUNCTION("""COMPUTED_VALUE"""),"DEPARTAMENTO DE FINANZAS Y TESORERIA")</f>
        <v>DEPARTAMENTO DE FINANZAS Y TESORERIA</v>
      </c>
      <c r="F557" s="34" t="str">
        <f>IFERROR(__xludf.DUMMYFUNCTION("""COMPUTED_VALUE"""),"Analista Contable II")</f>
        <v>Analista Contable II</v>
      </c>
      <c r="G557" s="33" t="str">
        <f>IFERROR(__xludf.DUMMYFUNCTION("""COMPUTED_VALUE"""),"ANALISTA CONTABLE II")</f>
        <v>ANALISTA CONTABLE II</v>
      </c>
      <c r="H557">
        <f>IFERROR(__xludf.DUMMYFUNCTION("""COMPUTED_VALUE"""),13.0)</f>
        <v>13</v>
      </c>
      <c r="I557" s="34" t="str">
        <f>IFERROR(__xludf.DUMMYFUNCTION("""COMPUTED_VALUE"""),"Jornada Completa")</f>
        <v>Jornada Completa</v>
      </c>
      <c r="J557" s="33" t="str">
        <f>IFERROR(__xludf.DUMMYFUNCTION("""COMPUTED_VALUE"""),"A CONTRATA")</f>
        <v>A CONTRATA</v>
      </c>
      <c r="K557" s="33" t="str">
        <f>IFERROR(__xludf.DUMMYFUNCTION("""COMPUTED_VALUE"""),"PROFESIONAL")</f>
        <v>PROFESIONAL</v>
      </c>
      <c r="L557" s="34" t="str">
        <f>IFERROR(__xludf.DUMMYFUNCTION("""COMPUTED_VALUE"""),"INTERNO")</f>
        <v>INTERNO</v>
      </c>
      <c r="M557" s="34">
        <f>IFERROR(__xludf.DUMMYFUNCTION("""COMPUTED_VALUE"""),2.0)</f>
        <v>2</v>
      </c>
      <c r="N557" s="34" t="str">
        <f>IFERROR(__xludf.DUMMYFUNCTION("""COMPUTED_VALUE"""),"EXTERNO")</f>
        <v>EXTERNO</v>
      </c>
      <c r="O557">
        <f>IFERROR(__xludf.DUMMYFUNCTION("""COMPUTED_VALUE"""),18.0)</f>
        <v>18</v>
      </c>
      <c r="P557">
        <f>IFERROR(__xludf.DUMMYFUNCTION("""COMPUTED_VALUE"""),2.0)</f>
        <v>2</v>
      </c>
      <c r="Q557" s="35">
        <f>IFERROR(__xludf.DUMMYFUNCTION("""COMPUTED_VALUE"""),2.0)</f>
        <v>2</v>
      </c>
      <c r="R557" s="36" t="str">
        <f>IFERROR(__xludf.DUMMYFUNCTION("""COMPUTED_VALUE"""),"SELECCIONADA")</f>
        <v>SELECCIONADA</v>
      </c>
      <c r="S557" s="37">
        <f>IFERROR(__xludf.DUMMYFUNCTION("""COMPUTED_VALUE"""),42387.0)</f>
        <v>42387</v>
      </c>
      <c r="T557" s="34"/>
      <c r="U557" t="str">
        <f>IFERROR(__xludf.DUMMYFUNCTION("""COMPUTED_VALUE"""),"MARION DONOSO PAVEZ")</f>
        <v>MARION DONOSO PAVEZ</v>
      </c>
      <c r="V557" t="str">
        <f>IFERROR(__xludf.DUMMYFUNCTION("""COMPUTED_VALUE"""),"10972162-K")</f>
        <v>10972162-K</v>
      </c>
      <c r="W557" t="str">
        <f>IFERROR(__xludf.DUMMYFUNCTION("""COMPUTED_VALUE"""),"NO")</f>
        <v>NO</v>
      </c>
      <c r="AA557" s="38">
        <f>IFERROR(__xludf.DUMMYFUNCTION("""COMPUTED_VALUE"""),42325.0)</f>
        <v>42325</v>
      </c>
      <c r="AB557" s="38">
        <f>IFERROR(__xludf.DUMMYFUNCTION("""COMPUTED_VALUE"""),42332.0)</f>
        <v>42332</v>
      </c>
      <c r="AF557" s="39"/>
      <c r="AG557" s="39"/>
      <c r="AH557" s="34" t="str">
        <f>IFERROR(__xludf.DUMMYFUNCTION("""COMPUTED_VALUE"""),"PROCESO DE SELECCIÓN")</f>
        <v>PROCESO DE SELECCIÓN</v>
      </c>
      <c r="AI557" s="34" t="str">
        <f>IFERROR(__xludf.DUMMYFUNCTION("""COMPUTED_VALUE"""),"SEBASTIAN ROJAS (jessica maldonado honorarios)")</f>
        <v>SEBASTIAN ROJAS (jessica maldonado honorarios)</v>
      </c>
      <c r="AJ557" s="34"/>
      <c r="AK557" s="34" t="str">
        <f>IFERROR(__xludf.DUMMYFUNCTION("""COMPUTED_VALUE"""),"E")</f>
        <v>E</v>
      </c>
      <c r="AL557">
        <f>IFERROR(__xludf.DUMMYFUNCTION("""COMPUTED_VALUE"""),40.0)</f>
        <v>40</v>
      </c>
      <c r="AM557">
        <f>IFERROR(__xludf.DUMMYFUNCTION("""COMPUTED_VALUE"""),2015.0)</f>
        <v>2015</v>
      </c>
      <c r="AN557" t="str">
        <f t="shared" si="1"/>
        <v>10972162-K</v>
      </c>
    </row>
    <row r="558">
      <c r="A558" s="33">
        <f>IFERROR(__xludf.DUMMYFUNCTION("""COMPUTED_VALUE"""),1.7255425E7)</f>
        <v>17255425</v>
      </c>
      <c r="B558" s="33">
        <f>IFERROR(__xludf.DUMMYFUNCTION("""COMPUTED_VALUE"""),104.0)</f>
        <v>104</v>
      </c>
      <c r="C558" s="33"/>
      <c r="D558" s="34" t="str">
        <f>IFERROR(__xludf.DUMMYFUNCTION("""COMPUTED_VALUE"""),"5")</f>
        <v>5</v>
      </c>
      <c r="E558" s="34" t="str">
        <f>IFERROR(__xludf.DUMMYFUNCTION("""COMPUTED_VALUE"""),"SECRETARIA GENERAL")</f>
        <v>SECRETARIA GENERAL</v>
      </c>
      <c r="F558" s="34" t="str">
        <f>IFERROR(__xludf.DUMMYFUNCTION("""COMPUTED_VALUE"""),"Jefe(a) de Sección")</f>
        <v>Jefe(a) de Sección</v>
      </c>
      <c r="G558" s="33" t="str">
        <f>IFERROR(__xludf.DUMMYFUNCTION("""COMPUTED_VALUE"""),"JEFE DE SECCION")</f>
        <v>JEFE DE SECCION</v>
      </c>
      <c r="H558">
        <f>IFERROR(__xludf.DUMMYFUNCTION("""COMPUTED_VALUE"""),10.0)</f>
        <v>10</v>
      </c>
      <c r="I558" s="34" t="str">
        <f>IFERROR(__xludf.DUMMYFUNCTION("""COMPUTED_VALUE"""),"Jornada Completa")</f>
        <v>Jornada Completa</v>
      </c>
      <c r="J558" s="33" t="str">
        <f>IFERROR(__xludf.DUMMYFUNCTION("""COMPUTED_VALUE"""),"A CONTRATA")</f>
        <v>A CONTRATA</v>
      </c>
      <c r="K558" s="33" t="str">
        <f>IFERROR(__xludf.DUMMYFUNCTION("""COMPUTED_VALUE"""),"PROFESIONAL")</f>
        <v>PROFESIONAL</v>
      </c>
      <c r="L558" s="34" t="str">
        <f>IFERROR(__xludf.DUMMYFUNCTION("""COMPUTED_VALUE"""),"INTERNO")</f>
        <v>INTERNO</v>
      </c>
      <c r="M558" s="34">
        <f>IFERROR(__xludf.DUMMYFUNCTION("""COMPUTED_VALUE"""),13.0)</f>
        <v>13</v>
      </c>
      <c r="N558" s="34" t="str">
        <f>IFERROR(__xludf.DUMMYFUNCTION("""COMPUTED_VALUE"""),"EXTERNO")</f>
        <v>EXTERNO</v>
      </c>
      <c r="P558">
        <f>IFERROR(__xludf.DUMMYFUNCTION("""COMPUTED_VALUE"""),3.0)</f>
        <v>3</v>
      </c>
      <c r="Q558" s="35">
        <f>IFERROR(__xludf.DUMMYFUNCTION("""COMPUTED_VALUE"""),0.0)</f>
        <v>0</v>
      </c>
      <c r="R558" s="36" t="str">
        <f>IFERROR(__xludf.DUMMYFUNCTION("""COMPUTED_VALUE"""),"SELECCIONADO")</f>
        <v>SELECCIONADO</v>
      </c>
      <c r="S558" s="37">
        <f>IFERROR(__xludf.DUMMYFUNCTION("""COMPUTED_VALUE"""),42436.0)</f>
        <v>42436</v>
      </c>
      <c r="T558" s="34" t="str">
        <f>IFERROR(__xludf.DUMMYFUNCTION("""COMPUTED_VALUE"""),"GIOVANNI MEDINA ALVAREZ")</f>
        <v>GIOVANNI MEDINA ALVAREZ</v>
      </c>
      <c r="V558" t="str">
        <f>IFERROR(__xludf.DUMMYFUNCTION("""COMPUTED_VALUE"""),"17255425-3")</f>
        <v>17255425-3</v>
      </c>
      <c r="W558" t="str">
        <f>IFERROR(__xludf.DUMMYFUNCTION("""COMPUTED_VALUE"""),"SI")</f>
        <v>SI</v>
      </c>
      <c r="X558" t="str">
        <f>IFERROR(__xludf.DUMMYFUNCTION("""COMPUTED_VALUE"""),"Capacidad de Planificacion y Organizacion")</f>
        <v>Capacidad de Planificacion y Organizacion</v>
      </c>
      <c r="Y558" t="str">
        <f>IFERROR(__xludf.DUMMYFUNCTION("""COMPUTED_VALUE"""),"TRABAJO EN EQUIPO")</f>
        <v>TRABAJO EN EQUIPO</v>
      </c>
      <c r="AA558" s="38">
        <f>IFERROR(__xludf.DUMMYFUNCTION("""COMPUTED_VALUE"""),42373.0)</f>
        <v>42373</v>
      </c>
      <c r="AB558" s="38">
        <f>IFERROR(__xludf.DUMMYFUNCTION("""COMPUTED_VALUE"""),42376.0)</f>
        <v>42376</v>
      </c>
      <c r="AF558" s="39"/>
      <c r="AG558" s="39"/>
      <c r="AH558" s="34" t="str">
        <f>IFERROR(__xludf.DUMMYFUNCTION("""COMPUTED_VALUE"""),"PROCESO DE SELECCIÓN")</f>
        <v>PROCESO DE SELECCIÓN</v>
      </c>
      <c r="AI558" s="34" t="str">
        <f>IFERROR(__xludf.DUMMYFUNCTION("""COMPUTED_VALUE"""),"PEDRO YANEZ")</f>
        <v>PEDRO YANEZ</v>
      </c>
      <c r="AJ558" s="34"/>
      <c r="AK558" s="34" t="str">
        <f>IFERROR(__xludf.DUMMYFUNCTION("""COMPUTED_VALUE"""),"P")</f>
        <v>P</v>
      </c>
      <c r="AL558">
        <f>IFERROR(__xludf.DUMMYFUNCTION("""COMPUTED_VALUE"""),43.0)</f>
        <v>43</v>
      </c>
      <c r="AM558">
        <f>IFERROR(__xludf.DUMMYFUNCTION("""COMPUTED_VALUE"""),2015.0)</f>
        <v>2015</v>
      </c>
      <c r="AN558" t="str">
        <f t="shared" si="1"/>
        <v>17255425-3</v>
      </c>
    </row>
    <row r="559">
      <c r="A559" s="33">
        <f>IFERROR(__xludf.DUMMYFUNCTION("""COMPUTED_VALUE"""),1.7102425E7)</f>
        <v>17102425</v>
      </c>
      <c r="B559" s="33">
        <f>IFERROR(__xludf.DUMMYFUNCTION("""COMPUTED_VALUE"""),105.0)</f>
        <v>105</v>
      </c>
      <c r="C559" s="33"/>
      <c r="D559" s="34" t="str">
        <f>IFERROR(__xludf.DUMMYFUNCTION("""COMPUTED_VALUE"""),"3")</f>
        <v>3</v>
      </c>
      <c r="E559" s="34" t="str">
        <f>IFERROR(__xludf.DUMMYFUNCTION("""COMPUTED_VALUE"""),"UNIDAD DE GESTION DEL CAMPUS")</f>
        <v>UNIDAD DE GESTION DEL CAMPUS</v>
      </c>
      <c r="F559" s="34" t="str">
        <f>IFERROR(__xludf.DUMMYFUNCTION("""COMPUTED_VALUE"""),"Técnico(a) Eléctrico")</f>
        <v>Técnico(a) Eléctrico</v>
      </c>
      <c r="G559" s="33" t="str">
        <f>IFERROR(__xludf.DUMMYFUNCTION("""COMPUTED_VALUE"""),"TECNICO ELECTRICO")</f>
        <v>TECNICO ELECTRICO</v>
      </c>
      <c r="H559">
        <f>IFERROR(__xludf.DUMMYFUNCTION("""COMPUTED_VALUE"""),17.0)</f>
        <v>17</v>
      </c>
      <c r="I559" s="34" t="str">
        <f>IFERROR(__xludf.DUMMYFUNCTION("""COMPUTED_VALUE"""),"Jornada Completa")</f>
        <v>Jornada Completa</v>
      </c>
      <c r="J559" s="33" t="str">
        <f>IFERROR(__xludf.DUMMYFUNCTION("""COMPUTED_VALUE"""),"A CONTRATA")</f>
        <v>A CONTRATA</v>
      </c>
      <c r="K559" s="33" t="str">
        <f>IFERROR(__xludf.DUMMYFUNCTION("""COMPUTED_VALUE"""),"TECNICO")</f>
        <v>TECNICO</v>
      </c>
      <c r="L559" s="34" t="str">
        <f>IFERROR(__xludf.DUMMYFUNCTION("""COMPUTED_VALUE"""),"INTERNO")</f>
        <v>INTERNO</v>
      </c>
      <c r="M559" s="34">
        <f>IFERROR(__xludf.DUMMYFUNCTION("""COMPUTED_VALUE"""),0.0)</f>
        <v>0</v>
      </c>
      <c r="N559" s="34" t="str">
        <f>IFERROR(__xludf.DUMMYFUNCTION("""COMPUTED_VALUE"""),"EXTERNO")</f>
        <v>EXTERNO</v>
      </c>
      <c r="O559">
        <f>IFERROR(__xludf.DUMMYFUNCTION("""COMPUTED_VALUE"""),1.0)</f>
        <v>1</v>
      </c>
      <c r="P559">
        <f>IFERROR(__xludf.DUMMYFUNCTION("""COMPUTED_VALUE"""),1.0)</f>
        <v>1</v>
      </c>
      <c r="Q559" s="35">
        <f>IFERROR(__xludf.DUMMYFUNCTION("""COMPUTED_VALUE"""),1.0)</f>
        <v>1</v>
      </c>
      <c r="R559" s="36" t="str">
        <f>IFERROR(__xludf.DUMMYFUNCTION("""COMPUTED_VALUE"""),"SELECCIONADO")</f>
        <v>SELECCIONADO</v>
      </c>
      <c r="S559" s="37">
        <f>IFERROR(__xludf.DUMMYFUNCTION("""COMPUTED_VALUE"""),42436.0)</f>
        <v>42436</v>
      </c>
      <c r="T559" s="34"/>
      <c r="U559" t="str">
        <f>IFERROR(__xludf.DUMMYFUNCTION("""COMPUTED_VALUE"""),"LUIS PAVEZ GAMBOA")</f>
        <v>LUIS PAVEZ GAMBOA</v>
      </c>
      <c r="V559" t="str">
        <f>IFERROR(__xludf.DUMMYFUNCTION("""COMPUTED_VALUE"""),"17102425-0")</f>
        <v>17102425-0</v>
      </c>
      <c r="W559" t="str">
        <f>IFERROR(__xludf.DUMMYFUNCTION("""COMPUTED_VALUE"""),"NO")</f>
        <v>NO</v>
      </c>
      <c r="AA559" s="38">
        <f>IFERROR(__xludf.DUMMYFUNCTION("""COMPUTED_VALUE"""),42332.0)</f>
        <v>42332</v>
      </c>
      <c r="AB559" s="38">
        <f>IFERROR(__xludf.DUMMYFUNCTION("""COMPUTED_VALUE"""),42339.0)</f>
        <v>42339</v>
      </c>
      <c r="AF559" s="39"/>
      <c r="AG559" s="39"/>
      <c r="AH559" s="34" t="str">
        <f>IFERROR(__xludf.DUMMYFUNCTION("""COMPUTED_VALUE"""),"PROCESO DE SELECCIÓN")</f>
        <v>PROCESO DE SELECCIÓN</v>
      </c>
      <c r="AI559" s="34" t="str">
        <f>IFERROR(__xludf.DUMMYFUNCTION("""COMPUTED_VALUE"""),"MAURICIO PIZARRO")</f>
        <v>MAURICIO PIZARRO</v>
      </c>
      <c r="AJ559" s="34"/>
      <c r="AK559" s="34" t="str">
        <f>IFERROR(__xludf.DUMMYFUNCTION("""COMPUTED_VALUE"""),"E")</f>
        <v>E</v>
      </c>
      <c r="AL559">
        <f>IFERROR(__xludf.DUMMYFUNCTION("""COMPUTED_VALUE"""),70.0)</f>
        <v>70</v>
      </c>
      <c r="AM559">
        <f>IFERROR(__xludf.DUMMYFUNCTION("""COMPUTED_VALUE"""),2015.0)</f>
        <v>2015</v>
      </c>
      <c r="AN559" t="str">
        <f t="shared" si="1"/>
        <v>17102425-0</v>
      </c>
    </row>
    <row r="560">
      <c r="A560" s="33">
        <f>IFERROR(__xludf.DUMMYFUNCTION("""COMPUTED_VALUE"""),1.4476981E7)</f>
        <v>14476981</v>
      </c>
      <c r="B560" s="33">
        <f>IFERROR(__xludf.DUMMYFUNCTION("""COMPUTED_VALUE"""),106.0)</f>
        <v>106</v>
      </c>
      <c r="C560" s="33"/>
      <c r="D560" s="34" t="str">
        <f>IFERROR(__xludf.DUMMYFUNCTION("""COMPUTED_VALUE"""),"65")</f>
        <v>65</v>
      </c>
      <c r="E560" s="34" t="str">
        <f>IFERROR(__xludf.DUMMYFUNCTION("""COMPUTED_VALUE"""),"FACULTAD TECNOLOGICA")</f>
        <v>FACULTAD TECNOLOGICA</v>
      </c>
      <c r="F560" s="34" t="str">
        <f>IFERROR(__xludf.DUMMYFUNCTION("""COMPUTED_VALUE"""),"Administrativo(a) Especializado")</f>
        <v>Administrativo(a) Especializado</v>
      </c>
      <c r="G560" s="33" t="str">
        <f>IFERROR(__xludf.DUMMYFUNCTION("""COMPUTED_VALUE"""),"ADMINISTRATIVO ESPECIALIZADO")</f>
        <v>ADMINISTRATIVO ESPECIALIZADO</v>
      </c>
      <c r="H560">
        <f>IFERROR(__xludf.DUMMYFUNCTION("""COMPUTED_VALUE"""),12.0)</f>
        <v>12</v>
      </c>
      <c r="I560" s="34" t="str">
        <f>IFERROR(__xludf.DUMMYFUNCTION("""COMPUTED_VALUE"""),"Jornada Completa")</f>
        <v>Jornada Completa</v>
      </c>
      <c r="J560" s="33" t="str">
        <f>IFERROR(__xludf.DUMMYFUNCTION("""COMPUTED_VALUE"""),"A CONTRATA")</f>
        <v>A CONTRATA</v>
      </c>
      <c r="K560" s="33" t="str">
        <f>IFERROR(__xludf.DUMMYFUNCTION("""COMPUTED_VALUE"""),"ADMINISTRATIVO")</f>
        <v>ADMINISTRATIVO</v>
      </c>
      <c r="L560" s="34" t="str">
        <f>IFERROR(__xludf.DUMMYFUNCTION("""COMPUTED_VALUE"""),"INTERNO")</f>
        <v>INTERNO</v>
      </c>
      <c r="M560" s="34">
        <f>IFERROR(__xludf.DUMMYFUNCTION("""COMPUTED_VALUE"""),10.0)</f>
        <v>10</v>
      </c>
      <c r="N560" s="34" t="str">
        <f>IFERROR(__xludf.DUMMYFUNCTION("""COMPUTED_VALUE"""),"NO")</f>
        <v>NO</v>
      </c>
      <c r="P560">
        <f>IFERROR(__xludf.DUMMYFUNCTION("""COMPUTED_VALUE"""),2.0)</f>
        <v>2</v>
      </c>
      <c r="Q560" s="35">
        <f>IFERROR(__xludf.DUMMYFUNCTION("""COMPUTED_VALUE"""),1.0)</f>
        <v>1</v>
      </c>
      <c r="R560" s="36" t="str">
        <f>IFERROR(__xludf.DUMMYFUNCTION("""COMPUTED_VALUE"""),"SELECCIONADA")</f>
        <v>SELECCIONADA</v>
      </c>
      <c r="S560" s="37">
        <f>IFERROR(__xludf.DUMMYFUNCTION("""COMPUTED_VALUE"""),42472.0)</f>
        <v>42472</v>
      </c>
      <c r="T560" s="34" t="str">
        <f>IFERROR(__xludf.DUMMYFUNCTION("""COMPUTED_VALUE"""),"MARIANELA VALLEJOS BELMAR")</f>
        <v>MARIANELA VALLEJOS BELMAR</v>
      </c>
      <c r="V560" t="str">
        <f>IFERROR(__xludf.DUMMYFUNCTION("""COMPUTED_VALUE"""),"14476981-3")</f>
        <v>14476981-3</v>
      </c>
      <c r="W560" t="str">
        <f>IFERROR(__xludf.DUMMYFUNCTION("""COMPUTED_VALUE"""),"SI")</f>
        <v>SI</v>
      </c>
      <c r="X560" t="str">
        <f>IFERROR(__xludf.DUMMYFUNCTION("""COMPUTED_VALUE"""),"Busqueda de Informacion")</f>
        <v>Busqueda de Informacion</v>
      </c>
      <c r="AA560" s="38">
        <f>IFERROR(__xludf.DUMMYFUNCTION("""COMPUTED_VALUE"""),42348.0)</f>
        <v>42348</v>
      </c>
      <c r="AB560" s="38">
        <f>IFERROR(__xludf.DUMMYFUNCTION("""COMPUTED_VALUE"""),42352.0)</f>
        <v>42352</v>
      </c>
      <c r="AC560">
        <f>IFERROR(__xludf.DUMMYFUNCTION("""COMPUTED_VALUE"""),20.0)</f>
        <v>20</v>
      </c>
      <c r="AD560" t="str">
        <f>IFERROR(__xludf.DUMMYFUNCTION("""COMPUTED_VALUE"""),"Administrativo")</f>
        <v>Administrativo</v>
      </c>
      <c r="AE560" t="str">
        <f>IFERROR(__xludf.DUMMYFUNCTION("""COMPUTED_VALUE"""),"Secretaria Docente")</f>
        <v>Secretaria Docente</v>
      </c>
      <c r="AF560" s="39" t="str">
        <f>IFERROR(__xludf.DUMMYFUNCTION("""COMPUTED_VALUE"""),"Departamento de Tecnologia Industriales")</f>
        <v>Departamento de Tecnologia Industriales</v>
      </c>
      <c r="AG560" s="39"/>
      <c r="AH560" s="34" t="str">
        <f>IFERROR(__xludf.DUMMYFUNCTION("""COMPUTED_VALUE"""),"PROCESO DE SELECCIÓN")</f>
        <v>PROCESO DE SELECCIÓN</v>
      </c>
      <c r="AI560" s="34" t="str">
        <f>IFERROR(__xludf.DUMMYFUNCTION("""COMPUTED_VALUE"""),"DANIELA VALLEJOS")</f>
        <v>DANIELA VALLEJOS</v>
      </c>
      <c r="AJ560" s="34"/>
      <c r="AK560" s="34" t="str">
        <f>IFERROR(__xludf.DUMMYFUNCTION("""COMPUTED_VALUE"""),"P")</f>
        <v>P</v>
      </c>
      <c r="AL560">
        <f>IFERROR(__xludf.DUMMYFUNCTION("""COMPUTED_VALUE"""),87.0)</f>
        <v>87</v>
      </c>
      <c r="AM560">
        <f>IFERROR(__xludf.DUMMYFUNCTION("""COMPUTED_VALUE"""),2015.0)</f>
        <v>2015</v>
      </c>
      <c r="AN560" t="str">
        <f t="shared" si="1"/>
        <v>14476981-3</v>
      </c>
    </row>
    <row r="561">
      <c r="A561" s="33">
        <f>IFERROR(__xludf.DUMMYFUNCTION("""COMPUTED_VALUE"""),1.7671702E7)</f>
        <v>17671702</v>
      </c>
      <c r="B561" s="33">
        <f>IFERROR(__xludf.DUMMYFUNCTION("""COMPUTED_VALUE"""),107.0)</f>
        <v>107</v>
      </c>
      <c r="C561" s="33"/>
      <c r="D561" s="34" t="str">
        <f>IFERROR(__xludf.DUMMYFUNCTION("""COMPUTED_VALUE"""),"120")</f>
        <v>120</v>
      </c>
      <c r="E561" s="34" t="str">
        <f>IFERROR(__xludf.DUMMYFUNCTION("""COMPUTED_VALUE"""),"VICERRECTORIA DE VINCULACION CON EL MEDIO")</f>
        <v>VICERRECTORIA DE VINCULACION CON EL MEDIO</v>
      </c>
      <c r="F561" s="34" t="str">
        <f>IFERROR(__xludf.DUMMYFUNCTION("""COMPUTED_VALUE"""),"Analista de Gestión I")</f>
        <v>Analista de Gestión I</v>
      </c>
      <c r="G561" s="33" t="str">
        <f>IFERROR(__xludf.DUMMYFUNCTION("""COMPUTED_VALUE"""),"ANALISTA I")</f>
        <v>ANALISTA I</v>
      </c>
      <c r="H561">
        <f>IFERROR(__xludf.DUMMYFUNCTION("""COMPUTED_VALUE"""),10.0)</f>
        <v>10</v>
      </c>
      <c r="I561" s="34" t="str">
        <f>IFERROR(__xludf.DUMMYFUNCTION("""COMPUTED_VALUE"""),"Jornada Completa")</f>
        <v>Jornada Completa</v>
      </c>
      <c r="J561" s="33" t="str">
        <f>IFERROR(__xludf.DUMMYFUNCTION("""COMPUTED_VALUE"""),"A CONTRATA")</f>
        <v>A CONTRATA</v>
      </c>
      <c r="K561" s="33" t="str">
        <f>IFERROR(__xludf.DUMMYFUNCTION("""COMPUTED_VALUE"""),"PROFESIONAL")</f>
        <v>PROFESIONAL</v>
      </c>
      <c r="L561" s="34" t="str">
        <f>IFERROR(__xludf.DUMMYFUNCTION("""COMPUTED_VALUE"""),"NO")</f>
        <v>NO</v>
      </c>
      <c r="M561" s="34">
        <f>IFERROR(__xludf.DUMMYFUNCTION("""COMPUTED_VALUE"""),0.0)</f>
        <v>0</v>
      </c>
      <c r="N561" s="34" t="str">
        <f>IFERROR(__xludf.DUMMYFUNCTION("""COMPUTED_VALUE"""),"EXTERNO")</f>
        <v>EXTERNO</v>
      </c>
      <c r="O561">
        <f>IFERROR(__xludf.DUMMYFUNCTION("""COMPUTED_VALUE"""),9.0)</f>
        <v>9</v>
      </c>
      <c r="P561">
        <f>IFERROR(__xludf.DUMMYFUNCTION("""COMPUTED_VALUE"""),3.0)</f>
        <v>3</v>
      </c>
      <c r="Q561" s="35">
        <f>IFERROR(__xludf.DUMMYFUNCTION("""COMPUTED_VALUE"""),1.0)</f>
        <v>1</v>
      </c>
      <c r="R561" s="36" t="str">
        <f>IFERROR(__xludf.DUMMYFUNCTION("""COMPUTED_VALUE"""),"SELECCIONADA")</f>
        <v>SELECCIONADA</v>
      </c>
      <c r="S561" s="37">
        <f>IFERROR(__xludf.DUMMYFUNCTION("""COMPUTED_VALUE"""),42445.0)</f>
        <v>42445</v>
      </c>
      <c r="T561" s="34"/>
      <c r="U561" t="str">
        <f>IFERROR(__xludf.DUMMYFUNCTION("""COMPUTED_VALUE"""),"BELEN PEREZ CAAMAÑO")</f>
        <v>BELEN PEREZ CAAMAÑO</v>
      </c>
      <c r="V561" t="str">
        <f>IFERROR(__xludf.DUMMYFUNCTION("""COMPUTED_VALUE"""),"17671702-5")</f>
        <v>17671702-5</v>
      </c>
      <c r="W561" t="str">
        <f>IFERROR(__xludf.DUMMYFUNCTION("""COMPUTED_VALUE"""),"SI")</f>
        <v>SI</v>
      </c>
      <c r="X561" t="str">
        <f>IFERROR(__xludf.DUMMYFUNCTION("""COMPUTED_VALUE"""),"Capacidad de Planificacion y Organizacion")</f>
        <v>Capacidad de Planificacion y Organizacion</v>
      </c>
      <c r="AA561" s="38">
        <f>IFERROR(__xludf.DUMMYFUNCTION("""COMPUTED_VALUE"""),42374.0)</f>
        <v>42374</v>
      </c>
      <c r="AB561" s="38">
        <f>IFERROR(__xludf.DUMMYFUNCTION("""COMPUTED_VALUE"""),42381.0)</f>
        <v>42381</v>
      </c>
      <c r="AF561" s="39"/>
      <c r="AG561" s="39"/>
      <c r="AH561" s="34" t="str">
        <f>IFERROR(__xludf.DUMMYFUNCTION("""COMPUTED_VALUE"""),"PROCESO DE SELECCIÓN")</f>
        <v>PROCESO DE SELECCIÓN</v>
      </c>
      <c r="AI561" s="34" t="str">
        <f>IFERROR(__xludf.DUMMYFUNCTION("""COMPUTED_VALUE"""),"NATALIA MEJIAS ROJAS")</f>
        <v>NATALIA MEJIAS ROJAS</v>
      </c>
      <c r="AJ561" s="34"/>
      <c r="AK561" s="34" t="str">
        <f>IFERROR(__xludf.DUMMYFUNCTION("""COMPUTED_VALUE"""),"E")</f>
        <v>E</v>
      </c>
      <c r="AL561">
        <f>IFERROR(__xludf.DUMMYFUNCTION("""COMPUTED_VALUE"""),47.0)</f>
        <v>47</v>
      </c>
      <c r="AM561">
        <f>IFERROR(__xludf.DUMMYFUNCTION("""COMPUTED_VALUE"""),2015.0)</f>
        <v>2015</v>
      </c>
      <c r="AN561" t="str">
        <f t="shared" si="1"/>
        <v>17671702-5</v>
      </c>
    </row>
    <row r="562">
      <c r="A562" s="33">
        <f>IFERROR(__xludf.DUMMYFUNCTION("""COMPUTED_VALUE"""),1.4160336E7)</f>
        <v>14160336</v>
      </c>
      <c r="B562" s="33">
        <f>IFERROR(__xludf.DUMMYFUNCTION("""COMPUTED_VALUE"""),108.0)</f>
        <v>108</v>
      </c>
      <c r="C562" s="33"/>
      <c r="D562" s="34" t="str">
        <f>IFERROR(__xludf.DUMMYFUNCTION("""COMPUTED_VALUE"""),"3")</f>
        <v>3</v>
      </c>
      <c r="E562" s="34" t="str">
        <f>IFERROR(__xludf.DUMMYFUNCTION("""COMPUTED_VALUE"""),"UNIDAD DE ADQUISICIONES")</f>
        <v>UNIDAD DE ADQUISICIONES</v>
      </c>
      <c r="F562" s="34" t="str">
        <f>IFERROR(__xludf.DUMMYFUNCTION("""COMPUTED_VALUE"""),"Analista de Gestión II")</f>
        <v>Analista de Gestión II</v>
      </c>
      <c r="G562" s="33" t="str">
        <f>IFERROR(__xludf.DUMMYFUNCTION("""COMPUTED_VALUE"""),"ANALISTA II")</f>
        <v>ANALISTA II</v>
      </c>
      <c r="H562">
        <f>IFERROR(__xludf.DUMMYFUNCTION("""COMPUTED_VALUE"""),13.0)</f>
        <v>13</v>
      </c>
      <c r="I562" s="34" t="str">
        <f>IFERROR(__xludf.DUMMYFUNCTION("""COMPUTED_VALUE"""),"Jornada Completa")</f>
        <v>Jornada Completa</v>
      </c>
      <c r="J562" s="33" t="str">
        <f>IFERROR(__xludf.DUMMYFUNCTION("""COMPUTED_VALUE"""),"A CONTRATA")</f>
        <v>A CONTRATA</v>
      </c>
      <c r="K562" s="33" t="str">
        <f>IFERROR(__xludf.DUMMYFUNCTION("""COMPUTED_VALUE"""),"PROFESIONAL")</f>
        <v>PROFESIONAL</v>
      </c>
      <c r="L562" s="34" t="str">
        <f>IFERROR(__xludf.DUMMYFUNCTION("""COMPUTED_VALUE"""),"INTERNO")</f>
        <v>INTERNO</v>
      </c>
      <c r="M562" s="34">
        <f>IFERROR(__xludf.DUMMYFUNCTION("""COMPUTED_VALUE"""),2.0)</f>
        <v>2</v>
      </c>
      <c r="N562" s="34" t="str">
        <f>IFERROR(__xludf.DUMMYFUNCTION("""COMPUTED_VALUE"""),"NO")</f>
        <v>NO</v>
      </c>
      <c r="P562">
        <f>IFERROR(__xludf.DUMMYFUNCTION("""COMPUTED_VALUE"""),1.0)</f>
        <v>1</v>
      </c>
      <c r="Q562" s="35">
        <f>IFERROR(__xludf.DUMMYFUNCTION("""COMPUTED_VALUE"""),1.0)</f>
        <v>1</v>
      </c>
      <c r="R562" s="36" t="str">
        <f>IFERROR(__xludf.DUMMYFUNCTION("""COMPUTED_VALUE"""),"SELECCIONADO")</f>
        <v>SELECCIONADO</v>
      </c>
      <c r="S562" s="37">
        <f>IFERROR(__xludf.DUMMYFUNCTION("""COMPUTED_VALUE"""),42492.0)</f>
        <v>42492</v>
      </c>
      <c r="T562" s="34" t="str">
        <f>IFERROR(__xludf.DUMMYFUNCTION("""COMPUTED_VALUE"""),"DAVID MORAGA ESPINOZA")</f>
        <v>DAVID MORAGA ESPINOZA</v>
      </c>
      <c r="V562" t="str">
        <f>IFERROR(__xludf.DUMMYFUNCTION("""COMPUTED_VALUE"""),"14160336-1")</f>
        <v>14160336-1</v>
      </c>
      <c r="W562" t="str">
        <f>IFERROR(__xludf.DUMMYFUNCTION("""COMPUTED_VALUE"""),"SI")</f>
        <v>SI</v>
      </c>
      <c r="X562" t="str">
        <f>IFERROR(__xludf.DUMMYFUNCTION("""COMPUTED_VALUE"""),"Capacidad de Planificacion y Organizacion")</f>
        <v>Capacidad de Planificacion y Organizacion</v>
      </c>
      <c r="Y562" t="str">
        <f>IFERROR(__xludf.DUMMYFUNCTION("""COMPUTED_VALUE"""),"PENSAMIENTO ANALITICO")</f>
        <v>PENSAMIENTO ANALITICO</v>
      </c>
      <c r="AA562" s="38">
        <f>IFERROR(__xludf.DUMMYFUNCTION("""COMPUTED_VALUE"""),42194.0)</f>
        <v>42194</v>
      </c>
      <c r="AB562" s="38">
        <f>IFERROR(__xludf.DUMMYFUNCTION("""COMPUTED_VALUE"""),42198.0)</f>
        <v>42198</v>
      </c>
      <c r="AC562">
        <f>IFERROR(__xludf.DUMMYFUNCTION("""COMPUTED_VALUE"""),14.0)</f>
        <v>14</v>
      </c>
      <c r="AD562" t="str">
        <f>IFERROR(__xludf.DUMMYFUNCTION("""COMPUTED_VALUE"""),"Administrativo")</f>
        <v>Administrativo</v>
      </c>
      <c r="AE562" t="str">
        <f>IFERROR(__xludf.DUMMYFUNCTION("""COMPUTED_VALUE"""),"Administrativo de Compras")</f>
        <v>Administrativo de Compras</v>
      </c>
      <c r="AF562" s="39" t="str">
        <f>IFERROR(__xludf.DUMMYFUNCTION("""COMPUTED_VALUE"""),"Unidad de Adquisiciones")</f>
        <v>Unidad de Adquisiciones</v>
      </c>
      <c r="AG562" s="39"/>
      <c r="AH562" s="34" t="str">
        <f>IFERROR(__xludf.DUMMYFUNCTION("""COMPUTED_VALUE"""),"PROCESO DE SELECCIÓN")</f>
        <v>PROCESO DE SELECCIÓN</v>
      </c>
      <c r="AI562" s="34" t="str">
        <f>IFERROR(__xludf.DUMMYFUNCTION("""COMPUTED_VALUE"""),"MONICA RIVERA")</f>
        <v>MONICA RIVERA</v>
      </c>
      <c r="AJ562" s="34"/>
      <c r="AK562" s="34" t="str">
        <f>IFERROR(__xludf.DUMMYFUNCTION("""COMPUTED_VALUE"""),"P")</f>
        <v>P</v>
      </c>
      <c r="AL562">
        <f>IFERROR(__xludf.DUMMYFUNCTION("""COMPUTED_VALUE"""),211.0)</f>
        <v>211</v>
      </c>
      <c r="AM562">
        <f>IFERROR(__xludf.DUMMYFUNCTION("""COMPUTED_VALUE"""),2015.0)</f>
        <v>2015</v>
      </c>
      <c r="AN562" t="str">
        <f t="shared" si="1"/>
        <v>14160336-1</v>
      </c>
    </row>
    <row r="563">
      <c r="A563" s="33">
        <f>IFERROR(__xludf.DUMMYFUNCTION("""COMPUTED_VALUE"""),1.6987564E7)</f>
        <v>16987564</v>
      </c>
      <c r="B563" s="33">
        <f>IFERROR(__xludf.DUMMYFUNCTION("""COMPUTED_VALUE"""),109.0)</f>
        <v>109</v>
      </c>
      <c r="C563" s="33"/>
      <c r="D563" s="34" t="str">
        <f>IFERROR(__xludf.DUMMYFUNCTION("""COMPUTED_VALUE"""),"3")</f>
        <v>3</v>
      </c>
      <c r="E563" s="34" t="str">
        <f>IFERROR(__xludf.DUMMYFUNCTION("""COMPUTED_VALUE"""),"ADMINISTRACION GENERAL DEL FONDO SOLIDARIO Y CREDITO UNIVERSITARIO")</f>
        <v>ADMINISTRACION GENERAL DEL FONDO SOLIDARIO Y CREDITO UNIVERSITARIO</v>
      </c>
      <c r="F563" s="34" t="str">
        <f>IFERROR(__xludf.DUMMYFUNCTION("""COMPUTED_VALUE"""),"Jefe(a) de Sección")</f>
        <v>Jefe(a) de Sección</v>
      </c>
      <c r="G563" s="33" t="str">
        <f>IFERROR(__xludf.DUMMYFUNCTION("""COMPUTED_VALUE"""),"JEFE DE SECCION (CONTABILIDAD)")</f>
        <v>JEFE DE SECCION (CONTABILIDAD)</v>
      </c>
      <c r="H563">
        <f>IFERROR(__xludf.DUMMYFUNCTION("""COMPUTED_VALUE"""),10.0)</f>
        <v>10</v>
      </c>
      <c r="I563" s="34" t="str">
        <f>IFERROR(__xludf.DUMMYFUNCTION("""COMPUTED_VALUE"""),"Jornada Completa")</f>
        <v>Jornada Completa</v>
      </c>
      <c r="J563" s="33" t="str">
        <f>IFERROR(__xludf.DUMMYFUNCTION("""COMPUTED_VALUE"""),"A CONTRATA")</f>
        <v>A CONTRATA</v>
      </c>
      <c r="K563" s="33" t="str">
        <f>IFERROR(__xludf.DUMMYFUNCTION("""COMPUTED_VALUE"""),"PROFESIONAL")</f>
        <v>PROFESIONAL</v>
      </c>
      <c r="L563" s="34" t="str">
        <f>IFERROR(__xludf.DUMMYFUNCTION("""COMPUTED_VALUE"""),"NO")</f>
        <v>NO</v>
      </c>
      <c r="M563" s="34">
        <f>IFERROR(__xludf.DUMMYFUNCTION("""COMPUTED_VALUE"""),0.0)</f>
        <v>0</v>
      </c>
      <c r="N563" s="34" t="str">
        <f>IFERROR(__xludf.DUMMYFUNCTION("""COMPUTED_VALUE"""),"EXTERNO")</f>
        <v>EXTERNO</v>
      </c>
      <c r="O563">
        <f>IFERROR(__xludf.DUMMYFUNCTION("""COMPUTED_VALUE"""),7.0)</f>
        <v>7</v>
      </c>
      <c r="P563">
        <f>IFERROR(__xludf.DUMMYFUNCTION("""COMPUTED_VALUE"""),3.0)</f>
        <v>3</v>
      </c>
      <c r="Q563" s="35">
        <f>IFERROR(__xludf.DUMMYFUNCTION("""COMPUTED_VALUE"""),1.0)</f>
        <v>1</v>
      </c>
      <c r="R563" s="36" t="str">
        <f>IFERROR(__xludf.DUMMYFUNCTION("""COMPUTED_VALUE"""),"SELECCIONADO")</f>
        <v>SELECCIONADO</v>
      </c>
      <c r="S563" s="37">
        <f>IFERROR(__xludf.DUMMYFUNCTION("""COMPUTED_VALUE"""),42450.0)</f>
        <v>42450</v>
      </c>
      <c r="T563" s="34"/>
      <c r="U563" t="str">
        <f>IFERROR(__xludf.DUMMYFUNCTION("""COMPUTED_VALUE"""),"ELIAS VERDUGO JARA")</f>
        <v>ELIAS VERDUGO JARA</v>
      </c>
      <c r="V563" t="str">
        <f>IFERROR(__xludf.DUMMYFUNCTION("""COMPUTED_VALUE"""),"16987564-2")</f>
        <v>16987564-2</v>
      </c>
      <c r="W563" t="str">
        <f>IFERROR(__xludf.DUMMYFUNCTION("""COMPUTED_VALUE"""),"SI")</f>
        <v>SI</v>
      </c>
      <c r="X563" t="str">
        <f>IFERROR(__xludf.DUMMYFUNCTION("""COMPUTED_VALUE"""),"TRABAJO EN EQUIPO")</f>
        <v>TRABAJO EN EQUIPO</v>
      </c>
      <c r="AA563" s="38">
        <f>IFERROR(__xludf.DUMMYFUNCTION("""COMPUTED_VALUE"""),42382.0)</f>
        <v>42382</v>
      </c>
      <c r="AB563" s="38">
        <f>IFERROR(__xludf.DUMMYFUNCTION("""COMPUTED_VALUE"""),42387.0)</f>
        <v>42387</v>
      </c>
      <c r="AF563" s="39"/>
      <c r="AG563" s="39"/>
      <c r="AH563" s="34" t="str">
        <f>IFERROR(__xludf.DUMMYFUNCTION("""COMPUTED_VALUE"""),"PROCESO DE SELECCIÓN")</f>
        <v>PROCESO DE SELECCIÓN</v>
      </c>
      <c r="AI563" s="34" t="str">
        <f>IFERROR(__xludf.DUMMYFUNCTION("""COMPUTED_VALUE"""),"-")</f>
        <v>-</v>
      </c>
      <c r="AJ563" s="34"/>
      <c r="AK563" s="34" t="str">
        <f>IFERROR(__xludf.DUMMYFUNCTION("""COMPUTED_VALUE"""),"E")</f>
        <v>E</v>
      </c>
      <c r="AL563">
        <f>IFERROR(__xludf.DUMMYFUNCTION("""COMPUTED_VALUE"""),46.0)</f>
        <v>46</v>
      </c>
      <c r="AM563">
        <f>IFERROR(__xludf.DUMMYFUNCTION("""COMPUTED_VALUE"""),2015.0)</f>
        <v>2015</v>
      </c>
      <c r="AN563" t="str">
        <f t="shared" si="1"/>
        <v>16987564-2</v>
      </c>
    </row>
    <row r="564">
      <c r="A564" s="33">
        <f>IFERROR(__xludf.DUMMYFUNCTION("""COMPUTED_VALUE"""),6699643.0)</f>
        <v>6699643</v>
      </c>
      <c r="B564" s="33">
        <f>IFERROR(__xludf.DUMMYFUNCTION("""COMPUTED_VALUE"""),110.0)</f>
        <v>110</v>
      </c>
      <c r="C564" s="33"/>
      <c r="D564" s="34" t="str">
        <f>IFERROR(__xludf.DUMMYFUNCTION("""COMPUTED_VALUE"""),"40")</f>
        <v>40</v>
      </c>
      <c r="E564" s="34" t="str">
        <f>IFERROR(__xludf.DUMMYFUNCTION("""COMPUTED_VALUE"""),"DPTO. DE INGENIERIA MECANICA")</f>
        <v>DPTO. DE INGENIERIA MECANICA</v>
      </c>
      <c r="F564" s="34" t="str">
        <f>IFERROR(__xludf.DUMMYFUNCTION("""COMPUTED_VALUE"""),"Encargado(a) Administrativo(a) de Unidad Académica")</f>
        <v>Encargado(a) Administrativo(a) de Unidad Académica</v>
      </c>
      <c r="G564" s="33" t="str">
        <f>IFERROR(__xludf.DUMMYFUNCTION("""COMPUTED_VALUE"""),"ENCARG. ADMIN. UNIDAD ACADEM.")</f>
        <v>ENCARG. ADMIN. UNIDAD ACADEM.</v>
      </c>
      <c r="H564">
        <f>IFERROR(__xludf.DUMMYFUNCTION("""COMPUTED_VALUE"""),10.0)</f>
        <v>10</v>
      </c>
      <c r="I564" s="34" t="str">
        <f>IFERROR(__xludf.DUMMYFUNCTION("""COMPUTED_VALUE"""),"Jornada Completa")</f>
        <v>Jornada Completa</v>
      </c>
      <c r="J564" s="33" t="str">
        <f>IFERROR(__xludf.DUMMYFUNCTION("""COMPUTED_VALUE"""),"A CONTRATA")</f>
        <v>A CONTRATA</v>
      </c>
      <c r="K564" s="33" t="str">
        <f>IFERROR(__xludf.DUMMYFUNCTION("""COMPUTED_VALUE"""),"ADMINISTRATIVO")</f>
        <v>ADMINISTRATIVO</v>
      </c>
      <c r="L564" s="34" t="str">
        <f>IFERROR(__xludf.DUMMYFUNCTION("""COMPUTED_VALUE"""),"INTERNO")</f>
        <v>INTERNO</v>
      </c>
      <c r="M564" s="34">
        <f>IFERROR(__xludf.DUMMYFUNCTION("""COMPUTED_VALUE"""),8.0)</f>
        <v>8</v>
      </c>
      <c r="N564" s="34" t="str">
        <f>IFERROR(__xludf.DUMMYFUNCTION("""COMPUTED_VALUE"""),"NO")</f>
        <v>NO</v>
      </c>
      <c r="O564">
        <f>IFERROR(__xludf.DUMMYFUNCTION("""COMPUTED_VALUE"""),0.0)</f>
        <v>0</v>
      </c>
      <c r="P564">
        <f>IFERROR(__xludf.DUMMYFUNCTION("""COMPUTED_VALUE"""),2.0)</f>
        <v>2</v>
      </c>
      <c r="Q564" s="35">
        <f>IFERROR(__xludf.DUMMYFUNCTION("""COMPUTED_VALUE"""),0.0)</f>
        <v>0</v>
      </c>
      <c r="R564" s="36" t="str">
        <f>IFERROR(__xludf.DUMMYFUNCTION("""COMPUTED_VALUE"""),"SELECCIONADO")</f>
        <v>SELECCIONADO</v>
      </c>
      <c r="S564" s="37">
        <f>IFERROR(__xludf.DUMMYFUNCTION("""COMPUTED_VALUE"""),42590.0)</f>
        <v>42590</v>
      </c>
      <c r="T564" s="34" t="str">
        <f>IFERROR(__xludf.DUMMYFUNCTION("""COMPUTED_VALUE"""),"CARLOS TAIBA VALENZUELA")</f>
        <v>CARLOS TAIBA VALENZUELA</v>
      </c>
      <c r="V564" t="str">
        <f>IFERROR(__xludf.DUMMYFUNCTION("""COMPUTED_VALUE"""),"6699643-3")</f>
        <v>6699643-3</v>
      </c>
      <c r="W564" t="str">
        <f>IFERROR(__xludf.DUMMYFUNCTION("""COMPUTED_VALUE"""),"SI")</f>
        <v>SI</v>
      </c>
      <c r="X564" t="str">
        <f>IFERROR(__xludf.DUMMYFUNCTION("""COMPUTED_VALUE"""),"CAPACIDAD DE PLANIFICACION Y ORGANIZACION")</f>
        <v>CAPACIDAD DE PLANIFICACION Y ORGANIZACION</v>
      </c>
      <c r="Y564" t="str">
        <f>IFERROR(__xludf.DUMMYFUNCTION("""COMPUTED_VALUE"""),"ORIENTACION A LOS RESULTADOS")</f>
        <v>ORIENTACION A LOS RESULTADOS</v>
      </c>
      <c r="Z564" t="str">
        <f>IFERROR(__xludf.DUMMYFUNCTION("""COMPUTED_VALUE"""),"Preocupacion por el Orden y la Claridad")</f>
        <v>Preocupacion por el Orden y la Claridad</v>
      </c>
      <c r="AA564" s="38">
        <f>IFERROR(__xludf.DUMMYFUNCTION("""COMPUTED_VALUE"""),42383.0)</f>
        <v>42383</v>
      </c>
      <c r="AB564" s="38">
        <f>IFERROR(__xludf.DUMMYFUNCTION("""COMPUTED_VALUE"""),42387.0)</f>
        <v>42387</v>
      </c>
      <c r="AF564" s="39"/>
      <c r="AG564" s="39"/>
      <c r="AH564" s="34" t="str">
        <f>IFERROR(__xludf.DUMMYFUNCTION("""COMPUTED_VALUE"""),"PROCESO DE SELECCIÓN")</f>
        <v>PROCESO DE SELECCIÓN</v>
      </c>
      <c r="AI564" s="34" t="str">
        <f>IFERROR(__xludf.DUMMYFUNCTION("""COMPUTED_VALUE"""),"JAIME JIMENEZ ")</f>
        <v>JAIME JIMENEZ </v>
      </c>
      <c r="AJ564" s="34"/>
      <c r="AK564" s="34" t="str">
        <f>IFERROR(__xludf.DUMMYFUNCTION("""COMPUTED_VALUE"""),"C")</f>
        <v>C</v>
      </c>
      <c r="AL564">
        <f>IFERROR(__xludf.DUMMYFUNCTION("""COMPUTED_VALUE"""),146.0)</f>
        <v>146</v>
      </c>
      <c r="AM564">
        <f>IFERROR(__xludf.DUMMYFUNCTION("""COMPUTED_VALUE"""),2015.0)</f>
        <v>2015</v>
      </c>
      <c r="AN564" t="str">
        <f t="shared" si="1"/>
        <v>06699643-3</v>
      </c>
    </row>
    <row r="565">
      <c r="A565" s="33">
        <f>IFERROR(__xludf.DUMMYFUNCTION("""COMPUTED_VALUE"""),1.5723E7)</f>
        <v>15723000</v>
      </c>
      <c r="B565" s="33">
        <f>IFERROR(__xludf.DUMMYFUNCTION("""COMPUTED_VALUE"""),0.0)</f>
        <v>0</v>
      </c>
      <c r="C565" s="33"/>
      <c r="D565" s="34" t="str">
        <f>IFERROR(__xludf.DUMMYFUNCTION("""COMPUTED_VALUE"""),"VICERRECTORIA DE INVESTIGACION, DESARROLLO E INNOVACION")</f>
        <v>VICERRECTORIA DE INVESTIGACION, DESARROLLO E INNOVACION</v>
      </c>
      <c r="E565" s="34" t="str">
        <f>IFERROR(__xludf.DUMMYFUNCTION("""COMPUTED_VALUE"""),"VICERRECTORIA DE INVESTIGACION, DESARROLLO E INNOVACION")</f>
        <v>VICERRECTORIA DE INVESTIGACION, DESARROLLO E INNOVACION</v>
      </c>
      <c r="F565" s="34" t="str">
        <f>IFERROR(__xludf.DUMMYFUNCTION("""COMPUTED_VALUE"""),"Administrativo de Compras")</f>
        <v>Administrativo de Compras</v>
      </c>
      <c r="G565" s="33" t="str">
        <f>IFERROR(__xludf.DUMMYFUNCTION("""COMPUTED_VALUE"""),"ADMINISTRATIVO DE COMPRAS")</f>
        <v>ADMINISTRATIVO DE COMPRAS</v>
      </c>
      <c r="H565">
        <f>IFERROR(__xludf.DUMMYFUNCTION("""COMPUTED_VALUE"""),17.0)</f>
        <v>17</v>
      </c>
      <c r="I565" s="34"/>
      <c r="J565" s="33" t="str">
        <f>IFERROR(__xludf.DUMMYFUNCTION("""COMPUTED_VALUE"""),"A CONTRATA")</f>
        <v>A CONTRATA</v>
      </c>
      <c r="K565" s="33" t="str">
        <f>IFERROR(__xludf.DUMMYFUNCTION("""COMPUTED_VALUE"""),"ADMINISTRATIVO")</f>
        <v>ADMINISTRATIVO</v>
      </c>
      <c r="L565" s="34"/>
      <c r="M565" s="34"/>
      <c r="N565" s="34"/>
      <c r="Q565" s="35"/>
      <c r="R565" s="36" t="str">
        <f>IFERROR(__xludf.DUMMYFUNCTION("""COMPUTED_VALUE"""),"SELECCIONADA")</f>
        <v>SELECCIONADA</v>
      </c>
      <c r="S565" s="37">
        <f>IFERROR(__xludf.DUMMYFUNCTION("""COMPUTED_VALUE"""),41791.0)</f>
        <v>41791</v>
      </c>
      <c r="T565" s="34"/>
      <c r="U565" t="str">
        <f>IFERROR(__xludf.DUMMYFUNCTION("""COMPUTED_VALUE"""),"STEPHANIE RUBIO")</f>
        <v>STEPHANIE RUBIO</v>
      </c>
      <c r="V565" t="str">
        <f>IFERROR(__xludf.DUMMYFUNCTION("""COMPUTED_VALUE"""),"15723000-K")</f>
        <v>15723000-K</v>
      </c>
      <c r="AA565" s="38"/>
      <c r="AB565" s="38"/>
      <c r="AF565" s="39"/>
      <c r="AG565" s="39"/>
      <c r="AH565" s="34" t="str">
        <f>IFERROR(__xludf.DUMMYFUNCTION("""COMPUTED_VALUE"""),"REGULARIZACIÓN CONTRACTUAL")</f>
        <v>REGULARIZACIÓN CONTRACTUAL</v>
      </c>
      <c r="AI565" s="34"/>
      <c r="AJ565" s="34"/>
      <c r="AK565" s="34"/>
      <c r="AM565">
        <f>IFERROR(__xludf.DUMMYFUNCTION("""COMPUTED_VALUE"""),2014.0)</f>
        <v>2014</v>
      </c>
      <c r="AN565" t="str">
        <f t="shared" si="1"/>
        <v>15723000-K</v>
      </c>
    </row>
    <row r="566">
      <c r="A566" s="33">
        <f>IFERROR(__xludf.DUMMYFUNCTION("""COMPUTED_VALUE"""),5891825.0)</f>
        <v>5891825</v>
      </c>
      <c r="B566" s="33">
        <f>IFERROR(__xludf.DUMMYFUNCTION("""COMPUTED_VALUE"""),1.0)</f>
        <v>1</v>
      </c>
      <c r="C566" s="33"/>
      <c r="D566" s="34" t="str">
        <f>IFERROR(__xludf.DUMMYFUNCTION("""COMPUTED_VALUE"""),"VICERRECTORIA DE INVESTIGACION, DESARROLLO E INNOVACION")</f>
        <v>VICERRECTORIA DE INVESTIGACION, DESARROLLO E INNOVACION</v>
      </c>
      <c r="E566" s="34" t="str">
        <f>IFERROR(__xludf.DUMMYFUNCTION("""COMPUTED_VALUE"""),"CEUS-LLANQUIHUE")</f>
        <v>CEUS-LLANQUIHUE</v>
      </c>
      <c r="F566" s="34" t="str">
        <f>IFERROR(__xludf.DUMMYFUNCTION("""COMPUTED_VALUE"""),"Jefe de Sección")</f>
        <v>Jefe de Sección</v>
      </c>
      <c r="G566" s="33" t="str">
        <f>IFERROR(__xludf.DUMMYFUNCTION("""COMPUTED_VALUE"""),"JEFE DE SECCION")</f>
        <v>JEFE DE SECCION</v>
      </c>
      <c r="H566">
        <f>IFERROR(__xludf.DUMMYFUNCTION("""COMPUTED_VALUE"""),10.0)</f>
        <v>10</v>
      </c>
      <c r="I566" s="34"/>
      <c r="J566" s="33" t="str">
        <f>IFERROR(__xludf.DUMMYFUNCTION("""COMPUTED_VALUE"""),"A CONTRATA")</f>
        <v>A CONTRATA</v>
      </c>
      <c r="K566" s="33" t="str">
        <f>IFERROR(__xludf.DUMMYFUNCTION("""COMPUTED_VALUE"""),"PROFESIONAL")</f>
        <v>PROFESIONAL</v>
      </c>
      <c r="L566" s="34"/>
      <c r="M566" s="34"/>
      <c r="N566" s="34"/>
      <c r="P566">
        <f>IFERROR(__xludf.DUMMYFUNCTION("""COMPUTED_VALUE"""),1.0)</f>
        <v>1</v>
      </c>
      <c r="Q566" s="35"/>
      <c r="R566" s="36" t="str">
        <f>IFERROR(__xludf.DUMMYFUNCTION("""COMPUTED_VALUE"""),"SELECCIONADO")</f>
        <v>SELECCIONADO</v>
      </c>
      <c r="S566" s="37">
        <f>IFERROR(__xludf.DUMMYFUNCTION("""COMPUTED_VALUE"""),41821.0)</f>
        <v>41821</v>
      </c>
      <c r="T566" s="34"/>
      <c r="U566" t="str">
        <f>IFERROR(__xludf.DUMMYFUNCTION("""COMPUTED_VALUE"""),"MANUEL AVILA SOTO")</f>
        <v>MANUEL AVILA SOTO</v>
      </c>
      <c r="V566" t="str">
        <f>IFERROR(__xludf.DUMMYFUNCTION("""COMPUTED_VALUE"""),"05891825-3")</f>
        <v>05891825-3</v>
      </c>
      <c r="W566" t="str">
        <f>IFERROR(__xludf.DUMMYFUNCTION("""COMPUTED_VALUE"""),"No")</f>
        <v>No</v>
      </c>
      <c r="AA566" s="38"/>
      <c r="AB566" s="38">
        <f>IFERROR(__xludf.DUMMYFUNCTION("""COMPUTED_VALUE"""),41786.0)</f>
        <v>41786</v>
      </c>
      <c r="AF566" s="39"/>
      <c r="AG566" s="39"/>
      <c r="AH566" s="34" t="str">
        <f>IFERROR(__xludf.DUMMYFUNCTION("""COMPUTED_VALUE"""),"PROCESO DE SELECCIÓN")</f>
        <v>PROCESO DE SELECCIÓN</v>
      </c>
      <c r="AI566" s="34" t="str">
        <f>IFERROR(__xludf.DUMMYFUNCTION("""COMPUTED_VALUE"""),"ALFREDO BOWEN")</f>
        <v>ALFREDO BOWEN</v>
      </c>
      <c r="AJ566" s="34"/>
      <c r="AK566" s="34"/>
      <c r="AL566">
        <f>IFERROR(__xludf.DUMMYFUNCTION("""COMPUTED_VALUE"""),26.0)</f>
        <v>26</v>
      </c>
      <c r="AM566">
        <f>IFERROR(__xludf.DUMMYFUNCTION("""COMPUTED_VALUE"""),2014.0)</f>
        <v>2014</v>
      </c>
      <c r="AN566" t="str">
        <f t="shared" si="1"/>
        <v>05891825-3</v>
      </c>
    </row>
    <row r="567">
      <c r="A567" s="33">
        <f>IFERROR(__xludf.DUMMYFUNCTION("""COMPUTED_VALUE"""),1.6558294E7)</f>
        <v>16558294</v>
      </c>
      <c r="B567" s="33">
        <f>IFERROR(__xludf.DUMMYFUNCTION("""COMPUTED_VALUE"""),66.0)</f>
        <v>66</v>
      </c>
      <c r="C567" s="33"/>
      <c r="D567" s="34" t="str">
        <f>IFERROR(__xludf.DUMMYFUNCTION("""COMPUTED_VALUE"""),"VICERRECTORIA DE APOYO AL ESTUDIANTE")</f>
        <v>VICERRECTORIA DE APOYO AL ESTUDIANTE</v>
      </c>
      <c r="E567" s="34" t="str">
        <f>IFERROR(__xludf.DUMMYFUNCTION("""COMPUTED_VALUE"""),"UNIDAD DE ATENCION DE SALUD")</f>
        <v>UNIDAD DE ATENCION DE SALUD</v>
      </c>
      <c r="F567" s="34" t="str">
        <f>IFERROR(__xludf.DUMMYFUNCTION("""COMPUTED_VALUE"""),"Médicos y Dentistas")</f>
        <v>Médicos y Dentistas</v>
      </c>
      <c r="G567" s="33" t="str">
        <f>IFERROR(__xludf.DUMMYFUNCTION("""COMPUTED_VALUE"""),"CIRUJANO DENTISTA")</f>
        <v>CIRUJANO DENTISTA</v>
      </c>
      <c r="I567" s="34"/>
      <c r="J567" s="33" t="str">
        <f>IFERROR(__xludf.DUMMYFUNCTION("""COMPUTED_VALUE"""),"Por 11 hr. Ley 15.076")</f>
        <v>Por 11 hr. Ley 15.076</v>
      </c>
      <c r="K567" s="33" t="str">
        <f>IFERROR(__xludf.DUMMYFUNCTION("""COMPUTED_VALUE"""),"PROFESIONAL")</f>
        <v>PROFESIONAL</v>
      </c>
      <c r="L567" s="34"/>
      <c r="M567" s="34"/>
      <c r="N567" s="34"/>
      <c r="Q567" s="35"/>
      <c r="R567" s="36" t="str">
        <f>IFERROR(__xludf.DUMMYFUNCTION("""COMPUTED_VALUE"""),"SELECCIONADA")</f>
        <v>SELECCIONADA</v>
      </c>
      <c r="S567" s="37">
        <f>IFERROR(__xludf.DUMMYFUNCTION("""COMPUTED_VALUE"""),41852.0)</f>
        <v>41852</v>
      </c>
      <c r="T567" s="34"/>
      <c r="U567" t="str">
        <f>IFERROR(__xludf.DUMMYFUNCTION("""COMPUTED_VALUE"""),"CAROLINA DEL VILLAR URRA")</f>
        <v>CAROLINA DEL VILLAR URRA</v>
      </c>
      <c r="V567" t="str">
        <f>IFERROR(__xludf.DUMMYFUNCTION("""COMPUTED_VALUE"""),"16558294-2")</f>
        <v>16558294-2</v>
      </c>
      <c r="AA567" s="38"/>
      <c r="AB567" s="38"/>
      <c r="AF567" s="39"/>
      <c r="AG567" s="39"/>
      <c r="AH567" s="34" t="str">
        <f>IFERROR(__xludf.DUMMYFUNCTION("""COMPUTED_VALUE"""),"REGULARIZACIÓN CONTRACTUAL")</f>
        <v>REGULARIZACIÓN CONTRACTUAL</v>
      </c>
      <c r="AI567" s="34"/>
      <c r="AJ567" s="34"/>
      <c r="AK567" s="34" t="str">
        <f>IFERROR(__xludf.DUMMYFUNCTION("""COMPUTED_VALUE"""),"P")</f>
        <v>P</v>
      </c>
      <c r="AM567">
        <f>IFERROR(__xludf.DUMMYFUNCTION("""COMPUTED_VALUE"""),2014.0)</f>
        <v>2014</v>
      </c>
      <c r="AN567" t="str">
        <f t="shared" si="1"/>
        <v>16558294-2</v>
      </c>
    </row>
    <row r="568">
      <c r="A568" s="33">
        <f>IFERROR(__xludf.DUMMYFUNCTION("""COMPUTED_VALUE"""),8880762.0)</f>
        <v>8880762</v>
      </c>
      <c r="B568" s="33">
        <f>IFERROR(__xludf.DUMMYFUNCTION("""COMPUTED_VALUE"""),67.0)</f>
        <v>67</v>
      </c>
      <c r="C568" s="33"/>
      <c r="D568" s="34" t="str">
        <f>IFERROR(__xludf.DUMMYFUNCTION("""COMPUTED_VALUE"""),"PRORRECTORIA")</f>
        <v>PRORRECTORIA</v>
      </c>
      <c r="E568" s="34" t="str">
        <f>IFERROR(__xludf.DUMMYFUNCTION("""COMPUTED_VALUE"""),"UNIDAD DE CONSTRUCCIONES")</f>
        <v>UNIDAD DE CONSTRUCCIONES</v>
      </c>
      <c r="F568" s="34" t="str">
        <f>IFERROR(__xludf.DUMMYFUNCTION("""COMPUTED_VALUE"""),"Constructor Civil")</f>
        <v>Constructor Civil</v>
      </c>
      <c r="G568" s="33" t="str">
        <f>IFERROR(__xludf.DUMMYFUNCTION("""COMPUTED_VALUE"""),"CONSTRUCTOR CIVIL")</f>
        <v>CONSTRUCTOR CIVIL</v>
      </c>
      <c r="H568">
        <f>IFERROR(__xludf.DUMMYFUNCTION("""COMPUTED_VALUE"""),8.0)</f>
        <v>8</v>
      </c>
      <c r="I568" s="34"/>
      <c r="J568" s="33" t="str">
        <f>IFERROR(__xludf.DUMMYFUNCTION("""COMPUTED_VALUE"""),"A CONTRATA")</f>
        <v>A CONTRATA</v>
      </c>
      <c r="K568" s="33" t="str">
        <f>IFERROR(__xludf.DUMMYFUNCTION("""COMPUTED_VALUE"""),"PROFESIONAL")</f>
        <v>PROFESIONAL</v>
      </c>
      <c r="L568" s="34"/>
      <c r="M568" s="34"/>
      <c r="N568" s="34"/>
      <c r="Q568" s="35"/>
      <c r="R568" s="36" t="str">
        <f>IFERROR(__xludf.DUMMYFUNCTION("""COMPUTED_VALUE"""),"SELECCIONADO")</f>
        <v>SELECCIONADO</v>
      </c>
      <c r="S568" s="37">
        <f>IFERROR(__xludf.DUMMYFUNCTION("""COMPUTED_VALUE"""),41806.0)</f>
        <v>41806</v>
      </c>
      <c r="T568" s="34"/>
      <c r="U568" t="str">
        <f>IFERROR(__xludf.DUMMYFUNCTION("""COMPUTED_VALUE"""),"RODRIGO ALONSO MENDOZA REINOSO")</f>
        <v>RODRIGO ALONSO MENDOZA REINOSO</v>
      </c>
      <c r="V568" t="str">
        <f>IFERROR(__xludf.DUMMYFUNCTION("""COMPUTED_VALUE"""),"08880762-6")</f>
        <v>08880762-6</v>
      </c>
      <c r="AA568" s="38"/>
      <c r="AB568" s="38"/>
      <c r="AF568" s="39"/>
      <c r="AG568" s="39"/>
      <c r="AH568" s="34" t="str">
        <f>IFERROR(__xludf.DUMMYFUNCTION("""COMPUTED_VALUE"""),"REGULARIZACIÓN CONTRACTUAL")</f>
        <v>REGULARIZACIÓN CONTRACTUAL</v>
      </c>
      <c r="AI568" s="34"/>
      <c r="AJ568" s="34"/>
      <c r="AK568" s="34" t="str">
        <f>IFERROR(__xludf.DUMMYFUNCTION("""COMPUTED_VALUE"""),"P")</f>
        <v>P</v>
      </c>
      <c r="AM568">
        <f>IFERROR(__xludf.DUMMYFUNCTION("""COMPUTED_VALUE"""),2014.0)</f>
        <v>2014</v>
      </c>
      <c r="AN568" t="str">
        <f t="shared" si="1"/>
        <v>08880762-6</v>
      </c>
    </row>
    <row r="569">
      <c r="A569" s="33">
        <f>IFERROR(__xludf.DUMMYFUNCTION("""COMPUTED_VALUE"""),6649381.0)</f>
        <v>6649381</v>
      </c>
      <c r="B569" s="33"/>
      <c r="C569" s="33"/>
      <c r="D569" s="34" t="str">
        <f>IFERROR(__xludf.DUMMYFUNCTION("""COMPUTED_VALUE"""),"PRORRECTORIA")</f>
        <v>PRORRECTORIA</v>
      </c>
      <c r="E569" s="34" t="str">
        <f>IFERROR(__xludf.DUMMYFUNCTION("""COMPUTED_VALUE"""),"UNIDAD DE CONSTRUCCIONES")</f>
        <v>UNIDAD DE CONSTRUCCIONES</v>
      </c>
      <c r="F569" s="34" t="str">
        <f>IFERROR(__xludf.DUMMYFUNCTION("""COMPUTED_VALUE"""),"Constructor Civil")</f>
        <v>Constructor Civil</v>
      </c>
      <c r="G569" s="33" t="str">
        <f>IFERROR(__xludf.DUMMYFUNCTION("""COMPUTED_VALUE"""),"CONSTRUCTOR CIVIL")</f>
        <v>CONSTRUCTOR CIVIL</v>
      </c>
      <c r="H569">
        <f>IFERROR(__xludf.DUMMYFUNCTION("""COMPUTED_VALUE"""),8.0)</f>
        <v>8</v>
      </c>
      <c r="I569" s="34"/>
      <c r="J569" s="33" t="str">
        <f>IFERROR(__xludf.DUMMYFUNCTION("""COMPUTED_VALUE"""),"A CONTRATA")</f>
        <v>A CONTRATA</v>
      </c>
      <c r="K569" s="33" t="str">
        <f>IFERROR(__xludf.DUMMYFUNCTION("""COMPUTED_VALUE"""),"PROFESIONAL")</f>
        <v>PROFESIONAL</v>
      </c>
      <c r="L569" s="34"/>
      <c r="M569" s="34"/>
      <c r="N569" s="34"/>
      <c r="Q569" s="35"/>
      <c r="R569" s="36" t="str">
        <f>IFERROR(__xludf.DUMMYFUNCTION("""COMPUTED_VALUE"""),"SELECCIONADO")</f>
        <v>SELECCIONADO</v>
      </c>
      <c r="S569" s="37"/>
      <c r="T569" s="34"/>
      <c r="U569" t="str">
        <f>IFERROR(__xludf.DUMMYFUNCTION("""COMPUTED_VALUE"""),"ARTURO GONZALEZ RIQUELME")</f>
        <v>ARTURO GONZALEZ RIQUELME</v>
      </c>
      <c r="V569" t="str">
        <f>IFERROR(__xludf.DUMMYFUNCTION("""COMPUTED_VALUE"""),"06649381-4")</f>
        <v>06649381-4</v>
      </c>
      <c r="AA569" s="38"/>
      <c r="AB569" s="38"/>
      <c r="AF569" s="39"/>
      <c r="AG569" s="39"/>
      <c r="AH569" s="34" t="str">
        <f>IFERROR(__xludf.DUMMYFUNCTION("""COMPUTED_VALUE"""),"REGULARIZACIÓN CONTRACTUAL")</f>
        <v>REGULARIZACIÓN CONTRACTUAL</v>
      </c>
      <c r="AI569" s="34"/>
      <c r="AJ569" s="34"/>
      <c r="AK569" s="34" t="str">
        <f>IFERROR(__xludf.DUMMYFUNCTION("""COMPUTED_VALUE"""),"P")</f>
        <v>P</v>
      </c>
      <c r="AM569">
        <f>IFERROR(__xludf.DUMMYFUNCTION("""COMPUTED_VALUE"""),2014.0)</f>
        <v>2014</v>
      </c>
      <c r="AN569" t="str">
        <f t="shared" si="1"/>
        <v>06649381-4</v>
      </c>
    </row>
    <row r="570">
      <c r="A570" s="33">
        <f>IFERROR(__xludf.DUMMYFUNCTION("""COMPUTED_VALUE"""),1.5566567E7)</f>
        <v>15566567</v>
      </c>
      <c r="B570" s="33">
        <f>IFERROR(__xludf.DUMMYFUNCTION("""COMPUTED_VALUE"""),72.0)</f>
        <v>72</v>
      </c>
      <c r="C570" s="33"/>
      <c r="D570" s="34" t="str">
        <f>IFERROR(__xludf.DUMMYFUNCTION("""COMPUTED_VALUE"""),"VICERRCTORIA DE VINCULACION CON EL MEDIO")</f>
        <v>VICERRCTORIA DE VINCULACION CON EL MEDIO</v>
      </c>
      <c r="E570" s="34" t="str">
        <f>IFERROR(__xludf.DUMMYFUNCTION("""COMPUTED_VALUE"""),"ARCHIVO DE DOCUMENTACION GRAFICA Y AUDIOVISUAL")</f>
        <v>ARCHIVO DE DOCUMENTACION GRAFICA Y AUDIOVISUAL</v>
      </c>
      <c r="F570" s="34" t="str">
        <f>IFERROR(__xludf.DUMMYFUNCTION("""COMPUTED_VALUE"""),"Encargado de Laboratorio")</f>
        <v>Encargado de Laboratorio</v>
      </c>
      <c r="G570" s="33" t="str">
        <f>IFERROR(__xludf.DUMMYFUNCTION("""COMPUTED_VALUE"""),"ENCARGADO DE LABORATORIO ")</f>
        <v>ENCARGADO DE LABORATORIO </v>
      </c>
      <c r="H570">
        <f>IFERROR(__xludf.DUMMYFUNCTION("""COMPUTED_VALUE"""),13.0)</f>
        <v>13</v>
      </c>
      <c r="I570" s="34"/>
      <c r="J570" s="33" t="str">
        <f>IFERROR(__xludf.DUMMYFUNCTION("""COMPUTED_VALUE"""),"A CONTRATA")</f>
        <v>A CONTRATA</v>
      </c>
      <c r="K570" s="33" t="str">
        <f>IFERROR(__xludf.DUMMYFUNCTION("""COMPUTED_VALUE"""),"PROFESIONAL")</f>
        <v>PROFESIONAL</v>
      </c>
      <c r="L570" s="34"/>
      <c r="M570" s="34"/>
      <c r="N570" s="34"/>
      <c r="P570">
        <f>IFERROR(__xludf.DUMMYFUNCTION("""COMPUTED_VALUE"""),1.0)</f>
        <v>1</v>
      </c>
      <c r="Q570" s="35"/>
      <c r="R570" s="36" t="str">
        <f>IFERROR(__xludf.DUMMYFUNCTION("""COMPUTED_VALUE"""),"SELECCIONADO")</f>
        <v>SELECCIONADO</v>
      </c>
      <c r="S570" s="37">
        <f>IFERROR(__xludf.DUMMYFUNCTION("""COMPUTED_VALUE"""),41852.0)</f>
        <v>41852</v>
      </c>
      <c r="T570" s="34"/>
      <c r="U570" t="str">
        <f>IFERROR(__xludf.DUMMYFUNCTION("""COMPUTED_VALUE"""),"ANDRES ZUNIGA MELLA")</f>
        <v>ANDRES ZUNIGA MELLA</v>
      </c>
      <c r="V570" t="str">
        <f>IFERROR(__xludf.DUMMYFUNCTION("""COMPUTED_VALUE"""),"15566567-K")</f>
        <v>15566567-K</v>
      </c>
      <c r="AA570" s="38"/>
      <c r="AB570" s="38"/>
      <c r="AF570" s="39"/>
      <c r="AG570" s="39"/>
      <c r="AH570" s="34" t="str">
        <f>IFERROR(__xludf.DUMMYFUNCTION("""COMPUTED_VALUE"""),"REGULARIZACIÓN CONTRACTUAL")</f>
        <v>REGULARIZACIÓN CONTRACTUAL</v>
      </c>
      <c r="AI570" s="34"/>
      <c r="AJ570" s="34"/>
      <c r="AK570" s="34" t="str">
        <f>IFERROR(__xludf.DUMMYFUNCTION("""COMPUTED_VALUE"""),"P")</f>
        <v>P</v>
      </c>
      <c r="AM570">
        <f>IFERROR(__xludf.DUMMYFUNCTION("""COMPUTED_VALUE"""),2014.0)</f>
        <v>2014</v>
      </c>
      <c r="AN570" t="str">
        <f t="shared" si="1"/>
        <v>15566567-K</v>
      </c>
    </row>
    <row r="571">
      <c r="A571" s="33">
        <f>IFERROR(__xludf.DUMMYFUNCTION("""COMPUTED_VALUE"""),1.6743291E7)</f>
        <v>16743291</v>
      </c>
      <c r="B571" s="33">
        <f>IFERROR(__xludf.DUMMYFUNCTION("""COMPUTED_VALUE"""),77.0)</f>
        <v>77</v>
      </c>
      <c r="C571" s="33"/>
      <c r="D571" s="34" t="str">
        <f>IFERROR(__xludf.DUMMYFUNCTION("""COMPUTED_VALUE"""),"VICERRECTORIA DE VINCULACION CON EL MEDIO")</f>
        <v>VICERRECTORIA DE VINCULACION CON EL MEDIO</v>
      </c>
      <c r="E571" s="34" t="str">
        <f>IFERROR(__xludf.DUMMYFUNCTION("""COMPUTED_VALUE"""),"DEPARTAMENTO DE COMUNICACIONES")</f>
        <v>DEPARTAMENTO DE COMUNICACIONES</v>
      </c>
      <c r="F571" s="34" t="str">
        <f>IFERROR(__xludf.DUMMYFUNCTION("""COMPUTED_VALUE"""),"Periodista")</f>
        <v>Periodista</v>
      </c>
      <c r="G571" s="33" t="str">
        <f>IFERROR(__xludf.DUMMYFUNCTION("""COMPUTED_VALUE"""),"COMUNICADOR AUDIOVISUAL")</f>
        <v>COMUNICADOR AUDIOVISUAL</v>
      </c>
      <c r="H571">
        <f>IFERROR(__xludf.DUMMYFUNCTION("""COMPUTED_VALUE"""),13.0)</f>
        <v>13</v>
      </c>
      <c r="I571" s="34"/>
      <c r="J571" s="33" t="str">
        <f>IFERROR(__xludf.DUMMYFUNCTION("""COMPUTED_VALUE"""),"A CONTRATA")</f>
        <v>A CONTRATA</v>
      </c>
      <c r="K571" s="33" t="str">
        <f>IFERROR(__xludf.DUMMYFUNCTION("""COMPUTED_VALUE"""),"PROFESIONAL")</f>
        <v>PROFESIONAL</v>
      </c>
      <c r="L571" s="34"/>
      <c r="M571" s="34"/>
      <c r="N571" s="34"/>
      <c r="Q571" s="35"/>
      <c r="R571" s="36" t="str">
        <f>IFERROR(__xludf.DUMMYFUNCTION("""COMPUTED_VALUE"""),"SELECCIONADO")</f>
        <v>SELECCIONADO</v>
      </c>
      <c r="S571" s="37">
        <f>IFERROR(__xludf.DUMMYFUNCTION("""COMPUTED_VALUE"""),41821.0)</f>
        <v>41821</v>
      </c>
      <c r="T571" s="34"/>
      <c r="U571" t="str">
        <f>IFERROR(__xludf.DUMMYFUNCTION("""COMPUTED_VALUE"""),"JAVIER HERRERA BECERRA")</f>
        <v>JAVIER HERRERA BECERRA</v>
      </c>
      <c r="V571" t="str">
        <f>IFERROR(__xludf.DUMMYFUNCTION("""COMPUTED_VALUE"""),"16743291-3")</f>
        <v>16743291-3</v>
      </c>
      <c r="AA571" s="38"/>
      <c r="AB571" s="38"/>
      <c r="AF571" s="39"/>
      <c r="AG571" s="39"/>
      <c r="AH571" s="34" t="str">
        <f>IFERROR(__xludf.DUMMYFUNCTION("""COMPUTED_VALUE"""),"REGULARIZACIÓN CONTRACTUAL")</f>
        <v>REGULARIZACIÓN CONTRACTUAL</v>
      </c>
      <c r="AI571" s="34"/>
      <c r="AJ571" s="34"/>
      <c r="AK571" s="34" t="str">
        <f>IFERROR(__xludf.DUMMYFUNCTION("""COMPUTED_VALUE"""),"P")</f>
        <v>P</v>
      </c>
      <c r="AM571">
        <f>IFERROR(__xludf.DUMMYFUNCTION("""COMPUTED_VALUE"""),2014.0)</f>
        <v>2014</v>
      </c>
      <c r="AN571" t="str">
        <f t="shared" si="1"/>
        <v>16743291-3</v>
      </c>
    </row>
    <row r="572">
      <c r="A572" s="33">
        <f>IFERROR(__xludf.DUMMYFUNCTION("""COMPUTED_VALUE"""),1.6302498E7)</f>
        <v>16302498</v>
      </c>
      <c r="B572" s="33">
        <f>IFERROR(__xludf.DUMMYFUNCTION("""COMPUTED_VALUE"""),8.0)</f>
        <v>8</v>
      </c>
      <c r="C572" s="33"/>
      <c r="D572" s="34" t="str">
        <f>IFERROR(__xludf.DUMMYFUNCTION("""COMPUTED_VALUE"""),"VICERRECTORIA ACADEMICA")</f>
        <v>VICERRECTORIA ACADEMICA</v>
      </c>
      <c r="E572" s="34" t="str">
        <f>IFERROR(__xludf.DUMMYFUNCTION("""COMPUTED_VALUE"""),"UNIE-CITECAMP")</f>
        <v>UNIE-CITECAMP</v>
      </c>
      <c r="F572" s="34" t="str">
        <f>IFERROR(__xludf.DUMMYFUNCTION("""COMPUTED_VALUE"""),"Analista de Gestión II")</f>
        <v>Analista de Gestión II</v>
      </c>
      <c r="G572" s="33" t="str">
        <f>IFERROR(__xludf.DUMMYFUNCTION("""COMPUTED_VALUE"""),"ANALISTA II")</f>
        <v>ANALISTA II</v>
      </c>
      <c r="H572">
        <f>IFERROR(__xludf.DUMMYFUNCTION("""COMPUTED_VALUE"""),12.0)</f>
        <v>12</v>
      </c>
      <c r="I572" s="34"/>
      <c r="J572" s="33" t="str">
        <f>IFERROR(__xludf.DUMMYFUNCTION("""COMPUTED_VALUE"""),"A CONTRATA")</f>
        <v>A CONTRATA</v>
      </c>
      <c r="K572" s="33" t="str">
        <f>IFERROR(__xludf.DUMMYFUNCTION("""COMPUTED_VALUE"""),"PROFESIONAL")</f>
        <v>PROFESIONAL</v>
      </c>
      <c r="L572" s="34"/>
      <c r="M572" s="34"/>
      <c r="N572" s="34"/>
      <c r="P572">
        <f>IFERROR(__xludf.DUMMYFUNCTION("""COMPUTED_VALUE"""),1.0)</f>
        <v>1</v>
      </c>
      <c r="Q572" s="35"/>
      <c r="R572" s="36" t="str">
        <f>IFERROR(__xludf.DUMMYFUNCTION("""COMPUTED_VALUE"""),"SELECCIONADO")</f>
        <v>SELECCIONADO</v>
      </c>
      <c r="S572" s="37">
        <f>IFERROR(__xludf.DUMMYFUNCTION("""COMPUTED_VALUE"""),41701.0)</f>
        <v>41701</v>
      </c>
      <c r="T572" s="34"/>
      <c r="U572" t="str">
        <f>IFERROR(__xludf.DUMMYFUNCTION("""COMPUTED_VALUE"""),"JAVIER JIMENEZ BARADACCO")</f>
        <v>JAVIER JIMENEZ BARADACCO</v>
      </c>
      <c r="V572" t="str">
        <f>IFERROR(__xludf.DUMMYFUNCTION("""COMPUTED_VALUE"""),"16302498-5")</f>
        <v>16302498-5</v>
      </c>
      <c r="W572" t="str">
        <f>IFERROR(__xludf.DUMMYFUNCTION("""COMPUTED_VALUE"""),"No")</f>
        <v>No</v>
      </c>
      <c r="AA572" s="38"/>
      <c r="AB572" s="38"/>
      <c r="AF572" s="39"/>
      <c r="AG572" s="39"/>
      <c r="AH572" s="34" t="str">
        <f>IFERROR(__xludf.DUMMYFUNCTION("""COMPUTED_VALUE"""),"REGULARIZACIÓN CONTRACTUAL")</f>
        <v>REGULARIZACIÓN CONTRACTUAL</v>
      </c>
      <c r="AI572" s="34"/>
      <c r="AJ572" s="34"/>
      <c r="AK572" s="34"/>
      <c r="AM572">
        <f>IFERROR(__xludf.DUMMYFUNCTION("""COMPUTED_VALUE"""),2014.0)</f>
        <v>2014</v>
      </c>
      <c r="AN572" t="str">
        <f t="shared" si="1"/>
        <v>16302498-5</v>
      </c>
    </row>
    <row r="573">
      <c r="A573" s="33">
        <f>IFERROR(__xludf.DUMMYFUNCTION("""COMPUTED_VALUE"""),1.3935899E7)</f>
        <v>13935899</v>
      </c>
      <c r="B573" s="33">
        <f>IFERROR(__xludf.DUMMYFUNCTION("""COMPUTED_VALUE"""),9.0)</f>
        <v>9</v>
      </c>
      <c r="C573" s="33"/>
      <c r="D573" s="34" t="str">
        <f>IFERROR(__xludf.DUMMYFUNCTION("""COMPUTED_VALUE"""),"VICERRECTORIA ACADEMICA")</f>
        <v>VICERRECTORIA ACADEMICA</v>
      </c>
      <c r="E573" s="34" t="str">
        <f>IFERROR(__xludf.DUMMYFUNCTION("""COMPUTED_VALUE"""),"UNIE-CITECAMP")</f>
        <v>UNIE-CITECAMP</v>
      </c>
      <c r="F573" s="34" t="str">
        <f>IFERROR(__xludf.DUMMYFUNCTION("""COMPUTED_VALUE"""),"Analista de Gestión I")</f>
        <v>Analista de Gestión I</v>
      </c>
      <c r="G573" s="33" t="str">
        <f>IFERROR(__xludf.DUMMYFUNCTION("""COMPUTED_VALUE"""),"ANALISTA I")</f>
        <v>ANALISTA I</v>
      </c>
      <c r="H573">
        <f>IFERROR(__xludf.DUMMYFUNCTION("""COMPUTED_VALUE"""),8.0)</f>
        <v>8</v>
      </c>
      <c r="I573" s="34"/>
      <c r="J573" s="33" t="str">
        <f>IFERROR(__xludf.DUMMYFUNCTION("""COMPUTED_VALUE"""),"A CONTRATA")</f>
        <v>A CONTRATA</v>
      </c>
      <c r="K573" s="33" t="str">
        <f>IFERROR(__xludf.DUMMYFUNCTION("""COMPUTED_VALUE"""),"PROFESIONAL")</f>
        <v>PROFESIONAL</v>
      </c>
      <c r="L573" s="34"/>
      <c r="M573" s="34"/>
      <c r="N573" s="34"/>
      <c r="P573">
        <f>IFERROR(__xludf.DUMMYFUNCTION("""COMPUTED_VALUE"""),1.0)</f>
        <v>1</v>
      </c>
      <c r="Q573" s="35"/>
      <c r="R573" s="36" t="str">
        <f>IFERROR(__xludf.DUMMYFUNCTION("""COMPUTED_VALUE"""),"SELECCIONADA")</f>
        <v>SELECCIONADA</v>
      </c>
      <c r="S573" s="37">
        <f>IFERROR(__xludf.DUMMYFUNCTION("""COMPUTED_VALUE"""),41701.0)</f>
        <v>41701</v>
      </c>
      <c r="T573" s="34"/>
      <c r="U573" t="str">
        <f>IFERROR(__xludf.DUMMYFUNCTION("""COMPUTED_VALUE"""),"MARIA GALLEGOS REYES")</f>
        <v>MARIA GALLEGOS REYES</v>
      </c>
      <c r="V573" t="str">
        <f>IFERROR(__xludf.DUMMYFUNCTION("""COMPUTED_VALUE"""),"13935899-6")</f>
        <v>13935899-6</v>
      </c>
      <c r="W573" t="str">
        <f>IFERROR(__xludf.DUMMYFUNCTION("""COMPUTED_VALUE"""),"No")</f>
        <v>No</v>
      </c>
      <c r="AA573" s="38"/>
      <c r="AB573" s="38"/>
      <c r="AF573" s="39"/>
      <c r="AG573" s="39"/>
      <c r="AH573" s="34" t="str">
        <f>IFERROR(__xludf.DUMMYFUNCTION("""COMPUTED_VALUE"""),"REGULARIZACIÓN CONTRACTUAL")</f>
        <v>REGULARIZACIÓN CONTRACTUAL</v>
      </c>
      <c r="AI573" s="34"/>
      <c r="AJ573" s="34"/>
      <c r="AK573" s="34"/>
      <c r="AM573">
        <f>IFERROR(__xludf.DUMMYFUNCTION("""COMPUTED_VALUE"""),2014.0)</f>
        <v>2014</v>
      </c>
      <c r="AN573" t="str">
        <f t="shared" si="1"/>
        <v>13935899-6</v>
      </c>
    </row>
    <row r="574">
      <c r="A574" s="33">
        <f>IFERROR(__xludf.DUMMYFUNCTION("""COMPUTED_VALUE"""),1.2374267E7)</f>
        <v>12374267</v>
      </c>
      <c r="B574" s="33">
        <f>IFERROR(__xludf.DUMMYFUNCTION("""COMPUTED_VALUE"""),10.0)</f>
        <v>10</v>
      </c>
      <c r="C574" s="33"/>
      <c r="D574" s="34" t="str">
        <f>IFERROR(__xludf.DUMMYFUNCTION("""COMPUTED_VALUE"""),"VICERRECTORIA ACADEMICA")</f>
        <v>VICERRECTORIA ACADEMICA</v>
      </c>
      <c r="E574" s="34" t="str">
        <f>IFERROR(__xludf.DUMMYFUNCTION("""COMPUTED_VALUE"""),"UNIE-CITECAMP")</f>
        <v>UNIE-CITECAMP</v>
      </c>
      <c r="F574" s="34" t="str">
        <f>IFERROR(__xludf.DUMMYFUNCTION("""COMPUTED_VALUE"""),"Jefe de Área")</f>
        <v>Jefe de Área</v>
      </c>
      <c r="G574" s="33" t="str">
        <f>IFERROR(__xludf.DUMMYFUNCTION("""COMPUTED_VALUE"""),"JEFE DE AREA")</f>
        <v>JEFE DE AREA</v>
      </c>
      <c r="H574">
        <f>IFERROR(__xludf.DUMMYFUNCTION("""COMPUTED_VALUE"""),6.0)</f>
        <v>6</v>
      </c>
      <c r="I574" s="34"/>
      <c r="J574" s="33" t="str">
        <f>IFERROR(__xludf.DUMMYFUNCTION("""COMPUTED_VALUE"""),"A CONTRATA")</f>
        <v>A CONTRATA</v>
      </c>
      <c r="K574" s="33" t="str">
        <f>IFERROR(__xludf.DUMMYFUNCTION("""COMPUTED_VALUE"""),"PROFESIONAL")</f>
        <v>PROFESIONAL</v>
      </c>
      <c r="L574" s="34"/>
      <c r="M574" s="34"/>
      <c r="N574" s="34"/>
      <c r="P574">
        <f>IFERROR(__xludf.DUMMYFUNCTION("""COMPUTED_VALUE"""),1.0)</f>
        <v>1</v>
      </c>
      <c r="Q574" s="35"/>
      <c r="R574" s="36" t="str">
        <f>IFERROR(__xludf.DUMMYFUNCTION("""COMPUTED_VALUE"""),"SELECCIONADO")</f>
        <v>SELECCIONADO</v>
      </c>
      <c r="S574" s="37">
        <f>IFERROR(__xludf.DUMMYFUNCTION("""COMPUTED_VALUE"""),41781.0)</f>
        <v>41781</v>
      </c>
      <c r="T574" s="34"/>
      <c r="U574" t="str">
        <f>IFERROR(__xludf.DUMMYFUNCTION("""COMPUTED_VALUE"""),"JORGE CHAVEZ ROJAS")</f>
        <v>JORGE CHAVEZ ROJAS</v>
      </c>
      <c r="V574" t="str">
        <f>IFERROR(__xludf.DUMMYFUNCTION("""COMPUTED_VALUE"""),"12374267-2")</f>
        <v>12374267-2</v>
      </c>
      <c r="W574" t="str">
        <f>IFERROR(__xludf.DUMMYFUNCTION("""COMPUTED_VALUE"""),"SI")</f>
        <v>SI</v>
      </c>
      <c r="X574" t="str">
        <f>IFERROR(__xludf.DUMMYFUNCTION("""COMPUTED_VALUE"""),"TRABAJO EN EQUIPO")</f>
        <v>TRABAJO EN EQUIPO</v>
      </c>
      <c r="AA574" s="38"/>
      <c r="AB574" s="38"/>
      <c r="AF574" s="39"/>
      <c r="AG574" s="39"/>
      <c r="AH574" s="34" t="str">
        <f>IFERROR(__xludf.DUMMYFUNCTION("""COMPUTED_VALUE"""),"REGULARIZACIÓN CONTRACTUAL")</f>
        <v>REGULARIZACIÓN CONTRACTUAL</v>
      </c>
      <c r="AI574" s="34"/>
      <c r="AJ574" s="34"/>
      <c r="AK574" s="34"/>
      <c r="AM574">
        <f>IFERROR(__xludf.DUMMYFUNCTION("""COMPUTED_VALUE"""),2014.0)</f>
        <v>2014</v>
      </c>
      <c r="AN574" t="str">
        <f t="shared" si="1"/>
        <v>12374267-2</v>
      </c>
    </row>
    <row r="575">
      <c r="A575" s="33">
        <f>IFERROR(__xludf.DUMMYFUNCTION("""COMPUTED_VALUE"""),1.6877266E7)</f>
        <v>16877266</v>
      </c>
      <c r="B575" s="33">
        <f>IFERROR(__xludf.DUMMYFUNCTION("""COMPUTED_VALUE"""),11.0)</f>
        <v>11</v>
      </c>
      <c r="C575" s="33"/>
      <c r="D575" s="34" t="str">
        <f>IFERROR(__xludf.DUMMYFUNCTION("""COMPUTED_VALUE"""),"VICERRECTORIA ACADEMICA")</f>
        <v>VICERRECTORIA ACADEMICA</v>
      </c>
      <c r="E575" s="34" t="str">
        <f>IFERROR(__xludf.DUMMYFUNCTION("""COMPUTED_VALUE"""),"UNIE-CITECAMP")</f>
        <v>UNIE-CITECAMP</v>
      </c>
      <c r="F575" s="34" t="str">
        <f>IFERROR(__xludf.DUMMYFUNCTION("""COMPUTED_VALUE"""),"Analista de Gestión II")</f>
        <v>Analista de Gestión II</v>
      </c>
      <c r="G575" s="33" t="str">
        <f>IFERROR(__xludf.DUMMYFUNCTION("""COMPUTED_VALUE"""),"ANALISTA II")</f>
        <v>ANALISTA II</v>
      </c>
      <c r="H575">
        <f>IFERROR(__xludf.DUMMYFUNCTION("""COMPUTED_VALUE"""),12.0)</f>
        <v>12</v>
      </c>
      <c r="I575" s="34"/>
      <c r="J575" s="33" t="str">
        <f>IFERROR(__xludf.DUMMYFUNCTION("""COMPUTED_VALUE"""),"A CONTRATA")</f>
        <v>A CONTRATA</v>
      </c>
      <c r="K575" s="33" t="str">
        <f>IFERROR(__xludf.DUMMYFUNCTION("""COMPUTED_VALUE"""),"PROFESIONAL")</f>
        <v>PROFESIONAL</v>
      </c>
      <c r="L575" s="34"/>
      <c r="M575" s="34"/>
      <c r="N575" s="34"/>
      <c r="P575">
        <f>IFERROR(__xludf.DUMMYFUNCTION("""COMPUTED_VALUE"""),1.0)</f>
        <v>1</v>
      </c>
      <c r="Q575" s="35"/>
      <c r="R575" s="36" t="str">
        <f>IFERROR(__xludf.DUMMYFUNCTION("""COMPUTED_VALUE"""),"SELECCIONADA")</f>
        <v>SELECCIONADA</v>
      </c>
      <c r="S575" s="37">
        <f>IFERROR(__xludf.DUMMYFUNCTION("""COMPUTED_VALUE"""),41745.0)</f>
        <v>41745</v>
      </c>
      <c r="T575" s="34"/>
      <c r="U575" t="str">
        <f>IFERROR(__xludf.DUMMYFUNCTION("""COMPUTED_VALUE"""),"NICOLE ABRICOT MARCHANT")</f>
        <v>NICOLE ABRICOT MARCHANT</v>
      </c>
      <c r="V575" t="str">
        <f>IFERROR(__xludf.DUMMYFUNCTION("""COMPUTED_VALUE"""),"16877266-1")</f>
        <v>16877266-1</v>
      </c>
      <c r="W575" t="str">
        <f>IFERROR(__xludf.DUMMYFUNCTION("""COMPUTED_VALUE"""),"No")</f>
        <v>No</v>
      </c>
      <c r="AA575" s="38"/>
      <c r="AB575" s="38"/>
      <c r="AF575" s="39"/>
      <c r="AG575" s="39"/>
      <c r="AH575" s="34" t="str">
        <f>IFERROR(__xludf.DUMMYFUNCTION("""COMPUTED_VALUE"""),"REGULARIZACIÓN CONTRACTUAL")</f>
        <v>REGULARIZACIÓN CONTRACTUAL</v>
      </c>
      <c r="AI575" s="34"/>
      <c r="AJ575" s="34"/>
      <c r="AK575" s="34"/>
      <c r="AM575">
        <f>IFERROR(__xludf.DUMMYFUNCTION("""COMPUTED_VALUE"""),2014.0)</f>
        <v>2014</v>
      </c>
      <c r="AN575" t="str">
        <f t="shared" si="1"/>
        <v>16877266-1</v>
      </c>
    </row>
    <row r="576">
      <c r="A576" s="33">
        <f>IFERROR(__xludf.DUMMYFUNCTION("""COMPUTED_VALUE"""),1.3721127E7)</f>
        <v>13721127</v>
      </c>
      <c r="B576" s="33">
        <f>IFERROR(__xludf.DUMMYFUNCTION("""COMPUTED_VALUE"""),12.0)</f>
        <v>12</v>
      </c>
      <c r="C576" s="33"/>
      <c r="D576" s="34" t="str">
        <f>IFERROR(__xludf.DUMMYFUNCTION("""COMPUTED_VALUE"""),"VICERRECTORIA DE INVESTIGACION, DESARROLLO E INNOVACION")</f>
        <v>VICERRECTORIA DE INVESTIGACION, DESARROLLO E INNOVACION</v>
      </c>
      <c r="E576" s="34" t="str">
        <f>IFERROR(__xludf.DUMMYFUNCTION("""COMPUTED_VALUE"""),"DEPARTAMENTO DE INVESTIGACIONES CIENTIFICAS Y TECNOLOGICAS")</f>
        <v>DEPARTAMENTO DE INVESTIGACIONES CIENTIFICAS Y TECNOLOGICAS</v>
      </c>
      <c r="F576" s="34" t="str">
        <f>IFERROR(__xludf.DUMMYFUNCTION("""COMPUTED_VALUE"""),"Administrativo Contable")</f>
        <v>Administrativo Contable</v>
      </c>
      <c r="G576" s="33" t="str">
        <f>IFERROR(__xludf.DUMMYFUNCTION("""COMPUTED_VALUE"""),"ADMINISTRATIVO CONTABLE")</f>
        <v>ADMINISTRATIVO CONTABLE</v>
      </c>
      <c r="H576">
        <f>IFERROR(__xludf.DUMMYFUNCTION("""COMPUTED_VALUE"""),17.0)</f>
        <v>17</v>
      </c>
      <c r="I576" s="34"/>
      <c r="J576" s="33" t="str">
        <f>IFERROR(__xludf.DUMMYFUNCTION("""COMPUTED_VALUE"""),"A CONTRATA")</f>
        <v>A CONTRATA</v>
      </c>
      <c r="K576" s="33" t="str">
        <f>IFERROR(__xludf.DUMMYFUNCTION("""COMPUTED_VALUE"""),"TECNICO")</f>
        <v>TECNICO</v>
      </c>
      <c r="L576" s="34"/>
      <c r="M576" s="34"/>
      <c r="N576" s="34"/>
      <c r="P576">
        <f>IFERROR(__xludf.DUMMYFUNCTION("""COMPUTED_VALUE"""),1.0)</f>
        <v>1</v>
      </c>
      <c r="Q576" s="35"/>
      <c r="R576" s="36" t="str">
        <f>IFERROR(__xludf.DUMMYFUNCTION("""COMPUTED_VALUE"""),"SELECCIONADA")</f>
        <v>SELECCIONADA</v>
      </c>
      <c r="S576" s="37">
        <f>IFERROR(__xludf.DUMMYFUNCTION("""COMPUTED_VALUE"""),41640.0)</f>
        <v>41640</v>
      </c>
      <c r="T576" s="34"/>
      <c r="U576" t="str">
        <f>IFERROR(__xludf.DUMMYFUNCTION("""COMPUTED_VALUE"""),"ERIKA CATALAN CORNEJO")</f>
        <v>ERIKA CATALAN CORNEJO</v>
      </c>
      <c r="V576" t="str">
        <f>IFERROR(__xludf.DUMMYFUNCTION("""COMPUTED_VALUE"""),"13721127-0")</f>
        <v>13721127-0</v>
      </c>
      <c r="W576" t="str">
        <f>IFERROR(__xludf.DUMMYFUNCTION("""COMPUTED_VALUE"""),"SI")</f>
        <v>SI</v>
      </c>
      <c r="X576" t="str">
        <f>IFERROR(__xludf.DUMMYFUNCTION("""COMPUTED_VALUE"""),"Iniciativa")</f>
        <v>Iniciativa</v>
      </c>
      <c r="AA576" s="38"/>
      <c r="AB576" s="38"/>
      <c r="AF576" s="39"/>
      <c r="AG576" s="39"/>
      <c r="AH576" s="34" t="str">
        <f>IFERROR(__xludf.DUMMYFUNCTION("""COMPUTED_VALUE"""),"REGULARIZACIÓN CONTRACTUAL")</f>
        <v>REGULARIZACIÓN CONTRACTUAL</v>
      </c>
      <c r="AI576" s="34"/>
      <c r="AJ576" s="34"/>
      <c r="AK576" s="34"/>
      <c r="AM576">
        <f>IFERROR(__xludf.DUMMYFUNCTION("""COMPUTED_VALUE"""),2014.0)</f>
        <v>2014</v>
      </c>
      <c r="AN576" t="str">
        <f t="shared" si="1"/>
        <v>13721127-0</v>
      </c>
    </row>
    <row r="577">
      <c r="A577" s="33">
        <f>IFERROR(__xludf.DUMMYFUNCTION("""COMPUTED_VALUE"""),1.6067135E7)</f>
        <v>16067135</v>
      </c>
      <c r="B577" s="33">
        <f>IFERROR(__xludf.DUMMYFUNCTION("""COMPUTED_VALUE"""),13.0)</f>
        <v>13</v>
      </c>
      <c r="C577" s="33"/>
      <c r="D577" s="34" t="str">
        <f>IFERROR(__xludf.DUMMYFUNCTION("""COMPUTED_VALUE"""),"VICERRECTORIA DE INVESTIGACION, DESARROLLO E INNOVACION")</f>
        <v>VICERRECTORIA DE INVESTIGACION, DESARROLLO E INNOVACION</v>
      </c>
      <c r="E577" s="34"/>
      <c r="F577" s="34" t="str">
        <f>IFERROR(__xludf.DUMMYFUNCTION("""COMPUTED_VALUE"""),"Encargado de Unidad Menor")</f>
        <v>Encargado de Unidad Menor</v>
      </c>
      <c r="G577" s="33" t="str">
        <f>IFERROR(__xludf.DUMMYFUNCTION("""COMPUTED_VALUE"""),"ENCARGADA OFICINA DE PARTES")</f>
        <v>ENCARGADA OFICINA DE PARTES</v>
      </c>
      <c r="H577">
        <f>IFERROR(__xludf.DUMMYFUNCTION("""COMPUTED_VALUE"""),16.0)</f>
        <v>16</v>
      </c>
      <c r="I577" s="34"/>
      <c r="J577" s="33" t="str">
        <f>IFERROR(__xludf.DUMMYFUNCTION("""COMPUTED_VALUE"""),"A CONTRATA")</f>
        <v>A CONTRATA</v>
      </c>
      <c r="K577" s="33" t="str">
        <f>IFERROR(__xludf.DUMMYFUNCTION("""COMPUTED_VALUE"""),"ADMINISTRATIVO")</f>
        <v>ADMINISTRATIVO</v>
      </c>
      <c r="L577" s="34"/>
      <c r="M577" s="34"/>
      <c r="N577" s="34"/>
      <c r="Q577" s="35"/>
      <c r="R577" s="36" t="str">
        <f>IFERROR(__xludf.DUMMYFUNCTION("""COMPUTED_VALUE"""),"SELECCIONADA")</f>
        <v>SELECCIONADA</v>
      </c>
      <c r="S577" s="37">
        <f>IFERROR(__xludf.DUMMYFUNCTION("""COMPUTED_VALUE"""),41913.0)</f>
        <v>41913</v>
      </c>
      <c r="T577" s="34"/>
      <c r="U577" t="str">
        <f>IFERROR(__xludf.DUMMYFUNCTION("""COMPUTED_VALUE"""),"ANA BURGOS  HERNANDEZ")</f>
        <v>ANA BURGOS  HERNANDEZ</v>
      </c>
      <c r="V577" t="str">
        <f>IFERROR(__xludf.DUMMYFUNCTION("""COMPUTED_VALUE"""),"16067135-1")</f>
        <v>16067135-1</v>
      </c>
      <c r="AA577" s="38"/>
      <c r="AB577" s="38"/>
      <c r="AF577" s="39"/>
      <c r="AG577" s="39"/>
      <c r="AH577" s="34" t="str">
        <f>IFERROR(__xludf.DUMMYFUNCTION("""COMPUTED_VALUE"""),"REGULARIZACIÓN CONTRACTUAL")</f>
        <v>REGULARIZACIÓN CONTRACTUAL</v>
      </c>
      <c r="AI577" s="34"/>
      <c r="AJ577" s="34"/>
      <c r="AK577" s="34"/>
      <c r="AM577">
        <f>IFERROR(__xludf.DUMMYFUNCTION("""COMPUTED_VALUE"""),2014.0)</f>
        <v>2014</v>
      </c>
      <c r="AN577" t="str">
        <f t="shared" si="1"/>
        <v>16067135-1</v>
      </c>
    </row>
    <row r="578">
      <c r="A578" s="33">
        <f>IFERROR(__xludf.DUMMYFUNCTION("""COMPUTED_VALUE"""),1.319948E7)</f>
        <v>13199480</v>
      </c>
      <c r="B578" s="33">
        <f>IFERROR(__xludf.DUMMYFUNCTION("""COMPUTED_VALUE"""),13.0)</f>
        <v>13</v>
      </c>
      <c r="C578" s="33"/>
      <c r="D578" s="34" t="str">
        <f>IFERROR(__xludf.DUMMYFUNCTION("""COMPUTED_VALUE"""),"VICERRECTORIA DE APOYO AL ESTUDIANTE")</f>
        <v>VICERRECTORIA DE APOYO AL ESTUDIANTE</v>
      </c>
      <c r="E578" s="34" t="str">
        <f>IFERROR(__xludf.DUMMYFUNCTION("""COMPUTED_VALUE"""),"UNIDAD DE PROMOCION DE SALUD")</f>
        <v>UNIDAD DE PROMOCION DE SALUD</v>
      </c>
      <c r="F578" s="34" t="str">
        <f>IFERROR(__xludf.DUMMYFUNCTION("""COMPUTED_VALUE"""),"Psicólogo Clínico")</f>
        <v>Psicólogo Clínico</v>
      </c>
      <c r="G578" s="33" t="str">
        <f>IFERROR(__xludf.DUMMYFUNCTION("""COMPUTED_VALUE"""),"PSICOLOGO CLINICO")</f>
        <v>PSICOLOGO CLINICO</v>
      </c>
      <c r="H578">
        <f>IFERROR(__xludf.DUMMYFUNCTION("""COMPUTED_VALUE"""),14.0)</f>
        <v>14</v>
      </c>
      <c r="I578" s="34"/>
      <c r="J578" s="33" t="str">
        <f>IFERROR(__xludf.DUMMYFUNCTION("""COMPUTED_VALUE"""),"A CONTRATA")</f>
        <v>A CONTRATA</v>
      </c>
      <c r="K578" s="33" t="str">
        <f>IFERROR(__xludf.DUMMYFUNCTION("""COMPUTED_VALUE"""),"PROFESIONAL")</f>
        <v>PROFESIONAL</v>
      </c>
      <c r="L578" s="34"/>
      <c r="M578" s="34"/>
      <c r="N578" s="34"/>
      <c r="P578">
        <f>IFERROR(__xludf.DUMMYFUNCTION("""COMPUTED_VALUE"""),1.0)</f>
        <v>1</v>
      </c>
      <c r="Q578" s="35"/>
      <c r="R578" s="36" t="str">
        <f>IFERROR(__xludf.DUMMYFUNCTION("""COMPUTED_VALUE"""),"SELECCIONADA")</f>
        <v>SELECCIONADA</v>
      </c>
      <c r="S578" s="37">
        <f>IFERROR(__xludf.DUMMYFUNCTION("""COMPUTED_VALUE"""),41640.0)</f>
        <v>41640</v>
      </c>
      <c r="T578" s="34"/>
      <c r="U578" t="str">
        <f>IFERROR(__xludf.DUMMYFUNCTION("""COMPUTED_VALUE"""),"DAPHNE PINOCHET VARGAS")</f>
        <v>DAPHNE PINOCHET VARGAS</v>
      </c>
      <c r="V578" t="str">
        <f>IFERROR(__xludf.DUMMYFUNCTION("""COMPUTED_VALUE"""),"13199480-K")</f>
        <v>13199480-K</v>
      </c>
      <c r="W578" t="str">
        <f>IFERROR(__xludf.DUMMYFUNCTION("""COMPUTED_VALUE"""),"SI")</f>
        <v>SI</v>
      </c>
      <c r="X578" t="str">
        <f>IFERROR(__xludf.DUMMYFUNCTION("""COMPUTED_VALUE"""),"Capacidad de Planificacion y Organizacion")</f>
        <v>Capacidad de Planificacion y Organizacion</v>
      </c>
      <c r="AA578" s="38"/>
      <c r="AB578" s="38"/>
      <c r="AF578" s="39"/>
      <c r="AG578" s="39"/>
      <c r="AH578" s="34" t="str">
        <f>IFERROR(__xludf.DUMMYFUNCTION("""COMPUTED_VALUE"""),"REGULARIZACIÓN CONTRACTUAL")</f>
        <v>REGULARIZACIÓN CONTRACTUAL</v>
      </c>
      <c r="AI578" s="34"/>
      <c r="AJ578" s="34"/>
      <c r="AK578" s="34"/>
      <c r="AM578">
        <f>IFERROR(__xludf.DUMMYFUNCTION("""COMPUTED_VALUE"""),2014.0)</f>
        <v>2014</v>
      </c>
      <c r="AN578" t="str">
        <f t="shared" si="1"/>
        <v>13199480-K</v>
      </c>
    </row>
    <row r="579">
      <c r="A579" s="33">
        <f>IFERROR(__xludf.DUMMYFUNCTION("""COMPUTED_VALUE"""),1.0608447E7)</f>
        <v>10608447</v>
      </c>
      <c r="B579" s="33">
        <f>IFERROR(__xludf.DUMMYFUNCTION("""COMPUTED_VALUE"""),15.0)</f>
        <v>15</v>
      </c>
      <c r="C579" s="33"/>
      <c r="D579" s="34" t="str">
        <f>IFERROR(__xludf.DUMMYFUNCTION("""COMPUTED_VALUE"""),"FACULTAD TECNOLOGICA")</f>
        <v>FACULTAD TECNOLOGICA</v>
      </c>
      <c r="E579" s="34" t="str">
        <f>IFERROR(__xludf.DUMMYFUNCTION("""COMPUTED_VALUE"""),"FACULTAD TECNOLOGICA")</f>
        <v>FACULTAD TECNOLOGICA</v>
      </c>
      <c r="F579" s="34" t="str">
        <f>IFERROR(__xludf.DUMMYFUNCTION("""COMPUTED_VALUE"""),"Administrador de Sistemas")</f>
        <v>Administrador de Sistemas</v>
      </c>
      <c r="G579" s="33" t="str">
        <f>IFERROR(__xludf.DUMMYFUNCTION("""COMPUTED_VALUE"""),"ADMINISTRADOR DE SISTEMAS")</f>
        <v>ADMINISTRADOR DE SISTEMAS</v>
      </c>
      <c r="H579">
        <f>IFERROR(__xludf.DUMMYFUNCTION("""COMPUTED_VALUE"""),11.0)</f>
        <v>11</v>
      </c>
      <c r="I579" s="34"/>
      <c r="J579" s="33" t="str">
        <f>IFERROR(__xludf.DUMMYFUNCTION("""COMPUTED_VALUE"""),"A CONTRATA")</f>
        <v>A CONTRATA</v>
      </c>
      <c r="K579" s="33" t="str">
        <f>IFERROR(__xludf.DUMMYFUNCTION("""COMPUTED_VALUE"""),"PROFESIONAL")</f>
        <v>PROFESIONAL</v>
      </c>
      <c r="L579" s="34"/>
      <c r="M579" s="34"/>
      <c r="N579" s="34"/>
      <c r="P579">
        <f>IFERROR(__xludf.DUMMYFUNCTION("""COMPUTED_VALUE"""),1.0)</f>
        <v>1</v>
      </c>
      <c r="Q579" s="35"/>
      <c r="R579" s="36" t="str">
        <f>IFERROR(__xludf.DUMMYFUNCTION("""COMPUTED_VALUE"""),"SELECCIONADO")</f>
        <v>SELECCIONADO</v>
      </c>
      <c r="S579" s="37">
        <f>IFERROR(__xludf.DUMMYFUNCTION("""COMPUTED_VALUE"""),41640.0)</f>
        <v>41640</v>
      </c>
      <c r="T579" s="34"/>
      <c r="U579" t="str">
        <f>IFERROR(__xludf.DUMMYFUNCTION("""COMPUTED_VALUE"""),"CRISTIAN VERGARA ESPINOZA")</f>
        <v>CRISTIAN VERGARA ESPINOZA</v>
      </c>
      <c r="V579" t="str">
        <f>IFERROR(__xludf.DUMMYFUNCTION("""COMPUTED_VALUE"""),"10608447-5")</f>
        <v>10608447-5</v>
      </c>
      <c r="W579" t="str">
        <f>IFERROR(__xludf.DUMMYFUNCTION("""COMPUTED_VALUE"""),"SI")</f>
        <v>SI</v>
      </c>
      <c r="X579" t="str">
        <f>IFERROR(__xludf.DUMMYFUNCTION("""COMPUTED_VALUE"""),"TRABAJO EN EQUIPO")</f>
        <v>TRABAJO EN EQUIPO</v>
      </c>
      <c r="AA579" s="38"/>
      <c r="AB579" s="38"/>
      <c r="AF579" s="39"/>
      <c r="AG579" s="39"/>
      <c r="AH579" s="34" t="str">
        <f>IFERROR(__xludf.DUMMYFUNCTION("""COMPUTED_VALUE"""),"REGULARIZACIÓN CONTRACTUAL")</f>
        <v>REGULARIZACIÓN CONTRACTUAL</v>
      </c>
      <c r="AI579" s="34"/>
      <c r="AJ579" s="34"/>
      <c r="AK579" s="34"/>
      <c r="AM579">
        <f>IFERROR(__xludf.DUMMYFUNCTION("""COMPUTED_VALUE"""),2014.0)</f>
        <v>2014</v>
      </c>
      <c r="AN579" t="str">
        <f t="shared" si="1"/>
        <v>10608447-5</v>
      </c>
    </row>
    <row r="580">
      <c r="A580" s="33">
        <f>IFERROR(__xludf.DUMMYFUNCTION("""COMPUTED_VALUE"""),1.674911E7)</f>
        <v>16749110</v>
      </c>
      <c r="B580" s="33">
        <f>IFERROR(__xludf.DUMMYFUNCTION("""COMPUTED_VALUE"""),16.0)</f>
        <v>16</v>
      </c>
      <c r="C580" s="33"/>
      <c r="D580" s="34" t="str">
        <f>IFERROR(__xludf.DUMMYFUNCTION("""COMPUTED_VALUE"""),"RECTORIA")</f>
        <v>RECTORIA</v>
      </c>
      <c r="E580" s="34" t="str">
        <f>IFERROR(__xludf.DUMMYFUNCTION("""COMPUTED_VALUE"""),"RECTORIA")</f>
        <v>RECTORIA</v>
      </c>
      <c r="F580" s="34" t="str">
        <f>IFERROR(__xludf.DUMMYFUNCTION("""COMPUTED_VALUE"""),"Analista de Gestión I")</f>
        <v>Analista de Gestión I</v>
      </c>
      <c r="G580" s="33" t="str">
        <f>IFERROR(__xludf.DUMMYFUNCTION("""COMPUTED_VALUE"""),"ANALISTA I")</f>
        <v>ANALISTA I</v>
      </c>
      <c r="H580">
        <f>IFERROR(__xludf.DUMMYFUNCTION("""COMPUTED_VALUE"""),8.0)</f>
        <v>8</v>
      </c>
      <c r="I580" s="34"/>
      <c r="J580" s="33" t="str">
        <f>IFERROR(__xludf.DUMMYFUNCTION("""COMPUTED_VALUE"""),"A CONTRATA")</f>
        <v>A CONTRATA</v>
      </c>
      <c r="K580" s="33" t="str">
        <f>IFERROR(__xludf.DUMMYFUNCTION("""COMPUTED_VALUE"""),"PROFESIONAL")</f>
        <v>PROFESIONAL</v>
      </c>
      <c r="L580" s="34"/>
      <c r="M580" s="34"/>
      <c r="N580" s="34"/>
      <c r="P580">
        <f>IFERROR(__xludf.DUMMYFUNCTION("""COMPUTED_VALUE"""),1.0)</f>
        <v>1</v>
      </c>
      <c r="Q580" s="35"/>
      <c r="R580" s="36" t="str">
        <f>IFERROR(__xludf.DUMMYFUNCTION("""COMPUTED_VALUE"""),"SELECCIONADO")</f>
        <v>SELECCIONADO</v>
      </c>
      <c r="S580" s="37">
        <f>IFERROR(__xludf.DUMMYFUNCTION("""COMPUTED_VALUE"""),41641.0)</f>
        <v>41641</v>
      </c>
      <c r="T580" s="34"/>
      <c r="U580" t="str">
        <f>IFERROR(__xludf.DUMMYFUNCTION("""COMPUTED_VALUE"""),"JAVIER DONOSO OYARZUN")</f>
        <v>JAVIER DONOSO OYARZUN</v>
      </c>
      <c r="V580" t="str">
        <f>IFERROR(__xludf.DUMMYFUNCTION("""COMPUTED_VALUE"""),"16749110-3")</f>
        <v>16749110-3</v>
      </c>
      <c r="W580" t="str">
        <f>IFERROR(__xludf.DUMMYFUNCTION("""COMPUTED_VALUE"""),"No")</f>
        <v>No</v>
      </c>
      <c r="AA580" s="38"/>
      <c r="AB580" s="38"/>
      <c r="AF580" s="39"/>
      <c r="AG580" s="39"/>
      <c r="AH580" s="34" t="str">
        <f>IFERROR(__xludf.DUMMYFUNCTION("""COMPUTED_VALUE"""),"REGULARIZACIÓN CONTRACTUAL")</f>
        <v>REGULARIZACIÓN CONTRACTUAL</v>
      </c>
      <c r="AI580" s="34"/>
      <c r="AJ580" s="34"/>
      <c r="AK580" s="34"/>
      <c r="AM580">
        <f>IFERROR(__xludf.DUMMYFUNCTION("""COMPUTED_VALUE"""),2014.0)</f>
        <v>2014</v>
      </c>
      <c r="AN580" t="str">
        <f t="shared" si="1"/>
        <v>16749110-3</v>
      </c>
    </row>
    <row r="581">
      <c r="A581" s="33">
        <f>IFERROR(__xludf.DUMMYFUNCTION("""COMPUTED_VALUE"""),8316934.0)</f>
        <v>8316934</v>
      </c>
      <c r="B581" s="33">
        <f>IFERROR(__xludf.DUMMYFUNCTION("""COMPUTED_VALUE"""),17.0)</f>
        <v>17</v>
      </c>
      <c r="C581" s="33"/>
      <c r="D581" s="34" t="str">
        <f>IFERROR(__xludf.DUMMYFUNCTION("""COMPUTED_VALUE"""),"SECRETARIA GENERAL")</f>
        <v>SECRETARIA GENERAL</v>
      </c>
      <c r="E581" s="34" t="str">
        <f>IFERROR(__xludf.DUMMYFUNCTION("""COMPUTED_VALUE"""),"SECRETARIA GENERAL")</f>
        <v>SECRETARIA GENERAL</v>
      </c>
      <c r="F581" s="34" t="str">
        <f>IFERROR(__xludf.DUMMYFUNCTION("""COMPUTED_VALUE"""),"Administrativo de Apoyo")</f>
        <v>Administrativo de Apoyo</v>
      </c>
      <c r="G581" s="33" t="str">
        <f>IFERROR(__xludf.DUMMYFUNCTION("""COMPUTED_VALUE"""),"ADMINISTRATIVO DE APOYO")</f>
        <v>ADMINISTRATIVO DE APOYO</v>
      </c>
      <c r="H581">
        <f>IFERROR(__xludf.DUMMYFUNCTION("""COMPUTED_VALUE"""),20.0)</f>
        <v>20</v>
      </c>
      <c r="I581" s="34"/>
      <c r="J581" s="33" t="str">
        <f>IFERROR(__xludf.DUMMYFUNCTION("""COMPUTED_VALUE"""),"A CONTRATA")</f>
        <v>A CONTRATA</v>
      </c>
      <c r="K581" s="33" t="str">
        <f>IFERROR(__xludf.DUMMYFUNCTION("""COMPUTED_VALUE"""),"ADMINISTRATIVO")</f>
        <v>ADMINISTRATIVO</v>
      </c>
      <c r="L581" s="34"/>
      <c r="M581" s="34"/>
      <c r="N581" s="34"/>
      <c r="P581">
        <f>IFERROR(__xludf.DUMMYFUNCTION("""COMPUTED_VALUE"""),1.0)</f>
        <v>1</v>
      </c>
      <c r="Q581" s="35"/>
      <c r="R581" s="36" t="str">
        <f>IFERROR(__xludf.DUMMYFUNCTION("""COMPUTED_VALUE"""),"SELECCIONADA")</f>
        <v>SELECCIONADA</v>
      </c>
      <c r="S581" s="37">
        <f>IFERROR(__xludf.DUMMYFUNCTION("""COMPUTED_VALUE"""),41699.0)</f>
        <v>41699</v>
      </c>
      <c r="T581" s="34"/>
      <c r="U581" t="str">
        <f>IFERROR(__xludf.DUMMYFUNCTION("""COMPUTED_VALUE"""),"OLGA GARRAO VIELMA")</f>
        <v>OLGA GARRAO VIELMA</v>
      </c>
      <c r="V581" t="str">
        <f>IFERROR(__xludf.DUMMYFUNCTION("""COMPUTED_VALUE"""),"08316934-6")</f>
        <v>08316934-6</v>
      </c>
      <c r="AA581" s="38"/>
      <c r="AB581" s="38"/>
      <c r="AF581" s="39"/>
      <c r="AG581" s="39"/>
      <c r="AH581" s="34" t="str">
        <f>IFERROR(__xludf.DUMMYFUNCTION("""COMPUTED_VALUE"""),"REGULARIZACIÓN CONTRACTUAL")</f>
        <v>REGULARIZACIÓN CONTRACTUAL</v>
      </c>
      <c r="AI581" s="34"/>
      <c r="AJ581" s="34"/>
      <c r="AK581" s="34"/>
      <c r="AM581">
        <f>IFERROR(__xludf.DUMMYFUNCTION("""COMPUTED_VALUE"""),2014.0)</f>
        <v>2014</v>
      </c>
      <c r="AN581" t="str">
        <f t="shared" si="1"/>
        <v>08316934-6</v>
      </c>
    </row>
    <row r="582">
      <c r="A582" s="33">
        <f>IFERROR(__xludf.DUMMYFUNCTION("""COMPUTED_VALUE"""),1.2024427E7)</f>
        <v>12024427</v>
      </c>
      <c r="B582" s="33">
        <f>IFERROR(__xludf.DUMMYFUNCTION("""COMPUTED_VALUE"""),18.0)</f>
        <v>18</v>
      </c>
      <c r="C582" s="33"/>
      <c r="D582" s="34" t="str">
        <f>IFERROR(__xludf.DUMMYFUNCTION("""COMPUTED_VALUE"""),"VICERRECTORIA ACADEMICA")</f>
        <v>VICERRECTORIA ACADEMICA</v>
      </c>
      <c r="E582" s="34" t="str">
        <f>IFERROR(__xludf.DUMMYFUNCTION("""COMPUTED_VALUE"""),"DIRECCION DE POSTGRADO")</f>
        <v>DIRECCION DE POSTGRADO</v>
      </c>
      <c r="F582" s="34" t="str">
        <f>IFERROR(__xludf.DUMMYFUNCTION("""COMPUTED_VALUE"""),"Secretario B")</f>
        <v>Secretario B</v>
      </c>
      <c r="G582" s="33"/>
      <c r="H582">
        <f>IFERROR(__xludf.DUMMYFUNCTION("""COMPUTED_VALUE"""),17.0)</f>
        <v>17</v>
      </c>
      <c r="I582" s="34"/>
      <c r="J582" s="33" t="str">
        <f>IFERROR(__xludf.DUMMYFUNCTION("""COMPUTED_VALUE"""),"A CONTRATA")</f>
        <v>A CONTRATA</v>
      </c>
      <c r="K582" s="33" t="str">
        <f>IFERROR(__xludf.DUMMYFUNCTION("""COMPUTED_VALUE"""),"ADMINISTRATIVO")</f>
        <v>ADMINISTRATIVO</v>
      </c>
      <c r="L582" s="34"/>
      <c r="M582" s="34"/>
      <c r="N582" s="34"/>
      <c r="Q582" s="35"/>
      <c r="R582" s="36" t="str">
        <f>IFERROR(__xludf.DUMMYFUNCTION("""COMPUTED_VALUE"""),"SELECCIONADA")</f>
        <v>SELECCIONADA</v>
      </c>
      <c r="S582" s="37">
        <f>IFERROR(__xludf.DUMMYFUNCTION("""COMPUTED_VALUE"""),42005.0)</f>
        <v>42005</v>
      </c>
      <c r="T582" s="34"/>
      <c r="U582" t="str">
        <f>IFERROR(__xludf.DUMMYFUNCTION("""COMPUTED_VALUE"""),"PAULA AVILA MORAGA")</f>
        <v>PAULA AVILA MORAGA</v>
      </c>
      <c r="V582" t="str">
        <f>IFERROR(__xludf.DUMMYFUNCTION("""COMPUTED_VALUE"""),"12024427-2")</f>
        <v>12024427-2</v>
      </c>
      <c r="AA582" s="38"/>
      <c r="AB582" s="38"/>
      <c r="AF582" s="39"/>
      <c r="AG582" s="39"/>
      <c r="AH582" s="34" t="str">
        <f>IFERROR(__xludf.DUMMYFUNCTION("""COMPUTED_VALUE"""),"REGULARIZACIÓN CONTRACTUAL")</f>
        <v>REGULARIZACIÓN CONTRACTUAL</v>
      </c>
      <c r="AI582" s="34"/>
      <c r="AJ582" s="34"/>
      <c r="AK582" s="34"/>
      <c r="AM582">
        <f>IFERROR(__xludf.DUMMYFUNCTION("""COMPUTED_VALUE"""),2014.0)</f>
        <v>2014</v>
      </c>
      <c r="AN582" t="str">
        <f t="shared" si="1"/>
        <v>12024427-2</v>
      </c>
    </row>
    <row r="583">
      <c r="A583" s="33">
        <f>IFERROR(__xludf.DUMMYFUNCTION("""COMPUTED_VALUE"""),1.3432795E7)</f>
        <v>13432795</v>
      </c>
      <c r="B583" s="33">
        <f>IFERROR(__xludf.DUMMYFUNCTION("""COMPUTED_VALUE"""),152.0)</f>
        <v>152</v>
      </c>
      <c r="C583" s="33"/>
      <c r="D583" s="34" t="str">
        <f>IFERROR(__xludf.DUMMYFUNCTION("""COMPUTED_VALUE"""),"VICERRECTORIA DE VINCULACION CON EL MEDIO")</f>
        <v>VICERRECTORIA DE VINCULACION CON EL MEDIO</v>
      </c>
      <c r="E583" s="34" t="str">
        <f>IFERROR(__xludf.DUMMYFUNCTION("""COMPUTED_VALUE"""),"DEPARTAMENTO DE COMUNICACIONES")</f>
        <v>DEPARTAMENTO DE COMUNICACIONES</v>
      </c>
      <c r="F583" s="34" t="str">
        <f>IFERROR(__xludf.DUMMYFUNCTION("""COMPUTED_VALUE"""),"Periodista")</f>
        <v>Periodista</v>
      </c>
      <c r="G583" s="33" t="str">
        <f>IFERROR(__xludf.DUMMYFUNCTION("""COMPUTED_VALUE"""),"PERIODISTA")</f>
        <v>PERIODISTA</v>
      </c>
      <c r="H583">
        <f>IFERROR(__xludf.DUMMYFUNCTION("""COMPUTED_VALUE"""),13.0)</f>
        <v>13</v>
      </c>
      <c r="I583" s="34"/>
      <c r="J583" s="33" t="str">
        <f>IFERROR(__xludf.DUMMYFUNCTION("""COMPUTED_VALUE"""),"A CONTRATA")</f>
        <v>A CONTRATA</v>
      </c>
      <c r="K583" s="33" t="str">
        <f>IFERROR(__xludf.DUMMYFUNCTION("""COMPUTED_VALUE"""),"PROFESIONAL")</f>
        <v>PROFESIONAL</v>
      </c>
      <c r="L583" s="34" t="str">
        <f>IFERROR(__xludf.DUMMYFUNCTION("""COMPUTED_VALUE"""),"NO")</f>
        <v>NO</v>
      </c>
      <c r="M583" s="34"/>
      <c r="N583" s="34" t="str">
        <f>IFERROR(__xludf.DUMMYFUNCTION("""COMPUTED_VALUE"""),"NO")</f>
        <v>NO</v>
      </c>
      <c r="O583">
        <f>IFERROR(__xludf.DUMMYFUNCTION("""COMPUTED_VALUE"""),1.0)</f>
        <v>1</v>
      </c>
      <c r="P583">
        <f>IFERROR(__xludf.DUMMYFUNCTION("""COMPUTED_VALUE"""),1.0)</f>
        <v>1</v>
      </c>
      <c r="Q583" s="35"/>
      <c r="R583" s="36" t="str">
        <f>IFERROR(__xludf.DUMMYFUNCTION("""COMPUTED_VALUE"""),"SELECCIONADA")</f>
        <v>SELECCIONADA</v>
      </c>
      <c r="S583" s="37">
        <f>IFERROR(__xludf.DUMMYFUNCTION("""COMPUTED_VALUE"""),42005.0)</f>
        <v>42005</v>
      </c>
      <c r="T583" s="34"/>
      <c r="U583" t="str">
        <f>IFERROR(__xludf.DUMMYFUNCTION("""COMPUTED_VALUE"""),"DANIELA FIGUEROA VIDELA")</f>
        <v>DANIELA FIGUEROA VIDELA</v>
      </c>
      <c r="V583" t="str">
        <f>IFERROR(__xludf.DUMMYFUNCTION("""COMPUTED_VALUE"""),"13432795-2")</f>
        <v>13432795-2</v>
      </c>
      <c r="W583" t="str">
        <f>IFERROR(__xludf.DUMMYFUNCTION("""COMPUTED_VALUE"""),"SI")</f>
        <v>SI</v>
      </c>
      <c r="AA583" s="38"/>
      <c r="AB583" s="38"/>
      <c r="AF583" s="39"/>
      <c r="AG583" s="39"/>
      <c r="AH583" s="34" t="str">
        <f>IFERROR(__xludf.DUMMYFUNCTION("""COMPUTED_VALUE"""),"REGULARIZACIÓN CONTRACTUAL")</f>
        <v>REGULARIZACIÓN CONTRACTUAL</v>
      </c>
      <c r="AI583" s="34"/>
      <c r="AJ583" s="34"/>
      <c r="AK583" s="34"/>
      <c r="AM583">
        <f>IFERROR(__xludf.DUMMYFUNCTION("""COMPUTED_VALUE"""),2014.0)</f>
        <v>2014</v>
      </c>
      <c r="AN583" t="str">
        <f t="shared" si="1"/>
        <v>13432795-2</v>
      </c>
    </row>
    <row r="584">
      <c r="A584" s="33">
        <f>IFERROR(__xludf.DUMMYFUNCTION("""COMPUTED_VALUE"""),1.5797499E7)</f>
        <v>15797499</v>
      </c>
      <c r="B584" s="33">
        <f>IFERROR(__xludf.DUMMYFUNCTION("""COMPUTED_VALUE"""),153.0)</f>
        <v>153</v>
      </c>
      <c r="C584" s="33"/>
      <c r="D584" s="34" t="str">
        <f>IFERROR(__xludf.DUMMYFUNCTION("""COMPUTED_VALUE"""),"VICERRECTORIA DE VINCULACION CON EL MEDIO")</f>
        <v>VICERRECTORIA DE VINCULACION CON EL MEDIO</v>
      </c>
      <c r="E584" s="34" t="str">
        <f>IFERROR(__xludf.DUMMYFUNCTION("""COMPUTED_VALUE"""),"DEPARTAMENTO DE COMUNICACIONES")</f>
        <v>DEPARTAMENTO DE COMUNICACIONES</v>
      </c>
      <c r="F584" s="34" t="str">
        <f>IFERROR(__xludf.DUMMYFUNCTION("""COMPUTED_VALUE"""),"Locutor")</f>
        <v>Locutor</v>
      </c>
      <c r="G584" s="33" t="str">
        <f>IFERROR(__xludf.DUMMYFUNCTION("""COMPUTED_VALUE"""),"LOCUTORA")</f>
        <v>LOCUTORA</v>
      </c>
      <c r="H584">
        <f>IFERROR(__xludf.DUMMYFUNCTION("""COMPUTED_VALUE"""),13.0)</f>
        <v>13</v>
      </c>
      <c r="I584" s="34"/>
      <c r="J584" s="33" t="str">
        <f>IFERROR(__xludf.DUMMYFUNCTION("""COMPUTED_VALUE"""),"A CONTRATA")</f>
        <v>A CONTRATA</v>
      </c>
      <c r="K584" s="33" t="str">
        <f>IFERROR(__xludf.DUMMYFUNCTION("""COMPUTED_VALUE"""),"PROFESIONAL")</f>
        <v>PROFESIONAL</v>
      </c>
      <c r="L584" s="34" t="str">
        <f>IFERROR(__xludf.DUMMYFUNCTION("""COMPUTED_VALUE"""),"NO")</f>
        <v>NO</v>
      </c>
      <c r="M584" s="34"/>
      <c r="N584" s="34" t="str">
        <f>IFERROR(__xludf.DUMMYFUNCTION("""COMPUTED_VALUE"""),"NO")</f>
        <v>NO</v>
      </c>
      <c r="O584">
        <f>IFERROR(__xludf.DUMMYFUNCTION("""COMPUTED_VALUE"""),1.0)</f>
        <v>1</v>
      </c>
      <c r="P584">
        <f>IFERROR(__xludf.DUMMYFUNCTION("""COMPUTED_VALUE"""),1.0)</f>
        <v>1</v>
      </c>
      <c r="Q584" s="35"/>
      <c r="R584" s="36" t="str">
        <f>IFERROR(__xludf.DUMMYFUNCTION("""COMPUTED_VALUE"""),"SELECCIONADA")</f>
        <v>SELECCIONADA</v>
      </c>
      <c r="S584" s="37">
        <f>IFERROR(__xludf.DUMMYFUNCTION("""COMPUTED_VALUE"""),42005.0)</f>
        <v>42005</v>
      </c>
      <c r="T584" s="34"/>
      <c r="U584" t="str">
        <f>IFERROR(__xludf.DUMMYFUNCTION("""COMPUTED_VALUE"""),"MURIEL RIVEROS SIERRA")</f>
        <v>MURIEL RIVEROS SIERRA</v>
      </c>
      <c r="V584" t="str">
        <f>IFERROR(__xludf.DUMMYFUNCTION("""COMPUTED_VALUE"""),"15797499-8")</f>
        <v>15797499-8</v>
      </c>
      <c r="W584" t="str">
        <f>IFERROR(__xludf.DUMMYFUNCTION("""COMPUTED_VALUE"""),"SI")</f>
        <v>SI</v>
      </c>
      <c r="AA584" s="38"/>
      <c r="AB584" s="38"/>
      <c r="AF584" s="39"/>
      <c r="AG584" s="39"/>
      <c r="AH584" s="34" t="str">
        <f>IFERROR(__xludf.DUMMYFUNCTION("""COMPUTED_VALUE"""),"REGULARIZACIÓN CONTRACTUAL")</f>
        <v>REGULARIZACIÓN CONTRACTUAL</v>
      </c>
      <c r="AI584" s="34"/>
      <c r="AJ584" s="34"/>
      <c r="AK584" s="34"/>
      <c r="AM584">
        <f>IFERROR(__xludf.DUMMYFUNCTION("""COMPUTED_VALUE"""),2014.0)</f>
        <v>2014</v>
      </c>
      <c r="AN584" t="str">
        <f t="shared" si="1"/>
        <v>15797499-8</v>
      </c>
    </row>
    <row r="585">
      <c r="A585" s="33">
        <f>IFERROR(__xludf.DUMMYFUNCTION("""COMPUTED_VALUE"""),1.1834899E7)</f>
        <v>11834899</v>
      </c>
      <c r="B585" s="33">
        <f>IFERROR(__xludf.DUMMYFUNCTION("""COMPUTED_VALUE"""),154.0)</f>
        <v>154</v>
      </c>
      <c r="C585" s="33"/>
      <c r="D585" s="34" t="str">
        <f>IFERROR(__xludf.DUMMYFUNCTION("""COMPUTED_VALUE"""),"FACULTAD DE ADMINISTRACION Y ECONOMIA")</f>
        <v>FACULTAD DE ADMINISTRACION Y ECONOMIA</v>
      </c>
      <c r="E585" s="34" t="str">
        <f>IFERROR(__xludf.DUMMYFUNCTION("""COMPUTED_VALUE"""),"CIESCOOP")</f>
        <v>CIESCOOP</v>
      </c>
      <c r="F585" s="34" t="str">
        <f>IFERROR(__xludf.DUMMYFUNCTION("""COMPUTED_VALUE"""),"Secretario C")</f>
        <v>Secretario C</v>
      </c>
      <c r="G585" s="33" t="str">
        <f>IFERROR(__xludf.DUMMYFUNCTION("""COMPUTED_VALUE"""),"SECRETARIA ADMINISTRATIVA")</f>
        <v>SECRETARIA ADMINISTRATIVA</v>
      </c>
      <c r="H585">
        <f>IFERROR(__xludf.DUMMYFUNCTION("""COMPUTED_VALUE"""),20.0)</f>
        <v>20</v>
      </c>
      <c r="I585" s="34"/>
      <c r="J585" s="33" t="str">
        <f>IFERROR(__xludf.DUMMYFUNCTION("""COMPUTED_VALUE"""),"A CONTRATA")</f>
        <v>A CONTRATA</v>
      </c>
      <c r="K585" s="33" t="str">
        <f>IFERROR(__xludf.DUMMYFUNCTION("""COMPUTED_VALUE"""),"ADMINISTRATIVO")</f>
        <v>ADMINISTRATIVO</v>
      </c>
      <c r="L585" s="34"/>
      <c r="M585" s="34"/>
      <c r="N585" s="34"/>
      <c r="Q585" s="35">
        <f>IFERROR(__xludf.DUMMYFUNCTION("""COMPUTED_VALUE"""),1.0)</f>
        <v>1</v>
      </c>
      <c r="R585" s="36" t="str">
        <f>IFERROR(__xludf.DUMMYFUNCTION("""COMPUTED_VALUE"""),"SELECCIONADA")</f>
        <v>SELECCIONADA</v>
      </c>
      <c r="S585" s="37">
        <f>IFERROR(__xludf.DUMMYFUNCTION("""COMPUTED_VALUE"""),42005.0)</f>
        <v>42005</v>
      </c>
      <c r="T585" s="34"/>
      <c r="U585" t="str">
        <f>IFERROR(__xludf.DUMMYFUNCTION("""COMPUTED_VALUE"""),"ELIZABETH PEREZ MONSALVE")</f>
        <v>ELIZABETH PEREZ MONSALVE</v>
      </c>
      <c r="V585" t="str">
        <f>IFERROR(__xludf.DUMMYFUNCTION("""COMPUTED_VALUE"""),"11834899-0")</f>
        <v>11834899-0</v>
      </c>
      <c r="AA585" s="38"/>
      <c r="AB585" s="38"/>
      <c r="AF585" s="39"/>
      <c r="AG585" s="39"/>
      <c r="AH585" s="34" t="str">
        <f>IFERROR(__xludf.DUMMYFUNCTION("""COMPUTED_VALUE"""),"REGULARIZACIÓN CONTRACTUAL")</f>
        <v>REGULARIZACIÓN CONTRACTUAL</v>
      </c>
      <c r="AI585" s="34"/>
      <c r="AJ585" s="34"/>
      <c r="AK585" s="34"/>
      <c r="AM585">
        <f>IFERROR(__xludf.DUMMYFUNCTION("""COMPUTED_VALUE"""),2014.0)</f>
        <v>2014</v>
      </c>
      <c r="AN585" t="str">
        <f t="shared" si="1"/>
        <v>11834899-0</v>
      </c>
    </row>
    <row r="586">
      <c r="A586" s="33">
        <f>IFERROR(__xludf.DUMMYFUNCTION("""COMPUTED_VALUE"""),8542182.0)</f>
        <v>8542182</v>
      </c>
      <c r="B586" s="33">
        <f>IFERROR(__xludf.DUMMYFUNCTION("""COMPUTED_VALUE"""),22.0)</f>
        <v>22</v>
      </c>
      <c r="C586" s="33"/>
      <c r="D586" s="34" t="str">
        <f>IFERROR(__xludf.DUMMYFUNCTION("""COMPUTED_VALUE"""),"FACULTAD DE QUIMICA Y BIOLOGIA")</f>
        <v>FACULTAD DE QUIMICA Y BIOLOGIA</v>
      </c>
      <c r="E586" s="34" t="str">
        <f>IFERROR(__xludf.DUMMYFUNCTION("""COMPUTED_VALUE"""),"FACULTAD DE QUIMICA Y BIOLOGIA")</f>
        <v>FACULTAD DE QUIMICA Y BIOLOGIA</v>
      </c>
      <c r="F586" s="34" t="str">
        <f>IFERROR(__xludf.DUMMYFUNCTION("""COMPUTED_VALUE"""),"Jefe de Área")</f>
        <v>Jefe de Área</v>
      </c>
      <c r="G586" s="33" t="str">
        <f>IFERROR(__xludf.DUMMYFUNCTION("""COMPUTED_VALUE"""),"JEFE DE AREA")</f>
        <v>JEFE DE AREA</v>
      </c>
      <c r="H586">
        <f>IFERROR(__xludf.DUMMYFUNCTION("""COMPUTED_VALUE"""),8.0)</f>
        <v>8</v>
      </c>
      <c r="I586" s="34"/>
      <c r="J586" s="33" t="str">
        <f>IFERROR(__xludf.DUMMYFUNCTION("""COMPUTED_VALUE"""),"A CONTRATA")</f>
        <v>A CONTRATA</v>
      </c>
      <c r="K586" s="33" t="str">
        <f>IFERROR(__xludf.DUMMYFUNCTION("""COMPUTED_VALUE"""),"PROFESIONAL")</f>
        <v>PROFESIONAL</v>
      </c>
      <c r="L586" s="34"/>
      <c r="M586" s="34"/>
      <c r="N586" s="34"/>
      <c r="P586">
        <f>IFERROR(__xludf.DUMMYFUNCTION("""COMPUTED_VALUE"""),1.0)</f>
        <v>1</v>
      </c>
      <c r="Q586" s="35"/>
      <c r="R586" s="36" t="str">
        <f>IFERROR(__xludf.DUMMYFUNCTION("""COMPUTED_VALUE"""),"SELECCIONADA")</f>
        <v>SELECCIONADA</v>
      </c>
      <c r="S586" s="37">
        <f>IFERROR(__xludf.DUMMYFUNCTION("""COMPUTED_VALUE"""),41701.0)</f>
        <v>41701</v>
      </c>
      <c r="T586" s="34"/>
      <c r="U586" t="str">
        <f>IFERROR(__xludf.DUMMYFUNCTION("""COMPUTED_VALUE"""),"MARIA DONOSO GOMIEN")</f>
        <v>MARIA DONOSO GOMIEN</v>
      </c>
      <c r="V586" t="str">
        <f>IFERROR(__xludf.DUMMYFUNCTION("""COMPUTED_VALUE"""),"08542182-4")</f>
        <v>08542182-4</v>
      </c>
      <c r="W586" t="str">
        <f>IFERROR(__xludf.DUMMYFUNCTION("""COMPUTED_VALUE"""),"SI")</f>
        <v>SI</v>
      </c>
      <c r="X586" t="str">
        <f>IFERROR(__xludf.DUMMYFUNCTION("""COMPUTED_VALUE"""),"CONCIENCIA ORGANIZACIONAL")</f>
        <v>CONCIENCIA ORGANIZACIONAL</v>
      </c>
      <c r="Y586" t="str">
        <f>IFERROR(__xludf.DUMMYFUNCTION("""COMPUTED_VALUE"""),"LIDERAZGO")</f>
        <v>LIDERAZGO</v>
      </c>
      <c r="Z586" t="str">
        <f>IFERROR(__xludf.DUMMYFUNCTION("""COMPUTED_VALUE"""),"TOLERANCIA A LA PRESION")</f>
        <v>TOLERANCIA A LA PRESION</v>
      </c>
      <c r="AA586" s="38"/>
      <c r="AB586" s="38">
        <f>IFERROR(__xludf.DUMMYFUNCTION("""COMPUTED_VALUE"""),41725.0)</f>
        <v>41725</v>
      </c>
      <c r="AF586" s="39"/>
      <c r="AG586" s="39"/>
      <c r="AH586" s="34" t="str">
        <f>IFERROR(__xludf.DUMMYFUNCTION("""COMPUTED_VALUE"""),"AUTORIZACIÓN DIRECTA")</f>
        <v>AUTORIZACIÓN DIRECTA</v>
      </c>
      <c r="AI586" s="34"/>
      <c r="AJ586" s="34"/>
      <c r="AK586" s="34"/>
      <c r="AL586">
        <f>IFERROR(__xludf.DUMMYFUNCTION("""COMPUTED_VALUE"""),-19.0)</f>
        <v>-19</v>
      </c>
      <c r="AM586">
        <f>IFERROR(__xludf.DUMMYFUNCTION("""COMPUTED_VALUE"""),2014.0)</f>
        <v>2014</v>
      </c>
      <c r="AN586" t="str">
        <f t="shared" si="1"/>
        <v>08542182-4</v>
      </c>
    </row>
    <row r="587">
      <c r="A587" s="33">
        <f>IFERROR(__xludf.DUMMYFUNCTION("""COMPUTED_VALUE"""),6090242.0)</f>
        <v>6090242</v>
      </c>
      <c r="B587" s="33">
        <f>IFERROR(__xludf.DUMMYFUNCTION("""COMPUTED_VALUE"""),135.0)</f>
        <v>135</v>
      </c>
      <c r="C587" s="33"/>
      <c r="D587" s="34" t="str">
        <f>IFERROR(__xludf.DUMMYFUNCTION("""COMPUTED_VALUE"""),"PRORRECTORIA")</f>
        <v>PRORRECTORIA</v>
      </c>
      <c r="E587" s="34" t="str">
        <f>IFERROR(__xludf.DUMMYFUNCTION("""COMPUTED_VALUE"""),"UNIDAD DE CONSTRUCCIONES")</f>
        <v>UNIDAD DE CONSTRUCCIONES</v>
      </c>
      <c r="F587" s="34" t="str">
        <f>IFERROR(__xludf.DUMMYFUNCTION("""COMPUTED_VALUE"""),"Constructor Civil")</f>
        <v>Constructor Civil</v>
      </c>
      <c r="G587" s="33" t="str">
        <f>IFERROR(__xludf.DUMMYFUNCTION("""COMPUTED_VALUE"""),"CONSTRUCTOR CIVIL")</f>
        <v>CONSTRUCTOR CIVIL</v>
      </c>
      <c r="H587">
        <f>IFERROR(__xludf.DUMMYFUNCTION("""COMPUTED_VALUE"""),8.0)</f>
        <v>8</v>
      </c>
      <c r="I587" s="34"/>
      <c r="J587" s="33" t="str">
        <f>IFERROR(__xludf.DUMMYFUNCTION("""COMPUTED_VALUE"""),"A CONTRATA")</f>
        <v>A CONTRATA</v>
      </c>
      <c r="K587" s="33" t="str">
        <f>IFERROR(__xludf.DUMMYFUNCTION("""COMPUTED_VALUE"""),"PROFESIONAL")</f>
        <v>PROFESIONAL</v>
      </c>
      <c r="L587" s="34"/>
      <c r="M587" s="34"/>
      <c r="N587" s="34"/>
      <c r="P587">
        <f>IFERROR(__xludf.DUMMYFUNCTION("""COMPUTED_VALUE"""),1.0)</f>
        <v>1</v>
      </c>
      <c r="Q587" s="35">
        <f>IFERROR(__xludf.DUMMYFUNCTION("""COMPUTED_VALUE"""),0.0)</f>
        <v>0</v>
      </c>
      <c r="R587" s="36" t="str">
        <f>IFERROR(__xludf.DUMMYFUNCTION("""COMPUTED_VALUE"""),"SELECCIONADO")</f>
        <v>SELECCIONADO</v>
      </c>
      <c r="S587" s="37">
        <f>IFERROR(__xludf.DUMMYFUNCTION("""COMPUTED_VALUE"""),41871.0)</f>
        <v>41871</v>
      </c>
      <c r="T587" s="34"/>
      <c r="U587" t="str">
        <f>IFERROR(__xludf.DUMMYFUNCTION("""COMPUTED_VALUE"""),"EDUARDO GUERRA ALCOCER")</f>
        <v>EDUARDO GUERRA ALCOCER</v>
      </c>
      <c r="V587" t="str">
        <f>IFERROR(__xludf.DUMMYFUNCTION("""COMPUTED_VALUE"""),"06090242-9")</f>
        <v>06090242-9</v>
      </c>
      <c r="W587" t="str">
        <f>IFERROR(__xludf.DUMMYFUNCTION("""COMPUTED_VALUE"""),"No")</f>
        <v>No</v>
      </c>
      <c r="AA587" s="38"/>
      <c r="AB587" s="38">
        <f>IFERROR(__xludf.DUMMYFUNCTION("""COMPUTED_VALUE"""),41905.0)</f>
        <v>41905</v>
      </c>
      <c r="AF587" s="39"/>
      <c r="AG587" s="39"/>
      <c r="AH587" s="34" t="str">
        <f>IFERROR(__xludf.DUMMYFUNCTION("""COMPUTED_VALUE"""),"AUTORIZACIÓN DIRECTA")</f>
        <v>AUTORIZACIÓN DIRECTA</v>
      </c>
      <c r="AI587" s="34"/>
      <c r="AJ587" s="34"/>
      <c r="AK587" s="34"/>
      <c r="AL587">
        <f>IFERROR(__xludf.DUMMYFUNCTION("""COMPUTED_VALUE"""),-25.0)</f>
        <v>-25</v>
      </c>
      <c r="AM587">
        <f>IFERROR(__xludf.DUMMYFUNCTION("""COMPUTED_VALUE"""),2014.0)</f>
        <v>2014</v>
      </c>
      <c r="AN587" t="str">
        <f t="shared" si="1"/>
        <v>06090242-9</v>
      </c>
    </row>
    <row r="588">
      <c r="A588" s="33">
        <f>IFERROR(__xludf.DUMMYFUNCTION("""COMPUTED_VALUE"""),1.1479909E7)</f>
        <v>11479909</v>
      </c>
      <c r="B588" s="33">
        <f>IFERROR(__xludf.DUMMYFUNCTION("""COMPUTED_VALUE"""),24.0)</f>
        <v>24</v>
      </c>
      <c r="C588" s="33"/>
      <c r="D588" s="34" t="str">
        <f>IFERROR(__xludf.DUMMYFUNCTION("""COMPUTED_VALUE"""),"SECRETARIA GENERAL")</f>
        <v>SECRETARIA GENERAL</v>
      </c>
      <c r="E588" s="34" t="str">
        <f>IFERROR(__xludf.DUMMYFUNCTION("""COMPUTED_VALUE"""),"DIRECCION DE ASISTENCIA JURIDICA")</f>
        <v>DIRECCION DE ASISTENCIA JURIDICA</v>
      </c>
      <c r="F588" s="34" t="str">
        <f>IFERROR(__xludf.DUMMYFUNCTION("""COMPUTED_VALUE"""),"Abogado Dirección Jurídica")</f>
        <v>Abogado Dirección Jurídica</v>
      </c>
      <c r="G588" s="33" t="str">
        <f>IFERROR(__xludf.DUMMYFUNCTION("""COMPUTED_VALUE"""),"ABOGADO")</f>
        <v>ABOGADO</v>
      </c>
      <c r="H588">
        <f>IFERROR(__xludf.DUMMYFUNCTION("""COMPUTED_VALUE"""),6.0)</f>
        <v>6</v>
      </c>
      <c r="I588" s="34"/>
      <c r="J588" s="33" t="str">
        <f>IFERROR(__xludf.DUMMYFUNCTION("""COMPUTED_VALUE"""),"A CONTRATA")</f>
        <v>A CONTRATA</v>
      </c>
      <c r="K588" s="33" t="str">
        <f>IFERROR(__xludf.DUMMYFUNCTION("""COMPUTED_VALUE"""),"PROFESIONAL")</f>
        <v>PROFESIONAL</v>
      </c>
      <c r="L588" s="34"/>
      <c r="M588" s="34"/>
      <c r="N588" s="34"/>
      <c r="P588">
        <f>IFERROR(__xludf.DUMMYFUNCTION("""COMPUTED_VALUE"""),1.0)</f>
        <v>1</v>
      </c>
      <c r="Q588" s="35"/>
      <c r="R588" s="36" t="str">
        <f>IFERROR(__xludf.DUMMYFUNCTION("""COMPUTED_VALUE"""),"SELECCIONADO")</f>
        <v>SELECCIONADO</v>
      </c>
      <c r="S588" s="37">
        <f>IFERROR(__xludf.DUMMYFUNCTION("""COMPUTED_VALUE"""),41791.0)</f>
        <v>41791</v>
      </c>
      <c r="T588" s="34"/>
      <c r="U588" t="str">
        <f>IFERROR(__xludf.DUMMYFUNCTION("""COMPUTED_VALUE"""),"CLAUDIA ALIAGA TORRAS")</f>
        <v>CLAUDIA ALIAGA TORRAS</v>
      </c>
      <c r="V588" t="str">
        <f>IFERROR(__xludf.DUMMYFUNCTION("""COMPUTED_VALUE"""),"11479909-2")</f>
        <v>11479909-2</v>
      </c>
      <c r="W588" t="str">
        <f>IFERROR(__xludf.DUMMYFUNCTION("""COMPUTED_VALUE"""),"No")</f>
        <v>No</v>
      </c>
      <c r="AA588" s="38"/>
      <c r="AB588" s="38"/>
      <c r="AF588" s="39"/>
      <c r="AG588" s="39"/>
      <c r="AH588" s="34" t="str">
        <f>IFERROR(__xludf.DUMMYFUNCTION("""COMPUTED_VALUE"""),"AUTORIZACIÓN DIRECTA")</f>
        <v>AUTORIZACIÓN DIRECTA</v>
      </c>
      <c r="AI588" s="34"/>
      <c r="AJ588" s="34"/>
      <c r="AK588" s="34"/>
      <c r="AM588">
        <f>IFERROR(__xludf.DUMMYFUNCTION("""COMPUTED_VALUE"""),2014.0)</f>
        <v>2014</v>
      </c>
      <c r="AN588" t="str">
        <f t="shared" si="1"/>
        <v>11479909-2</v>
      </c>
    </row>
    <row r="589">
      <c r="A589" s="33">
        <f>IFERROR(__xludf.DUMMYFUNCTION("""COMPUTED_VALUE"""),1.6016388E7)</f>
        <v>16016388</v>
      </c>
      <c r="B589" s="33">
        <f>IFERROR(__xludf.DUMMYFUNCTION("""COMPUTED_VALUE"""),25.0)</f>
        <v>25</v>
      </c>
      <c r="C589" s="33"/>
      <c r="D589" s="34" t="str">
        <f>IFERROR(__xludf.DUMMYFUNCTION("""COMPUTED_VALUE"""),"SECRETARIA GENERAL")</f>
        <v>SECRETARIA GENERAL</v>
      </c>
      <c r="E589" s="34" t="str">
        <f>IFERROR(__xludf.DUMMYFUNCTION("""COMPUTED_VALUE"""),"DIRECCION DE ASISTENCIA JURIDICA")</f>
        <v>DIRECCION DE ASISTENCIA JURIDICA</v>
      </c>
      <c r="F589" s="34" t="str">
        <f>IFERROR(__xludf.DUMMYFUNCTION("""COMPUTED_VALUE"""),"Abogado Dirección Jurídica")</f>
        <v>Abogado Dirección Jurídica</v>
      </c>
      <c r="G589" s="33" t="str">
        <f>IFERROR(__xludf.DUMMYFUNCTION("""COMPUTED_VALUE"""),"ABOGADO")</f>
        <v>ABOGADO</v>
      </c>
      <c r="H589">
        <f>IFERROR(__xludf.DUMMYFUNCTION("""COMPUTED_VALUE"""),6.0)</f>
        <v>6</v>
      </c>
      <c r="I589" s="34"/>
      <c r="J589" s="33" t="str">
        <f>IFERROR(__xludf.DUMMYFUNCTION("""COMPUTED_VALUE"""),"A CONTRATA")</f>
        <v>A CONTRATA</v>
      </c>
      <c r="K589" s="33" t="str">
        <f>IFERROR(__xludf.DUMMYFUNCTION("""COMPUTED_VALUE"""),"PROFESIONAL")</f>
        <v>PROFESIONAL</v>
      </c>
      <c r="L589" s="34"/>
      <c r="M589" s="34"/>
      <c r="N589" s="34"/>
      <c r="P589">
        <f>IFERROR(__xludf.DUMMYFUNCTION("""COMPUTED_VALUE"""),1.0)</f>
        <v>1</v>
      </c>
      <c r="Q589" s="35"/>
      <c r="R589" s="36" t="str">
        <f>IFERROR(__xludf.DUMMYFUNCTION("""COMPUTED_VALUE"""),"SELECCIONADO")</f>
        <v>SELECCIONADO</v>
      </c>
      <c r="S589" s="37">
        <f>IFERROR(__xludf.DUMMYFUNCTION("""COMPUTED_VALUE"""),41764.0)</f>
        <v>41764</v>
      </c>
      <c r="T589" s="34"/>
      <c r="U589" t="str">
        <f>IFERROR(__xludf.DUMMYFUNCTION("""COMPUTED_VALUE"""),"LUIS BOBADILLA MADRID")</f>
        <v>LUIS BOBADILLA MADRID</v>
      </c>
      <c r="V589" t="str">
        <f>IFERROR(__xludf.DUMMYFUNCTION("""COMPUTED_VALUE"""),"16016388-7")</f>
        <v>16016388-7</v>
      </c>
      <c r="W589" t="str">
        <f>IFERROR(__xludf.DUMMYFUNCTION("""COMPUTED_VALUE"""),"No")</f>
        <v>No</v>
      </c>
      <c r="AA589" s="38"/>
      <c r="AB589" s="38"/>
      <c r="AF589" s="39"/>
      <c r="AG589" s="39"/>
      <c r="AH589" s="34" t="str">
        <f>IFERROR(__xludf.DUMMYFUNCTION("""COMPUTED_VALUE"""),"AUTORIZACIÓN DIRECTA")</f>
        <v>AUTORIZACIÓN DIRECTA</v>
      </c>
      <c r="AI589" s="34"/>
      <c r="AJ589" s="34"/>
      <c r="AK589" s="34"/>
      <c r="AM589">
        <f>IFERROR(__xludf.DUMMYFUNCTION("""COMPUTED_VALUE"""),2014.0)</f>
        <v>2014</v>
      </c>
      <c r="AN589" t="str">
        <f t="shared" si="1"/>
        <v>16016388-7</v>
      </c>
    </row>
    <row r="590">
      <c r="A590" s="33">
        <f>IFERROR(__xludf.DUMMYFUNCTION("""COMPUTED_VALUE"""),1.1850214E7)</f>
        <v>11850214</v>
      </c>
      <c r="B590" s="33">
        <f>IFERROR(__xludf.DUMMYFUNCTION("""COMPUTED_VALUE"""),26.0)</f>
        <v>26</v>
      </c>
      <c r="C590" s="33"/>
      <c r="D590" s="34" t="str">
        <f>IFERROR(__xludf.DUMMYFUNCTION("""COMPUTED_VALUE"""),"SECRETARIA GENERAL")</f>
        <v>SECRETARIA GENERAL</v>
      </c>
      <c r="E590" s="34" t="str">
        <f>IFERROR(__xludf.DUMMYFUNCTION("""COMPUTED_VALUE"""),"DIRECCION DE ASISTENCIA JURIDICA")</f>
        <v>DIRECCION DE ASISTENCIA JURIDICA</v>
      </c>
      <c r="F590" s="34" t="str">
        <f>IFERROR(__xludf.DUMMYFUNCTION("""COMPUTED_VALUE"""),"Abogado Dirección Jurídica")</f>
        <v>Abogado Dirección Jurídica</v>
      </c>
      <c r="G590" s="33" t="str">
        <f>IFERROR(__xludf.DUMMYFUNCTION("""COMPUTED_VALUE"""),"ABOGADO")</f>
        <v>ABOGADO</v>
      </c>
      <c r="H590">
        <f>IFERROR(__xludf.DUMMYFUNCTION("""COMPUTED_VALUE"""),6.0)</f>
        <v>6</v>
      </c>
      <c r="I590" s="34"/>
      <c r="J590" s="33" t="str">
        <f>IFERROR(__xludf.DUMMYFUNCTION("""COMPUTED_VALUE"""),"A CONTRATA")</f>
        <v>A CONTRATA</v>
      </c>
      <c r="K590" s="33" t="str">
        <f>IFERROR(__xludf.DUMMYFUNCTION("""COMPUTED_VALUE"""),"PROFESIONAL")</f>
        <v>PROFESIONAL</v>
      </c>
      <c r="L590" s="34"/>
      <c r="M590" s="34"/>
      <c r="N590" s="34"/>
      <c r="P590">
        <f>IFERROR(__xludf.DUMMYFUNCTION("""COMPUTED_VALUE"""),1.0)</f>
        <v>1</v>
      </c>
      <c r="Q590" s="35"/>
      <c r="R590" s="36" t="str">
        <f>IFERROR(__xludf.DUMMYFUNCTION("""COMPUTED_VALUE"""),"SELECCIONADA")</f>
        <v>SELECCIONADA</v>
      </c>
      <c r="S590" s="37">
        <f>IFERROR(__xludf.DUMMYFUNCTION("""COMPUTED_VALUE"""),41771.0)</f>
        <v>41771</v>
      </c>
      <c r="T590" s="34"/>
      <c r="U590" t="str">
        <f>IFERROR(__xludf.DUMMYFUNCTION("""COMPUTED_VALUE"""),"ELENA GALINDO AREVALO")</f>
        <v>ELENA GALINDO AREVALO</v>
      </c>
      <c r="V590" t="str">
        <f>IFERROR(__xludf.DUMMYFUNCTION("""COMPUTED_VALUE"""),"11850214-0")</f>
        <v>11850214-0</v>
      </c>
      <c r="W590" t="str">
        <f>IFERROR(__xludf.DUMMYFUNCTION("""COMPUTED_VALUE"""),"No")</f>
        <v>No</v>
      </c>
      <c r="AA590" s="38"/>
      <c r="AB590" s="38"/>
      <c r="AF590" s="39"/>
      <c r="AG590" s="39"/>
      <c r="AH590" s="34" t="str">
        <f>IFERROR(__xludf.DUMMYFUNCTION("""COMPUTED_VALUE"""),"AUTORIZACIÓN DIRECTA")</f>
        <v>AUTORIZACIÓN DIRECTA</v>
      </c>
      <c r="AI590" s="34"/>
      <c r="AJ590" s="34"/>
      <c r="AK590" s="34"/>
      <c r="AM590">
        <f>IFERROR(__xludf.DUMMYFUNCTION("""COMPUTED_VALUE"""),2014.0)</f>
        <v>2014</v>
      </c>
      <c r="AN590" t="str">
        <f t="shared" si="1"/>
        <v>11850214-0</v>
      </c>
    </row>
    <row r="591">
      <c r="A591" s="33">
        <f>IFERROR(__xludf.DUMMYFUNCTION("""COMPUTED_VALUE"""),1.1649015E7)</f>
        <v>11649015</v>
      </c>
      <c r="B591" s="33">
        <f>IFERROR(__xludf.DUMMYFUNCTION("""COMPUTED_VALUE"""),9.0)</f>
        <v>9</v>
      </c>
      <c r="C591" s="33"/>
      <c r="D591" s="34" t="str">
        <f>IFERROR(__xludf.DUMMYFUNCTION("""COMPUTED_VALUE"""),"SECRETARIA GENERAL")</f>
        <v>SECRETARIA GENERAL</v>
      </c>
      <c r="E591" s="34" t="str">
        <f>IFERROR(__xludf.DUMMYFUNCTION("""COMPUTED_VALUE"""),"SECRETARIA GENERAL")</f>
        <v>SECRETARIA GENERAL</v>
      </c>
      <c r="F591" s="34" t="str">
        <f>IFERROR(__xludf.DUMMYFUNCTION("""COMPUTED_VALUE"""),"Administrativo de Apoyo")</f>
        <v>Administrativo de Apoyo</v>
      </c>
      <c r="G591" s="33" t="str">
        <f>IFERROR(__xludf.DUMMYFUNCTION("""COMPUTED_VALUE"""),"ADMINISTRATIVO DE APOYO")</f>
        <v>ADMINISTRATIVO DE APOYO</v>
      </c>
      <c r="H591">
        <f>IFERROR(__xludf.DUMMYFUNCTION("""COMPUTED_VALUE"""),20.0)</f>
        <v>20</v>
      </c>
      <c r="I591" s="34"/>
      <c r="J591" s="33" t="str">
        <f>IFERROR(__xludf.DUMMYFUNCTION("""COMPUTED_VALUE"""),"A CONTRATA")</f>
        <v>A CONTRATA</v>
      </c>
      <c r="K591" s="33" t="str">
        <f>IFERROR(__xludf.DUMMYFUNCTION("""COMPUTED_VALUE"""),"ADMINISTRATIVO")</f>
        <v>ADMINISTRATIVO</v>
      </c>
      <c r="L591" s="34" t="str">
        <f>IFERROR(__xludf.DUMMYFUNCTION("""COMPUTED_VALUE"""),"INTERNO")</f>
        <v>INTERNO</v>
      </c>
      <c r="M591" s="34">
        <f>IFERROR(__xludf.DUMMYFUNCTION("""COMPUTED_VALUE"""),2.0)</f>
        <v>2</v>
      </c>
      <c r="N591" s="34" t="str">
        <f>IFERROR(__xludf.DUMMYFUNCTION("""COMPUTED_VALUE"""),"EXTERNO")</f>
        <v>EXTERNO</v>
      </c>
      <c r="O591">
        <f>IFERROR(__xludf.DUMMYFUNCTION("""COMPUTED_VALUE"""),5.0)</f>
        <v>5</v>
      </c>
      <c r="Q591" s="35"/>
      <c r="R591" s="36" t="str">
        <f>IFERROR(__xludf.DUMMYFUNCTION("""COMPUTED_VALUE"""),"SELECCIONADA")</f>
        <v>SELECCIONADA</v>
      </c>
      <c r="S591" s="37">
        <f>IFERROR(__xludf.DUMMYFUNCTION("""COMPUTED_VALUE"""),41641.0)</f>
        <v>41641</v>
      </c>
      <c r="T591" s="34"/>
      <c r="U591" t="str">
        <f>IFERROR(__xludf.DUMMYFUNCTION("""COMPUTED_VALUE"""),"ANA MARIA LEIVA ORELLANA")</f>
        <v>ANA MARIA LEIVA ORELLANA</v>
      </c>
      <c r="V591" t="str">
        <f>IFERROR(__xludf.DUMMYFUNCTION("""COMPUTED_VALUE"""),"11649015-3")</f>
        <v>11649015-3</v>
      </c>
      <c r="AA591" s="38">
        <f>IFERROR(__xludf.DUMMYFUNCTION("""COMPUTED_VALUE"""),41549.0)</f>
        <v>41549</v>
      </c>
      <c r="AB591" s="38">
        <f>IFERROR(__xludf.DUMMYFUNCTION("""COMPUTED_VALUE"""),41563.0)</f>
        <v>41563</v>
      </c>
      <c r="AF591" s="39"/>
      <c r="AG591" s="39"/>
      <c r="AH591" s="34" t="str">
        <f>IFERROR(__xludf.DUMMYFUNCTION("""COMPUTED_VALUE"""),"PROCESO DE SELECCIÓN")</f>
        <v>PROCESO DE SELECCIÓN</v>
      </c>
      <c r="AI591" s="34"/>
      <c r="AJ591" s="34"/>
      <c r="AK591" s="34" t="str">
        <f>IFERROR(__xludf.DUMMYFUNCTION("""COMPUTED_VALUE"""),"C")</f>
        <v>C</v>
      </c>
      <c r="AL591">
        <f>IFERROR(__xludf.DUMMYFUNCTION("""COMPUTED_VALUE"""),57.0)</f>
        <v>57</v>
      </c>
      <c r="AM591">
        <f>IFERROR(__xludf.DUMMYFUNCTION("""COMPUTED_VALUE"""),2014.0)</f>
        <v>2014</v>
      </c>
      <c r="AN591" t="str">
        <f t="shared" si="1"/>
        <v>11649015-3</v>
      </c>
    </row>
    <row r="592">
      <c r="A592" s="33">
        <f>IFERROR(__xludf.DUMMYFUNCTION("""COMPUTED_VALUE"""),1.7873394E7)</f>
        <v>17873394</v>
      </c>
      <c r="B592" s="33">
        <f>IFERROR(__xludf.DUMMYFUNCTION("""COMPUTED_VALUE"""),13.0)</f>
        <v>13</v>
      </c>
      <c r="C592" s="33"/>
      <c r="D592" s="34" t="str">
        <f>IFERROR(__xludf.DUMMYFUNCTION("""COMPUTED_VALUE"""),"PRORRECTORIA")</f>
        <v>PRORRECTORIA</v>
      </c>
      <c r="E592" s="34" t="str">
        <f>IFERROR(__xludf.DUMMYFUNCTION("""COMPUTED_VALUE"""),"DIRECCION DE ADMINISTRACION Y FINANZAS")</f>
        <v>DIRECCION DE ADMINISTRACION Y FINANZAS</v>
      </c>
      <c r="F592" s="34" t="str">
        <f>IFERROR(__xludf.DUMMYFUNCTION("""COMPUTED_VALUE"""),"Cajero B 1º categoría")</f>
        <v>Cajero B 1º categoría</v>
      </c>
      <c r="G592" s="33" t="str">
        <f>IFERROR(__xludf.DUMMYFUNCTION("""COMPUTED_VALUE"""),"CAJERO PRIMERA CATEGORIA")</f>
        <v>CAJERO PRIMERA CATEGORIA</v>
      </c>
      <c r="H592">
        <f>IFERROR(__xludf.DUMMYFUNCTION("""COMPUTED_VALUE"""),17.0)</f>
        <v>17</v>
      </c>
      <c r="I592" s="34"/>
      <c r="J592" s="33" t="str">
        <f>IFERROR(__xludf.DUMMYFUNCTION("""COMPUTED_VALUE"""),"A CONTRATA")</f>
        <v>A CONTRATA</v>
      </c>
      <c r="K592" s="33" t="str">
        <f>IFERROR(__xludf.DUMMYFUNCTION("""COMPUTED_VALUE"""),"TECNICO")</f>
        <v>TECNICO</v>
      </c>
      <c r="L592" s="34" t="str">
        <f>IFERROR(__xludf.DUMMYFUNCTION("""COMPUTED_VALUE"""),"INTERNO")</f>
        <v>INTERNO</v>
      </c>
      <c r="M592" s="34">
        <f>IFERROR(__xludf.DUMMYFUNCTION("""COMPUTED_VALUE"""),0.0)</f>
        <v>0</v>
      </c>
      <c r="N592" s="34" t="str">
        <f>IFERROR(__xludf.DUMMYFUNCTION("""COMPUTED_VALUE"""),"EXTERNO")</f>
        <v>EXTERNO</v>
      </c>
      <c r="O592">
        <f>IFERROR(__xludf.DUMMYFUNCTION("""COMPUTED_VALUE"""),6.0)</f>
        <v>6</v>
      </c>
      <c r="Q592" s="35"/>
      <c r="R592" s="36" t="str">
        <f>IFERROR(__xludf.DUMMYFUNCTION("""COMPUTED_VALUE"""),"SELECCIONADO")</f>
        <v>SELECCIONADO</v>
      </c>
      <c r="S592" s="37">
        <f>IFERROR(__xludf.DUMMYFUNCTION("""COMPUTED_VALUE"""),41641.0)</f>
        <v>41641</v>
      </c>
      <c r="T592" s="34"/>
      <c r="U592" t="str">
        <f>IFERROR(__xludf.DUMMYFUNCTION("""COMPUTED_VALUE"""),"EDISON CAMPOS FERNANDEZ")</f>
        <v>EDISON CAMPOS FERNANDEZ</v>
      </c>
      <c r="V592" t="str">
        <f>IFERROR(__xludf.DUMMYFUNCTION("""COMPUTED_VALUE"""),"17873394-K")</f>
        <v>17873394-K</v>
      </c>
      <c r="AA592" s="38">
        <f>IFERROR(__xludf.DUMMYFUNCTION("""COMPUTED_VALUE"""),41557.0)</f>
        <v>41557</v>
      </c>
      <c r="AB592" s="38">
        <f>IFERROR(__xludf.DUMMYFUNCTION("""COMPUTED_VALUE"""),41565.0)</f>
        <v>41565</v>
      </c>
      <c r="AF592" s="39"/>
      <c r="AG592" s="39"/>
      <c r="AH592" s="34" t="str">
        <f>IFERROR(__xludf.DUMMYFUNCTION("""COMPUTED_VALUE"""),"PROCESO DE SELECCIÓN")</f>
        <v>PROCESO DE SELECCIÓN</v>
      </c>
      <c r="AI592" s="34"/>
      <c r="AJ592" s="34"/>
      <c r="AK592" s="34" t="str">
        <f>IFERROR(__xludf.DUMMYFUNCTION("""COMPUTED_VALUE"""),"C")</f>
        <v>C</v>
      </c>
      <c r="AL592">
        <f>IFERROR(__xludf.DUMMYFUNCTION("""COMPUTED_VALUE"""),55.0)</f>
        <v>55</v>
      </c>
      <c r="AM592">
        <f>IFERROR(__xludf.DUMMYFUNCTION("""COMPUTED_VALUE"""),2014.0)</f>
        <v>2014</v>
      </c>
      <c r="AN592" t="str">
        <f t="shared" si="1"/>
        <v>17873394-K</v>
      </c>
    </row>
    <row r="593">
      <c r="A593" s="33">
        <f>IFERROR(__xludf.DUMMYFUNCTION("""COMPUTED_VALUE"""),1.7738116E7)</f>
        <v>17738116</v>
      </c>
      <c r="B593" s="33">
        <f>IFERROR(__xludf.DUMMYFUNCTION("""COMPUTED_VALUE"""),26.0)</f>
        <v>26</v>
      </c>
      <c r="C593" s="33"/>
      <c r="D593" s="34" t="str">
        <f>IFERROR(__xludf.DUMMYFUNCTION("""COMPUTED_VALUE"""),"VICERRECTORIA DE VINCULACION CON EL MEDIO")</f>
        <v>VICERRECTORIA DE VINCULACION CON EL MEDIO</v>
      </c>
      <c r="E593" s="34" t="str">
        <f>IFERROR(__xludf.DUMMYFUNCTION("""COMPUTED_VALUE"""),"DEPARTAMENTO DE RELACIONES INTERUNIVERSITARIAS E INTERNACIONALES")</f>
        <v>DEPARTAMENTO DE RELACIONES INTERUNIVERSITARIAS E INTERNACIONALES</v>
      </c>
      <c r="F593" s="34" t="str">
        <f>IFERROR(__xludf.DUMMYFUNCTION("""COMPUTED_VALUE"""),"Secretario C")</f>
        <v>Secretario C</v>
      </c>
      <c r="G593" s="33" t="str">
        <f>IFERROR(__xludf.DUMMYFUNCTION("""COMPUTED_VALUE"""),"SECRETARIA ADMINISTRATIVA")</f>
        <v>SECRETARIA ADMINISTRATIVA</v>
      </c>
      <c r="H593">
        <f>IFERROR(__xludf.DUMMYFUNCTION("""COMPUTED_VALUE"""),20.0)</f>
        <v>20</v>
      </c>
      <c r="I593" s="34"/>
      <c r="J593" s="33" t="str">
        <f>IFERROR(__xludf.DUMMYFUNCTION("""COMPUTED_VALUE"""),"A CONTRATA")</f>
        <v>A CONTRATA</v>
      </c>
      <c r="K593" s="33" t="str">
        <f>IFERROR(__xludf.DUMMYFUNCTION("""COMPUTED_VALUE"""),"ADMINISTRATIVO")</f>
        <v>ADMINISTRATIVO</v>
      </c>
      <c r="L593" s="34" t="str">
        <f>IFERROR(__xludf.DUMMYFUNCTION("""COMPUTED_VALUE"""),"INTERNO")</f>
        <v>INTERNO</v>
      </c>
      <c r="M593" s="34">
        <f>IFERROR(__xludf.DUMMYFUNCTION("""COMPUTED_VALUE"""),0.0)</f>
        <v>0</v>
      </c>
      <c r="N593" s="34" t="str">
        <f>IFERROR(__xludf.DUMMYFUNCTION("""COMPUTED_VALUE"""),"EXTERNO")</f>
        <v>EXTERNO</v>
      </c>
      <c r="O593">
        <f>IFERROR(__xludf.DUMMYFUNCTION("""COMPUTED_VALUE"""),13.0)</f>
        <v>13</v>
      </c>
      <c r="Q593" s="35"/>
      <c r="R593" s="36" t="str">
        <f>IFERROR(__xludf.DUMMYFUNCTION("""COMPUTED_VALUE"""),"SELECCIONADA")</f>
        <v>SELECCIONADA</v>
      </c>
      <c r="S593" s="37">
        <f>IFERROR(__xludf.DUMMYFUNCTION("""COMPUTED_VALUE"""),41743.0)</f>
        <v>41743</v>
      </c>
      <c r="T593" s="34"/>
      <c r="U593" t="str">
        <f>IFERROR(__xludf.DUMMYFUNCTION("""COMPUTED_VALUE"""),"MAGALY FLORES HUICHIHUALA ")</f>
        <v>MAGALY FLORES HUICHIHUALA </v>
      </c>
      <c r="V593" t="str">
        <f>IFERROR(__xludf.DUMMYFUNCTION("""COMPUTED_VALUE"""),"17738116-0")</f>
        <v>17738116-0</v>
      </c>
      <c r="AA593" s="38">
        <f>IFERROR(__xludf.DUMMYFUNCTION("""COMPUTED_VALUE"""),41575.0)</f>
        <v>41575</v>
      </c>
      <c r="AB593" s="38">
        <f>IFERROR(__xludf.DUMMYFUNCTION("""COMPUTED_VALUE"""),41583.0)</f>
        <v>41583</v>
      </c>
      <c r="AF593" s="39"/>
      <c r="AG593" s="39"/>
      <c r="AH593" s="34" t="str">
        <f>IFERROR(__xludf.DUMMYFUNCTION("""COMPUTED_VALUE"""),"PROCESO DE SELECCIÓN")</f>
        <v>PROCESO DE SELECCIÓN</v>
      </c>
      <c r="AI593" s="34"/>
      <c r="AJ593" s="34"/>
      <c r="AK593" s="34" t="str">
        <f>IFERROR(__xludf.DUMMYFUNCTION("""COMPUTED_VALUE"""),"E")</f>
        <v>E</v>
      </c>
      <c r="AL593">
        <f>IFERROR(__xludf.DUMMYFUNCTION("""COMPUTED_VALUE"""),115.0)</f>
        <v>115</v>
      </c>
      <c r="AM593">
        <f>IFERROR(__xludf.DUMMYFUNCTION("""COMPUTED_VALUE"""),2014.0)</f>
        <v>2014</v>
      </c>
      <c r="AN593" t="str">
        <f t="shared" si="1"/>
        <v>17738116-0</v>
      </c>
    </row>
    <row r="594">
      <c r="A594" s="33">
        <f>IFERROR(__xludf.DUMMYFUNCTION("""COMPUTED_VALUE"""),9767915.0)</f>
        <v>9767915</v>
      </c>
      <c r="B594" s="33">
        <f>IFERROR(__xludf.DUMMYFUNCTION("""COMPUTED_VALUE"""),3.0)</f>
        <v>3</v>
      </c>
      <c r="C594" s="33"/>
      <c r="D594" s="34" t="str">
        <f>IFERROR(__xludf.DUMMYFUNCTION("""COMPUTED_VALUE"""),"FACULTAD TECNOLOGICA")</f>
        <v>FACULTAD TECNOLOGICA</v>
      </c>
      <c r="E594" s="34" t="str">
        <f>IFERROR(__xludf.DUMMYFUNCTION("""COMPUTED_VALUE"""),"FACULTAD TECNOLOGICA")</f>
        <v>FACULTAD TECNOLOGICA</v>
      </c>
      <c r="F594" s="34" t="str">
        <f>IFERROR(__xludf.DUMMYFUNCTION("""COMPUTED_VALUE"""),"Mayordomo")</f>
        <v>Mayordomo</v>
      </c>
      <c r="G594" s="33" t="str">
        <f>IFERROR(__xludf.DUMMYFUNCTION("""COMPUTED_VALUE"""),"MAYORDOMO")</f>
        <v>MAYORDOMO</v>
      </c>
      <c r="H594">
        <f>IFERROR(__xludf.DUMMYFUNCTION("""COMPUTED_VALUE"""),21.0)</f>
        <v>21</v>
      </c>
      <c r="I594" s="34"/>
      <c r="J594" s="33" t="str">
        <f>IFERROR(__xludf.DUMMYFUNCTION("""COMPUTED_VALUE"""),"A CONTRATA")</f>
        <v>A CONTRATA</v>
      </c>
      <c r="K594" s="33" t="str">
        <f>IFERROR(__xludf.DUMMYFUNCTION("""COMPUTED_VALUE"""),"AUXILIAR")</f>
        <v>AUXILIAR</v>
      </c>
      <c r="L594" s="34" t="str">
        <f>IFERROR(__xludf.DUMMYFUNCTION("""COMPUTED_VALUE"""),"INTERNO")</f>
        <v>INTERNO</v>
      </c>
      <c r="M594" s="34">
        <f>IFERROR(__xludf.DUMMYFUNCTION("""COMPUTED_VALUE"""),0.0)</f>
        <v>0</v>
      </c>
      <c r="N594" s="34" t="str">
        <f>IFERROR(__xludf.DUMMYFUNCTION("""COMPUTED_VALUE"""),"EXTERNO")</f>
        <v>EXTERNO</v>
      </c>
      <c r="O594">
        <f>IFERROR(__xludf.DUMMYFUNCTION("""COMPUTED_VALUE"""),4.0)</f>
        <v>4</v>
      </c>
      <c r="Q594" s="35"/>
      <c r="R594" s="36" t="str">
        <f>IFERROR(__xludf.DUMMYFUNCTION("""COMPUTED_VALUE"""),"SELECCIONADA")</f>
        <v>SELECCIONADA</v>
      </c>
      <c r="S594" s="37">
        <f>IFERROR(__xludf.DUMMYFUNCTION("""COMPUTED_VALUE"""),41699.0)</f>
        <v>41699</v>
      </c>
      <c r="T594" s="34"/>
      <c r="U594" t="str">
        <f>IFERROR(__xludf.DUMMYFUNCTION("""COMPUTED_VALUE"""),"ANGELICA MORALES RAMIREZ")</f>
        <v>ANGELICA MORALES RAMIREZ</v>
      </c>
      <c r="V594" t="str">
        <f>IFERROR(__xludf.DUMMYFUNCTION("""COMPUTED_VALUE"""),"09767915-0")</f>
        <v>09767915-0</v>
      </c>
      <c r="AA594" s="38">
        <f>IFERROR(__xludf.DUMMYFUNCTION("""COMPUTED_VALUE"""),41576.0)</f>
        <v>41576</v>
      </c>
      <c r="AB594" s="38">
        <f>IFERROR(__xludf.DUMMYFUNCTION("""COMPUTED_VALUE"""),41584.0)</f>
        <v>41584</v>
      </c>
      <c r="AF594" s="39"/>
      <c r="AG594" s="39"/>
      <c r="AH594" s="34" t="str">
        <f>IFERROR(__xludf.DUMMYFUNCTION("""COMPUTED_VALUE"""),"PROCESO DE SELECCIÓN")</f>
        <v>PROCESO DE SELECCIÓN</v>
      </c>
      <c r="AI594" s="34"/>
      <c r="AJ594" s="34"/>
      <c r="AK594" s="34" t="str">
        <f>IFERROR(__xludf.DUMMYFUNCTION("""COMPUTED_VALUE"""),"P")</f>
        <v>P</v>
      </c>
      <c r="AL594">
        <f>IFERROR(__xludf.DUMMYFUNCTION("""COMPUTED_VALUE"""),83.0)</f>
        <v>83</v>
      </c>
      <c r="AM594">
        <f>IFERROR(__xludf.DUMMYFUNCTION("""COMPUTED_VALUE"""),2014.0)</f>
        <v>2014</v>
      </c>
      <c r="AN594" t="str">
        <f t="shared" si="1"/>
        <v>09767915-0</v>
      </c>
    </row>
    <row r="595">
      <c r="A595" s="33">
        <f>IFERROR(__xludf.DUMMYFUNCTION("""COMPUTED_VALUE"""),7818802.0)</f>
        <v>7818802</v>
      </c>
      <c r="B595" s="33">
        <f>IFERROR(__xludf.DUMMYFUNCTION("""COMPUTED_VALUE"""),8.0)</f>
        <v>8</v>
      </c>
      <c r="C595" s="33"/>
      <c r="D595" s="34" t="str">
        <f>IFERROR(__xludf.DUMMYFUNCTION("""COMPUTED_VALUE"""),"PRORRECTORIA")</f>
        <v>PRORRECTORIA</v>
      </c>
      <c r="E595" s="34" t="str">
        <f>IFERROR(__xludf.DUMMYFUNCTION("""COMPUTED_VALUE"""),"DEPARTAMENTO DE RECURSOS HUMANOS")</f>
        <v>DEPARTAMENTO DE RECURSOS HUMANOS</v>
      </c>
      <c r="F595" s="34" t="str">
        <f>IFERROR(__xludf.DUMMYFUNCTION("""COMPUTED_VALUE"""),"Administrativo de Apoyo")</f>
        <v>Administrativo de Apoyo</v>
      </c>
      <c r="G595" s="33" t="str">
        <f>IFERROR(__xludf.DUMMYFUNCTION("""COMPUTED_VALUE"""),"ADMINISTRATIVO DE APOYO")</f>
        <v>ADMINISTRATIVO DE APOYO</v>
      </c>
      <c r="H595">
        <f>IFERROR(__xludf.DUMMYFUNCTION("""COMPUTED_VALUE"""),21.0)</f>
        <v>21</v>
      </c>
      <c r="I595" s="34"/>
      <c r="J595" s="33" t="str">
        <f>IFERROR(__xludf.DUMMYFUNCTION("""COMPUTED_VALUE"""),"A CONTRATA")</f>
        <v>A CONTRATA</v>
      </c>
      <c r="K595" s="33" t="str">
        <f>IFERROR(__xludf.DUMMYFUNCTION("""COMPUTED_VALUE"""),"ADMINISTRATIVO")</f>
        <v>ADMINISTRATIVO</v>
      </c>
      <c r="L595" s="34" t="str">
        <f>IFERROR(__xludf.DUMMYFUNCTION("""COMPUTED_VALUE"""),"INTERNO")</f>
        <v>INTERNO</v>
      </c>
      <c r="M595" s="34">
        <f>IFERROR(__xludf.DUMMYFUNCTION("""COMPUTED_VALUE"""),1.0)</f>
        <v>1</v>
      </c>
      <c r="N595" s="34" t="str">
        <f>IFERROR(__xludf.DUMMYFUNCTION("""COMPUTED_VALUE"""),"EXTERNO")</f>
        <v>EXTERNO</v>
      </c>
      <c r="O595">
        <f>IFERROR(__xludf.DUMMYFUNCTION("""COMPUTED_VALUE"""),11.0)</f>
        <v>11</v>
      </c>
      <c r="Q595" s="35"/>
      <c r="R595" s="36" t="str">
        <f>IFERROR(__xludf.DUMMYFUNCTION("""COMPUTED_VALUE"""),"SELECCIONADA")</f>
        <v>SELECCIONADA</v>
      </c>
      <c r="S595" s="37">
        <f>IFERROR(__xludf.DUMMYFUNCTION("""COMPUTED_VALUE"""),41701.0)</f>
        <v>41701</v>
      </c>
      <c r="T595" s="34"/>
      <c r="U595" t="str">
        <f>IFERROR(__xludf.DUMMYFUNCTION("""COMPUTED_VALUE"""),"VICTORIA SILVA BRAVO")</f>
        <v>VICTORIA SILVA BRAVO</v>
      </c>
      <c r="V595" t="str">
        <f>IFERROR(__xludf.DUMMYFUNCTION("""COMPUTED_VALUE"""),"07818802-2")</f>
        <v>07818802-2</v>
      </c>
      <c r="AA595" s="38">
        <f>IFERROR(__xludf.DUMMYFUNCTION("""COMPUTED_VALUE"""),41576.0)</f>
        <v>41576</v>
      </c>
      <c r="AB595" s="38">
        <f>IFERROR(__xludf.DUMMYFUNCTION("""COMPUTED_VALUE"""),41585.0)</f>
        <v>41585</v>
      </c>
      <c r="AF595" s="39"/>
      <c r="AG595" s="39"/>
      <c r="AH595" s="34" t="str">
        <f>IFERROR(__xludf.DUMMYFUNCTION("""COMPUTED_VALUE"""),"PROCESO DE SELECCIÓN")</f>
        <v>PROCESO DE SELECCIÓN</v>
      </c>
      <c r="AI595" s="34"/>
      <c r="AJ595" s="34"/>
      <c r="AK595" s="34" t="str">
        <f>IFERROR(__xludf.DUMMYFUNCTION("""COMPUTED_VALUE"""),"E")</f>
        <v>E</v>
      </c>
      <c r="AL595">
        <f>IFERROR(__xludf.DUMMYFUNCTION("""COMPUTED_VALUE"""),83.0)</f>
        <v>83</v>
      </c>
      <c r="AM595">
        <f>IFERROR(__xludf.DUMMYFUNCTION("""COMPUTED_VALUE"""),2014.0)</f>
        <v>2014</v>
      </c>
      <c r="AN595" t="str">
        <f t="shared" si="1"/>
        <v>07818802-2</v>
      </c>
    </row>
    <row r="596">
      <c r="A596" s="33">
        <f>IFERROR(__xludf.DUMMYFUNCTION("""COMPUTED_VALUE"""),7549490.0)</f>
        <v>7549490</v>
      </c>
      <c r="B596" s="33">
        <f>IFERROR(__xludf.DUMMYFUNCTION("""COMPUTED_VALUE"""),4.0)</f>
        <v>4</v>
      </c>
      <c r="C596" s="33"/>
      <c r="D596" s="34" t="str">
        <f>IFERROR(__xludf.DUMMYFUNCTION("""COMPUTED_VALUE""")," VICERRECTORIA DE INVESTIGACION, DESARROLLO E INNOVACION")</f>
        <v> VICERRECTORIA DE INVESTIGACION, DESARROLLO E INNOVACION</v>
      </c>
      <c r="E596" s="34" t="str">
        <f>IFERROR(__xludf.DUMMYFUNCTION("""COMPUTED_VALUE""")," VICERRECTORIA DE INVESTIGACION, DESARROLLO E INNOVACION")</f>
        <v> VICERRECTORIA DE INVESTIGACION, DESARROLLO E INNOVACION</v>
      </c>
      <c r="F596" s="34" t="str">
        <f>IFERROR(__xludf.DUMMYFUNCTION("""COMPUTED_VALUE"""),"Editor")</f>
        <v>Editor</v>
      </c>
      <c r="G596" s="33" t="str">
        <f>IFERROR(__xludf.DUMMYFUNCTION("""COMPUTED_VALUE"""),"EDITOR")</f>
        <v>EDITOR</v>
      </c>
      <c r="H596">
        <f>IFERROR(__xludf.DUMMYFUNCTION("""COMPUTED_VALUE"""),11.0)</f>
        <v>11</v>
      </c>
      <c r="I596" s="34"/>
      <c r="J596" s="33" t="str">
        <f>IFERROR(__xludf.DUMMYFUNCTION("""COMPUTED_VALUE"""),"A CONTRATA")</f>
        <v>A CONTRATA</v>
      </c>
      <c r="K596" s="33" t="str">
        <f>IFERROR(__xludf.DUMMYFUNCTION("""COMPUTED_VALUE"""),"PROFESIONAL")</f>
        <v>PROFESIONAL</v>
      </c>
      <c r="L596" s="34" t="str">
        <f>IFERROR(__xludf.DUMMYFUNCTION("""COMPUTED_VALUE"""),"INTERNO")</f>
        <v>INTERNO</v>
      </c>
      <c r="M596" s="34">
        <f>IFERROR(__xludf.DUMMYFUNCTION("""COMPUTED_VALUE"""),0.0)</f>
        <v>0</v>
      </c>
      <c r="N596" s="34" t="str">
        <f>IFERROR(__xludf.DUMMYFUNCTION("""COMPUTED_VALUE"""),"EXTERNO")</f>
        <v>EXTERNO</v>
      </c>
      <c r="O596">
        <f>IFERROR(__xludf.DUMMYFUNCTION("""COMPUTED_VALUE"""),2.0)</f>
        <v>2</v>
      </c>
      <c r="Q596" s="35"/>
      <c r="R596" s="36" t="str">
        <f>IFERROR(__xludf.DUMMYFUNCTION("""COMPUTED_VALUE"""),"SELECCIONADO")</f>
        <v>SELECCIONADO</v>
      </c>
      <c r="S596" s="37">
        <f>IFERROR(__xludf.DUMMYFUNCTION("""COMPUTED_VALUE"""),41699.0)</f>
        <v>41699</v>
      </c>
      <c r="T596" s="34"/>
      <c r="U596" t="str">
        <f>IFERROR(__xludf.DUMMYFUNCTION("""COMPUTED_VALUE"""),"JOSE LUIS MARTINEZ SALINAS")</f>
        <v>JOSE LUIS MARTINEZ SALINAS</v>
      </c>
      <c r="V596" t="str">
        <f>IFERROR(__xludf.DUMMYFUNCTION("""COMPUTED_VALUE"""),"07549490-4")</f>
        <v>07549490-4</v>
      </c>
      <c r="AA596" s="38">
        <f>IFERROR(__xludf.DUMMYFUNCTION("""COMPUTED_VALUE"""),41575.0)</f>
        <v>41575</v>
      </c>
      <c r="AB596" s="38">
        <f>IFERROR(__xludf.DUMMYFUNCTION("""COMPUTED_VALUE"""),41589.0)</f>
        <v>41589</v>
      </c>
      <c r="AF596" s="39"/>
      <c r="AG596" s="39"/>
      <c r="AH596" s="34" t="str">
        <f>IFERROR(__xludf.DUMMYFUNCTION("""COMPUTED_VALUE"""),"PROCESO DE SELECCIÓN")</f>
        <v>PROCESO DE SELECCIÓN</v>
      </c>
      <c r="AI596" s="34"/>
      <c r="AJ596" s="34"/>
      <c r="AK596" s="34" t="str">
        <f>IFERROR(__xludf.DUMMYFUNCTION("""COMPUTED_VALUE"""),"P")</f>
        <v>P</v>
      </c>
      <c r="AL596">
        <f>IFERROR(__xludf.DUMMYFUNCTION("""COMPUTED_VALUE"""),80.0)</f>
        <v>80</v>
      </c>
      <c r="AM596">
        <f>IFERROR(__xludf.DUMMYFUNCTION("""COMPUTED_VALUE"""),2014.0)</f>
        <v>2014</v>
      </c>
      <c r="AN596" t="str">
        <f t="shared" si="1"/>
        <v>07549490-4</v>
      </c>
    </row>
    <row r="597">
      <c r="A597" s="33">
        <f>IFERROR(__xludf.DUMMYFUNCTION("""COMPUTED_VALUE"""),1.3284976E7)</f>
        <v>13284976</v>
      </c>
      <c r="B597" s="33">
        <f>IFERROR(__xludf.DUMMYFUNCTION("""COMPUTED_VALUE"""),18.0)</f>
        <v>18</v>
      </c>
      <c r="C597" s="33"/>
      <c r="D597" s="34" t="str">
        <f>IFERROR(__xludf.DUMMYFUNCTION("""COMPUTED_VALUE"""),"FACULTAD DE QUIMICA Y BIOLOGIA")</f>
        <v>FACULTAD DE QUIMICA Y BIOLOGIA</v>
      </c>
      <c r="E597" s="34" t="str">
        <f>IFERROR(__xludf.DUMMYFUNCTION("""COMPUTED_VALUE"""),"FACULTAD DE QUIMICA Y BIOLOGIA")</f>
        <v>FACULTAD DE QUIMICA Y BIOLOGIA</v>
      </c>
      <c r="F597" s="34" t="str">
        <f>IFERROR(__xludf.DUMMYFUNCTION("""COMPUTED_VALUE"""),"Asistente de Laboratorio")</f>
        <v>Asistente de Laboratorio</v>
      </c>
      <c r="G597" s="33" t="str">
        <f>IFERROR(__xludf.DUMMYFUNCTION("""COMPUTED_VALUE"""),"ASISTENTE DE LABORATORIO")</f>
        <v>ASISTENTE DE LABORATORIO</v>
      </c>
      <c r="H597">
        <f>IFERROR(__xludf.DUMMYFUNCTION("""COMPUTED_VALUE"""),20.0)</f>
        <v>20</v>
      </c>
      <c r="I597" s="34"/>
      <c r="J597" s="33" t="str">
        <f>IFERROR(__xludf.DUMMYFUNCTION("""COMPUTED_VALUE"""),"A CONTRATA")</f>
        <v>A CONTRATA</v>
      </c>
      <c r="K597" s="33" t="str">
        <f>IFERROR(__xludf.DUMMYFUNCTION("""COMPUTED_VALUE"""),"TECNICO")</f>
        <v>TECNICO</v>
      </c>
      <c r="L597" s="34" t="str">
        <f>IFERROR(__xludf.DUMMYFUNCTION("""COMPUTED_VALUE"""),"INTERNO")</f>
        <v>INTERNO</v>
      </c>
      <c r="M597" s="34">
        <f>IFERROR(__xludf.DUMMYFUNCTION("""COMPUTED_VALUE"""),0.0)</f>
        <v>0</v>
      </c>
      <c r="N597" s="34" t="str">
        <f>IFERROR(__xludf.DUMMYFUNCTION("""COMPUTED_VALUE"""),"EXTERNO")</f>
        <v>EXTERNO</v>
      </c>
      <c r="O597">
        <f>IFERROR(__xludf.DUMMYFUNCTION("""COMPUTED_VALUE"""),1.0)</f>
        <v>1</v>
      </c>
      <c r="Q597" s="35"/>
      <c r="R597" s="36" t="str">
        <f>IFERROR(__xludf.DUMMYFUNCTION("""COMPUTED_VALUE"""),"SELECCIONADA")</f>
        <v>SELECCIONADA</v>
      </c>
      <c r="S597" s="37">
        <f>IFERROR(__xludf.DUMMYFUNCTION("""COMPUTED_VALUE"""),41704.0)</f>
        <v>41704</v>
      </c>
      <c r="T597" s="34"/>
      <c r="U597" t="str">
        <f>IFERROR(__xludf.DUMMYFUNCTION("""COMPUTED_VALUE"""),"CRISTINA PARADA RIQUELME")</f>
        <v>CRISTINA PARADA RIQUELME</v>
      </c>
      <c r="V597" t="str">
        <f>IFERROR(__xludf.DUMMYFUNCTION("""COMPUTED_VALUE"""),"13284976-5")</f>
        <v>13284976-5</v>
      </c>
      <c r="AA597" s="38">
        <f>IFERROR(__xludf.DUMMYFUNCTION("""COMPUTED_VALUE"""),41590.0)</f>
        <v>41590</v>
      </c>
      <c r="AB597" s="38">
        <f>IFERROR(__xludf.DUMMYFUNCTION("""COMPUTED_VALUE"""),41597.0)</f>
        <v>41597</v>
      </c>
      <c r="AF597" s="39"/>
      <c r="AG597" s="39"/>
      <c r="AH597" s="34" t="str">
        <f>IFERROR(__xludf.DUMMYFUNCTION("""COMPUTED_VALUE"""),"PROCESO DE SELECCIÓN")</f>
        <v>PROCESO DE SELECCIÓN</v>
      </c>
      <c r="AI597" s="34"/>
      <c r="AJ597" s="34"/>
      <c r="AK597" s="34" t="str">
        <f>IFERROR(__xludf.DUMMYFUNCTION("""COMPUTED_VALUE"""),"C")</f>
        <v>C</v>
      </c>
      <c r="AL597">
        <f>IFERROR(__xludf.DUMMYFUNCTION("""COMPUTED_VALUE"""),78.0)</f>
        <v>78</v>
      </c>
      <c r="AM597">
        <f>IFERROR(__xludf.DUMMYFUNCTION("""COMPUTED_VALUE"""),2014.0)</f>
        <v>2014</v>
      </c>
      <c r="AN597" t="str">
        <f t="shared" si="1"/>
        <v>13284976-5</v>
      </c>
    </row>
    <row r="598">
      <c r="A598" s="33">
        <f>IFERROR(__xludf.DUMMYFUNCTION("""COMPUTED_VALUE"""),1.6568171E7)</f>
        <v>16568171</v>
      </c>
      <c r="B598" s="33">
        <f>IFERROR(__xludf.DUMMYFUNCTION("""COMPUTED_VALUE"""),1.0)</f>
        <v>1</v>
      </c>
      <c r="C598" s="33"/>
      <c r="D598" s="34" t="str">
        <f>IFERROR(__xludf.DUMMYFUNCTION("""COMPUTED_VALUE"""),"CONTRALORIA UNIVERSITARIA")</f>
        <v>CONTRALORIA UNIVERSITARIA</v>
      </c>
      <c r="E598" s="34" t="str">
        <f>IFERROR(__xludf.DUMMYFUNCTION("""COMPUTED_VALUE"""),"CONTRALORIA UNIVERSITARIA")</f>
        <v>CONTRALORIA UNIVERSITARIA</v>
      </c>
      <c r="F598" s="34" t="str">
        <f>IFERROR(__xludf.DUMMYFUNCTION("""COMPUTED_VALUE"""),"Auditor")</f>
        <v>Auditor</v>
      </c>
      <c r="G598" s="33" t="str">
        <f>IFERROR(__xludf.DUMMYFUNCTION("""COMPUTED_VALUE"""),"AUDITOR")</f>
        <v>AUDITOR</v>
      </c>
      <c r="H598">
        <f>IFERROR(__xludf.DUMMYFUNCTION("""COMPUTED_VALUE"""),12.0)</f>
        <v>12</v>
      </c>
      <c r="I598" s="34"/>
      <c r="J598" s="33" t="str">
        <f>IFERROR(__xludf.DUMMYFUNCTION("""COMPUTED_VALUE"""),"A CONTRATA")</f>
        <v>A CONTRATA</v>
      </c>
      <c r="K598" s="33" t="str">
        <f>IFERROR(__xludf.DUMMYFUNCTION("""COMPUTED_VALUE"""),"PROFESIONAL")</f>
        <v>PROFESIONAL</v>
      </c>
      <c r="L598" s="34" t="str">
        <f>IFERROR(__xludf.DUMMYFUNCTION("""COMPUTED_VALUE"""),"INTERNO")</f>
        <v>INTERNO</v>
      </c>
      <c r="M598" s="34">
        <f>IFERROR(__xludf.DUMMYFUNCTION("""COMPUTED_VALUE"""),4.0)</f>
        <v>4</v>
      </c>
      <c r="N598" s="34" t="str">
        <f>IFERROR(__xludf.DUMMYFUNCTION("""COMPUTED_VALUE"""),"EXTERNO")</f>
        <v>EXTERNO</v>
      </c>
      <c r="O598">
        <f>IFERROR(__xludf.DUMMYFUNCTION("""COMPUTED_VALUE"""),7.0)</f>
        <v>7</v>
      </c>
      <c r="Q598" s="35"/>
      <c r="R598" s="36" t="str">
        <f>IFERROR(__xludf.DUMMYFUNCTION("""COMPUTED_VALUE"""),"SELECCIONADO")</f>
        <v>SELECCIONADO</v>
      </c>
      <c r="S598" s="37">
        <f>IFERROR(__xludf.DUMMYFUNCTION("""COMPUTED_VALUE"""),41640.0)</f>
        <v>41640</v>
      </c>
      <c r="T598" s="34"/>
      <c r="U598" t="str">
        <f>IFERROR(__xludf.DUMMYFUNCTION("""COMPUTED_VALUE"""),"CAMILA LEON CARBONELL")</f>
        <v>CAMILA LEON CARBONELL</v>
      </c>
      <c r="V598" t="str">
        <f>IFERROR(__xludf.DUMMYFUNCTION("""COMPUTED_VALUE"""),"16568171-1")</f>
        <v>16568171-1</v>
      </c>
      <c r="AA598" s="38">
        <f>IFERROR(__xludf.DUMMYFUNCTION("""COMPUTED_VALUE"""),41572.0)</f>
        <v>41572</v>
      </c>
      <c r="AB598" s="38">
        <f>IFERROR(__xludf.DUMMYFUNCTION("""COMPUTED_VALUE"""),41600.0)</f>
        <v>41600</v>
      </c>
      <c r="AF598" s="39"/>
      <c r="AG598" s="39"/>
      <c r="AH598" s="34" t="str">
        <f>IFERROR(__xludf.DUMMYFUNCTION("""COMPUTED_VALUE"""),"PROCESO DE SELECCIÓN")</f>
        <v>PROCESO DE SELECCIÓN</v>
      </c>
      <c r="AI598" s="34"/>
      <c r="AJ598" s="34"/>
      <c r="AK598" s="34" t="str">
        <f>IFERROR(__xludf.DUMMYFUNCTION("""COMPUTED_VALUE"""),"E")</f>
        <v>E</v>
      </c>
      <c r="AL598">
        <f>IFERROR(__xludf.DUMMYFUNCTION("""COMPUTED_VALUE"""),29.0)</f>
        <v>29</v>
      </c>
      <c r="AM598">
        <f>IFERROR(__xludf.DUMMYFUNCTION("""COMPUTED_VALUE"""),2014.0)</f>
        <v>2014</v>
      </c>
      <c r="AN598" t="str">
        <f t="shared" si="1"/>
        <v>16568171-1</v>
      </c>
    </row>
    <row r="599">
      <c r="A599" s="33">
        <f>IFERROR(__xludf.DUMMYFUNCTION("""COMPUTED_VALUE"""),7811741.0)</f>
        <v>7811741</v>
      </c>
      <c r="B599" s="33">
        <f>IFERROR(__xludf.DUMMYFUNCTION("""COMPUTED_VALUE"""),5.0)</f>
        <v>5</v>
      </c>
      <c r="C599" s="33"/>
      <c r="D599" s="34" t="str">
        <f>IFERROR(__xludf.DUMMYFUNCTION("""COMPUTED_VALUE"""),"FACULTAD DE CIENCIAS MEDICAS")</f>
        <v>FACULTAD DE CIENCIAS MEDICAS</v>
      </c>
      <c r="E599" s="34" t="str">
        <f>IFERROR(__xludf.DUMMYFUNCTION("""COMPUTED_VALUE"""),"FACULTAD DE CIENCIAS MEDICAS")</f>
        <v>FACULTAD DE CIENCIAS MEDICAS</v>
      </c>
      <c r="F599" s="34" t="str">
        <f>IFERROR(__xludf.DUMMYFUNCTION("""COMPUTED_VALUE"""),"Encargado Administrativo de Unidad Académica")</f>
        <v>Encargado Administrativo de Unidad Académica</v>
      </c>
      <c r="G599" s="33" t="str">
        <f>IFERROR(__xludf.DUMMYFUNCTION("""COMPUTED_VALUE"""),"JEFE ADMINISTRATIVO")</f>
        <v>JEFE ADMINISTRATIVO</v>
      </c>
      <c r="H599">
        <f>IFERROR(__xludf.DUMMYFUNCTION("""COMPUTED_VALUE"""),10.0)</f>
        <v>10</v>
      </c>
      <c r="I599" s="34"/>
      <c r="J599" s="33" t="str">
        <f>IFERROR(__xludf.DUMMYFUNCTION("""COMPUTED_VALUE"""),"A CONTRATA")</f>
        <v>A CONTRATA</v>
      </c>
      <c r="K599" s="33" t="str">
        <f>IFERROR(__xludf.DUMMYFUNCTION("""COMPUTED_VALUE"""),"ADMINISTRATIVO")</f>
        <v>ADMINISTRATIVO</v>
      </c>
      <c r="L599" s="34" t="str">
        <f>IFERROR(__xludf.DUMMYFUNCTION("""COMPUTED_VALUE"""),"INTERNO")</f>
        <v>INTERNO</v>
      </c>
      <c r="M599" s="34">
        <f>IFERROR(__xludf.DUMMYFUNCTION("""COMPUTED_VALUE"""),4.0)</f>
        <v>4</v>
      </c>
      <c r="N599" s="34" t="str">
        <f>IFERROR(__xludf.DUMMYFUNCTION("""COMPUTED_VALUE"""),"NO")</f>
        <v>NO</v>
      </c>
      <c r="Q599" s="35"/>
      <c r="R599" s="36" t="str">
        <f>IFERROR(__xludf.DUMMYFUNCTION("""COMPUTED_VALUE"""),"SELECCIONADA")</f>
        <v>SELECCIONADA</v>
      </c>
      <c r="S599" s="37">
        <f>IFERROR(__xludf.DUMMYFUNCTION("""COMPUTED_VALUE"""),41652.0)</f>
        <v>41652</v>
      </c>
      <c r="T599" s="34" t="str">
        <f>IFERROR(__xludf.DUMMYFUNCTION("""COMPUTED_VALUE"""),"ROSA KLEIN BONACICH")</f>
        <v>ROSA KLEIN BONACICH</v>
      </c>
      <c r="V599" t="str">
        <f>IFERROR(__xludf.DUMMYFUNCTION("""COMPUTED_VALUE"""),"07811741-9")</f>
        <v>07811741-9</v>
      </c>
      <c r="AA599" s="38">
        <f>IFERROR(__xludf.DUMMYFUNCTION("""COMPUTED_VALUE"""),41600.0)</f>
        <v>41600</v>
      </c>
      <c r="AB599" s="38">
        <f>IFERROR(__xludf.DUMMYFUNCTION("""COMPUTED_VALUE"""),41607.0)</f>
        <v>41607</v>
      </c>
      <c r="AC599">
        <f>IFERROR(__xludf.DUMMYFUNCTION("""COMPUTED_VALUE"""),16.0)</f>
        <v>16</v>
      </c>
      <c r="AD599" t="str">
        <f>IFERROR(__xludf.DUMMYFUNCTION("""COMPUTED_VALUE"""),"ADMINISTRATIVO")</f>
        <v>ADMINISTRATIVO</v>
      </c>
      <c r="AF599" s="39" t="str">
        <f>IFERROR(__xludf.DUMMYFUNCTION("""COMPUTED_VALUE"""),"DEPARTAMENTO DE COMUNICACIONES")</f>
        <v>DEPARTAMENTO DE COMUNICACIONES</v>
      </c>
      <c r="AG599" s="39"/>
      <c r="AH599" s="34" t="str">
        <f>IFERROR(__xludf.DUMMYFUNCTION("""COMPUTED_VALUE"""),"PROCESO DE SELECCIÓN")</f>
        <v>PROCESO DE SELECCIÓN</v>
      </c>
      <c r="AI599" s="34"/>
      <c r="AJ599" s="34"/>
      <c r="AK599" s="34" t="str">
        <f>IFERROR(__xludf.DUMMYFUNCTION("""COMPUTED_VALUE"""),"P")</f>
        <v>P</v>
      </c>
      <c r="AL599">
        <f>IFERROR(__xludf.DUMMYFUNCTION("""COMPUTED_VALUE"""),32.0)</f>
        <v>32</v>
      </c>
      <c r="AM599">
        <f>IFERROR(__xludf.DUMMYFUNCTION("""COMPUTED_VALUE"""),2014.0)</f>
        <v>2014</v>
      </c>
      <c r="AN599" t="str">
        <f t="shared" si="1"/>
        <v>07811741-9</v>
      </c>
    </row>
    <row r="600">
      <c r="A600" s="33">
        <f>IFERROR(__xludf.DUMMYFUNCTION("""COMPUTED_VALUE"""),1.3750019E7)</f>
        <v>13750019</v>
      </c>
      <c r="B600" s="33">
        <f>IFERROR(__xludf.DUMMYFUNCTION("""COMPUTED_VALUE"""),14.0)</f>
        <v>14</v>
      </c>
      <c r="C600" s="33"/>
      <c r="D600" s="34" t="str">
        <f>IFERROR(__xludf.DUMMYFUNCTION("""COMPUTED_VALUE"""),"PRORRECTORIA")</f>
        <v>PRORRECTORIA</v>
      </c>
      <c r="E600" s="34" t="str">
        <f>IFERROR(__xludf.DUMMYFUNCTION("""COMPUTED_VALUE"""),"UNIDAD DE CREDITO Y COBRANZA")</f>
        <v>UNIDAD DE CREDITO Y COBRANZA</v>
      </c>
      <c r="F600" s="34" t="str">
        <f>IFERROR(__xludf.DUMMYFUNCTION("""COMPUTED_VALUE"""),"Administrativo Contable")</f>
        <v>Administrativo Contable</v>
      </c>
      <c r="G600" s="33" t="str">
        <f>IFERROR(__xludf.DUMMYFUNCTION("""COMPUTED_VALUE"""),"ADMNISTRATIVO CONTABLE RECAUDACION MATRICULAS")</f>
        <v>ADMNISTRATIVO CONTABLE RECAUDACION MATRICULAS</v>
      </c>
      <c r="H600">
        <f>IFERROR(__xludf.DUMMYFUNCTION("""COMPUTED_VALUE"""),17.0)</f>
        <v>17</v>
      </c>
      <c r="I600" s="34"/>
      <c r="J600" s="33" t="str">
        <f>IFERROR(__xludf.DUMMYFUNCTION("""COMPUTED_VALUE"""),"A CONTRATA")</f>
        <v>A CONTRATA</v>
      </c>
      <c r="K600" s="33" t="str">
        <f>IFERROR(__xludf.DUMMYFUNCTION("""COMPUTED_VALUE"""),"TECNICO")</f>
        <v>TECNICO</v>
      </c>
      <c r="L600" s="34" t="str">
        <f>IFERROR(__xludf.DUMMYFUNCTION("""COMPUTED_VALUE"""),"INTERNO")</f>
        <v>INTERNO</v>
      </c>
      <c r="M600" s="34">
        <f>IFERROR(__xludf.DUMMYFUNCTION("""COMPUTED_VALUE"""),0.0)</f>
        <v>0</v>
      </c>
      <c r="N600" s="34" t="str">
        <f>IFERROR(__xludf.DUMMYFUNCTION("""COMPUTED_VALUE"""),"EXTERNO")</f>
        <v>EXTERNO</v>
      </c>
      <c r="O600">
        <f>IFERROR(__xludf.DUMMYFUNCTION("""COMPUTED_VALUE"""),3.0)</f>
        <v>3</v>
      </c>
      <c r="Q600" s="35"/>
      <c r="R600" s="36" t="str">
        <f>IFERROR(__xludf.DUMMYFUNCTION("""COMPUTED_VALUE"""),"SELECCIONADA")</f>
        <v>SELECCIONADA</v>
      </c>
      <c r="S600" s="37">
        <f>IFERROR(__xludf.DUMMYFUNCTION("""COMPUTED_VALUE"""),41641.0)</f>
        <v>41641</v>
      </c>
      <c r="T600" s="34"/>
      <c r="U600" t="str">
        <f>IFERROR(__xludf.DUMMYFUNCTION("""COMPUTED_VALUE"""),"ANDREA BRITO ALBORNOZ")</f>
        <v>ANDREA BRITO ALBORNOZ</v>
      </c>
      <c r="V600" t="str">
        <f>IFERROR(__xludf.DUMMYFUNCTION("""COMPUTED_VALUE"""),"13750019-1")</f>
        <v>13750019-1</v>
      </c>
      <c r="AA600" s="38">
        <f>IFERROR(__xludf.DUMMYFUNCTION("""COMPUTED_VALUE"""),41617.0)</f>
        <v>41617</v>
      </c>
      <c r="AB600" s="38">
        <f>IFERROR(__xludf.DUMMYFUNCTION("""COMPUTED_VALUE"""),41621.0)</f>
        <v>41621</v>
      </c>
      <c r="AF600" s="39"/>
      <c r="AG600" s="39"/>
      <c r="AH600" s="34" t="str">
        <f>IFERROR(__xludf.DUMMYFUNCTION("""COMPUTED_VALUE"""),"PROCESO DE SELECCIÓN")</f>
        <v>PROCESO DE SELECCIÓN</v>
      </c>
      <c r="AI600" s="34"/>
      <c r="AJ600" s="34"/>
      <c r="AK600" s="34" t="str">
        <f>IFERROR(__xludf.DUMMYFUNCTION("""COMPUTED_VALUE"""),"P")</f>
        <v>P</v>
      </c>
      <c r="AL600">
        <f>IFERROR(__xludf.DUMMYFUNCTION("""COMPUTED_VALUE"""),15.0)</f>
        <v>15</v>
      </c>
      <c r="AM600">
        <f>IFERROR(__xludf.DUMMYFUNCTION("""COMPUTED_VALUE"""),2014.0)</f>
        <v>2014</v>
      </c>
      <c r="AN600" t="str">
        <f t="shared" si="1"/>
        <v>13750019-1</v>
      </c>
    </row>
    <row r="601">
      <c r="A601" s="33">
        <f>IFERROR(__xludf.DUMMYFUNCTION("""COMPUTED_VALUE"""),1.53749E7)</f>
        <v>15374900</v>
      </c>
      <c r="B601" s="33">
        <f>IFERROR(__xludf.DUMMYFUNCTION("""COMPUTED_VALUE"""),15.0)</f>
        <v>15</v>
      </c>
      <c r="C601" s="33"/>
      <c r="D601" s="34" t="str">
        <f>IFERROR(__xludf.DUMMYFUNCTION("""COMPUTED_VALUE"""),"VICERRECTORIA ACADEMICA")</f>
        <v>VICERRECTORIA ACADEMICA</v>
      </c>
      <c r="E601" s="34" t="str">
        <f>IFERROR(__xludf.DUMMYFUNCTION("""COMPUTED_VALUE"""),"ESCUELA DE ARQUITECTURA")</f>
        <v>ESCUELA DE ARQUITECTURA</v>
      </c>
      <c r="F601" s="34" t="str">
        <f>IFERROR(__xludf.DUMMYFUNCTION("""COMPUTED_VALUE"""),"Encargado de Laboratorio")</f>
        <v>Encargado de Laboratorio</v>
      </c>
      <c r="G601" s="33" t="str">
        <f>IFERROR(__xludf.DUMMYFUNCTION("""COMPUTED_VALUE"""),"ENCARGADO DE LABORATORIO (1/2 JORNADA)")</f>
        <v>ENCARGADO DE LABORATORIO (1/2 JORNADA)</v>
      </c>
      <c r="H601">
        <f>IFERROR(__xludf.DUMMYFUNCTION("""COMPUTED_VALUE"""),13.0)</f>
        <v>13</v>
      </c>
      <c r="I601" s="34"/>
      <c r="J601" s="33" t="str">
        <f>IFERROR(__xludf.DUMMYFUNCTION("""COMPUTED_VALUE"""),"A CONTRATA")</f>
        <v>A CONTRATA</v>
      </c>
      <c r="K601" s="33" t="str">
        <f>IFERROR(__xludf.DUMMYFUNCTION("""COMPUTED_VALUE"""),"PROFESIONAL")</f>
        <v>PROFESIONAL</v>
      </c>
      <c r="L601" s="34" t="str">
        <f>IFERROR(__xludf.DUMMYFUNCTION("""COMPUTED_VALUE"""),"INTERNO")</f>
        <v>INTERNO</v>
      </c>
      <c r="M601" s="34">
        <f>IFERROR(__xludf.DUMMYFUNCTION("""COMPUTED_VALUE"""),2.0)</f>
        <v>2</v>
      </c>
      <c r="N601" s="34" t="str">
        <f>IFERROR(__xludf.DUMMYFUNCTION("""COMPUTED_VALUE"""),"NO")</f>
        <v>NO</v>
      </c>
      <c r="Q601" s="35"/>
      <c r="R601" s="36" t="str">
        <f>IFERROR(__xludf.DUMMYFUNCTION("""COMPUTED_VALUE"""),"SELECCIONADO")</f>
        <v>SELECCIONADO</v>
      </c>
      <c r="S601" s="37">
        <f>IFERROR(__xludf.DUMMYFUNCTION("""COMPUTED_VALUE"""),41701.0)</f>
        <v>41701</v>
      </c>
      <c r="T601" s="34" t="str">
        <f>IFERROR(__xludf.DUMMYFUNCTION("""COMPUTED_VALUE"""),"HUGO DAVID PEREZ HERRERA")</f>
        <v>HUGO DAVID PEREZ HERRERA</v>
      </c>
      <c r="V601" t="str">
        <f>IFERROR(__xludf.DUMMYFUNCTION("""COMPUTED_VALUE"""),"15374900-0")</f>
        <v>15374900-0</v>
      </c>
      <c r="AA601" s="38">
        <f>IFERROR(__xludf.DUMMYFUNCTION("""COMPUTED_VALUE"""),41625.0)</f>
        <v>41625</v>
      </c>
      <c r="AB601" s="38">
        <f>IFERROR(__xludf.DUMMYFUNCTION("""COMPUTED_VALUE"""),41634.0)</f>
        <v>41634</v>
      </c>
      <c r="AF601" s="39"/>
      <c r="AG601" s="39"/>
      <c r="AH601" s="34" t="str">
        <f>IFERROR(__xludf.DUMMYFUNCTION("""COMPUTED_VALUE"""),"PROCESO DE SELECCIÓN")</f>
        <v>PROCESO DE SELECCIÓN</v>
      </c>
      <c r="AI601" s="34"/>
      <c r="AJ601" s="34"/>
      <c r="AK601" s="34"/>
      <c r="AL601">
        <f>IFERROR(__xludf.DUMMYFUNCTION("""COMPUTED_VALUE"""),48.0)</f>
        <v>48</v>
      </c>
      <c r="AM601">
        <f>IFERROR(__xludf.DUMMYFUNCTION("""COMPUTED_VALUE"""),2014.0)</f>
        <v>2014</v>
      </c>
      <c r="AN601" t="str">
        <f t="shared" si="1"/>
        <v>15374900-0</v>
      </c>
    </row>
    <row r="602">
      <c r="A602" s="33">
        <f>IFERROR(__xludf.DUMMYFUNCTION("""COMPUTED_VALUE"""),1.3069424E7)</f>
        <v>13069424</v>
      </c>
      <c r="B602" s="33">
        <f>IFERROR(__xludf.DUMMYFUNCTION("""COMPUTED_VALUE"""),2.0)</f>
        <v>2</v>
      </c>
      <c r="C602" s="33"/>
      <c r="D602" s="34" t="str">
        <f>IFERROR(__xludf.DUMMYFUNCTION("""COMPUTED_VALUE"""),"PRORRECTORIA")</f>
        <v>PRORRECTORIA</v>
      </c>
      <c r="E602" s="34" t="str">
        <f>IFERROR(__xludf.DUMMYFUNCTION("""COMPUTED_VALUE"""),"PRORRECTORIA")</f>
        <v>PRORRECTORIA</v>
      </c>
      <c r="F602" s="34" t="str">
        <f>IFERROR(__xludf.DUMMYFUNCTION("""COMPUTED_VALUE"""),"Analista de Gestión I")</f>
        <v>Analista de Gestión I</v>
      </c>
      <c r="G602" s="33" t="str">
        <f>IFERROR(__xludf.DUMMYFUNCTION("""COMPUTED_VALUE"""),"ANALISTA DE GESTION")</f>
        <v>ANALISTA DE GESTION</v>
      </c>
      <c r="H602">
        <f>IFERROR(__xludf.DUMMYFUNCTION("""COMPUTED_VALUE"""),10.0)</f>
        <v>10</v>
      </c>
      <c r="I602" s="34"/>
      <c r="J602" s="33" t="str">
        <f>IFERROR(__xludf.DUMMYFUNCTION("""COMPUTED_VALUE"""),"A CONTRATA")</f>
        <v>A CONTRATA</v>
      </c>
      <c r="K602" s="33" t="str">
        <f>IFERROR(__xludf.DUMMYFUNCTION("""COMPUTED_VALUE"""),"PROFESIONAL")</f>
        <v>PROFESIONAL</v>
      </c>
      <c r="L602" s="34" t="str">
        <f>IFERROR(__xludf.DUMMYFUNCTION("""COMPUTED_VALUE"""),"INTERNO")</f>
        <v>INTERNO</v>
      </c>
      <c r="M602" s="34">
        <f>IFERROR(__xludf.DUMMYFUNCTION("""COMPUTED_VALUE"""),2.0)</f>
        <v>2</v>
      </c>
      <c r="N602" s="34" t="str">
        <f>IFERROR(__xludf.DUMMYFUNCTION("""COMPUTED_VALUE"""),"NO")</f>
        <v>NO</v>
      </c>
      <c r="Q602" s="35"/>
      <c r="R602" s="36" t="str">
        <f>IFERROR(__xludf.DUMMYFUNCTION("""COMPUTED_VALUE"""),"SELECCIONADA")</f>
        <v>SELECCIONADA</v>
      </c>
      <c r="S602" s="37">
        <f>IFERROR(__xludf.DUMMYFUNCTION("""COMPUTED_VALUE"""),41641.0)</f>
        <v>41641</v>
      </c>
      <c r="T602" s="34" t="str">
        <f>IFERROR(__xludf.DUMMYFUNCTION("""COMPUTED_VALUE"""),"MARIA JOSE DIAZ DIAZ")</f>
        <v>MARIA JOSE DIAZ DIAZ</v>
      </c>
      <c r="V602" t="str">
        <f>IFERROR(__xludf.DUMMYFUNCTION("""COMPUTED_VALUE"""),"13069424-1")</f>
        <v>13069424-1</v>
      </c>
      <c r="AA602" s="38">
        <f>IFERROR(__xludf.DUMMYFUNCTION("""COMPUTED_VALUE"""),41628.0)</f>
        <v>41628</v>
      </c>
      <c r="AB602" s="38">
        <f>IFERROR(__xludf.DUMMYFUNCTION("""COMPUTED_VALUE"""),41635.0)</f>
        <v>41635</v>
      </c>
      <c r="AC602">
        <f>IFERROR(__xludf.DUMMYFUNCTION("""COMPUTED_VALUE"""),16.0)</f>
        <v>16</v>
      </c>
      <c r="AD602" t="str">
        <f>IFERROR(__xludf.DUMMYFUNCTION("""COMPUTED_VALUE"""),"ADMINISTRATIVO")</f>
        <v>ADMINISTRATIVO</v>
      </c>
      <c r="AF602" s="39" t="str">
        <f>IFERROR(__xludf.DUMMYFUNCTION("""COMPUTED_VALUE"""),"FACULTAD DE INGENIERIA")</f>
        <v>FACULTAD DE INGENIERIA</v>
      </c>
      <c r="AG602" s="39"/>
      <c r="AH602" s="34" t="str">
        <f>IFERROR(__xludf.DUMMYFUNCTION("""COMPUTED_VALUE"""),"PROCESO DE SELECCIÓN")</f>
        <v>PROCESO DE SELECCIÓN</v>
      </c>
      <c r="AI602" s="34"/>
      <c r="AJ602" s="34"/>
      <c r="AK602" s="34" t="str">
        <f>IFERROR(__xludf.DUMMYFUNCTION("""COMPUTED_VALUE"""),"C")</f>
        <v>C</v>
      </c>
      <c r="AL602">
        <f>IFERROR(__xludf.DUMMYFUNCTION("""COMPUTED_VALUE"""),5.0)</f>
        <v>5</v>
      </c>
      <c r="AM602">
        <f>IFERROR(__xludf.DUMMYFUNCTION("""COMPUTED_VALUE"""),2014.0)</f>
        <v>2014</v>
      </c>
      <c r="AN602" t="str">
        <f t="shared" si="1"/>
        <v>13069424-1</v>
      </c>
    </row>
    <row r="603">
      <c r="A603" s="33">
        <f>IFERROR(__xludf.DUMMYFUNCTION("""COMPUTED_VALUE"""),1.824339E7)</f>
        <v>18243390</v>
      </c>
      <c r="B603" s="33">
        <f>IFERROR(__xludf.DUMMYFUNCTION("""COMPUTED_VALUE"""),6.0)</f>
        <v>6</v>
      </c>
      <c r="C603" s="33"/>
      <c r="D603" s="34" t="str">
        <f>IFERROR(__xludf.DUMMYFUNCTION("""COMPUTED_VALUE"""),"FACULTAD DE CIENCIA")</f>
        <v>FACULTAD DE CIENCIA</v>
      </c>
      <c r="E603" s="34" t="str">
        <f>IFERROR(__xludf.DUMMYFUNCTION("""COMPUTED_VALUE"""),"FACULTAD DE CIENCIA")</f>
        <v>FACULTAD DE CIENCIA</v>
      </c>
      <c r="F603" s="34" t="str">
        <f>IFERROR(__xludf.DUMMYFUNCTION("""COMPUTED_VALUE"""),"Secretario B")</f>
        <v>Secretario B</v>
      </c>
      <c r="G603" s="33" t="str">
        <f>IFERROR(__xludf.DUMMYFUNCTION("""COMPUTED_VALUE"""),"SECRETARIA DE VICEDECANATO")</f>
        <v>SECRETARIA DE VICEDECANATO</v>
      </c>
      <c r="H603">
        <f>IFERROR(__xludf.DUMMYFUNCTION("""COMPUTED_VALUE"""),17.0)</f>
        <v>17</v>
      </c>
      <c r="I603" s="34"/>
      <c r="J603" s="33" t="str">
        <f>IFERROR(__xludf.DUMMYFUNCTION("""COMPUTED_VALUE"""),"A CONTRATA")</f>
        <v>A CONTRATA</v>
      </c>
      <c r="K603" s="33" t="str">
        <f>IFERROR(__xludf.DUMMYFUNCTION("""COMPUTED_VALUE"""),"ADMINISTRATIVO")</f>
        <v>ADMINISTRATIVO</v>
      </c>
      <c r="L603" s="34" t="str">
        <f>IFERROR(__xludf.DUMMYFUNCTION("""COMPUTED_VALUE"""),"INTERNO")</f>
        <v>INTERNO</v>
      </c>
      <c r="M603" s="34">
        <f>IFERROR(__xludf.DUMMYFUNCTION("""COMPUTED_VALUE"""),1.0)</f>
        <v>1</v>
      </c>
      <c r="N603" s="34" t="str">
        <f>IFERROR(__xludf.DUMMYFUNCTION("""COMPUTED_VALUE"""),"NO")</f>
        <v>NO</v>
      </c>
      <c r="Q603" s="35"/>
      <c r="R603" s="36" t="str">
        <f>IFERROR(__xludf.DUMMYFUNCTION("""COMPUTED_VALUE"""),"SELECCIONADO")</f>
        <v>SELECCIONADO</v>
      </c>
      <c r="S603" s="37">
        <f>IFERROR(__xludf.DUMMYFUNCTION("""COMPUTED_VALUE"""),41701.0)</f>
        <v>41701</v>
      </c>
      <c r="T603" s="34" t="str">
        <f>IFERROR(__xludf.DUMMYFUNCTION("""COMPUTED_VALUE"""),"GABRIELA MANCILLA TAPIA")</f>
        <v>GABRIELA MANCILLA TAPIA</v>
      </c>
      <c r="V603" t="str">
        <f>IFERROR(__xludf.DUMMYFUNCTION("""COMPUTED_VALUE"""),"18243390-K")</f>
        <v>18243390-K</v>
      </c>
      <c r="AA603" s="38">
        <f>IFERROR(__xludf.DUMMYFUNCTION("""COMPUTED_VALUE"""),41634.0)</f>
        <v>41634</v>
      </c>
      <c r="AB603" s="38">
        <f>IFERROR(__xludf.DUMMYFUNCTION("""COMPUTED_VALUE"""),41642.0)</f>
        <v>41642</v>
      </c>
      <c r="AF603" s="39"/>
      <c r="AG603" s="39"/>
      <c r="AH603" s="34" t="str">
        <f>IFERROR(__xludf.DUMMYFUNCTION("""COMPUTED_VALUE"""),"PROCESO DE SELECCIÓN")</f>
        <v>PROCESO DE SELECCIÓN</v>
      </c>
      <c r="AI603" s="34"/>
      <c r="AJ603" s="34"/>
      <c r="AK603" s="34"/>
      <c r="AL603">
        <f>IFERROR(__xludf.DUMMYFUNCTION("""COMPUTED_VALUE"""),42.0)</f>
        <v>42</v>
      </c>
      <c r="AM603">
        <f>IFERROR(__xludf.DUMMYFUNCTION("""COMPUTED_VALUE"""),2014.0)</f>
        <v>2014</v>
      </c>
      <c r="AN603" t="str">
        <f t="shared" si="1"/>
        <v>18243390-K</v>
      </c>
    </row>
    <row r="604">
      <c r="A604" s="33">
        <f>IFERROR(__xludf.DUMMYFUNCTION("""COMPUTED_VALUE"""),1.5823407E7)</f>
        <v>15823407</v>
      </c>
      <c r="B604" s="33">
        <f>IFERROR(__xludf.DUMMYFUNCTION("""COMPUTED_VALUE"""),7.0)</f>
        <v>7</v>
      </c>
      <c r="C604" s="33"/>
      <c r="D604" s="34" t="str">
        <f>IFERROR(__xludf.DUMMYFUNCTION("""COMPUTED_VALUE"""),"FACULTAD DE CIENCIA")</f>
        <v>FACULTAD DE CIENCIA</v>
      </c>
      <c r="E604" s="34" t="str">
        <f>IFERROR(__xludf.DUMMYFUNCTION("""COMPUTED_VALUE"""),"DEPARTAMENTO DE FISICA")</f>
        <v>DEPARTAMENTO DE FISICA</v>
      </c>
      <c r="F604" s="34" t="str">
        <f>IFERROR(__xludf.DUMMYFUNCTION("""COMPUTED_VALUE"""),"Estafeta")</f>
        <v>Estafeta</v>
      </c>
      <c r="G604" s="33" t="str">
        <f>IFERROR(__xludf.DUMMYFUNCTION("""COMPUTED_VALUE"""),"ESTAFETA")</f>
        <v>ESTAFETA</v>
      </c>
      <c r="H604">
        <f>IFERROR(__xludf.DUMMYFUNCTION("""COMPUTED_VALUE"""),23.0)</f>
        <v>23</v>
      </c>
      <c r="I604" s="34"/>
      <c r="J604" s="33" t="str">
        <f>IFERROR(__xludf.DUMMYFUNCTION("""COMPUTED_VALUE"""),"A CONTRATA")</f>
        <v>A CONTRATA</v>
      </c>
      <c r="K604" s="33" t="str">
        <f>IFERROR(__xludf.DUMMYFUNCTION("""COMPUTED_VALUE"""),"AUXILIAR")</f>
        <v>AUXILIAR</v>
      </c>
      <c r="L604" s="34" t="str">
        <f>IFERROR(__xludf.DUMMYFUNCTION("""COMPUTED_VALUE"""),"INTERNO")</f>
        <v>INTERNO</v>
      </c>
      <c r="M604" s="34">
        <f>IFERROR(__xludf.DUMMYFUNCTION("""COMPUTED_VALUE"""),0.0)</f>
        <v>0</v>
      </c>
      <c r="N604" s="34" t="str">
        <f>IFERROR(__xludf.DUMMYFUNCTION("""COMPUTED_VALUE"""),"EXTERNO")</f>
        <v>EXTERNO</v>
      </c>
      <c r="O604">
        <f>IFERROR(__xludf.DUMMYFUNCTION("""COMPUTED_VALUE"""),12.0)</f>
        <v>12</v>
      </c>
      <c r="Q604" s="35"/>
      <c r="R604" s="36" t="str">
        <f>IFERROR(__xludf.DUMMYFUNCTION("""COMPUTED_VALUE"""),"SELECCIONADO")</f>
        <v>SELECCIONADO</v>
      </c>
      <c r="S604" s="37">
        <f>IFERROR(__xludf.DUMMYFUNCTION("""COMPUTED_VALUE"""),41701.0)</f>
        <v>41701</v>
      </c>
      <c r="T604" s="34"/>
      <c r="U604" t="str">
        <f>IFERROR(__xludf.DUMMYFUNCTION("""COMPUTED_VALUE"""),"CRISTIAN CESPEDES VASQUEZ")</f>
        <v>CRISTIAN CESPEDES VASQUEZ</v>
      </c>
      <c r="V604" t="str">
        <f>IFERROR(__xludf.DUMMYFUNCTION("""COMPUTED_VALUE"""),"15823407-6")</f>
        <v>15823407-6</v>
      </c>
      <c r="AA604" s="38">
        <f>IFERROR(__xludf.DUMMYFUNCTION("""COMPUTED_VALUE"""),41642.0)</f>
        <v>41642</v>
      </c>
      <c r="AB604" s="38">
        <f>IFERROR(__xludf.DUMMYFUNCTION("""COMPUTED_VALUE"""),41647.0)</f>
        <v>41647</v>
      </c>
      <c r="AF604" s="39"/>
      <c r="AG604" s="39"/>
      <c r="AH604" s="34" t="str">
        <f>IFERROR(__xludf.DUMMYFUNCTION("""COMPUTED_VALUE"""),"PROCESO DE SELECCIÓN")</f>
        <v>PROCESO DE SELECCIÓN</v>
      </c>
      <c r="AI604" s="34"/>
      <c r="AJ604" s="34"/>
      <c r="AK604" s="34"/>
      <c r="AL604">
        <f>IFERROR(__xludf.DUMMYFUNCTION("""COMPUTED_VALUE"""),39.0)</f>
        <v>39</v>
      </c>
      <c r="AM604">
        <f>IFERROR(__xludf.DUMMYFUNCTION("""COMPUTED_VALUE"""),2014.0)</f>
        <v>2014</v>
      </c>
      <c r="AN604" t="str">
        <f t="shared" si="1"/>
        <v>15823407-6</v>
      </c>
    </row>
    <row r="605">
      <c r="A605" s="33">
        <f>IFERROR(__xludf.DUMMYFUNCTION("""COMPUTED_VALUE"""),1.5504352E7)</f>
        <v>15504352</v>
      </c>
      <c r="B605" s="33">
        <f>IFERROR(__xludf.DUMMYFUNCTION("""COMPUTED_VALUE"""),12.0)</f>
        <v>12</v>
      </c>
      <c r="C605" s="33"/>
      <c r="D605" s="34" t="str">
        <f>IFERROR(__xludf.DUMMYFUNCTION("""COMPUTED_VALUE"""),"VICERRECTORIA ACADEMICA")</f>
        <v>VICERRECTORIA ACADEMICA</v>
      </c>
      <c r="E605" s="34" t="str">
        <f>IFERROR(__xludf.DUMMYFUNCTION("""COMPUTED_VALUE"""),"UNIDAD DE REGISTRO ACADEMICO Y CURRICULAR")</f>
        <v>UNIDAD DE REGISTRO ACADEMICO Y CURRICULAR</v>
      </c>
      <c r="F605" s="34" t="str">
        <f>IFERROR(__xludf.DUMMYFUNCTION("""COMPUTED_VALUE"""),"Administrativo de Registro Académico")</f>
        <v>Administrativo de Registro Académico</v>
      </c>
      <c r="G605" s="33" t="str">
        <f>IFERROR(__xludf.DUMMYFUNCTION("""COMPUTED_VALUE"""),"ADMINISTRATIVO DE REGISTRO ACADEMICO")</f>
        <v>ADMINISTRATIVO DE REGISTRO ACADEMICO</v>
      </c>
      <c r="H605">
        <f>IFERROR(__xludf.DUMMYFUNCTION("""COMPUTED_VALUE"""),17.0)</f>
        <v>17</v>
      </c>
      <c r="I605" s="34"/>
      <c r="J605" s="33" t="str">
        <f>IFERROR(__xludf.DUMMYFUNCTION("""COMPUTED_VALUE"""),"A CONTRATA")</f>
        <v>A CONTRATA</v>
      </c>
      <c r="K605" s="33" t="str">
        <f>IFERROR(__xludf.DUMMYFUNCTION("""COMPUTED_VALUE"""),"ADMINISTRATIVO")</f>
        <v>ADMINISTRATIVO</v>
      </c>
      <c r="L605" s="34" t="str">
        <f>IFERROR(__xludf.DUMMYFUNCTION("""COMPUTED_VALUE"""),"INTERNO")</f>
        <v>INTERNO</v>
      </c>
      <c r="M605" s="34">
        <f>IFERROR(__xludf.DUMMYFUNCTION("""COMPUTED_VALUE"""),3.0)</f>
        <v>3</v>
      </c>
      <c r="N605" s="34" t="str">
        <f>IFERROR(__xludf.DUMMYFUNCTION("""COMPUTED_VALUE"""),"NO")</f>
        <v>NO</v>
      </c>
      <c r="Q605" s="35"/>
      <c r="R605" s="36" t="str">
        <f>IFERROR(__xludf.DUMMYFUNCTION("""COMPUTED_VALUE"""),"SELECCIONADA")</f>
        <v>SELECCIONADA</v>
      </c>
      <c r="S605" s="37">
        <f>IFERROR(__xludf.DUMMYFUNCTION("""COMPUTED_VALUE"""),41704.0)</f>
        <v>41704</v>
      </c>
      <c r="T605" s="34" t="str">
        <f>IFERROR(__xludf.DUMMYFUNCTION("""COMPUTED_VALUE"""),"LINDSAY PARRA PIZARRO")</f>
        <v>LINDSAY PARRA PIZARRO</v>
      </c>
      <c r="V605" t="str">
        <f>IFERROR(__xludf.DUMMYFUNCTION("""COMPUTED_VALUE"""),"15504352-0")</f>
        <v>15504352-0</v>
      </c>
      <c r="AA605" s="38">
        <f>IFERROR(__xludf.DUMMYFUNCTION("""COMPUTED_VALUE"""),41642.0)</f>
        <v>41642</v>
      </c>
      <c r="AB605" s="38">
        <f>IFERROR(__xludf.DUMMYFUNCTION("""COMPUTED_VALUE"""),41647.0)</f>
        <v>41647</v>
      </c>
      <c r="AC605">
        <f>IFERROR(__xludf.DUMMYFUNCTION("""COMPUTED_VALUE"""),19.0)</f>
        <v>19</v>
      </c>
      <c r="AD605" t="str">
        <f>IFERROR(__xludf.DUMMYFUNCTION("""COMPUTED_VALUE"""),"ADMINISTRATIVO")</f>
        <v>ADMINISTRATIVO</v>
      </c>
      <c r="AF605" s="39" t="str">
        <f>IFERROR(__xludf.DUMMYFUNCTION("""COMPUTED_VALUE"""),"UNIDAD DE REGISTRO  ACADEMICO")</f>
        <v>UNIDAD DE REGISTRO  ACADEMICO</v>
      </c>
      <c r="AG605" s="39"/>
      <c r="AH605" s="34" t="str">
        <f>IFERROR(__xludf.DUMMYFUNCTION("""COMPUTED_VALUE"""),"PROCESO DE SELECCIÓN")</f>
        <v>PROCESO DE SELECCIÓN</v>
      </c>
      <c r="AI605" s="34"/>
      <c r="AJ605" s="34"/>
      <c r="AK605" s="34" t="str">
        <f>IFERROR(__xludf.DUMMYFUNCTION("""COMPUTED_VALUE"""),"P")</f>
        <v>P</v>
      </c>
      <c r="AL605">
        <f>IFERROR(__xludf.DUMMYFUNCTION("""COMPUTED_VALUE"""),42.0)</f>
        <v>42</v>
      </c>
      <c r="AM605">
        <f>IFERROR(__xludf.DUMMYFUNCTION("""COMPUTED_VALUE"""),2014.0)</f>
        <v>2014</v>
      </c>
      <c r="AN605" t="str">
        <f t="shared" si="1"/>
        <v>15504352-0</v>
      </c>
    </row>
    <row r="606">
      <c r="A606" s="33">
        <f>IFERROR(__xludf.DUMMYFUNCTION("""COMPUTED_VALUE"""),1.4484032E7)</f>
        <v>14484032</v>
      </c>
      <c r="B606" s="33">
        <f>IFERROR(__xludf.DUMMYFUNCTION("""COMPUTED_VALUE"""),17.0)</f>
        <v>17</v>
      </c>
      <c r="C606" s="33"/>
      <c r="D606" s="34" t="str">
        <f>IFERROR(__xludf.DUMMYFUNCTION("""COMPUTED_VALUE"""),"VICERRECTORIA DE VINCULACION CON EL MEDIO")</f>
        <v>VICERRECTORIA DE VINCULACION CON EL MEDIO</v>
      </c>
      <c r="E606" s="34" t="str">
        <f>IFERROR(__xludf.DUMMYFUNCTION("""COMPUTED_VALUE"""),"DEPARTAMENTO DE SELLO EDITORIAL")</f>
        <v>DEPARTAMENTO DE SELLO EDITORIAL</v>
      </c>
      <c r="F606" s="34" t="str">
        <f>IFERROR(__xludf.DUMMYFUNCTION("""COMPUTED_VALUE"""),"Administrativo de Apoyo")</f>
        <v>Administrativo de Apoyo</v>
      </c>
      <c r="G606" s="33" t="str">
        <f>IFERROR(__xludf.DUMMYFUNCTION("""COMPUTED_VALUE"""),"ADMINISTRATIVO DE APOYO")</f>
        <v>ADMINISTRATIVO DE APOYO</v>
      </c>
      <c r="H606">
        <f>IFERROR(__xludf.DUMMYFUNCTION("""COMPUTED_VALUE"""),20.0)</f>
        <v>20</v>
      </c>
      <c r="I606" s="34"/>
      <c r="J606" s="33" t="str">
        <f>IFERROR(__xludf.DUMMYFUNCTION("""COMPUTED_VALUE"""),"A CONTRATA")</f>
        <v>A CONTRATA</v>
      </c>
      <c r="K606" s="33" t="str">
        <f>IFERROR(__xludf.DUMMYFUNCTION("""COMPUTED_VALUE"""),"ADMINISTRATIVO")</f>
        <v>ADMINISTRATIVO</v>
      </c>
      <c r="L606" s="34" t="str">
        <f>IFERROR(__xludf.DUMMYFUNCTION("""COMPUTED_VALUE"""),"INTERNO")</f>
        <v>INTERNO</v>
      </c>
      <c r="M606" s="34">
        <f>IFERROR(__xludf.DUMMYFUNCTION("""COMPUTED_VALUE"""),1.0)</f>
        <v>1</v>
      </c>
      <c r="N606" s="34" t="str">
        <f>IFERROR(__xludf.DUMMYFUNCTION("""COMPUTED_VALUE"""),"EXTERNO")</f>
        <v>EXTERNO</v>
      </c>
      <c r="O606">
        <f>IFERROR(__xludf.DUMMYFUNCTION("""COMPUTED_VALUE"""),6.0)</f>
        <v>6</v>
      </c>
      <c r="Q606" s="35"/>
      <c r="R606" s="36" t="str">
        <f>IFERROR(__xludf.DUMMYFUNCTION("""COMPUTED_VALUE"""),"SELECCIONADO")</f>
        <v>SELECCIONADO</v>
      </c>
      <c r="S606" s="37">
        <f>IFERROR(__xludf.DUMMYFUNCTION("""COMPUTED_VALUE"""),41701.0)</f>
        <v>41701</v>
      </c>
      <c r="T606" s="34"/>
      <c r="U606" t="str">
        <f>IFERROR(__xludf.DUMMYFUNCTION("""COMPUTED_VALUE"""),"JOSE ARTURO ARROYO MANCILLA")</f>
        <v>JOSE ARTURO ARROYO MANCILLA</v>
      </c>
      <c r="V606" t="str">
        <f>IFERROR(__xludf.DUMMYFUNCTION("""COMPUTED_VALUE"""),"14484032-1")</f>
        <v>14484032-1</v>
      </c>
      <c r="AA606" s="38">
        <f>IFERROR(__xludf.DUMMYFUNCTION("""COMPUTED_VALUE"""),41642.0)</f>
        <v>41642</v>
      </c>
      <c r="AB606" s="38">
        <f>IFERROR(__xludf.DUMMYFUNCTION("""COMPUTED_VALUE"""),41647.0)</f>
        <v>41647</v>
      </c>
      <c r="AF606" s="39"/>
      <c r="AG606" s="39"/>
      <c r="AH606" s="34" t="str">
        <f>IFERROR(__xludf.DUMMYFUNCTION("""COMPUTED_VALUE"""),"PROCESO DE SELECCIÓN")</f>
        <v>PROCESO DE SELECCIÓN</v>
      </c>
      <c r="AI606" s="34"/>
      <c r="AJ606" s="34"/>
      <c r="AK606" s="34"/>
      <c r="AL606">
        <f>IFERROR(__xludf.DUMMYFUNCTION("""COMPUTED_VALUE"""),39.0)</f>
        <v>39</v>
      </c>
      <c r="AM606">
        <f>IFERROR(__xludf.DUMMYFUNCTION("""COMPUTED_VALUE"""),2014.0)</f>
        <v>2014</v>
      </c>
      <c r="AN606" t="str">
        <f t="shared" si="1"/>
        <v>14484032-1</v>
      </c>
    </row>
    <row r="607">
      <c r="A607" s="33">
        <f>IFERROR(__xludf.DUMMYFUNCTION("""COMPUTED_VALUE"""),1.615105E7)</f>
        <v>16151050</v>
      </c>
      <c r="B607" s="33">
        <f>IFERROR(__xludf.DUMMYFUNCTION("""COMPUTED_VALUE"""),19.0)</f>
        <v>19</v>
      </c>
      <c r="C607" s="33"/>
      <c r="D607" s="34" t="str">
        <f>IFERROR(__xludf.DUMMYFUNCTION("""COMPUTED_VALUE"""),"VICERRECTORIA DE APOYO AL ESTUDIANTE")</f>
        <v>VICERRECTORIA DE APOYO AL ESTUDIANTE</v>
      </c>
      <c r="E607" s="34" t="str">
        <f>IFERROR(__xludf.DUMMYFUNCTION("""COMPUTED_VALUE"""),"DEPARTAMENTO DE BENEFICIOS ESTUDIANTILES")</f>
        <v>DEPARTAMENTO DE BENEFICIOS ESTUDIANTILES</v>
      </c>
      <c r="F607" s="34" t="str">
        <f>IFERROR(__xludf.DUMMYFUNCTION("""COMPUTED_VALUE"""),"Secretario B")</f>
        <v>Secretario B</v>
      </c>
      <c r="G607" s="33" t="str">
        <f>IFERROR(__xludf.DUMMYFUNCTION("""COMPUTED_VALUE"""),"SECRETARIA DE DEPARTAMENTO")</f>
        <v>SECRETARIA DE DEPARTAMENTO</v>
      </c>
      <c r="H607">
        <f>IFERROR(__xludf.DUMMYFUNCTION("""COMPUTED_VALUE"""),17.0)</f>
        <v>17</v>
      </c>
      <c r="I607" s="34"/>
      <c r="J607" s="33" t="str">
        <f>IFERROR(__xludf.DUMMYFUNCTION("""COMPUTED_VALUE"""),"A CONTRATA")</f>
        <v>A CONTRATA</v>
      </c>
      <c r="K607" s="33" t="str">
        <f>IFERROR(__xludf.DUMMYFUNCTION("""COMPUTED_VALUE"""),"ADMINISTRATIVO")</f>
        <v>ADMINISTRATIVO</v>
      </c>
      <c r="L607" s="34" t="str">
        <f>IFERROR(__xludf.DUMMYFUNCTION("""COMPUTED_VALUE"""),"INTERNO")</f>
        <v>INTERNO</v>
      </c>
      <c r="M607" s="34">
        <f>IFERROR(__xludf.DUMMYFUNCTION("""COMPUTED_VALUE"""),1.0)</f>
        <v>1</v>
      </c>
      <c r="N607" s="34" t="str">
        <f>IFERROR(__xludf.DUMMYFUNCTION("""COMPUTED_VALUE"""),"EXTERNO")</f>
        <v>EXTERNO</v>
      </c>
      <c r="O607">
        <f>IFERROR(__xludf.DUMMYFUNCTION("""COMPUTED_VALUE"""),8.0)</f>
        <v>8</v>
      </c>
      <c r="Q607" s="35"/>
      <c r="R607" s="36" t="str">
        <f>IFERROR(__xludf.DUMMYFUNCTION("""COMPUTED_VALUE"""),"SELECCIONADA")</f>
        <v>SELECCIONADA</v>
      </c>
      <c r="S607" s="37">
        <f>IFERROR(__xludf.DUMMYFUNCTION("""COMPUTED_VALUE"""),41715.0)</f>
        <v>41715</v>
      </c>
      <c r="T607" s="34"/>
      <c r="U607" t="str">
        <f>IFERROR(__xludf.DUMMYFUNCTION("""COMPUTED_VALUE"""),"LUISA ROJAS MENESES")</f>
        <v>LUISA ROJAS MENESES</v>
      </c>
      <c r="V607" t="str">
        <f>IFERROR(__xludf.DUMMYFUNCTION("""COMPUTED_VALUE"""),"16151050-5")</f>
        <v>16151050-5</v>
      </c>
      <c r="AA607" s="38">
        <f>IFERROR(__xludf.DUMMYFUNCTION("""COMPUTED_VALUE"""),41642.0)</f>
        <v>41642</v>
      </c>
      <c r="AB607" s="38">
        <f>IFERROR(__xludf.DUMMYFUNCTION("""COMPUTED_VALUE"""),41647.0)</f>
        <v>41647</v>
      </c>
      <c r="AF607" s="39"/>
      <c r="AG607" s="39"/>
      <c r="AH607" s="34" t="str">
        <f>IFERROR(__xludf.DUMMYFUNCTION("""COMPUTED_VALUE"""),"PROCESO DE SELECCIÓN")</f>
        <v>PROCESO DE SELECCIÓN</v>
      </c>
      <c r="AI607" s="34"/>
      <c r="AJ607" s="34"/>
      <c r="AK607" s="34"/>
      <c r="AL607">
        <f>IFERROR(__xludf.DUMMYFUNCTION("""COMPUTED_VALUE"""),49.0)</f>
        <v>49</v>
      </c>
      <c r="AM607">
        <f>IFERROR(__xludf.DUMMYFUNCTION("""COMPUTED_VALUE"""),2014.0)</f>
        <v>2014</v>
      </c>
      <c r="AN607" t="str">
        <f t="shared" si="1"/>
        <v>16151050-5</v>
      </c>
    </row>
    <row r="608">
      <c r="A608" s="33">
        <f>IFERROR(__xludf.DUMMYFUNCTION("""COMPUTED_VALUE"""),1.0596564E7)</f>
        <v>10596564</v>
      </c>
      <c r="B608" s="33">
        <f>IFERROR(__xludf.DUMMYFUNCTION("""COMPUTED_VALUE"""),11.0)</f>
        <v>11</v>
      </c>
      <c r="C608" s="33"/>
      <c r="D608" s="34" t="str">
        <f>IFERROR(__xludf.DUMMYFUNCTION("""COMPUTED_VALUE"""),"FACULTAD DE HUMANIDADES")</f>
        <v>FACULTAD DE HUMANIDADES</v>
      </c>
      <c r="E608" s="34" t="str">
        <f>IFERROR(__xludf.DUMMYFUNCTION("""COMPUTED_VALUE"""),"DEPARTAMENTO DE LINGÜISTICA Y LITERATURA")</f>
        <v>DEPARTAMENTO DE LINGÜISTICA Y LITERATURA</v>
      </c>
      <c r="F608" s="34" t="str">
        <f>IFERROR(__xludf.DUMMYFUNCTION("""COMPUTED_VALUE"""),"Estafeta")</f>
        <v>Estafeta</v>
      </c>
      <c r="G608" s="33" t="str">
        <f>IFERROR(__xludf.DUMMYFUNCTION("""COMPUTED_VALUE"""),"ESTAFETA")</f>
        <v>ESTAFETA</v>
      </c>
      <c r="H608">
        <f>IFERROR(__xludf.DUMMYFUNCTION("""COMPUTED_VALUE"""),23.0)</f>
        <v>23</v>
      </c>
      <c r="I608" s="34"/>
      <c r="J608" s="33" t="str">
        <f>IFERROR(__xludf.DUMMYFUNCTION("""COMPUTED_VALUE"""),"A CONTRATA")</f>
        <v>A CONTRATA</v>
      </c>
      <c r="K608" s="33" t="str">
        <f>IFERROR(__xludf.DUMMYFUNCTION("""COMPUTED_VALUE"""),"AUXILIAR")</f>
        <v>AUXILIAR</v>
      </c>
      <c r="L608" s="34" t="str">
        <f>IFERROR(__xludf.DUMMYFUNCTION("""COMPUTED_VALUE"""),"INTERNO")</f>
        <v>INTERNO</v>
      </c>
      <c r="M608" s="34">
        <f>IFERROR(__xludf.DUMMYFUNCTION("""COMPUTED_VALUE"""),0.0)</f>
        <v>0</v>
      </c>
      <c r="N608" s="34" t="str">
        <f>IFERROR(__xludf.DUMMYFUNCTION("""COMPUTED_VALUE"""),"EXTERNO")</f>
        <v>EXTERNO</v>
      </c>
      <c r="O608">
        <f>IFERROR(__xludf.DUMMYFUNCTION("""COMPUTED_VALUE"""),17.0)</f>
        <v>17</v>
      </c>
      <c r="Q608" s="35"/>
      <c r="R608" s="36" t="str">
        <f>IFERROR(__xludf.DUMMYFUNCTION("""COMPUTED_VALUE"""),"SELECCIONADO")</f>
        <v>SELECCIONADO</v>
      </c>
      <c r="S608" s="37">
        <f>IFERROR(__xludf.DUMMYFUNCTION("""COMPUTED_VALUE"""),41701.0)</f>
        <v>41701</v>
      </c>
      <c r="T608" s="34"/>
      <c r="U608" t="str">
        <f>IFERROR(__xludf.DUMMYFUNCTION("""COMPUTED_VALUE"""),"JOSE ANTONIO ORTEGA PINO")</f>
        <v>JOSE ANTONIO ORTEGA PINO</v>
      </c>
      <c r="V608" t="str">
        <f>IFERROR(__xludf.DUMMYFUNCTION("""COMPUTED_VALUE"""),"10596564-8")</f>
        <v>10596564-8</v>
      </c>
      <c r="AA608" s="38">
        <f>IFERROR(__xludf.DUMMYFUNCTION("""COMPUTED_VALUE"""),41645.0)</f>
        <v>41645</v>
      </c>
      <c r="AB608" s="38">
        <f>IFERROR(__xludf.DUMMYFUNCTION("""COMPUTED_VALUE"""),41648.0)</f>
        <v>41648</v>
      </c>
      <c r="AF608" s="39"/>
      <c r="AG608" s="39"/>
      <c r="AH608" s="34" t="str">
        <f>IFERROR(__xludf.DUMMYFUNCTION("""COMPUTED_VALUE"""),"PROCESO DE SELECCIÓN")</f>
        <v>PROCESO DE SELECCIÓN</v>
      </c>
      <c r="AI608" s="34"/>
      <c r="AJ608" s="34"/>
      <c r="AK608" s="34" t="str">
        <f>IFERROR(__xludf.DUMMYFUNCTION("""COMPUTED_VALUE"""),"C")</f>
        <v>C</v>
      </c>
      <c r="AL608">
        <f>IFERROR(__xludf.DUMMYFUNCTION("""COMPUTED_VALUE"""),38.0)</f>
        <v>38</v>
      </c>
      <c r="AM608">
        <f>IFERROR(__xludf.DUMMYFUNCTION("""COMPUTED_VALUE"""),2014.0)</f>
        <v>2014</v>
      </c>
      <c r="AN608" t="str">
        <f t="shared" si="1"/>
        <v>10596564-8</v>
      </c>
    </row>
    <row r="609">
      <c r="A609" s="33">
        <f>IFERROR(__xludf.DUMMYFUNCTION("""COMPUTED_VALUE"""),1.3137647E7)</f>
        <v>13137647</v>
      </c>
      <c r="B609" s="33">
        <f>IFERROR(__xludf.DUMMYFUNCTION("""COMPUTED_VALUE"""),21.0)</f>
        <v>21</v>
      </c>
      <c r="C609" s="33"/>
      <c r="D609" s="34" t="str">
        <f>IFERROR(__xludf.DUMMYFUNCTION("""COMPUTED_VALUE"""),"FACULTAD DE INGENIERIA")</f>
        <v>FACULTAD DE INGENIERIA</v>
      </c>
      <c r="E609" s="34" t="str">
        <f>IFERROR(__xludf.DUMMYFUNCTION("""COMPUTED_VALUE"""),"DEPARTAMENTO DE INGENIERIA GEOGRAFICA")</f>
        <v>DEPARTAMENTO DE INGENIERIA GEOGRAFICA</v>
      </c>
      <c r="F609" s="34" t="str">
        <f>IFERROR(__xludf.DUMMYFUNCTION("""COMPUTED_VALUE"""),"Estafeta")</f>
        <v>Estafeta</v>
      </c>
      <c r="G609" s="33" t="str">
        <f>IFERROR(__xludf.DUMMYFUNCTION("""COMPUTED_VALUE"""),"ESTAFETA")</f>
        <v>ESTAFETA</v>
      </c>
      <c r="H609">
        <f>IFERROR(__xludf.DUMMYFUNCTION("""COMPUTED_VALUE"""),23.0)</f>
        <v>23</v>
      </c>
      <c r="I609" s="34"/>
      <c r="J609" s="33" t="str">
        <f>IFERROR(__xludf.DUMMYFUNCTION("""COMPUTED_VALUE"""),"A CONTRATA")</f>
        <v>A CONTRATA</v>
      </c>
      <c r="K609" s="33" t="str">
        <f>IFERROR(__xludf.DUMMYFUNCTION("""COMPUTED_VALUE"""),"AUXILIAR")</f>
        <v>AUXILIAR</v>
      </c>
      <c r="L609" s="34" t="str">
        <f>IFERROR(__xludf.DUMMYFUNCTION("""COMPUTED_VALUE"""),"INTERNO")</f>
        <v>INTERNO</v>
      </c>
      <c r="M609" s="34">
        <f>IFERROR(__xludf.DUMMYFUNCTION("""COMPUTED_VALUE"""),1.0)</f>
        <v>1</v>
      </c>
      <c r="N609" s="34" t="str">
        <f>IFERROR(__xludf.DUMMYFUNCTION("""COMPUTED_VALUE"""),"NO")</f>
        <v>NO</v>
      </c>
      <c r="Q609" s="35"/>
      <c r="R609" s="36" t="str">
        <f>IFERROR(__xludf.DUMMYFUNCTION("""COMPUTED_VALUE"""),"SELECCIONADO")</f>
        <v>SELECCIONADO</v>
      </c>
      <c r="S609" s="37">
        <f>IFERROR(__xludf.DUMMYFUNCTION("""COMPUTED_VALUE"""),41701.0)</f>
        <v>41701</v>
      </c>
      <c r="T609" s="34" t="str">
        <f>IFERROR(__xludf.DUMMYFUNCTION("""COMPUTED_VALUE"""),"PATRICIO EDUARDO RIVERA RETAMAL")</f>
        <v>PATRICIO EDUARDO RIVERA RETAMAL</v>
      </c>
      <c r="V609" t="str">
        <f>IFERROR(__xludf.DUMMYFUNCTION("""COMPUTED_VALUE"""),"13137647-2")</f>
        <v>13137647-2</v>
      </c>
      <c r="AA609" s="38">
        <f>IFERROR(__xludf.DUMMYFUNCTION("""COMPUTED_VALUE"""),41645.0)</f>
        <v>41645</v>
      </c>
      <c r="AB609" s="38">
        <f>IFERROR(__xludf.DUMMYFUNCTION("""COMPUTED_VALUE"""),41648.0)</f>
        <v>41648</v>
      </c>
      <c r="AC609">
        <f>IFERROR(__xludf.DUMMYFUNCTION("""COMPUTED_VALUE"""),19.0)</f>
        <v>19</v>
      </c>
      <c r="AD609" t="str">
        <f>IFERROR(__xludf.DUMMYFUNCTION("""COMPUTED_VALUE"""),"TECNICO")</f>
        <v>TECNICO</v>
      </c>
      <c r="AF609" s="39" t="str">
        <f>IFERROR(__xludf.DUMMYFUNCTION("""COMPUTED_VALUE"""),"INSPECTOR DE SALA")</f>
        <v>INSPECTOR DE SALA</v>
      </c>
      <c r="AG609" s="39"/>
      <c r="AH609" s="34" t="str">
        <f>IFERROR(__xludf.DUMMYFUNCTION("""COMPUTED_VALUE"""),"PROCESO DE SELECCIÓN")</f>
        <v>PROCESO DE SELECCIÓN</v>
      </c>
      <c r="AI609" s="34"/>
      <c r="AJ609" s="34"/>
      <c r="AK609" s="34"/>
      <c r="AL609">
        <f>IFERROR(__xludf.DUMMYFUNCTION("""COMPUTED_VALUE"""),38.0)</f>
        <v>38</v>
      </c>
      <c r="AM609">
        <f>IFERROR(__xludf.DUMMYFUNCTION("""COMPUTED_VALUE"""),2014.0)</f>
        <v>2014</v>
      </c>
      <c r="AN609" t="str">
        <f t="shared" si="1"/>
        <v>13137647-2</v>
      </c>
    </row>
    <row r="610">
      <c r="A610" s="33">
        <f>IFERROR(__xludf.DUMMYFUNCTION("""COMPUTED_VALUE"""),1.6076753E7)</f>
        <v>16076753</v>
      </c>
      <c r="B610" s="33">
        <f>IFERROR(__xludf.DUMMYFUNCTION("""COMPUTED_VALUE"""),16.0)</f>
        <v>16</v>
      </c>
      <c r="C610" s="33"/>
      <c r="D610" s="34" t="str">
        <f>IFERROR(__xludf.DUMMYFUNCTION("""COMPUTED_VALUE"""),"VICERRECTORIA ACADEMICA")</f>
        <v>VICERRECTORIA ACADEMICA</v>
      </c>
      <c r="E610" s="34" t="str">
        <f>IFERROR(__xludf.DUMMYFUNCTION("""COMPUTED_VALUE"""),"PROGRAMA BACHILLERATO")</f>
        <v>PROGRAMA BACHILLERATO</v>
      </c>
      <c r="F610" s="34" t="str">
        <f>IFERROR(__xludf.DUMMYFUNCTION("""COMPUTED_VALUE"""),"Técnico de Laboratorio")</f>
        <v>Técnico de Laboratorio</v>
      </c>
      <c r="G610" s="33" t="str">
        <f>IFERROR(__xludf.DUMMYFUNCTION("""COMPUTED_VALUE"""),"TECNICO DE LABORATORIO")</f>
        <v>TECNICO DE LABORATORIO</v>
      </c>
      <c r="H610">
        <f>IFERROR(__xludf.DUMMYFUNCTION("""COMPUTED_VALUE"""),17.0)</f>
        <v>17</v>
      </c>
      <c r="I610" s="34"/>
      <c r="J610" s="33" t="str">
        <f>IFERROR(__xludf.DUMMYFUNCTION("""COMPUTED_VALUE"""),"A CONTRATA")</f>
        <v>A CONTRATA</v>
      </c>
      <c r="K610" s="33" t="str">
        <f>IFERROR(__xludf.DUMMYFUNCTION("""COMPUTED_VALUE"""),"TECNICO")</f>
        <v>TECNICO</v>
      </c>
      <c r="L610" s="34" t="str">
        <f>IFERROR(__xludf.DUMMYFUNCTION("""COMPUTED_VALUE"""),"INTERNO")</f>
        <v>INTERNO</v>
      </c>
      <c r="M610" s="34">
        <f>IFERROR(__xludf.DUMMYFUNCTION("""COMPUTED_VALUE"""),1.0)</f>
        <v>1</v>
      </c>
      <c r="N610" s="34" t="str">
        <f>IFERROR(__xludf.DUMMYFUNCTION("""COMPUTED_VALUE"""),"NO")</f>
        <v>NO</v>
      </c>
      <c r="Q610" s="35"/>
      <c r="R610" s="36" t="str">
        <f>IFERROR(__xludf.DUMMYFUNCTION("""COMPUTED_VALUE"""),"SELECCIONADO")</f>
        <v>SELECCIONADO</v>
      </c>
      <c r="S610" s="37">
        <f>IFERROR(__xludf.DUMMYFUNCTION("""COMPUTED_VALUE"""),41708.0)</f>
        <v>41708</v>
      </c>
      <c r="T610" s="34" t="str">
        <f>IFERROR(__xludf.DUMMYFUNCTION("""COMPUTED_VALUE"""),"SERGIO ANDRES BRAVO VERGARA")</f>
        <v>SERGIO ANDRES BRAVO VERGARA</v>
      </c>
      <c r="V610" t="str">
        <f>IFERROR(__xludf.DUMMYFUNCTION("""COMPUTED_VALUE"""),"16076753-7")</f>
        <v>16076753-7</v>
      </c>
      <c r="AA610" s="38">
        <f>IFERROR(__xludf.DUMMYFUNCTION("""COMPUTED_VALUE"""),41647.0)</f>
        <v>41647</v>
      </c>
      <c r="AB610" s="38">
        <f>IFERROR(__xludf.DUMMYFUNCTION("""COMPUTED_VALUE"""),41652.0)</f>
        <v>41652</v>
      </c>
      <c r="AF610" s="39"/>
      <c r="AG610" s="39"/>
      <c r="AH610" s="34" t="str">
        <f>IFERROR(__xludf.DUMMYFUNCTION("""COMPUTED_VALUE"""),"PROCESO DE SELECCIÓN")</f>
        <v>PROCESO DE SELECCIÓN</v>
      </c>
      <c r="AI610" s="34"/>
      <c r="AJ610" s="34"/>
      <c r="AK610" s="34"/>
      <c r="AL610">
        <f>IFERROR(__xludf.DUMMYFUNCTION("""COMPUTED_VALUE"""),41.0)</f>
        <v>41</v>
      </c>
      <c r="AM610">
        <f>IFERROR(__xludf.DUMMYFUNCTION("""COMPUTED_VALUE"""),2014.0)</f>
        <v>2014</v>
      </c>
      <c r="AN610" t="str">
        <f t="shared" si="1"/>
        <v>16076753-7</v>
      </c>
    </row>
    <row r="611">
      <c r="A611" s="33">
        <f>IFERROR(__xludf.DUMMYFUNCTION("""COMPUTED_VALUE"""),1.2359929E7)</f>
        <v>12359929</v>
      </c>
      <c r="B611" s="33">
        <f>IFERROR(__xludf.DUMMYFUNCTION("""COMPUTED_VALUE"""),10.0)</f>
        <v>10</v>
      </c>
      <c r="C611" s="33"/>
      <c r="D611" s="34" t="str">
        <f>IFERROR(__xludf.DUMMYFUNCTION("""COMPUTED_VALUE"""),"VICERRECTORIA DE APOYO AL ESTUDIANTE")</f>
        <v>VICERRECTORIA DE APOYO AL ESTUDIANTE</v>
      </c>
      <c r="E611" s="34" t="str">
        <f>IFERROR(__xludf.DUMMYFUNCTION("""COMPUTED_VALUE"""),"VICERRECTORIA DE APOYO AL ESTUDIANTE")</f>
        <v>VICERRECTORIA DE APOYO AL ESTUDIANTE</v>
      </c>
      <c r="F611" s="34" t="str">
        <f>IFERROR(__xludf.DUMMYFUNCTION("""COMPUTED_VALUE"""),"Secretario A")</f>
        <v>Secretario A</v>
      </c>
      <c r="G611" s="33" t="str">
        <f>IFERROR(__xludf.DUMMYFUNCTION("""COMPUTED_VALUE"""),"SECRETARIA DE VICERRECTORIA")</f>
        <v>SECRETARIA DE VICERRECTORIA</v>
      </c>
      <c r="H611">
        <f>IFERROR(__xludf.DUMMYFUNCTION("""COMPUTED_VALUE"""),13.0)</f>
        <v>13</v>
      </c>
      <c r="I611" s="34"/>
      <c r="J611" s="33" t="str">
        <f>IFERROR(__xludf.DUMMYFUNCTION("""COMPUTED_VALUE"""),"A CONTRATA")</f>
        <v>A CONTRATA</v>
      </c>
      <c r="K611" s="33" t="str">
        <f>IFERROR(__xludf.DUMMYFUNCTION("""COMPUTED_VALUE"""),"ADMINISTRATIVO")</f>
        <v>ADMINISTRATIVO</v>
      </c>
      <c r="L611" s="34" t="str">
        <f>IFERROR(__xludf.DUMMYFUNCTION("""COMPUTED_VALUE"""),"INTERNO")</f>
        <v>INTERNO</v>
      </c>
      <c r="M611" s="34">
        <f>IFERROR(__xludf.DUMMYFUNCTION("""COMPUTED_VALUE"""),2.0)</f>
        <v>2</v>
      </c>
      <c r="N611" s="34" t="str">
        <f>IFERROR(__xludf.DUMMYFUNCTION("""COMPUTED_VALUE"""),"NO")</f>
        <v>NO</v>
      </c>
      <c r="O611">
        <f>IFERROR(__xludf.DUMMYFUNCTION("""COMPUTED_VALUE"""),13.0)</f>
        <v>13</v>
      </c>
      <c r="Q611" s="35"/>
      <c r="R611" s="36" t="str">
        <f>IFERROR(__xludf.DUMMYFUNCTION("""COMPUTED_VALUE"""),"SELECCIONADA")</f>
        <v>SELECCIONADA</v>
      </c>
      <c r="S611" s="37">
        <f>IFERROR(__xludf.DUMMYFUNCTION("""COMPUTED_VALUE"""),41704.0)</f>
        <v>41704</v>
      </c>
      <c r="T611" s="34" t="str">
        <f>IFERROR(__xludf.DUMMYFUNCTION("""COMPUTED_VALUE"""),"MAGDALENA CASTILLO DIAZ")</f>
        <v>MAGDALENA CASTILLO DIAZ</v>
      </c>
      <c r="V611" t="str">
        <f>IFERROR(__xludf.DUMMYFUNCTION("""COMPUTED_VALUE"""),"12359929-2")</f>
        <v>12359929-2</v>
      </c>
      <c r="AA611" s="38">
        <f>IFERROR(__xludf.DUMMYFUNCTION("""COMPUTED_VALUE"""),41649.0)</f>
        <v>41649</v>
      </c>
      <c r="AB611" s="38">
        <f>IFERROR(__xludf.DUMMYFUNCTION("""COMPUTED_VALUE"""),41655.0)</f>
        <v>41655</v>
      </c>
      <c r="AC611">
        <f>IFERROR(__xludf.DUMMYFUNCTION("""COMPUTED_VALUE"""),15.0)</f>
        <v>15</v>
      </c>
      <c r="AD611" t="str">
        <f>IFERROR(__xludf.DUMMYFUNCTION("""COMPUTED_VALUE"""),"ADMINISTRATIVO")</f>
        <v>ADMINISTRATIVO</v>
      </c>
      <c r="AF611" s="39" t="str">
        <f>IFERROR(__xludf.DUMMYFUNCTION("""COMPUTED_VALUE"""),"DEPARTAMENTO DE CALIDAD DE VIDA ESTUDIANTIL")</f>
        <v>DEPARTAMENTO DE CALIDAD DE VIDA ESTUDIANTIL</v>
      </c>
      <c r="AG611" s="39"/>
      <c r="AH611" s="34" t="str">
        <f>IFERROR(__xludf.DUMMYFUNCTION("""COMPUTED_VALUE"""),"PROCESO DE SELECCIÓN")</f>
        <v>PROCESO DE SELECCIÓN</v>
      </c>
      <c r="AI611" s="34"/>
      <c r="AJ611" s="34"/>
      <c r="AK611" s="34" t="str">
        <f>IFERROR(__xludf.DUMMYFUNCTION("""COMPUTED_VALUE"""),"P")</f>
        <v>P</v>
      </c>
      <c r="AL611">
        <f>IFERROR(__xludf.DUMMYFUNCTION("""COMPUTED_VALUE"""),36.0)</f>
        <v>36</v>
      </c>
      <c r="AM611">
        <f>IFERROR(__xludf.DUMMYFUNCTION("""COMPUTED_VALUE"""),2014.0)</f>
        <v>2014</v>
      </c>
      <c r="AN611" t="str">
        <f t="shared" si="1"/>
        <v>12359929-2</v>
      </c>
    </row>
    <row r="612">
      <c r="A612" s="33">
        <f>IFERROR(__xludf.DUMMYFUNCTION("""COMPUTED_VALUE"""),1.6418228E7)</f>
        <v>16418228</v>
      </c>
      <c r="B612" s="33">
        <f>IFERROR(__xludf.DUMMYFUNCTION("""COMPUTED_VALUE"""),22.0)</f>
        <v>22</v>
      </c>
      <c r="C612" s="33"/>
      <c r="D612" s="34" t="str">
        <f>IFERROR(__xludf.DUMMYFUNCTION("""COMPUTED_VALUE"""),"FACULTAD DE HUMANIDADES")</f>
        <v>FACULTAD DE HUMANIDADES</v>
      </c>
      <c r="E612" s="34" t="str">
        <f>IFERROR(__xludf.DUMMYFUNCTION("""COMPUTED_VALUE"""),"ESCUELA DE PERIODISMO")</f>
        <v>ESCUELA DE PERIODISMO</v>
      </c>
      <c r="F612" s="34" t="str">
        <f>IFERROR(__xludf.DUMMYFUNCTION("""COMPUTED_VALUE"""),"Estafeta")</f>
        <v>Estafeta</v>
      </c>
      <c r="G612" s="33" t="str">
        <f>IFERROR(__xludf.DUMMYFUNCTION("""COMPUTED_VALUE"""),"ESTAFETA")</f>
        <v>ESTAFETA</v>
      </c>
      <c r="H612">
        <f>IFERROR(__xludf.DUMMYFUNCTION("""COMPUTED_VALUE"""),23.0)</f>
        <v>23</v>
      </c>
      <c r="I612" s="34"/>
      <c r="J612" s="33" t="str">
        <f>IFERROR(__xludf.DUMMYFUNCTION("""COMPUTED_VALUE"""),"A CONTRATA")</f>
        <v>A CONTRATA</v>
      </c>
      <c r="K612" s="33" t="str">
        <f>IFERROR(__xludf.DUMMYFUNCTION("""COMPUTED_VALUE"""),"AUXILIAR")</f>
        <v>AUXILIAR</v>
      </c>
      <c r="L612" s="34" t="str">
        <f>IFERROR(__xludf.DUMMYFUNCTION("""COMPUTED_VALUE"""),"INTERNO")</f>
        <v>INTERNO</v>
      </c>
      <c r="M612" s="34">
        <f>IFERROR(__xludf.DUMMYFUNCTION("""COMPUTED_VALUE"""),0.0)</f>
        <v>0</v>
      </c>
      <c r="N612" s="34" t="str">
        <f>IFERROR(__xludf.DUMMYFUNCTION("""COMPUTED_VALUE"""),"EXTERNO")</f>
        <v>EXTERNO</v>
      </c>
      <c r="O612">
        <f>IFERROR(__xludf.DUMMYFUNCTION("""COMPUTED_VALUE"""),6.0)</f>
        <v>6</v>
      </c>
      <c r="Q612" s="35"/>
      <c r="R612" s="36" t="str">
        <f>IFERROR(__xludf.DUMMYFUNCTION("""COMPUTED_VALUE"""),"SELECCIONADO")</f>
        <v>SELECCIONADO</v>
      </c>
      <c r="S612" s="37">
        <f>IFERROR(__xludf.DUMMYFUNCTION("""COMPUTED_VALUE"""),41722.0)</f>
        <v>41722</v>
      </c>
      <c r="T612" s="34"/>
      <c r="U612" t="str">
        <f>IFERROR(__xludf.DUMMYFUNCTION("""COMPUTED_VALUE"""),"JOSE HUENUQUEO FERRADA")</f>
        <v>JOSE HUENUQUEO FERRADA</v>
      </c>
      <c r="V612" t="str">
        <f>IFERROR(__xludf.DUMMYFUNCTION("""COMPUTED_VALUE"""),"16418228-2")</f>
        <v>16418228-2</v>
      </c>
      <c r="AA612" s="38">
        <f>IFERROR(__xludf.DUMMYFUNCTION("""COMPUTED_VALUE"""),41652.0)</f>
        <v>41652</v>
      </c>
      <c r="AB612" s="38">
        <f>IFERROR(__xludf.DUMMYFUNCTION("""COMPUTED_VALUE"""),41655.0)</f>
        <v>41655</v>
      </c>
      <c r="AF612" s="39"/>
      <c r="AG612" s="39"/>
      <c r="AH612" s="34" t="str">
        <f>IFERROR(__xludf.DUMMYFUNCTION("""COMPUTED_VALUE"""),"PROCESO DE SELECCIÓN")</f>
        <v>PROCESO DE SELECCIÓN</v>
      </c>
      <c r="AI612" s="34"/>
      <c r="AJ612" s="34"/>
      <c r="AK612" s="34"/>
      <c r="AL612">
        <f>IFERROR(__xludf.DUMMYFUNCTION("""COMPUTED_VALUE"""),48.0)</f>
        <v>48</v>
      </c>
      <c r="AM612">
        <f>IFERROR(__xludf.DUMMYFUNCTION("""COMPUTED_VALUE"""),2014.0)</f>
        <v>2014</v>
      </c>
      <c r="AN612" t="str">
        <f t="shared" si="1"/>
        <v>16418228-2</v>
      </c>
    </row>
    <row r="613">
      <c r="A613" s="33">
        <f>IFERROR(__xludf.DUMMYFUNCTION("""COMPUTED_VALUE"""),1.210064E7)</f>
        <v>12100640</v>
      </c>
      <c r="B613" s="33">
        <f>IFERROR(__xludf.DUMMYFUNCTION("""COMPUTED_VALUE"""),63.0)</f>
        <v>63</v>
      </c>
      <c r="C613" s="33"/>
      <c r="D613" s="34" t="str">
        <f>IFERROR(__xludf.DUMMYFUNCTION("""COMPUTED_VALUE"""),"VICERRECTORIA DE VINCULACION CON EL MEDIO")</f>
        <v>VICERRECTORIA DE VINCULACION CON EL MEDIO</v>
      </c>
      <c r="E613" s="34" t="str">
        <f>IFERROR(__xludf.DUMMYFUNCTION("""COMPUTED_VALUE"""),"DEPARTAMENTO DE RELACIONES INTERUNIVERSITARIAS E INTERNACIONALES")</f>
        <v>DEPARTAMENTO DE RELACIONES INTERUNIVERSITARIAS E INTERNACIONALES</v>
      </c>
      <c r="F613" s="34" t="str">
        <f>IFERROR(__xludf.DUMMYFUNCTION("""COMPUTED_VALUE"""),"Analista de Gestión I")</f>
        <v>Analista de Gestión I</v>
      </c>
      <c r="G613" s="33" t="str">
        <f>IFERROR(__xludf.DUMMYFUNCTION("""COMPUTED_VALUE"""),"ANALISTA DE GESTION")</f>
        <v>ANALISTA DE GESTION</v>
      </c>
      <c r="H613">
        <f>IFERROR(__xludf.DUMMYFUNCTION("""COMPUTED_VALUE"""),8.0)</f>
        <v>8</v>
      </c>
      <c r="I613" s="34"/>
      <c r="J613" s="33" t="str">
        <f>IFERROR(__xludf.DUMMYFUNCTION("""COMPUTED_VALUE"""),"A CONTRATA")</f>
        <v>A CONTRATA</v>
      </c>
      <c r="K613" s="33" t="str">
        <f>IFERROR(__xludf.DUMMYFUNCTION("""COMPUTED_VALUE"""),"PROFESIONAL")</f>
        <v>PROFESIONAL</v>
      </c>
      <c r="L613" s="34" t="str">
        <f>IFERROR(__xludf.DUMMYFUNCTION("""COMPUTED_VALUE"""),"INTERNO")</f>
        <v>INTERNO</v>
      </c>
      <c r="M613" s="34">
        <f>IFERROR(__xludf.DUMMYFUNCTION("""COMPUTED_VALUE"""),2.0)</f>
        <v>2</v>
      </c>
      <c r="N613" s="34" t="str">
        <f>IFERROR(__xludf.DUMMYFUNCTION("""COMPUTED_VALUE"""),"EXTERNO")</f>
        <v>EXTERNO</v>
      </c>
      <c r="O613">
        <f>IFERROR(__xludf.DUMMYFUNCTION("""COMPUTED_VALUE"""),37.0)</f>
        <v>37</v>
      </c>
      <c r="P613">
        <f>IFERROR(__xludf.DUMMYFUNCTION("""COMPUTED_VALUE"""),4.0)</f>
        <v>4</v>
      </c>
      <c r="Q613" s="35">
        <f>IFERROR(__xludf.DUMMYFUNCTION("""COMPUTED_VALUE"""),1.0)</f>
        <v>1</v>
      </c>
      <c r="R613" s="36" t="str">
        <f>IFERROR(__xludf.DUMMYFUNCTION("""COMPUTED_VALUE"""),"SELECCIONADA")</f>
        <v>SELECCIONADA</v>
      </c>
      <c r="S613" s="37">
        <f>IFERROR(__xludf.DUMMYFUNCTION("""COMPUTED_VALUE"""),41757.0)</f>
        <v>41757</v>
      </c>
      <c r="T613" s="34"/>
      <c r="U613" t="str">
        <f>IFERROR(__xludf.DUMMYFUNCTION("""COMPUTED_VALUE"""),"BILHA OJEDA TAPIA")</f>
        <v>BILHA OJEDA TAPIA</v>
      </c>
      <c r="V613" t="str">
        <f>IFERROR(__xludf.DUMMYFUNCTION("""COMPUTED_VALUE"""),"12100640-5")</f>
        <v>12100640-5</v>
      </c>
      <c r="AA613" s="38">
        <f>IFERROR(__xludf.DUMMYFUNCTION("""COMPUTED_VALUE"""),41648.0)</f>
        <v>41648</v>
      </c>
      <c r="AB613" s="38">
        <f>IFERROR(__xludf.DUMMYFUNCTION("""COMPUTED_VALUE"""),41655.0)</f>
        <v>41655</v>
      </c>
      <c r="AF613" s="39"/>
      <c r="AG613" s="39"/>
      <c r="AH613" s="34" t="str">
        <f>IFERROR(__xludf.DUMMYFUNCTION("""COMPUTED_VALUE"""),"PROCESO DE SELECCIÓN")</f>
        <v>PROCESO DE SELECCIÓN</v>
      </c>
      <c r="AI613" s="34"/>
      <c r="AJ613" s="34"/>
      <c r="AK613" s="34" t="str">
        <f>IFERROR(__xludf.DUMMYFUNCTION("""COMPUTED_VALUE"""),"E")</f>
        <v>E</v>
      </c>
      <c r="AL613">
        <f>IFERROR(__xludf.DUMMYFUNCTION("""COMPUTED_VALUE"""),73.0)</f>
        <v>73</v>
      </c>
      <c r="AM613">
        <f>IFERROR(__xludf.DUMMYFUNCTION("""COMPUTED_VALUE"""),2014.0)</f>
        <v>2014</v>
      </c>
      <c r="AN613" t="str">
        <f t="shared" si="1"/>
        <v>12100640-5</v>
      </c>
    </row>
    <row r="614">
      <c r="A614" s="33">
        <f>IFERROR(__xludf.DUMMYFUNCTION("""COMPUTED_VALUE"""),1.8698458E7)</f>
        <v>18698458</v>
      </c>
      <c r="B614" s="33">
        <f>IFERROR(__xludf.DUMMYFUNCTION("""COMPUTED_VALUE"""),109.0)</f>
        <v>109</v>
      </c>
      <c r="C614" s="33"/>
      <c r="D614" s="34" t="str">
        <f>IFERROR(__xludf.DUMMYFUNCTION("""COMPUTED_VALUE"""),"PRORRECTORIA")</f>
        <v>PRORRECTORIA</v>
      </c>
      <c r="E614" s="34" t="str">
        <f>IFERROR(__xludf.DUMMYFUNCTION("""COMPUTED_VALUE"""),"DEPARTAMENTO DE DESARROLLO DE PERSONAS")</f>
        <v>DEPARTAMENTO DE DESARROLLO DE PERSONAS</v>
      </c>
      <c r="F614" s="34" t="str">
        <f>IFERROR(__xludf.DUMMYFUNCTION("""COMPUTED_VALUE"""),"Administrativo de Apoyo")</f>
        <v>Administrativo de Apoyo</v>
      </c>
      <c r="G614" s="33" t="str">
        <f>IFERROR(__xludf.DUMMYFUNCTION("""COMPUTED_VALUE"""),"ADMINISTRATIVO DE APOYO")</f>
        <v>ADMINISTRATIVO DE APOYO</v>
      </c>
      <c r="H614">
        <f>IFERROR(__xludf.DUMMYFUNCTION("""COMPUTED_VALUE"""),20.0)</f>
        <v>20</v>
      </c>
      <c r="I614" s="34"/>
      <c r="J614" s="33" t="str">
        <f>IFERROR(__xludf.DUMMYFUNCTION("""COMPUTED_VALUE"""),"A CONTRATA")</f>
        <v>A CONTRATA</v>
      </c>
      <c r="K614" s="33" t="str">
        <f>IFERROR(__xludf.DUMMYFUNCTION("""COMPUTED_VALUE"""),"ADMINISTRATIVO")</f>
        <v>ADMINISTRATIVO</v>
      </c>
      <c r="L614" s="34" t="str">
        <f>IFERROR(__xludf.DUMMYFUNCTION("""COMPUTED_VALUE"""),"INTERNO")</f>
        <v>INTERNO</v>
      </c>
      <c r="M614" s="34">
        <f>IFERROR(__xludf.DUMMYFUNCTION("""COMPUTED_VALUE"""),2.0)</f>
        <v>2</v>
      </c>
      <c r="N614" s="34" t="str">
        <f>IFERROR(__xludf.DUMMYFUNCTION("""COMPUTED_VALUE"""),"EXTERNO")</f>
        <v>EXTERNO</v>
      </c>
      <c r="O614">
        <f>IFERROR(__xludf.DUMMYFUNCTION("""COMPUTED_VALUE"""),13.0)</f>
        <v>13</v>
      </c>
      <c r="P614">
        <f>IFERROR(__xludf.DUMMYFUNCTION("""COMPUTED_VALUE"""),2.0)</f>
        <v>2</v>
      </c>
      <c r="Q614" s="35">
        <f>IFERROR(__xludf.DUMMYFUNCTION("""COMPUTED_VALUE"""),1.0)</f>
        <v>1</v>
      </c>
      <c r="R614" s="36" t="str">
        <f>IFERROR(__xludf.DUMMYFUNCTION("""COMPUTED_VALUE"""),"SELECCIONADA")</f>
        <v>SELECCIONADA</v>
      </c>
      <c r="S614" s="37">
        <f>IFERROR(__xludf.DUMMYFUNCTION("""COMPUTED_VALUE"""),41711.0)</f>
        <v>41711</v>
      </c>
      <c r="T614" s="34"/>
      <c r="U614" t="str">
        <f>IFERROR(__xludf.DUMMYFUNCTION("""COMPUTED_VALUE"""),"CAROLINA FARAY FARAY")</f>
        <v>CAROLINA FARAY FARAY</v>
      </c>
      <c r="V614" t="str">
        <f>IFERROR(__xludf.DUMMYFUNCTION("""COMPUTED_VALUE"""),"18698458-6")</f>
        <v>18698458-6</v>
      </c>
      <c r="W614" t="str">
        <f>IFERROR(__xludf.DUMMYFUNCTION("""COMPUTED_VALUE"""),"No")</f>
        <v>No</v>
      </c>
      <c r="AA614" s="38">
        <f>IFERROR(__xludf.DUMMYFUNCTION("""COMPUTED_VALUE"""),41659.0)</f>
        <v>41659</v>
      </c>
      <c r="AB614" s="38">
        <f>IFERROR(__xludf.DUMMYFUNCTION("""COMPUTED_VALUE"""),41662.0)</f>
        <v>41662</v>
      </c>
      <c r="AF614" s="39"/>
      <c r="AG614" s="39"/>
      <c r="AH614" s="34" t="str">
        <f>IFERROR(__xludf.DUMMYFUNCTION("""COMPUTED_VALUE"""),"PROCESO DE SELECCIÓN")</f>
        <v>PROCESO DE SELECCIÓN</v>
      </c>
      <c r="AI614" s="34"/>
      <c r="AJ614" s="34"/>
      <c r="AK614" s="34" t="str">
        <f>IFERROR(__xludf.DUMMYFUNCTION("""COMPUTED_VALUE"""),"C")</f>
        <v>C</v>
      </c>
      <c r="AL614">
        <f>IFERROR(__xludf.DUMMYFUNCTION("""COMPUTED_VALUE"""),36.0)</f>
        <v>36</v>
      </c>
      <c r="AM614">
        <f>IFERROR(__xludf.DUMMYFUNCTION("""COMPUTED_VALUE"""),2014.0)</f>
        <v>2014</v>
      </c>
      <c r="AN614" t="str">
        <f t="shared" si="1"/>
        <v>18698458-6</v>
      </c>
    </row>
    <row r="615">
      <c r="A615" s="33">
        <f>IFERROR(__xludf.DUMMYFUNCTION("""COMPUTED_VALUE"""),1.739137E7)</f>
        <v>17391370</v>
      </c>
      <c r="B615" s="33">
        <f>IFERROR(__xludf.DUMMYFUNCTION("""COMPUTED_VALUE"""),53.0)</f>
        <v>53</v>
      </c>
      <c r="C615" s="33"/>
      <c r="D615" s="34" t="str">
        <f>IFERROR(__xludf.DUMMYFUNCTION("""COMPUTED_VALUE"""),"VICERRECTORIA DE APOYO AL ESTUDIANTE")</f>
        <v>VICERRECTORIA DE APOYO AL ESTUDIANTE</v>
      </c>
      <c r="E615" s="34" t="str">
        <f>IFERROR(__xludf.DUMMYFUNCTION("""COMPUTED_VALUE"""),"DEPARTAMENTO DE BENEFICIOS ESTUDIANTILES")</f>
        <v>DEPARTAMENTO DE BENEFICIOS ESTUDIANTILES</v>
      </c>
      <c r="F615" s="34" t="str">
        <f>IFERROR(__xludf.DUMMYFUNCTION("""COMPUTED_VALUE"""),"Secretario C")</f>
        <v>Secretario C</v>
      </c>
      <c r="G615" s="33" t="str">
        <f>IFERROR(__xludf.DUMMYFUNCTION("""COMPUTED_VALUE"""),"SECRETARIA ADMINISTRATIVA")</f>
        <v>SECRETARIA ADMINISTRATIVA</v>
      </c>
      <c r="H615">
        <f>IFERROR(__xludf.DUMMYFUNCTION("""COMPUTED_VALUE"""),20.0)</f>
        <v>20</v>
      </c>
      <c r="I615" s="34"/>
      <c r="J615" s="33" t="str">
        <f>IFERROR(__xludf.DUMMYFUNCTION("""COMPUTED_VALUE"""),"A CONTRATA")</f>
        <v>A CONTRATA</v>
      </c>
      <c r="K615" s="33" t="str">
        <f>IFERROR(__xludf.DUMMYFUNCTION("""COMPUTED_VALUE"""),"ADMINISTRATIVO")</f>
        <v>ADMINISTRATIVO</v>
      </c>
      <c r="L615" s="34" t="str">
        <f>IFERROR(__xludf.DUMMYFUNCTION("""COMPUTED_VALUE"""),"INTERNO")</f>
        <v>INTERNO</v>
      </c>
      <c r="M615" s="34">
        <f>IFERROR(__xludf.DUMMYFUNCTION("""COMPUTED_VALUE"""),0.0)</f>
        <v>0</v>
      </c>
      <c r="N615" s="34" t="str">
        <f>IFERROR(__xludf.DUMMYFUNCTION("""COMPUTED_VALUE"""),"EXTERNO")</f>
        <v>EXTERNO</v>
      </c>
      <c r="O615">
        <f>IFERROR(__xludf.DUMMYFUNCTION("""COMPUTED_VALUE"""),11.0)</f>
        <v>11</v>
      </c>
      <c r="Q615" s="35"/>
      <c r="R615" s="36" t="str">
        <f>IFERROR(__xludf.DUMMYFUNCTION("""COMPUTED_VALUE"""),"SELECCIONADA")</f>
        <v>SELECCIONADA</v>
      </c>
      <c r="S615" s="37">
        <f>IFERROR(__xludf.DUMMYFUNCTION("""COMPUTED_VALUE"""),41841.0)</f>
        <v>41841</v>
      </c>
      <c r="T615" s="34"/>
      <c r="U615" t="str">
        <f>IFERROR(__xludf.DUMMYFUNCTION("""COMPUTED_VALUE"""),"INGER VEGA GALARCE")</f>
        <v>INGER VEGA GALARCE</v>
      </c>
      <c r="V615" t="str">
        <f>IFERROR(__xludf.DUMMYFUNCTION("""COMPUTED_VALUE"""),"17391370-2")</f>
        <v>17391370-2</v>
      </c>
      <c r="AA615" s="38">
        <f>IFERROR(__xludf.DUMMYFUNCTION("""COMPUTED_VALUE"""),41658.0)</f>
        <v>41658</v>
      </c>
      <c r="AB615" s="38">
        <f>IFERROR(__xludf.DUMMYFUNCTION("""COMPUTED_VALUE"""),41665.0)</f>
        <v>41665</v>
      </c>
      <c r="AF615" s="39"/>
      <c r="AG615" s="39"/>
      <c r="AH615" s="34" t="str">
        <f>IFERROR(__xludf.DUMMYFUNCTION("""COMPUTED_VALUE"""),"PROCESO DE SELECCIÓN")</f>
        <v>PROCESO DE SELECCIÓN</v>
      </c>
      <c r="AI615" s="34"/>
      <c r="AJ615" s="34"/>
      <c r="AK615" s="34" t="str">
        <f>IFERROR(__xludf.DUMMYFUNCTION("""COMPUTED_VALUE"""),"P")</f>
        <v>P</v>
      </c>
      <c r="AL615">
        <f>IFERROR(__xludf.DUMMYFUNCTION("""COMPUTED_VALUE"""),126.0)</f>
        <v>126</v>
      </c>
      <c r="AM615">
        <f>IFERROR(__xludf.DUMMYFUNCTION("""COMPUTED_VALUE"""),2014.0)</f>
        <v>2014</v>
      </c>
      <c r="AN615" t="str">
        <f t="shared" si="1"/>
        <v>17391370-2</v>
      </c>
    </row>
    <row r="616">
      <c r="A616" s="33">
        <f>IFERROR(__xludf.DUMMYFUNCTION("""COMPUTED_VALUE"""),1.3292352E7)</f>
        <v>13292352</v>
      </c>
      <c r="B616" s="33">
        <f>IFERROR(__xludf.DUMMYFUNCTION("""COMPUTED_VALUE"""),24.0)</f>
        <v>24</v>
      </c>
      <c r="C616" s="33"/>
      <c r="D616" s="34" t="str">
        <f>IFERROR(__xludf.DUMMYFUNCTION("""COMPUTED_VALUE"""),"PRORRECTORIA")</f>
        <v>PRORRECTORIA</v>
      </c>
      <c r="E616" s="34" t="str">
        <f>IFERROR(__xludf.DUMMYFUNCTION("""COMPUTED_VALUE"""),"DEPARTAMENTO DE PLANIFICACION PRESUPUESTARIA")</f>
        <v>DEPARTAMENTO DE PLANIFICACION PRESUPUESTARIA</v>
      </c>
      <c r="F616" s="34" t="str">
        <f>IFERROR(__xludf.DUMMYFUNCTION("""COMPUTED_VALUE"""),"Analista Presupuestario")</f>
        <v>Analista Presupuestario</v>
      </c>
      <c r="G616" s="33" t="str">
        <f>IFERROR(__xludf.DUMMYFUNCTION("""COMPUTED_VALUE"""),"ANALISTA DE PLANIFICACION PRESUPUESTARIA")</f>
        <v>ANALISTA DE PLANIFICACION PRESUPUESTARIA</v>
      </c>
      <c r="H616">
        <f>IFERROR(__xludf.DUMMYFUNCTION("""COMPUTED_VALUE"""),10.0)</f>
        <v>10</v>
      </c>
      <c r="I616" s="34"/>
      <c r="J616" s="33" t="str">
        <f>IFERROR(__xludf.DUMMYFUNCTION("""COMPUTED_VALUE"""),"A CONTRATA")</f>
        <v>A CONTRATA</v>
      </c>
      <c r="K616" s="33" t="str">
        <f>IFERROR(__xludf.DUMMYFUNCTION("""COMPUTED_VALUE"""),"PROFESIONAL")</f>
        <v>PROFESIONAL</v>
      </c>
      <c r="L616" s="34" t="str">
        <f>IFERROR(__xludf.DUMMYFUNCTION("""COMPUTED_VALUE"""),"INTERNO")</f>
        <v>INTERNO</v>
      </c>
      <c r="M616" s="34">
        <f>IFERROR(__xludf.DUMMYFUNCTION("""COMPUTED_VALUE"""),9.0)</f>
        <v>9</v>
      </c>
      <c r="N616" s="34" t="str">
        <f>IFERROR(__xludf.DUMMYFUNCTION("""COMPUTED_VALUE"""),"EXTERNO")</f>
        <v>EXTERNO</v>
      </c>
      <c r="O616">
        <f>IFERROR(__xludf.DUMMYFUNCTION("""COMPUTED_VALUE"""),42.0)</f>
        <v>42</v>
      </c>
      <c r="Q616" s="35"/>
      <c r="R616" s="36" t="str">
        <f>IFERROR(__xludf.DUMMYFUNCTION("""COMPUTED_VALUE"""),"SELECCIONADO")</f>
        <v>SELECCIONADO</v>
      </c>
      <c r="S616" s="37">
        <f>IFERROR(__xludf.DUMMYFUNCTION("""COMPUTED_VALUE"""),41738.0)</f>
        <v>41738</v>
      </c>
      <c r="T616" s="34"/>
      <c r="U616" t="str">
        <f>IFERROR(__xludf.DUMMYFUNCTION("""COMPUTED_VALUE"""),"ARIEL LOPEZ GUZMAN")</f>
        <v>ARIEL LOPEZ GUZMAN</v>
      </c>
      <c r="V616" t="str">
        <f>IFERROR(__xludf.DUMMYFUNCTION("""COMPUTED_VALUE"""),"13292352-3")</f>
        <v>13292352-3</v>
      </c>
      <c r="AA616" s="38">
        <f>IFERROR(__xludf.DUMMYFUNCTION("""COMPUTED_VALUE"""),41703.0)</f>
        <v>41703</v>
      </c>
      <c r="AB616" s="38">
        <f>IFERROR(__xludf.DUMMYFUNCTION("""COMPUTED_VALUE"""),41710.0)</f>
        <v>41710</v>
      </c>
      <c r="AF616" s="39"/>
      <c r="AG616" s="39"/>
      <c r="AH616" s="34" t="str">
        <f>IFERROR(__xludf.DUMMYFUNCTION("""COMPUTED_VALUE"""),"PROCESO DE SELECCIÓN")</f>
        <v>PROCESO DE SELECCIÓN</v>
      </c>
      <c r="AI616" s="34"/>
      <c r="AJ616" s="34"/>
      <c r="AK616" s="34" t="str">
        <f>IFERROR(__xludf.DUMMYFUNCTION("""COMPUTED_VALUE"""),"E")</f>
        <v>E</v>
      </c>
      <c r="AL616">
        <f>IFERROR(__xludf.DUMMYFUNCTION("""COMPUTED_VALUE"""),21.0)</f>
        <v>21</v>
      </c>
      <c r="AM616">
        <f>IFERROR(__xludf.DUMMYFUNCTION("""COMPUTED_VALUE"""),2014.0)</f>
        <v>2014</v>
      </c>
      <c r="AN616" t="str">
        <f t="shared" si="1"/>
        <v>13292352-3</v>
      </c>
    </row>
    <row r="617">
      <c r="A617" s="33">
        <f>IFERROR(__xludf.DUMMYFUNCTION("""COMPUTED_VALUE"""),1.6006926E7)</f>
        <v>16006926</v>
      </c>
      <c r="B617" s="33">
        <f>IFERROR(__xludf.DUMMYFUNCTION("""COMPUTED_VALUE"""),25.0)</f>
        <v>25</v>
      </c>
      <c r="C617" s="33"/>
      <c r="D617" s="34" t="str">
        <f>IFERROR(__xludf.DUMMYFUNCTION("""COMPUTED_VALUE"""),"PRORRECTORIA")</f>
        <v>PRORRECTORIA</v>
      </c>
      <c r="E617" s="34" t="str">
        <f>IFERROR(__xludf.DUMMYFUNCTION("""COMPUTED_VALUE"""),"DEPARTAMENTO DE PLANIFICACION PRESUPUESTARIA")</f>
        <v>DEPARTAMENTO DE PLANIFICACION PRESUPUESTARIA</v>
      </c>
      <c r="F617" s="34" t="str">
        <f>IFERROR(__xludf.DUMMYFUNCTION("""COMPUTED_VALUE"""),"Analista Presupuestario")</f>
        <v>Analista Presupuestario</v>
      </c>
      <c r="G617" s="33" t="str">
        <f>IFERROR(__xludf.DUMMYFUNCTION("""COMPUTED_VALUE"""),"ANALISTA DE PLANIFICACION PRESUPUESTARIA")</f>
        <v>ANALISTA DE PLANIFICACION PRESUPUESTARIA</v>
      </c>
      <c r="H617">
        <f>IFERROR(__xludf.DUMMYFUNCTION("""COMPUTED_VALUE"""),10.0)</f>
        <v>10</v>
      </c>
      <c r="I617" s="34"/>
      <c r="J617" s="33" t="str">
        <f>IFERROR(__xludf.DUMMYFUNCTION("""COMPUTED_VALUE"""),"A CONTRATA")</f>
        <v>A CONTRATA</v>
      </c>
      <c r="K617" s="33" t="str">
        <f>IFERROR(__xludf.DUMMYFUNCTION("""COMPUTED_VALUE"""),"PROFESIONAL")</f>
        <v>PROFESIONAL</v>
      </c>
      <c r="L617" s="34" t="str">
        <f>IFERROR(__xludf.DUMMYFUNCTION("""COMPUTED_VALUE"""),"INTERNO")</f>
        <v>INTERNO</v>
      </c>
      <c r="M617" s="34">
        <f>IFERROR(__xludf.DUMMYFUNCTION("""COMPUTED_VALUE"""),9.0)</f>
        <v>9</v>
      </c>
      <c r="N617" s="34" t="str">
        <f>IFERROR(__xludf.DUMMYFUNCTION("""COMPUTED_VALUE"""),"EXTERNO")</f>
        <v>EXTERNO</v>
      </c>
      <c r="O617">
        <f>IFERROR(__xludf.DUMMYFUNCTION("""COMPUTED_VALUE"""),42.0)</f>
        <v>42</v>
      </c>
      <c r="Q617" s="35"/>
      <c r="R617" s="36" t="str">
        <f>IFERROR(__xludf.DUMMYFUNCTION("""COMPUTED_VALUE"""),"SELECCIONADO")</f>
        <v>SELECCIONADO</v>
      </c>
      <c r="S617" s="37">
        <f>IFERROR(__xludf.DUMMYFUNCTION("""COMPUTED_VALUE"""),41738.0)</f>
        <v>41738</v>
      </c>
      <c r="T617" s="34"/>
      <c r="U617" t="str">
        <f>IFERROR(__xludf.DUMMYFUNCTION("""COMPUTED_VALUE"""),"HERMAN KOHL CRUCES")</f>
        <v>HERMAN KOHL CRUCES</v>
      </c>
      <c r="V617" t="str">
        <f>IFERROR(__xludf.DUMMYFUNCTION("""COMPUTED_VALUE"""),"16006926-0")</f>
        <v>16006926-0</v>
      </c>
      <c r="AA617" s="38">
        <f>IFERROR(__xludf.DUMMYFUNCTION("""COMPUTED_VALUE"""),41703.0)</f>
        <v>41703</v>
      </c>
      <c r="AB617" s="38">
        <f>IFERROR(__xludf.DUMMYFUNCTION("""COMPUTED_VALUE"""),41710.0)</f>
        <v>41710</v>
      </c>
      <c r="AF617" s="39"/>
      <c r="AG617" s="39"/>
      <c r="AH617" s="34" t="str">
        <f>IFERROR(__xludf.DUMMYFUNCTION("""COMPUTED_VALUE"""),"PROCESO DE SELECCIÓN")</f>
        <v>PROCESO DE SELECCIÓN</v>
      </c>
      <c r="AI617" s="34"/>
      <c r="AJ617" s="34"/>
      <c r="AK617" s="34" t="str">
        <f>IFERROR(__xludf.DUMMYFUNCTION("""COMPUTED_VALUE"""),"E")</f>
        <v>E</v>
      </c>
      <c r="AL617">
        <f>IFERROR(__xludf.DUMMYFUNCTION("""COMPUTED_VALUE"""),21.0)</f>
        <v>21</v>
      </c>
      <c r="AM617">
        <f>IFERROR(__xludf.DUMMYFUNCTION("""COMPUTED_VALUE"""),2014.0)</f>
        <v>2014</v>
      </c>
      <c r="AN617" t="str">
        <f t="shared" si="1"/>
        <v>16006926-0</v>
      </c>
    </row>
    <row r="618">
      <c r="A618" s="33">
        <f>IFERROR(__xludf.DUMMYFUNCTION("""COMPUTED_VALUE"""),1.3656668E7)</f>
        <v>13656668</v>
      </c>
      <c r="B618" s="33">
        <f>IFERROR(__xludf.DUMMYFUNCTION("""COMPUTED_VALUE"""),46.0)</f>
        <v>46</v>
      </c>
      <c r="C618" s="33"/>
      <c r="D618" s="34" t="str">
        <f>IFERROR(__xludf.DUMMYFUNCTION("""COMPUTED_VALUE"""),"FACULTAD DE CIENCIAS MEDICAS")</f>
        <v>FACULTAD DE CIENCIAS MEDICAS</v>
      </c>
      <c r="E618" s="34" t="str">
        <f>IFERROR(__xludf.DUMMYFUNCTION("""COMPUTED_VALUE"""),"HOSPITAL EL PINO")</f>
        <v>HOSPITAL EL PINO</v>
      </c>
      <c r="F618" s="34" t="str">
        <f>IFERROR(__xludf.DUMMYFUNCTION("""COMPUTED_VALUE"""),"Auxiliar de Servicios")</f>
        <v>Auxiliar de Servicios</v>
      </c>
      <c r="G618" s="33" t="str">
        <f>IFERROR(__xludf.DUMMYFUNCTION("""COMPUTED_VALUE"""),"AUXILIAR DE SERVICIOS")</f>
        <v>AUXILIAR DE SERVICIOS</v>
      </c>
      <c r="H618">
        <f>IFERROR(__xludf.DUMMYFUNCTION("""COMPUTED_VALUE"""),24.0)</f>
        <v>24</v>
      </c>
      <c r="I618" s="34"/>
      <c r="J618" s="33" t="str">
        <f>IFERROR(__xludf.DUMMYFUNCTION("""COMPUTED_VALUE"""),"A CONTRATA")</f>
        <v>A CONTRATA</v>
      </c>
      <c r="K618" s="33" t="str">
        <f>IFERROR(__xludf.DUMMYFUNCTION("""COMPUTED_VALUE"""),"AUXILIAR")</f>
        <v>AUXILIAR</v>
      </c>
      <c r="L618" s="34" t="str">
        <f>IFERROR(__xludf.DUMMYFUNCTION("""COMPUTED_VALUE"""),"INTERNO")</f>
        <v>INTERNO</v>
      </c>
      <c r="M618" s="34">
        <f>IFERROR(__xludf.DUMMYFUNCTION("""COMPUTED_VALUE"""),0.0)</f>
        <v>0</v>
      </c>
      <c r="N618" s="34" t="str">
        <f>IFERROR(__xludf.DUMMYFUNCTION("""COMPUTED_VALUE"""),"EXTERNO")</f>
        <v>EXTERNO</v>
      </c>
      <c r="O618">
        <f>IFERROR(__xludf.DUMMYFUNCTION("""COMPUTED_VALUE"""),12.0)</f>
        <v>12</v>
      </c>
      <c r="Q618" s="35"/>
      <c r="R618" s="36" t="str">
        <f>IFERROR(__xludf.DUMMYFUNCTION("""COMPUTED_VALUE"""),"SELECCIONADA")</f>
        <v>SELECCIONADA</v>
      </c>
      <c r="S618" s="37">
        <f>IFERROR(__xludf.DUMMYFUNCTION("""COMPUTED_VALUE"""),41750.0)</f>
        <v>41750</v>
      </c>
      <c r="T618" s="34"/>
      <c r="U618" t="str">
        <f>IFERROR(__xludf.DUMMYFUNCTION("""COMPUTED_VALUE"""),"MARIA ARNAIZ PEREZ")</f>
        <v>MARIA ARNAIZ PEREZ</v>
      </c>
      <c r="V618" t="str">
        <f>IFERROR(__xludf.DUMMYFUNCTION("""COMPUTED_VALUE"""),"13656668-7")</f>
        <v>13656668-7</v>
      </c>
      <c r="AA618" s="38">
        <f>IFERROR(__xludf.DUMMYFUNCTION("""COMPUTED_VALUE"""),41703.0)</f>
        <v>41703</v>
      </c>
      <c r="AB618" s="38">
        <f>IFERROR(__xludf.DUMMYFUNCTION("""COMPUTED_VALUE"""),41710.0)</f>
        <v>41710</v>
      </c>
      <c r="AF618" s="39"/>
      <c r="AG618" s="39"/>
      <c r="AH618" s="34" t="str">
        <f>IFERROR(__xludf.DUMMYFUNCTION("""COMPUTED_VALUE"""),"PROCESO DE SELECCIÓN")</f>
        <v>PROCESO DE SELECCIÓN</v>
      </c>
      <c r="AI618" s="34"/>
      <c r="AJ618" s="34"/>
      <c r="AK618" s="34" t="str">
        <f>IFERROR(__xludf.DUMMYFUNCTION("""COMPUTED_VALUE"""),"C")</f>
        <v>C</v>
      </c>
      <c r="AL618">
        <f>IFERROR(__xludf.DUMMYFUNCTION("""COMPUTED_VALUE"""),29.0)</f>
        <v>29</v>
      </c>
      <c r="AM618">
        <f>IFERROR(__xludf.DUMMYFUNCTION("""COMPUTED_VALUE"""),2014.0)</f>
        <v>2014</v>
      </c>
      <c r="AN618" t="str">
        <f t="shared" si="1"/>
        <v>13656668-7</v>
      </c>
    </row>
    <row r="619">
      <c r="A619" s="33">
        <f>IFERROR(__xludf.DUMMYFUNCTION("""COMPUTED_VALUE"""),1.3437512E7)</f>
        <v>13437512</v>
      </c>
      <c r="B619" s="33">
        <f>IFERROR(__xludf.DUMMYFUNCTION("""COMPUTED_VALUE"""),20.0)</f>
        <v>20</v>
      </c>
      <c r="C619" s="33"/>
      <c r="D619" s="34" t="str">
        <f>IFERROR(__xludf.DUMMYFUNCTION("""COMPUTED_VALUE"""),"VICERRECTORIA DE VINCULACION CON EL MEDIO")</f>
        <v>VICERRECTORIA DE VINCULACION CON EL MEDIO</v>
      </c>
      <c r="E619" s="34" t="str">
        <f>IFERROR(__xludf.DUMMYFUNCTION("""COMPUTED_VALUE"""),"DEPARTAMENTO DE COMUNICACIONES")</f>
        <v>DEPARTAMENTO DE COMUNICACIONES</v>
      </c>
      <c r="F619" s="34" t="str">
        <f>IFERROR(__xludf.DUMMYFUNCTION("""COMPUTED_VALUE"""),"Administrativo Especializado")</f>
        <v>Administrativo Especializado</v>
      </c>
      <c r="G619" s="33" t="str">
        <f>IFERROR(__xludf.DUMMYFUNCTION("""COMPUTED_VALUE"""),"ADMINSTRATIVO ESPECIALIZADO")</f>
        <v>ADMINSTRATIVO ESPECIALIZADO</v>
      </c>
      <c r="H619">
        <f>IFERROR(__xludf.DUMMYFUNCTION("""COMPUTED_VALUE"""),12.0)</f>
        <v>12</v>
      </c>
      <c r="I619" s="34"/>
      <c r="J619" s="33" t="str">
        <f>IFERROR(__xludf.DUMMYFUNCTION("""COMPUTED_VALUE"""),"A CONTRATA")</f>
        <v>A CONTRATA</v>
      </c>
      <c r="K619" s="33" t="str">
        <f>IFERROR(__xludf.DUMMYFUNCTION("""COMPUTED_VALUE"""),"ADMINISTRATIVO")</f>
        <v>ADMINISTRATIVO</v>
      </c>
      <c r="L619" s="34" t="str">
        <f>IFERROR(__xludf.DUMMYFUNCTION("""COMPUTED_VALUE"""),"INTERNO")</f>
        <v>INTERNO</v>
      </c>
      <c r="M619" s="34">
        <f>IFERROR(__xludf.DUMMYFUNCTION("""COMPUTED_VALUE"""),5.0)</f>
        <v>5</v>
      </c>
      <c r="N619" s="34" t="str">
        <f>IFERROR(__xludf.DUMMYFUNCTION("""COMPUTED_VALUE"""),"NO")</f>
        <v>NO</v>
      </c>
      <c r="Q619" s="35"/>
      <c r="R619" s="36" t="str">
        <f>IFERROR(__xludf.DUMMYFUNCTION("""COMPUTED_VALUE"""),"SELECCIONADA")</f>
        <v>SELECCIONADA</v>
      </c>
      <c r="S619" s="37">
        <f>IFERROR(__xludf.DUMMYFUNCTION("""COMPUTED_VALUE"""),41737.0)</f>
        <v>41737</v>
      </c>
      <c r="T619" s="34" t="str">
        <f>IFERROR(__xludf.DUMMYFUNCTION("""COMPUTED_VALUE"""),"JESSICA RIOZ MUNOZ")</f>
        <v>JESSICA RIOZ MUNOZ</v>
      </c>
      <c r="V619" t="str">
        <f>IFERROR(__xludf.DUMMYFUNCTION("""COMPUTED_VALUE"""),"13437512-4")</f>
        <v>13437512-4</v>
      </c>
      <c r="AA619" s="38">
        <f>IFERROR(__xludf.DUMMYFUNCTION("""COMPUTED_VALUE"""),41704.0)</f>
        <v>41704</v>
      </c>
      <c r="AB619" s="38">
        <f>IFERROR(__xludf.DUMMYFUNCTION("""COMPUTED_VALUE"""),41711.0)</f>
        <v>41711</v>
      </c>
      <c r="AC619">
        <f>IFERROR(__xludf.DUMMYFUNCTION("""COMPUTED_VALUE"""),15.0)</f>
        <v>15</v>
      </c>
      <c r="AD619" t="str">
        <f>IFERROR(__xludf.DUMMYFUNCTION("""COMPUTED_VALUE"""),"ADMINISTRATIVO")</f>
        <v>ADMINISTRATIVO</v>
      </c>
      <c r="AF619" s="39" t="str">
        <f>IFERROR(__xludf.DUMMYFUNCTION("""COMPUTED_VALUE"""),"DEPARTAMENTO DE RELACIONES INTERUNIVERSITARIAS E INTERNACIONALES")</f>
        <v>DEPARTAMENTO DE RELACIONES INTERUNIVERSITARIAS E INTERNACIONALES</v>
      </c>
      <c r="AG619" s="39"/>
      <c r="AH619" s="34" t="str">
        <f>IFERROR(__xludf.DUMMYFUNCTION("""COMPUTED_VALUE"""),"PROCESO DE SELECCIÓN")</f>
        <v>PROCESO DE SELECCIÓN</v>
      </c>
      <c r="AI619" s="34"/>
      <c r="AJ619" s="34"/>
      <c r="AK619" s="34" t="str">
        <f>IFERROR(__xludf.DUMMYFUNCTION("""COMPUTED_VALUE"""),"C")</f>
        <v>C</v>
      </c>
      <c r="AL619">
        <f>IFERROR(__xludf.DUMMYFUNCTION("""COMPUTED_VALUE"""),19.0)</f>
        <v>19</v>
      </c>
      <c r="AM619">
        <f>IFERROR(__xludf.DUMMYFUNCTION("""COMPUTED_VALUE"""),2014.0)</f>
        <v>2014</v>
      </c>
      <c r="AN619" t="str">
        <f t="shared" si="1"/>
        <v>13437512-4</v>
      </c>
    </row>
    <row r="620">
      <c r="A620" s="33">
        <f>IFERROR(__xludf.DUMMYFUNCTION("""COMPUTED_VALUE"""),8815409.0)</f>
        <v>8815409</v>
      </c>
      <c r="B620" s="33">
        <f>IFERROR(__xludf.DUMMYFUNCTION("""COMPUTED_VALUE"""),36.0)</f>
        <v>36</v>
      </c>
      <c r="C620" s="33"/>
      <c r="D620" s="34" t="str">
        <f>IFERROR(__xludf.DUMMYFUNCTION("""COMPUTED_VALUE"""),"PRORRECTORIA")</f>
        <v>PRORRECTORIA</v>
      </c>
      <c r="E620" s="34" t="str">
        <f>IFERROR(__xludf.DUMMYFUNCTION("""COMPUTED_VALUE"""),"DEPARTAMENTO DE ESTUDIOS")</f>
        <v>DEPARTAMENTO DE ESTUDIOS</v>
      </c>
      <c r="F620" s="34" t="str">
        <f>IFERROR(__xludf.DUMMYFUNCTION("""COMPUTED_VALUE"""),"Analista de Gestión I")</f>
        <v>Analista de Gestión I</v>
      </c>
      <c r="G620" s="33" t="str">
        <f>IFERROR(__xludf.DUMMYFUNCTION("""COMPUTED_VALUE"""),"ANALISTA I")</f>
        <v>ANALISTA I</v>
      </c>
      <c r="H620">
        <f>IFERROR(__xludf.DUMMYFUNCTION("""COMPUTED_VALUE"""),10.0)</f>
        <v>10</v>
      </c>
      <c r="I620" s="34"/>
      <c r="J620" s="33" t="str">
        <f>IFERROR(__xludf.DUMMYFUNCTION("""COMPUTED_VALUE"""),"A CONTRATA")</f>
        <v>A CONTRATA</v>
      </c>
      <c r="K620" s="33" t="str">
        <f>IFERROR(__xludf.DUMMYFUNCTION("""COMPUTED_VALUE"""),"PROFESIONAL")</f>
        <v>PROFESIONAL</v>
      </c>
      <c r="L620" s="34" t="str">
        <f>IFERROR(__xludf.DUMMYFUNCTION("""COMPUTED_VALUE"""),"INTERNO")</f>
        <v>INTERNO</v>
      </c>
      <c r="M620" s="34">
        <f>IFERROR(__xludf.DUMMYFUNCTION("""COMPUTED_VALUE"""),0.0)</f>
        <v>0</v>
      </c>
      <c r="N620" s="34" t="str">
        <f>IFERROR(__xludf.DUMMYFUNCTION("""COMPUTED_VALUE"""),"EXTERNO")</f>
        <v>EXTERNO</v>
      </c>
      <c r="O620">
        <f>IFERROR(__xludf.DUMMYFUNCTION("""COMPUTED_VALUE"""),6.0)</f>
        <v>6</v>
      </c>
      <c r="Q620" s="35"/>
      <c r="R620" s="36" t="str">
        <f>IFERROR(__xludf.DUMMYFUNCTION("""COMPUTED_VALUE"""),"SELECCIONADO")</f>
        <v>SELECCIONADO</v>
      </c>
      <c r="S620" s="37">
        <f>IFERROR(__xludf.DUMMYFUNCTION("""COMPUTED_VALUE"""),41730.0)</f>
        <v>41730</v>
      </c>
      <c r="T620" s="34"/>
      <c r="U620" t="str">
        <f>IFERROR(__xludf.DUMMYFUNCTION("""COMPUTED_VALUE"""),"CARLOS OSSIO PINO")</f>
        <v>CARLOS OSSIO PINO</v>
      </c>
      <c r="V620" t="str">
        <f>IFERROR(__xludf.DUMMYFUNCTION("""COMPUTED_VALUE"""),"08815409-6")</f>
        <v>08815409-6</v>
      </c>
      <c r="AA620" s="38">
        <f>IFERROR(__xludf.DUMMYFUNCTION("""COMPUTED_VALUE"""),41704.0)</f>
        <v>41704</v>
      </c>
      <c r="AB620" s="38">
        <f>IFERROR(__xludf.DUMMYFUNCTION("""COMPUTED_VALUE"""),41711.0)</f>
        <v>41711</v>
      </c>
      <c r="AF620" s="39"/>
      <c r="AG620" s="39"/>
      <c r="AH620" s="34" t="str">
        <f>IFERROR(__xludf.DUMMYFUNCTION("""COMPUTED_VALUE"""),"PROCESO DE SELECCIÓN")</f>
        <v>PROCESO DE SELECCIÓN</v>
      </c>
      <c r="AI620" s="34"/>
      <c r="AJ620" s="34"/>
      <c r="AK620" s="34" t="str">
        <f>IFERROR(__xludf.DUMMYFUNCTION("""COMPUTED_VALUE"""),"P")</f>
        <v>P</v>
      </c>
      <c r="AL620">
        <f>IFERROR(__xludf.DUMMYFUNCTION("""COMPUTED_VALUE"""),14.0)</f>
        <v>14</v>
      </c>
      <c r="AM620">
        <f>IFERROR(__xludf.DUMMYFUNCTION("""COMPUTED_VALUE"""),2014.0)</f>
        <v>2014</v>
      </c>
      <c r="AN620" t="str">
        <f t="shared" si="1"/>
        <v>08815409-6</v>
      </c>
    </row>
    <row r="621">
      <c r="A621" s="33">
        <f>IFERROR(__xludf.DUMMYFUNCTION("""COMPUTED_VALUE"""),1.4160744E7)</f>
        <v>14160744</v>
      </c>
      <c r="B621" s="33">
        <f>IFERROR(__xludf.DUMMYFUNCTION("""COMPUTED_VALUE"""),31.0)</f>
        <v>31</v>
      </c>
      <c r="C621" s="33"/>
      <c r="D621" s="34" t="str">
        <f>IFERROR(__xludf.DUMMYFUNCTION("""COMPUTED_VALUE"""),"FACULTAD DE HUMANIDADES")</f>
        <v>FACULTAD DE HUMANIDADES</v>
      </c>
      <c r="E621" s="34" t="str">
        <f>IFERROR(__xludf.DUMMYFUNCTION("""COMPUTED_VALUE"""),"DEPARTAMENTO DE LINGÜISTICA Y LITERATURA")</f>
        <v>DEPARTAMENTO DE LINGÜISTICA Y LITERATURA</v>
      </c>
      <c r="F621" s="34" t="str">
        <f>IFERROR(__xludf.DUMMYFUNCTION("""COMPUTED_VALUE"""),"Secretario B")</f>
        <v>Secretario B</v>
      </c>
      <c r="G621" s="33" t="str">
        <f>IFERROR(__xludf.DUMMYFUNCTION("""COMPUTED_VALUE"""),"SECRETARIA DE SUBDIRECCION DE DOCENCIA")</f>
        <v>SECRETARIA DE SUBDIRECCION DE DOCENCIA</v>
      </c>
      <c r="H621">
        <f>IFERROR(__xludf.DUMMYFUNCTION("""COMPUTED_VALUE"""),17.0)</f>
        <v>17</v>
      </c>
      <c r="I621" s="34"/>
      <c r="J621" s="33" t="str">
        <f>IFERROR(__xludf.DUMMYFUNCTION("""COMPUTED_VALUE"""),"A CONTRATA")</f>
        <v>A CONTRATA</v>
      </c>
      <c r="K621" s="33" t="str">
        <f>IFERROR(__xludf.DUMMYFUNCTION("""COMPUTED_VALUE"""),"ADMINISTRATIVO")</f>
        <v>ADMINISTRATIVO</v>
      </c>
      <c r="L621" s="34" t="str">
        <f>IFERROR(__xludf.DUMMYFUNCTION("""COMPUTED_VALUE"""),"INTERNO")</f>
        <v>INTERNO</v>
      </c>
      <c r="M621" s="34">
        <f>IFERROR(__xludf.DUMMYFUNCTION("""COMPUTED_VALUE"""),1.0)</f>
        <v>1</v>
      </c>
      <c r="N621" s="34" t="str">
        <f>IFERROR(__xludf.DUMMYFUNCTION("""COMPUTED_VALUE"""),"EXTERNO")</f>
        <v>EXTERNO</v>
      </c>
      <c r="O621">
        <f>IFERROR(__xludf.DUMMYFUNCTION("""COMPUTED_VALUE"""),8.0)</f>
        <v>8</v>
      </c>
      <c r="Q621" s="35"/>
      <c r="R621" s="36" t="str">
        <f>IFERROR(__xludf.DUMMYFUNCTION("""COMPUTED_VALUE"""),"SELECCIONADA")</f>
        <v>SELECCIONADA</v>
      </c>
      <c r="S621" s="37">
        <f>IFERROR(__xludf.DUMMYFUNCTION("""COMPUTED_VALUE"""),41744.0)</f>
        <v>41744</v>
      </c>
      <c r="T621" s="34"/>
      <c r="U621" t="str">
        <f>IFERROR(__xludf.DUMMYFUNCTION("""COMPUTED_VALUE"""),"JENNIFFER ABARCA MEDINA")</f>
        <v>JENNIFFER ABARCA MEDINA</v>
      </c>
      <c r="V621" t="str">
        <f>IFERROR(__xludf.DUMMYFUNCTION("""COMPUTED_VALUE"""),"14160744-8")</f>
        <v>14160744-8</v>
      </c>
      <c r="AA621" s="38">
        <f>IFERROR(__xludf.DUMMYFUNCTION("""COMPUTED_VALUE"""),41705.0)</f>
        <v>41705</v>
      </c>
      <c r="AB621" s="38">
        <f>IFERROR(__xludf.DUMMYFUNCTION("""COMPUTED_VALUE"""),41712.0)</f>
        <v>41712</v>
      </c>
      <c r="AF621" s="39"/>
      <c r="AG621" s="39"/>
      <c r="AH621" s="34" t="str">
        <f>IFERROR(__xludf.DUMMYFUNCTION("""COMPUTED_VALUE"""),"PROCESO DE SELECCIÓN")</f>
        <v>PROCESO DE SELECCIÓN</v>
      </c>
      <c r="AI621" s="34"/>
      <c r="AJ621" s="34"/>
      <c r="AK621" s="34"/>
      <c r="AL621">
        <f>IFERROR(__xludf.DUMMYFUNCTION("""COMPUTED_VALUE"""),23.0)</f>
        <v>23</v>
      </c>
      <c r="AM621">
        <f>IFERROR(__xludf.DUMMYFUNCTION("""COMPUTED_VALUE"""),2014.0)</f>
        <v>2014</v>
      </c>
      <c r="AN621" t="str">
        <f t="shared" si="1"/>
        <v>14160744-8</v>
      </c>
    </row>
    <row r="622">
      <c r="A622" s="33">
        <f>IFERROR(__xludf.DUMMYFUNCTION("""COMPUTED_VALUE"""),1.1193867E7)</f>
        <v>11193867</v>
      </c>
      <c r="B622" s="33">
        <f>IFERROR(__xludf.DUMMYFUNCTION("""COMPUTED_VALUE"""),39.0)</f>
        <v>39</v>
      </c>
      <c r="C622" s="33"/>
      <c r="D622" s="34" t="str">
        <f>IFERROR(__xludf.DUMMYFUNCTION("""COMPUTED_VALUE"""),"VICERRECTORIA DE APOYO AL ESTUDIANTE")</f>
        <v>VICERRECTORIA DE APOYO AL ESTUDIANTE</v>
      </c>
      <c r="E622" s="34" t="str">
        <f>IFERROR(__xludf.DUMMYFUNCTION("""COMPUTED_VALUE"""),"UNIDAD DE ATENCION DE SALUD")</f>
        <v>UNIDAD DE ATENCION DE SALUD</v>
      </c>
      <c r="F622" s="34" t="str">
        <f>IFERROR(__xludf.DUMMYFUNCTION("""COMPUTED_VALUE"""),"Auxiliar de Enfermería")</f>
        <v>Auxiliar de Enfermería</v>
      </c>
      <c r="G622" s="33" t="str">
        <f>IFERROR(__xludf.DUMMYFUNCTION("""COMPUTED_VALUE"""),"AUXILIAR DE ENFERMERIA")</f>
        <v>AUXILIAR DE ENFERMERIA</v>
      </c>
      <c r="H622">
        <f>IFERROR(__xludf.DUMMYFUNCTION("""COMPUTED_VALUE"""),17.0)</f>
        <v>17</v>
      </c>
      <c r="I622" s="34"/>
      <c r="J622" s="33" t="str">
        <f>IFERROR(__xludf.DUMMYFUNCTION("""COMPUTED_VALUE"""),"A CONTRATA")</f>
        <v>A CONTRATA</v>
      </c>
      <c r="K622" s="33" t="str">
        <f>IFERROR(__xludf.DUMMYFUNCTION("""COMPUTED_VALUE"""),"TECNICO")</f>
        <v>TECNICO</v>
      </c>
      <c r="L622" s="34" t="str">
        <f>IFERROR(__xludf.DUMMYFUNCTION("""COMPUTED_VALUE"""),"INTERNO")</f>
        <v>INTERNO</v>
      </c>
      <c r="M622" s="34"/>
      <c r="N622" s="34" t="str">
        <f>IFERROR(__xludf.DUMMYFUNCTION("""COMPUTED_VALUE"""),"EXTERNO")</f>
        <v>EXTERNO</v>
      </c>
      <c r="O622">
        <f>IFERROR(__xludf.DUMMYFUNCTION("""COMPUTED_VALUE"""),13.0)</f>
        <v>13</v>
      </c>
      <c r="Q622" s="35"/>
      <c r="R622" s="36" t="str">
        <f>IFERROR(__xludf.DUMMYFUNCTION("""COMPUTED_VALUE"""),"SELECCIONADA")</f>
        <v>SELECCIONADA</v>
      </c>
      <c r="S622" s="37">
        <f>IFERROR(__xludf.DUMMYFUNCTION("""COMPUTED_VALUE"""),41792.0)</f>
        <v>41792</v>
      </c>
      <c r="T622" s="34"/>
      <c r="U622" t="str">
        <f>IFERROR(__xludf.DUMMYFUNCTION("""COMPUTED_VALUE"""),"EVELYN FERNANDEZ GONZALEZ")</f>
        <v>EVELYN FERNANDEZ GONZALEZ</v>
      </c>
      <c r="V622" t="str">
        <f>IFERROR(__xludf.DUMMYFUNCTION("""COMPUTED_VALUE"""),"11193867-9")</f>
        <v>11193867-9</v>
      </c>
      <c r="AA622" s="38">
        <f>IFERROR(__xludf.DUMMYFUNCTION("""COMPUTED_VALUE"""),41705.0)</f>
        <v>41705</v>
      </c>
      <c r="AB622" s="38">
        <f>IFERROR(__xludf.DUMMYFUNCTION("""COMPUTED_VALUE"""),41712.0)</f>
        <v>41712</v>
      </c>
      <c r="AF622" s="39"/>
      <c r="AG622" s="39"/>
      <c r="AH622" s="34" t="str">
        <f>IFERROR(__xludf.DUMMYFUNCTION("""COMPUTED_VALUE"""),"PROCESO DE SELECCIÓN")</f>
        <v>PROCESO DE SELECCIÓN</v>
      </c>
      <c r="AI622" s="34"/>
      <c r="AJ622" s="34"/>
      <c r="AK622" s="34" t="str">
        <f>IFERROR(__xludf.DUMMYFUNCTION("""COMPUTED_VALUE"""),"E")</f>
        <v>E</v>
      </c>
      <c r="AL622">
        <f>IFERROR(__xludf.DUMMYFUNCTION("""COMPUTED_VALUE"""),57.0)</f>
        <v>57</v>
      </c>
      <c r="AM622">
        <f>IFERROR(__xludf.DUMMYFUNCTION("""COMPUTED_VALUE"""),2014.0)</f>
        <v>2014</v>
      </c>
      <c r="AN622" t="str">
        <f t="shared" si="1"/>
        <v>11193867-9</v>
      </c>
    </row>
    <row r="623">
      <c r="A623" s="33">
        <f>IFERROR(__xludf.DUMMYFUNCTION("""COMPUTED_VALUE"""),1.5415839E7)</f>
        <v>15415839</v>
      </c>
      <c r="B623" s="33">
        <f>IFERROR(__xludf.DUMMYFUNCTION("""COMPUTED_VALUE"""),30.0)</f>
        <v>30</v>
      </c>
      <c r="C623" s="33"/>
      <c r="D623" s="34" t="str">
        <f>IFERROR(__xludf.DUMMYFUNCTION("""COMPUTED_VALUE"""),"VICERRECTORIA ACADEMICA")</f>
        <v>VICERRECTORIA ACADEMICA</v>
      </c>
      <c r="E623" s="34" t="str">
        <f>IFERROR(__xludf.DUMMYFUNCTION("""COMPUTED_VALUE"""),"UNIDAD DE BIBLIOTECAS")</f>
        <v>UNIDAD DE BIBLIOTECAS</v>
      </c>
      <c r="F623" s="34" t="str">
        <f>IFERROR(__xludf.DUMMYFUNCTION("""COMPUTED_VALUE"""),"Encargado de Sala")</f>
        <v>Encargado de Sala</v>
      </c>
      <c r="G623" s="33" t="str">
        <f>IFERROR(__xludf.DUMMYFUNCTION("""COMPUTED_VALUE"""),"INSPECTOR DE SALA DE LECTURA")</f>
        <v>INSPECTOR DE SALA DE LECTURA</v>
      </c>
      <c r="H623">
        <f>IFERROR(__xludf.DUMMYFUNCTION("""COMPUTED_VALUE"""),21.0)</f>
        <v>21</v>
      </c>
      <c r="I623" s="34"/>
      <c r="J623" s="33" t="str">
        <f>IFERROR(__xludf.DUMMYFUNCTION("""COMPUTED_VALUE"""),"A CONTRATA")</f>
        <v>A CONTRATA</v>
      </c>
      <c r="K623" s="33" t="str">
        <f>IFERROR(__xludf.DUMMYFUNCTION("""COMPUTED_VALUE"""),"AUXILIAR")</f>
        <v>AUXILIAR</v>
      </c>
      <c r="L623" s="34" t="str">
        <f>IFERROR(__xludf.DUMMYFUNCTION("""COMPUTED_VALUE"""),"INTERNO")</f>
        <v>INTERNO</v>
      </c>
      <c r="M623" s="34">
        <f>IFERROR(__xludf.DUMMYFUNCTION("""COMPUTED_VALUE"""),0.0)</f>
        <v>0</v>
      </c>
      <c r="N623" s="34" t="str">
        <f>IFERROR(__xludf.DUMMYFUNCTION("""COMPUTED_VALUE"""),"EXTERNO")</f>
        <v>EXTERNO</v>
      </c>
      <c r="O623">
        <f>IFERROR(__xludf.DUMMYFUNCTION("""COMPUTED_VALUE"""),3.0)</f>
        <v>3</v>
      </c>
      <c r="Q623" s="35"/>
      <c r="R623" s="36" t="str">
        <f>IFERROR(__xludf.DUMMYFUNCTION("""COMPUTED_VALUE"""),"SELECCIONADA")</f>
        <v>SELECCIONADA</v>
      </c>
      <c r="S623" s="37">
        <f>IFERROR(__xludf.DUMMYFUNCTION("""COMPUTED_VALUE"""),41764.0)</f>
        <v>41764</v>
      </c>
      <c r="T623" s="34"/>
      <c r="U623" t="str">
        <f>IFERROR(__xludf.DUMMYFUNCTION("""COMPUTED_VALUE"""),"KATHERINE VALLEJOS BARRIENTOS")</f>
        <v>KATHERINE VALLEJOS BARRIENTOS</v>
      </c>
      <c r="V623" t="str">
        <f>IFERROR(__xludf.DUMMYFUNCTION("""COMPUTED_VALUE"""),"15415839-1")</f>
        <v>15415839-1</v>
      </c>
      <c r="AA623" s="38">
        <f>IFERROR(__xludf.DUMMYFUNCTION("""COMPUTED_VALUE"""),41708.0)</f>
        <v>41708</v>
      </c>
      <c r="AB623" s="38">
        <f>IFERROR(__xludf.DUMMYFUNCTION("""COMPUTED_VALUE"""),41715.0)</f>
        <v>41715</v>
      </c>
      <c r="AF623" s="39"/>
      <c r="AG623" s="39"/>
      <c r="AH623" s="34" t="str">
        <f>IFERROR(__xludf.DUMMYFUNCTION("""COMPUTED_VALUE"""),"PROCESO DE SELECCIÓN")</f>
        <v>PROCESO DE SELECCIÓN</v>
      </c>
      <c r="AI623" s="34"/>
      <c r="AJ623" s="34"/>
      <c r="AK623" s="34" t="str">
        <f>IFERROR(__xludf.DUMMYFUNCTION("""COMPUTED_VALUE"""),"P")</f>
        <v>P</v>
      </c>
      <c r="AL623">
        <f>IFERROR(__xludf.DUMMYFUNCTION("""COMPUTED_VALUE"""),36.0)</f>
        <v>36</v>
      </c>
      <c r="AM623">
        <f>IFERROR(__xludf.DUMMYFUNCTION("""COMPUTED_VALUE"""),2014.0)</f>
        <v>2014</v>
      </c>
      <c r="AN623" t="str">
        <f t="shared" si="1"/>
        <v>15415839-1</v>
      </c>
    </row>
    <row r="624">
      <c r="A624" s="33">
        <f>IFERROR(__xludf.DUMMYFUNCTION("""COMPUTED_VALUE"""),1.6252531E7)</f>
        <v>16252531</v>
      </c>
      <c r="B624" s="33">
        <f>IFERROR(__xludf.DUMMYFUNCTION("""COMPUTED_VALUE"""),29.0)</f>
        <v>29</v>
      </c>
      <c r="C624" s="33"/>
      <c r="D624" s="34" t="str">
        <f>IFERROR(__xludf.DUMMYFUNCTION("""COMPUTED_VALUE"""),"VICERRECTORIA ACADEMICA")</f>
        <v>VICERRECTORIA ACADEMICA</v>
      </c>
      <c r="E624" s="34" t="str">
        <f>IFERROR(__xludf.DUMMYFUNCTION("""COMPUTED_VALUE"""),"UNIDAD DE BIBLIOTECAS")</f>
        <v>UNIDAD DE BIBLIOTECAS</v>
      </c>
      <c r="F624" s="34" t="str">
        <f>IFERROR(__xludf.DUMMYFUNCTION("""COMPUTED_VALUE"""),"Técnico de Biblioteca")</f>
        <v>Técnico de Biblioteca</v>
      </c>
      <c r="G624" s="33" t="str">
        <f>IFERROR(__xludf.DUMMYFUNCTION("""COMPUTED_VALUE"""),"TECNICO DE BIBLIOTECA")</f>
        <v>TECNICO DE BIBLIOTECA</v>
      </c>
      <c r="H624">
        <f>IFERROR(__xludf.DUMMYFUNCTION("""COMPUTED_VALUE"""),18.0)</f>
        <v>18</v>
      </c>
      <c r="I624" s="34"/>
      <c r="J624" s="33" t="str">
        <f>IFERROR(__xludf.DUMMYFUNCTION("""COMPUTED_VALUE"""),"A CONTRATA")</f>
        <v>A CONTRATA</v>
      </c>
      <c r="K624" s="33" t="str">
        <f>IFERROR(__xludf.DUMMYFUNCTION("""COMPUTED_VALUE"""),"TECNICO")</f>
        <v>TECNICO</v>
      </c>
      <c r="L624" s="34" t="str">
        <f>IFERROR(__xludf.DUMMYFUNCTION("""COMPUTED_VALUE"""),"INTERNO")</f>
        <v>INTERNO</v>
      </c>
      <c r="M624" s="34">
        <f>IFERROR(__xludf.DUMMYFUNCTION("""COMPUTED_VALUE"""),4.0)</f>
        <v>4</v>
      </c>
      <c r="N624" s="34" t="str">
        <f>IFERROR(__xludf.DUMMYFUNCTION("""COMPUTED_VALUE"""),"EXTERNO")</f>
        <v>EXTERNO</v>
      </c>
      <c r="Q624" s="35"/>
      <c r="R624" s="36" t="str">
        <f>IFERROR(__xludf.DUMMYFUNCTION("""COMPUTED_VALUE"""),"SELECCIONADA")</f>
        <v>SELECCIONADA</v>
      </c>
      <c r="S624" s="37">
        <f>IFERROR(__xludf.DUMMYFUNCTION("""COMPUTED_VALUE"""),41764.0)</f>
        <v>41764</v>
      </c>
      <c r="T624" s="34"/>
      <c r="U624" t="str">
        <f>IFERROR(__xludf.DUMMYFUNCTION("""COMPUTED_VALUE"""),"SUSANA BRAVO FUENTES")</f>
        <v>SUSANA BRAVO FUENTES</v>
      </c>
      <c r="V624" t="str">
        <f>IFERROR(__xludf.DUMMYFUNCTION("""COMPUTED_VALUE"""),"16252531-K")</f>
        <v>16252531-K</v>
      </c>
      <c r="AA624" s="38">
        <f>IFERROR(__xludf.DUMMYFUNCTION("""COMPUTED_VALUE"""),41710.0)</f>
        <v>41710</v>
      </c>
      <c r="AB624" s="38">
        <f>IFERROR(__xludf.DUMMYFUNCTION("""COMPUTED_VALUE"""),41717.0)</f>
        <v>41717</v>
      </c>
      <c r="AF624" s="39"/>
      <c r="AG624" s="39"/>
      <c r="AH624" s="34" t="str">
        <f>IFERROR(__xludf.DUMMYFUNCTION("""COMPUTED_VALUE"""),"PROCESO DE SELECCIÓN")</f>
        <v>PROCESO DE SELECCIÓN</v>
      </c>
      <c r="AI624" s="34" t="str">
        <f>IFERROR(__xludf.DUMMYFUNCTION("""COMPUTED_VALUE"""),"GLORIA RIVEROS")</f>
        <v>GLORIA RIVEROS</v>
      </c>
      <c r="AJ624" s="34"/>
      <c r="AK624" s="34" t="str">
        <f>IFERROR(__xludf.DUMMYFUNCTION("""COMPUTED_VALUE"""),"C")</f>
        <v>C</v>
      </c>
      <c r="AL624">
        <f>IFERROR(__xludf.DUMMYFUNCTION("""COMPUTED_VALUE"""),34.0)</f>
        <v>34</v>
      </c>
      <c r="AM624">
        <f>IFERROR(__xludf.DUMMYFUNCTION("""COMPUTED_VALUE"""),2014.0)</f>
        <v>2014</v>
      </c>
      <c r="AN624" t="str">
        <f t="shared" si="1"/>
        <v>16252531-K</v>
      </c>
    </row>
    <row r="625">
      <c r="A625" s="33">
        <f>IFERROR(__xludf.DUMMYFUNCTION("""COMPUTED_VALUE"""),1.73159E7)</f>
        <v>17315900</v>
      </c>
      <c r="B625" s="33">
        <f>IFERROR(__xludf.DUMMYFUNCTION("""COMPUTED_VALUE"""),37.0)</f>
        <v>37</v>
      </c>
      <c r="C625" s="33"/>
      <c r="D625" s="34" t="str">
        <f>IFERROR(__xludf.DUMMYFUNCTION("""COMPUTED_VALUE"""),"CONTRALORIA UNIVERSITARIA")</f>
        <v>CONTRALORIA UNIVERSITARIA</v>
      </c>
      <c r="E625" s="34" t="str">
        <f>IFERROR(__xludf.DUMMYFUNCTION("""COMPUTED_VALUE"""),"CONTRALORIA UNIVERSITARIA")</f>
        <v>CONTRALORIA UNIVERSITARIA</v>
      </c>
      <c r="F625" s="34"/>
      <c r="G625" s="33" t="str">
        <f>IFERROR(__xludf.DUMMYFUNCTION("""COMPUTED_VALUE"""),"AUDITOR DE SISTEMAS INFORMATICOS")</f>
        <v>AUDITOR DE SISTEMAS INFORMATICOS</v>
      </c>
      <c r="H625">
        <f>IFERROR(__xludf.DUMMYFUNCTION("""COMPUTED_VALUE"""),12.0)</f>
        <v>12</v>
      </c>
      <c r="I625" s="34"/>
      <c r="J625" s="33" t="str">
        <f>IFERROR(__xludf.DUMMYFUNCTION("""COMPUTED_VALUE"""),"A CONTRATA")</f>
        <v>A CONTRATA</v>
      </c>
      <c r="K625" s="33" t="str">
        <f>IFERROR(__xludf.DUMMYFUNCTION("""COMPUTED_VALUE"""),"PROFESIONAL")</f>
        <v>PROFESIONAL</v>
      </c>
      <c r="L625" s="34" t="str">
        <f>IFERROR(__xludf.DUMMYFUNCTION("""COMPUTED_VALUE"""),"INTERNO")</f>
        <v>INTERNO</v>
      </c>
      <c r="M625" s="34">
        <f>IFERROR(__xludf.DUMMYFUNCTION("""COMPUTED_VALUE"""),0.0)</f>
        <v>0</v>
      </c>
      <c r="N625" s="34" t="str">
        <f>IFERROR(__xludf.DUMMYFUNCTION("""COMPUTED_VALUE"""),"EXTERNO")</f>
        <v>EXTERNO</v>
      </c>
      <c r="O625">
        <f>IFERROR(__xludf.DUMMYFUNCTION("""COMPUTED_VALUE"""),7.0)</f>
        <v>7</v>
      </c>
      <c r="Q625" s="35"/>
      <c r="R625" s="36" t="str">
        <f>IFERROR(__xludf.DUMMYFUNCTION("""COMPUTED_VALUE"""),"SELECCIONADO")</f>
        <v>SELECCIONADO</v>
      </c>
      <c r="S625" s="37">
        <f>IFERROR(__xludf.DUMMYFUNCTION("""COMPUTED_VALUE"""),41771.0)</f>
        <v>41771</v>
      </c>
      <c r="T625" s="34"/>
      <c r="U625" t="str">
        <f>IFERROR(__xludf.DUMMYFUNCTION("""COMPUTED_VALUE"""),"VICTOR SERRANO VERDUGO")</f>
        <v>VICTOR SERRANO VERDUGO</v>
      </c>
      <c r="V625" t="str">
        <f>IFERROR(__xludf.DUMMYFUNCTION("""COMPUTED_VALUE"""),"17315900-5")</f>
        <v>17315900-5</v>
      </c>
      <c r="AA625" s="38">
        <f>IFERROR(__xludf.DUMMYFUNCTION("""COMPUTED_VALUE"""),41710.0)</f>
        <v>41710</v>
      </c>
      <c r="AB625" s="38">
        <f>IFERROR(__xludf.DUMMYFUNCTION("""COMPUTED_VALUE"""),41717.0)</f>
        <v>41717</v>
      </c>
      <c r="AF625" s="39"/>
      <c r="AG625" s="39"/>
      <c r="AH625" s="34" t="str">
        <f>IFERROR(__xludf.DUMMYFUNCTION("""COMPUTED_VALUE"""),"PROCESO DE SELECCIÓN")</f>
        <v>PROCESO DE SELECCIÓN</v>
      </c>
      <c r="AI625" s="34"/>
      <c r="AJ625" s="34"/>
      <c r="AK625" s="34" t="str">
        <f>IFERROR(__xludf.DUMMYFUNCTION("""COMPUTED_VALUE"""),"E")</f>
        <v>E</v>
      </c>
      <c r="AL625">
        <f>IFERROR(__xludf.DUMMYFUNCTION("""COMPUTED_VALUE"""),39.0)</f>
        <v>39</v>
      </c>
      <c r="AM625">
        <f>IFERROR(__xludf.DUMMYFUNCTION("""COMPUTED_VALUE"""),2014.0)</f>
        <v>2014</v>
      </c>
      <c r="AN625" t="str">
        <f t="shared" si="1"/>
        <v>17315900-5</v>
      </c>
    </row>
    <row r="626">
      <c r="A626" s="33">
        <f>IFERROR(__xludf.DUMMYFUNCTION("""COMPUTED_VALUE"""),1.5450488E7)</f>
        <v>15450488</v>
      </c>
      <c r="B626" s="33">
        <f>IFERROR(__xludf.DUMMYFUNCTION("""COMPUTED_VALUE"""),27.0)</f>
        <v>27</v>
      </c>
      <c r="C626" s="33"/>
      <c r="D626" s="34" t="str">
        <f>IFERROR(__xludf.DUMMYFUNCTION("""COMPUTED_VALUE"""),"FACULTAD DE ADMINISTRACION Y ECONOMIA")</f>
        <v>FACULTAD DE ADMINISTRACION Y ECONOMIA</v>
      </c>
      <c r="E626" s="34" t="str">
        <f>IFERROR(__xludf.DUMMYFUNCTION("""COMPUTED_VALUE"""),"DEPARTAMENTO DE ECONOMIA")</f>
        <v>DEPARTAMENTO DE ECONOMIA</v>
      </c>
      <c r="F626" s="34" t="str">
        <f>IFERROR(__xludf.DUMMYFUNCTION("""COMPUTED_VALUE"""),"Secretario de Apoyo Docente")</f>
        <v>Secretario de Apoyo Docente</v>
      </c>
      <c r="G626" s="33" t="str">
        <f>IFERROR(__xludf.DUMMYFUNCTION("""COMPUTED_VALUE"""),"SECRETARIA DE APOYO DOCENTE")</f>
        <v>SECRETARIA DE APOYO DOCENTE</v>
      </c>
      <c r="H626">
        <f>IFERROR(__xludf.DUMMYFUNCTION("""COMPUTED_VALUE"""),17.0)</f>
        <v>17</v>
      </c>
      <c r="I626" s="34"/>
      <c r="J626" s="33" t="str">
        <f>IFERROR(__xludf.DUMMYFUNCTION("""COMPUTED_VALUE"""),"A CONTRATA")</f>
        <v>A CONTRATA</v>
      </c>
      <c r="K626" s="33" t="str">
        <f>IFERROR(__xludf.DUMMYFUNCTION("""COMPUTED_VALUE"""),"ADMINISTRATIVO")</f>
        <v>ADMINISTRATIVO</v>
      </c>
      <c r="L626" s="34" t="str">
        <f>IFERROR(__xludf.DUMMYFUNCTION("""COMPUTED_VALUE"""),"INTERNO")</f>
        <v>INTERNO</v>
      </c>
      <c r="M626" s="34">
        <f>IFERROR(__xludf.DUMMYFUNCTION("""COMPUTED_VALUE"""),0.0)</f>
        <v>0</v>
      </c>
      <c r="N626" s="34" t="str">
        <f>IFERROR(__xludf.DUMMYFUNCTION("""COMPUTED_VALUE"""),"EXTERNO")</f>
        <v>EXTERNO</v>
      </c>
      <c r="O626">
        <f>IFERROR(__xludf.DUMMYFUNCTION("""COMPUTED_VALUE"""),4.0)</f>
        <v>4</v>
      </c>
      <c r="Q626" s="35"/>
      <c r="R626" s="36" t="str">
        <f>IFERROR(__xludf.DUMMYFUNCTION("""COMPUTED_VALUE"""),"SELECCIONADO")</f>
        <v>SELECCIONADO</v>
      </c>
      <c r="S626" s="37">
        <f>IFERROR(__xludf.DUMMYFUNCTION("""COMPUTED_VALUE"""),41771.0)</f>
        <v>41771</v>
      </c>
      <c r="T626" s="34"/>
      <c r="U626" t="str">
        <f>IFERROR(__xludf.DUMMYFUNCTION("""COMPUTED_VALUE"""),"LILIBETTE CORREA MAULEN")</f>
        <v>LILIBETTE CORREA MAULEN</v>
      </c>
      <c r="V626" t="str">
        <f>IFERROR(__xludf.DUMMYFUNCTION("""COMPUTED_VALUE"""),"15450488-5")</f>
        <v>15450488-5</v>
      </c>
      <c r="AA626" s="38">
        <f>IFERROR(__xludf.DUMMYFUNCTION("""COMPUTED_VALUE"""),41716.0)</f>
        <v>41716</v>
      </c>
      <c r="AB626" s="38">
        <f>IFERROR(__xludf.DUMMYFUNCTION("""COMPUTED_VALUE"""),41723.0)</f>
        <v>41723</v>
      </c>
      <c r="AF626" s="39"/>
      <c r="AG626" s="39"/>
      <c r="AH626" s="34" t="str">
        <f>IFERROR(__xludf.DUMMYFUNCTION("""COMPUTED_VALUE"""),"PROCESO DE SELECCIÓN")</f>
        <v>PROCESO DE SELECCIÓN</v>
      </c>
      <c r="AI626" s="34"/>
      <c r="AJ626" s="34"/>
      <c r="AK626" s="34"/>
      <c r="AL626">
        <f>IFERROR(__xludf.DUMMYFUNCTION("""COMPUTED_VALUE"""),35.0)</f>
        <v>35</v>
      </c>
      <c r="AM626">
        <f>IFERROR(__xludf.DUMMYFUNCTION("""COMPUTED_VALUE"""),2014.0)</f>
        <v>2014</v>
      </c>
      <c r="AN626" t="str">
        <f t="shared" si="1"/>
        <v>15450488-5</v>
      </c>
    </row>
    <row r="627">
      <c r="A627" s="33">
        <f>IFERROR(__xludf.DUMMYFUNCTION("""COMPUTED_VALUE"""),1.3756635E7)</f>
        <v>13756635</v>
      </c>
      <c r="B627" s="33">
        <f>IFERROR(__xludf.DUMMYFUNCTION("""COMPUTED_VALUE"""),34.0)</f>
        <v>34</v>
      </c>
      <c r="C627" s="33"/>
      <c r="D627" s="34" t="str">
        <f>IFERROR(__xludf.DUMMYFUNCTION("""COMPUTED_VALUE"""),"FACULTAD DE ADMINISTRACION Y ECONOMIA")</f>
        <v>FACULTAD DE ADMINISTRACION Y ECONOMIA</v>
      </c>
      <c r="E627" s="34" t="str">
        <f>IFERROR(__xludf.DUMMYFUNCTION("""COMPUTED_VALUE"""),"FACULTAD DE ADMINISTRACION Y ECONOMIA")</f>
        <v>FACULTAD DE ADMINISTRACION Y ECONOMIA</v>
      </c>
      <c r="F627" s="34" t="str">
        <f>IFERROR(__xludf.DUMMYFUNCTION("""COMPUTED_VALUE"""),"Administrativo de Apoyo")</f>
        <v>Administrativo de Apoyo</v>
      </c>
      <c r="G627" s="33" t="str">
        <f>IFERROR(__xludf.DUMMYFUNCTION("""COMPUTED_VALUE"""),"ADMINISTRATIVO DE APOYO")</f>
        <v>ADMINISTRATIVO DE APOYO</v>
      </c>
      <c r="H627">
        <f>IFERROR(__xludf.DUMMYFUNCTION("""COMPUTED_VALUE"""),20.0)</f>
        <v>20</v>
      </c>
      <c r="I627" s="34"/>
      <c r="J627" s="33" t="str">
        <f>IFERROR(__xludf.DUMMYFUNCTION("""COMPUTED_VALUE"""),"A CONTRATA")</f>
        <v>A CONTRATA</v>
      </c>
      <c r="K627" s="33" t="str">
        <f>IFERROR(__xludf.DUMMYFUNCTION("""COMPUTED_VALUE"""),"ADMINISTRATIVO")</f>
        <v>ADMINISTRATIVO</v>
      </c>
      <c r="L627" s="34" t="str">
        <f>IFERROR(__xludf.DUMMYFUNCTION("""COMPUTED_VALUE"""),"INTERNO")</f>
        <v>INTERNO</v>
      </c>
      <c r="M627" s="34"/>
      <c r="N627" s="34" t="str">
        <f>IFERROR(__xludf.DUMMYFUNCTION("""COMPUTED_VALUE"""),"EXTERNO")</f>
        <v>EXTERNO</v>
      </c>
      <c r="O627">
        <f>IFERROR(__xludf.DUMMYFUNCTION("""COMPUTED_VALUE"""),7.0)</f>
        <v>7</v>
      </c>
      <c r="Q627" s="35"/>
      <c r="R627" s="36" t="str">
        <f>IFERROR(__xludf.DUMMYFUNCTION("""COMPUTED_VALUE"""),"SELECCIONADO")</f>
        <v>SELECCIONADO</v>
      </c>
      <c r="S627" s="37">
        <f>IFERROR(__xludf.DUMMYFUNCTION("""COMPUTED_VALUE"""),41781.0)</f>
        <v>41781</v>
      </c>
      <c r="T627" s="34"/>
      <c r="U627" t="str">
        <f>IFERROR(__xludf.DUMMYFUNCTION("""COMPUTED_VALUE"""),"ALEJANDRO GOMEZ SILVA")</f>
        <v>ALEJANDRO GOMEZ SILVA</v>
      </c>
      <c r="V627" t="str">
        <f>IFERROR(__xludf.DUMMYFUNCTION("""COMPUTED_VALUE"""),"13756635-4")</f>
        <v>13756635-4</v>
      </c>
      <c r="AA627" s="38">
        <f>IFERROR(__xludf.DUMMYFUNCTION("""COMPUTED_VALUE"""),41716.0)</f>
        <v>41716</v>
      </c>
      <c r="AB627" s="38">
        <f>IFERROR(__xludf.DUMMYFUNCTION("""COMPUTED_VALUE"""),41723.0)</f>
        <v>41723</v>
      </c>
      <c r="AF627" s="39"/>
      <c r="AG627" s="39"/>
      <c r="AH627" s="34" t="str">
        <f>IFERROR(__xludf.DUMMYFUNCTION("""COMPUTED_VALUE"""),"PROCESO DE SELECCIÓN")</f>
        <v>PROCESO DE SELECCIÓN</v>
      </c>
      <c r="AI627" s="34"/>
      <c r="AJ627" s="34"/>
      <c r="AK627" s="34" t="str">
        <f>IFERROR(__xludf.DUMMYFUNCTION("""COMPUTED_VALUE"""),"E")</f>
        <v>E</v>
      </c>
      <c r="AL627">
        <f>IFERROR(__xludf.DUMMYFUNCTION("""COMPUTED_VALUE"""),43.0)</f>
        <v>43</v>
      </c>
      <c r="AM627">
        <f>IFERROR(__xludf.DUMMYFUNCTION("""COMPUTED_VALUE"""),2014.0)</f>
        <v>2014</v>
      </c>
      <c r="AN627" t="str">
        <f t="shared" si="1"/>
        <v>13756635-4</v>
      </c>
    </row>
    <row r="628">
      <c r="A628" s="33">
        <f>IFERROR(__xludf.DUMMYFUNCTION("""COMPUTED_VALUE"""),1.3062616E7)</f>
        <v>13062616</v>
      </c>
      <c r="B628" s="33">
        <f>IFERROR(__xludf.DUMMYFUNCTION("""COMPUTED_VALUE"""),44.0)</f>
        <v>44</v>
      </c>
      <c r="C628" s="33"/>
      <c r="D628" s="34" t="str">
        <f>IFERROR(__xludf.DUMMYFUNCTION("""COMPUTED_VALUE"""),"FACULTAD DE ADMINISTRACION Y ECONOMIA")</f>
        <v>FACULTAD DE ADMINISTRACION Y ECONOMIA</v>
      </c>
      <c r="E628" s="34" t="str">
        <f>IFERROR(__xludf.DUMMYFUNCTION("""COMPUTED_VALUE"""),"DEPARTAMENTO DE GESTION Y POLITICAS PUBLICAS")</f>
        <v>DEPARTAMENTO DE GESTION Y POLITICAS PUBLICAS</v>
      </c>
      <c r="F628" s="34" t="str">
        <f>IFERROR(__xludf.DUMMYFUNCTION("""COMPUTED_VALUE"""),"Secretario de Apoyo Docente")</f>
        <v>Secretario de Apoyo Docente</v>
      </c>
      <c r="G628" s="33" t="str">
        <f>IFERROR(__xludf.DUMMYFUNCTION("""COMPUTED_VALUE"""),"SECRETARIA DE APOYO DOCENTE")</f>
        <v>SECRETARIA DE APOYO DOCENTE</v>
      </c>
      <c r="H628">
        <f>IFERROR(__xludf.DUMMYFUNCTION("""COMPUTED_VALUE"""),17.0)</f>
        <v>17</v>
      </c>
      <c r="I628" s="34"/>
      <c r="J628" s="33" t="str">
        <f>IFERROR(__xludf.DUMMYFUNCTION("""COMPUTED_VALUE"""),"A CONTRATA")</f>
        <v>A CONTRATA</v>
      </c>
      <c r="K628" s="33" t="str">
        <f>IFERROR(__xludf.DUMMYFUNCTION("""COMPUTED_VALUE"""),"ADMINISTRATIVO")</f>
        <v>ADMINISTRATIVO</v>
      </c>
      <c r="L628" s="34" t="str">
        <f>IFERROR(__xludf.DUMMYFUNCTION("""COMPUTED_VALUE"""),"INTERNO")</f>
        <v>INTERNO</v>
      </c>
      <c r="M628" s="34">
        <f>IFERROR(__xludf.DUMMYFUNCTION("""COMPUTED_VALUE"""),0.0)</f>
        <v>0</v>
      </c>
      <c r="N628" s="34" t="str">
        <f>IFERROR(__xludf.DUMMYFUNCTION("""COMPUTED_VALUE"""),"EXTERNO")</f>
        <v>EXTERNO</v>
      </c>
      <c r="O628">
        <f>IFERROR(__xludf.DUMMYFUNCTION("""COMPUTED_VALUE"""),3.0)</f>
        <v>3</v>
      </c>
      <c r="Q628" s="35"/>
      <c r="R628" s="36" t="str">
        <f>IFERROR(__xludf.DUMMYFUNCTION("""COMPUTED_VALUE"""),"SELECCIONADA")</f>
        <v>SELECCIONADA</v>
      </c>
      <c r="S628" s="37">
        <f>IFERROR(__xludf.DUMMYFUNCTION("""COMPUTED_VALUE"""),41806.0)</f>
        <v>41806</v>
      </c>
      <c r="T628" s="34"/>
      <c r="U628" t="str">
        <f>IFERROR(__xludf.DUMMYFUNCTION("""COMPUTED_VALUE"""),"ROSA FUENTES MARAMBIO")</f>
        <v>ROSA FUENTES MARAMBIO</v>
      </c>
      <c r="V628" t="str">
        <f>IFERROR(__xludf.DUMMYFUNCTION("""COMPUTED_VALUE"""),"13062616-5")</f>
        <v>13062616-5</v>
      </c>
      <c r="AA628" s="38">
        <f>IFERROR(__xludf.DUMMYFUNCTION("""COMPUTED_VALUE"""),41716.0)</f>
        <v>41716</v>
      </c>
      <c r="AB628" s="38">
        <f>IFERROR(__xludf.DUMMYFUNCTION("""COMPUTED_VALUE"""),41723.0)</f>
        <v>41723</v>
      </c>
      <c r="AF628" s="39"/>
      <c r="AG628" s="39"/>
      <c r="AH628" s="34" t="str">
        <f>IFERROR(__xludf.DUMMYFUNCTION("""COMPUTED_VALUE"""),"PROCESO DE SELECCIÓN")</f>
        <v>PROCESO DE SELECCIÓN</v>
      </c>
      <c r="AI628" s="34"/>
      <c r="AJ628" s="34"/>
      <c r="AK628" s="34" t="str">
        <f>IFERROR(__xludf.DUMMYFUNCTION("""COMPUTED_VALUE"""),"C")</f>
        <v>C</v>
      </c>
      <c r="AL628">
        <f>IFERROR(__xludf.DUMMYFUNCTION("""COMPUTED_VALUE"""),60.0)</f>
        <v>60</v>
      </c>
      <c r="AM628">
        <f>IFERROR(__xludf.DUMMYFUNCTION("""COMPUTED_VALUE"""),2014.0)</f>
        <v>2014</v>
      </c>
      <c r="AN628" t="str">
        <f t="shared" si="1"/>
        <v>13062616-5</v>
      </c>
    </row>
    <row r="629">
      <c r="A629" s="33">
        <f>IFERROR(__xludf.DUMMYFUNCTION("""COMPUTED_VALUE"""),1.5794628E7)</f>
        <v>15794628</v>
      </c>
      <c r="B629" s="33">
        <f>IFERROR(__xludf.DUMMYFUNCTION("""COMPUTED_VALUE"""),64.0)</f>
        <v>64</v>
      </c>
      <c r="C629" s="33"/>
      <c r="D629" s="34" t="str">
        <f>IFERROR(__xludf.DUMMYFUNCTION("""COMPUTED_VALUE"""),"PRORRECTORIA")</f>
        <v>PRORRECTORIA</v>
      </c>
      <c r="E629" s="34" t="str">
        <f>IFERROR(__xludf.DUMMYFUNCTION("""COMPUTED_VALUE"""),"ADMINISTRACION GENERAL DE FONDO SOLIDARIO Y CREDITO UNIVERSITARIO")</f>
        <v>ADMINISTRACION GENERAL DE FONDO SOLIDARIO Y CREDITO UNIVERSITARIO</v>
      </c>
      <c r="F629" s="34" t="str">
        <f>IFERROR(__xludf.DUMMYFUNCTION("""COMPUTED_VALUE"""),"Secretario B")</f>
        <v>Secretario B</v>
      </c>
      <c r="G629" s="33" t="str">
        <f>IFERROR(__xludf.DUMMYFUNCTION("""COMPUTED_VALUE"""),"SECRETARIA DE DEPARTAMENTO")</f>
        <v>SECRETARIA DE DEPARTAMENTO</v>
      </c>
      <c r="H629">
        <f>IFERROR(__xludf.DUMMYFUNCTION("""COMPUTED_VALUE"""),17.0)</f>
        <v>17</v>
      </c>
      <c r="I629" s="34"/>
      <c r="J629" s="33" t="str">
        <f>IFERROR(__xludf.DUMMYFUNCTION("""COMPUTED_VALUE"""),"A CONTRATA")</f>
        <v>A CONTRATA</v>
      </c>
      <c r="K629" s="33" t="str">
        <f>IFERROR(__xludf.DUMMYFUNCTION("""COMPUTED_VALUE"""),"ADMINISTRATIVO")</f>
        <v>ADMINISTRATIVO</v>
      </c>
      <c r="L629" s="34" t="str">
        <f>IFERROR(__xludf.DUMMYFUNCTION("""COMPUTED_VALUE"""),"INTERNO")</f>
        <v>INTERNO</v>
      </c>
      <c r="M629" s="34">
        <f>IFERROR(__xludf.DUMMYFUNCTION("""COMPUTED_VALUE"""),0.0)</f>
        <v>0</v>
      </c>
      <c r="N629" s="34" t="str">
        <f>IFERROR(__xludf.DUMMYFUNCTION("""COMPUTED_VALUE"""),"EXTERNO")</f>
        <v>EXTERNO</v>
      </c>
      <c r="O629">
        <f>IFERROR(__xludf.DUMMYFUNCTION("""COMPUTED_VALUE"""),4.0)</f>
        <v>4</v>
      </c>
      <c r="P629">
        <f>IFERROR(__xludf.DUMMYFUNCTION("""COMPUTED_VALUE"""),4.0)</f>
        <v>4</v>
      </c>
      <c r="Q629" s="35">
        <f>IFERROR(__xludf.DUMMYFUNCTION("""COMPUTED_VALUE"""),1.0)</f>
        <v>1</v>
      </c>
      <c r="R629" s="36" t="str">
        <f>IFERROR(__xludf.DUMMYFUNCTION("""COMPUTED_VALUE"""),"SELECCIONADA")</f>
        <v>SELECCIONADA</v>
      </c>
      <c r="S629" s="37">
        <f>IFERROR(__xludf.DUMMYFUNCTION("""COMPUTED_VALUE"""),41764.0)</f>
        <v>41764</v>
      </c>
      <c r="T629" s="34"/>
      <c r="U629" t="str">
        <f>IFERROR(__xludf.DUMMYFUNCTION("""COMPUTED_VALUE"""),"MARIELA GALAZ MANCILLA")</f>
        <v>MARIELA GALAZ MANCILLA</v>
      </c>
      <c r="V629" t="str">
        <f>IFERROR(__xludf.DUMMYFUNCTION("""COMPUTED_VALUE"""),"15794628-5")</f>
        <v>15794628-5</v>
      </c>
      <c r="AA629" s="38">
        <f>IFERROR(__xludf.DUMMYFUNCTION("""COMPUTED_VALUE"""),41716.0)</f>
        <v>41716</v>
      </c>
      <c r="AB629" s="38">
        <f>IFERROR(__xludf.DUMMYFUNCTION("""COMPUTED_VALUE"""),41723.0)</f>
        <v>41723</v>
      </c>
      <c r="AF629" s="39"/>
      <c r="AG629" s="39"/>
      <c r="AH629" s="34" t="str">
        <f>IFERROR(__xludf.DUMMYFUNCTION("""COMPUTED_VALUE"""),"PROCESO DE SELECCIÓN")</f>
        <v>PROCESO DE SELECCIÓN</v>
      </c>
      <c r="AI629" s="34"/>
      <c r="AJ629" s="34"/>
      <c r="AK629" s="34" t="str">
        <f>IFERROR(__xludf.DUMMYFUNCTION("""COMPUTED_VALUE"""),"C")</f>
        <v>C</v>
      </c>
      <c r="AL629">
        <f>IFERROR(__xludf.DUMMYFUNCTION("""COMPUTED_VALUE"""),30.0)</f>
        <v>30</v>
      </c>
      <c r="AM629">
        <f>IFERROR(__xludf.DUMMYFUNCTION("""COMPUTED_VALUE"""),2014.0)</f>
        <v>2014</v>
      </c>
      <c r="AN629" t="str">
        <f t="shared" si="1"/>
        <v>15794628-5</v>
      </c>
    </row>
    <row r="630">
      <c r="A630" s="33">
        <f>IFERROR(__xludf.DUMMYFUNCTION("""COMPUTED_VALUE"""),8403087.0)</f>
        <v>8403087</v>
      </c>
      <c r="B630" s="33">
        <f>IFERROR(__xludf.DUMMYFUNCTION("""COMPUTED_VALUE"""),23.0)</f>
        <v>23</v>
      </c>
      <c r="C630" s="33"/>
      <c r="D630" s="34" t="str">
        <f>IFERROR(__xludf.DUMMYFUNCTION("""COMPUTED_VALUE"""),"VICERRECTORIA DE APOYO AL ESTUDIANTE")</f>
        <v>VICERRECTORIA DE APOYO AL ESTUDIANTE</v>
      </c>
      <c r="E630" s="34" t="str">
        <f>IFERROR(__xludf.DUMMYFUNCTION("""COMPUTED_VALUE"""),"DEPARTAMENTO DE GESTION DEL DEPORTE Y CULTURA")</f>
        <v>DEPARTAMENTO DE GESTION DEL DEPORTE Y CULTURA</v>
      </c>
      <c r="F630" s="34" t="str">
        <f>IFERROR(__xludf.DUMMYFUNCTION("""COMPUTED_VALUE"""),"Entrenador Deportivo")</f>
        <v>Entrenador Deportivo</v>
      </c>
      <c r="G630" s="33" t="str">
        <f>IFERROR(__xludf.DUMMYFUNCTION("""COMPUTED_VALUE"""),"PROFESOR ENTRENADOR DE TENIS (1/2 JORNADA)")</f>
        <v>PROFESOR ENTRENADOR DE TENIS (1/2 JORNADA)</v>
      </c>
      <c r="H630">
        <f>IFERROR(__xludf.DUMMYFUNCTION("""COMPUTED_VALUE"""),14.0)</f>
        <v>14</v>
      </c>
      <c r="I630" s="34"/>
      <c r="J630" s="33" t="str">
        <f>IFERROR(__xludf.DUMMYFUNCTION("""COMPUTED_VALUE"""),"A CONTRATA")</f>
        <v>A CONTRATA</v>
      </c>
      <c r="K630" s="33" t="str">
        <f>IFERROR(__xludf.DUMMYFUNCTION("""COMPUTED_VALUE"""),"PROFESIONAL")</f>
        <v>PROFESIONAL</v>
      </c>
      <c r="L630" s="34" t="str">
        <f>IFERROR(__xludf.DUMMYFUNCTION("""COMPUTED_VALUE"""),"INTERNO")</f>
        <v>INTERNO</v>
      </c>
      <c r="M630" s="34"/>
      <c r="N630" s="34" t="str">
        <f>IFERROR(__xludf.DUMMYFUNCTION("""COMPUTED_VALUE"""),"EXTERNO")</f>
        <v>EXTERNO</v>
      </c>
      <c r="O630">
        <f>IFERROR(__xludf.DUMMYFUNCTION("""COMPUTED_VALUE"""),2.0)</f>
        <v>2</v>
      </c>
      <c r="Q630" s="35"/>
      <c r="R630" s="36" t="str">
        <f>IFERROR(__xludf.DUMMYFUNCTION("""COMPUTED_VALUE"""),"SELECCIONADA")</f>
        <v>SELECCIONADA</v>
      </c>
      <c r="S630" s="37">
        <f>IFERROR(__xludf.DUMMYFUNCTION("""COMPUTED_VALUE"""),41738.0)</f>
        <v>41738</v>
      </c>
      <c r="T630" s="34"/>
      <c r="U630" t="str">
        <f>IFERROR(__xludf.DUMMYFUNCTION("""COMPUTED_VALUE"""),"ANDRES VASQUEZ SAAVEDRA")</f>
        <v>ANDRES VASQUEZ SAAVEDRA</v>
      </c>
      <c r="V630" t="str">
        <f>IFERROR(__xludf.DUMMYFUNCTION("""COMPUTED_VALUE"""),"08403087-2")</f>
        <v>08403087-2</v>
      </c>
      <c r="AA630" s="38">
        <f>IFERROR(__xludf.DUMMYFUNCTION("""COMPUTED_VALUE"""),41722.0)</f>
        <v>41722</v>
      </c>
      <c r="AB630" s="38">
        <f>IFERROR(__xludf.DUMMYFUNCTION("""COMPUTED_VALUE"""),41724.0)</f>
        <v>41724</v>
      </c>
      <c r="AF630" s="39"/>
      <c r="AG630" s="39"/>
      <c r="AH630" s="34" t="str">
        <f>IFERROR(__xludf.DUMMYFUNCTION("""COMPUTED_VALUE"""),"PROCESO DE SELECCIÓN")</f>
        <v>PROCESO DE SELECCIÓN</v>
      </c>
      <c r="AI630" s="34"/>
      <c r="AJ630" s="34"/>
      <c r="AK630" s="34"/>
      <c r="AL630">
        <f>IFERROR(__xludf.DUMMYFUNCTION("""COMPUTED_VALUE"""),11.0)</f>
        <v>11</v>
      </c>
      <c r="AM630">
        <f>IFERROR(__xludf.DUMMYFUNCTION("""COMPUTED_VALUE"""),2014.0)</f>
        <v>2014</v>
      </c>
      <c r="AN630" t="str">
        <f t="shared" si="1"/>
        <v>08403087-2</v>
      </c>
    </row>
    <row r="631">
      <c r="A631" s="33">
        <f>IFERROR(__xludf.DUMMYFUNCTION("""COMPUTED_VALUE"""),1.4154969E7)</f>
        <v>14154969</v>
      </c>
      <c r="B631" s="33">
        <f>IFERROR(__xludf.DUMMYFUNCTION("""COMPUTED_VALUE"""),28.0)</f>
        <v>28</v>
      </c>
      <c r="C631" s="33"/>
      <c r="D631" s="34" t="str">
        <f>IFERROR(__xludf.DUMMYFUNCTION("""COMPUTED_VALUE"""),"VICERRECTORIA ACADEMICA")</f>
        <v>VICERRECTORIA ACADEMICA</v>
      </c>
      <c r="E631" s="34" t="str">
        <f>IFERROR(__xludf.DUMMYFUNCTION("""COMPUTED_VALUE"""),"UNIDAD DE BIBLIOTECAS")</f>
        <v>UNIDAD DE BIBLIOTECAS</v>
      </c>
      <c r="F631" s="34" t="str">
        <f>IFERROR(__xludf.DUMMYFUNCTION("""COMPUTED_VALUE"""),"Técnico de Biblioteca")</f>
        <v>Técnico de Biblioteca</v>
      </c>
      <c r="G631" s="33" t="str">
        <f>IFERROR(__xludf.DUMMYFUNCTION("""COMPUTED_VALUE"""),"TECNICO DE BIBLIOTECA")</f>
        <v>TECNICO DE BIBLIOTECA</v>
      </c>
      <c r="H631">
        <f>IFERROR(__xludf.DUMMYFUNCTION("""COMPUTED_VALUE"""),18.0)</f>
        <v>18</v>
      </c>
      <c r="I631" s="34"/>
      <c r="J631" s="33" t="str">
        <f>IFERROR(__xludf.DUMMYFUNCTION("""COMPUTED_VALUE"""),"A CONTRATA")</f>
        <v>A CONTRATA</v>
      </c>
      <c r="K631" s="33" t="str">
        <f>IFERROR(__xludf.DUMMYFUNCTION("""COMPUTED_VALUE"""),"TECNICO")</f>
        <v>TECNICO</v>
      </c>
      <c r="L631" s="34" t="str">
        <f>IFERROR(__xludf.DUMMYFUNCTION("""COMPUTED_VALUE"""),"INTERNO")</f>
        <v>INTERNO</v>
      </c>
      <c r="M631" s="34">
        <f>IFERROR(__xludf.DUMMYFUNCTION("""COMPUTED_VALUE"""),1.0)</f>
        <v>1</v>
      </c>
      <c r="N631" s="34" t="str">
        <f>IFERROR(__xludf.DUMMYFUNCTION("""COMPUTED_VALUE"""),"NO")</f>
        <v>NO</v>
      </c>
      <c r="Q631" s="35"/>
      <c r="R631" s="36" t="str">
        <f>IFERROR(__xludf.DUMMYFUNCTION("""COMPUTED_VALUE"""),"SELECCIONADO")</f>
        <v>SELECCIONADO</v>
      </c>
      <c r="S631" s="37">
        <f>IFERROR(__xludf.DUMMYFUNCTION("""COMPUTED_VALUE"""),41764.0)</f>
        <v>41764</v>
      </c>
      <c r="T631" s="34" t="str">
        <f>IFERROR(__xludf.DUMMYFUNCTION("""COMPUTED_VALUE"""),"ROBERTO FLORES DONAS")</f>
        <v>ROBERTO FLORES DONAS</v>
      </c>
      <c r="V631" t="str">
        <f>IFERROR(__xludf.DUMMYFUNCTION("""COMPUTED_VALUE"""),"14154969-3")</f>
        <v>14154969-3</v>
      </c>
      <c r="AA631" s="38">
        <f>IFERROR(__xludf.DUMMYFUNCTION("""COMPUTED_VALUE"""),41725.0)</f>
        <v>41725</v>
      </c>
      <c r="AB631" s="38">
        <f>IFERROR(__xludf.DUMMYFUNCTION("""COMPUTED_VALUE"""),41731.0)</f>
        <v>41731</v>
      </c>
      <c r="AC631">
        <f>IFERROR(__xludf.DUMMYFUNCTION("""COMPUTED_VALUE"""),21.0)</f>
        <v>21</v>
      </c>
      <c r="AD631" t="str">
        <f>IFERROR(__xludf.DUMMYFUNCTION("""COMPUTED_VALUE"""),"ADMINISTRATIVO")</f>
        <v>ADMINISTRATIVO</v>
      </c>
      <c r="AF631" s="39" t="str">
        <f>IFERROR(__xludf.DUMMYFUNCTION("""COMPUTED_VALUE"""),"ASISTENTE DE BIBLIOTECA")</f>
        <v>ASISTENTE DE BIBLIOTECA</v>
      </c>
      <c r="AG631" s="39"/>
      <c r="AH631" s="34" t="str">
        <f>IFERROR(__xludf.DUMMYFUNCTION("""COMPUTED_VALUE"""),"PROCESO DE SELECCIÓN")</f>
        <v>PROCESO DE SELECCIÓN</v>
      </c>
      <c r="AI631" s="34" t="str">
        <f>IFERROR(__xludf.DUMMYFUNCTION("""COMPUTED_VALUE"""),"MARIO DE LA MAZA")</f>
        <v>MARIO DE LA MAZA</v>
      </c>
      <c r="AJ631" s="34"/>
      <c r="AK631" s="34" t="str">
        <f>IFERROR(__xludf.DUMMYFUNCTION("""COMPUTED_VALUE"""),"P")</f>
        <v>P</v>
      </c>
      <c r="AL631">
        <f>IFERROR(__xludf.DUMMYFUNCTION("""COMPUTED_VALUE"""),24.0)</f>
        <v>24</v>
      </c>
      <c r="AM631">
        <f>IFERROR(__xludf.DUMMYFUNCTION("""COMPUTED_VALUE"""),2014.0)</f>
        <v>2014</v>
      </c>
      <c r="AN631" t="str">
        <f t="shared" si="1"/>
        <v>14154969-3</v>
      </c>
    </row>
    <row r="632">
      <c r="A632" s="33">
        <f>IFERROR(__xludf.DUMMYFUNCTION("""COMPUTED_VALUE"""),9961713.0)</f>
        <v>9961713</v>
      </c>
      <c r="B632" s="33">
        <f>IFERROR(__xludf.DUMMYFUNCTION("""COMPUTED_VALUE"""),32.0)</f>
        <v>32</v>
      </c>
      <c r="C632" s="33"/>
      <c r="D632" s="34" t="str">
        <f>IFERROR(__xludf.DUMMYFUNCTION("""COMPUTED_VALUE"""),"FACULTAD DE CIENCIAS MEDICAS")</f>
        <v>FACULTAD DE CIENCIAS MEDICAS</v>
      </c>
      <c r="E632" s="34" t="str">
        <f>IFERROR(__xludf.DUMMYFUNCTION("""COMPUTED_VALUE"""),"LICENCIATURA EN CIENCIAS DE LA ACTIVIDAD FISICA")</f>
        <v>LICENCIATURA EN CIENCIAS DE LA ACTIVIDAD FISICA</v>
      </c>
      <c r="F632" s="34" t="str">
        <f>IFERROR(__xludf.DUMMYFUNCTION("""COMPUTED_VALUE"""),"Secretario de Apoyo Docente")</f>
        <v>Secretario de Apoyo Docente</v>
      </c>
      <c r="G632" s="33" t="str">
        <f>IFERROR(__xludf.DUMMYFUNCTION("""COMPUTED_VALUE"""),"SECRETARIA DE APOYO DOCENTE")</f>
        <v>SECRETARIA DE APOYO DOCENTE</v>
      </c>
      <c r="H632">
        <f>IFERROR(__xludf.DUMMYFUNCTION("""COMPUTED_VALUE"""),17.0)</f>
        <v>17</v>
      </c>
      <c r="I632" s="34"/>
      <c r="J632" s="33" t="str">
        <f>IFERROR(__xludf.DUMMYFUNCTION("""COMPUTED_VALUE"""),"A CONTRATA")</f>
        <v>A CONTRATA</v>
      </c>
      <c r="K632" s="33" t="str">
        <f>IFERROR(__xludf.DUMMYFUNCTION("""COMPUTED_VALUE"""),"ADMINISTRATIVO")</f>
        <v>ADMINISTRATIVO</v>
      </c>
      <c r="L632" s="34" t="str">
        <f>IFERROR(__xludf.DUMMYFUNCTION("""COMPUTED_VALUE"""),"INTERNO")</f>
        <v>INTERNO</v>
      </c>
      <c r="M632" s="34">
        <f>IFERROR(__xludf.DUMMYFUNCTION("""COMPUTED_VALUE"""),1.0)</f>
        <v>1</v>
      </c>
      <c r="N632" s="34" t="str">
        <f>IFERROR(__xludf.DUMMYFUNCTION("""COMPUTED_VALUE"""),"NO")</f>
        <v>NO</v>
      </c>
      <c r="Q632" s="35"/>
      <c r="R632" s="36" t="str">
        <f>IFERROR(__xludf.DUMMYFUNCTION("""COMPUTED_VALUE"""),"SELECCIONADA")</f>
        <v>SELECCIONADA</v>
      </c>
      <c r="S632" s="37">
        <f>IFERROR(__xludf.DUMMYFUNCTION("""COMPUTED_VALUE"""),41764.0)</f>
        <v>41764</v>
      </c>
      <c r="T632" s="34" t="str">
        <f>IFERROR(__xludf.DUMMYFUNCTION("""COMPUTED_VALUE"""),"MIRTA LEYTON CASTILLO")</f>
        <v>MIRTA LEYTON CASTILLO</v>
      </c>
      <c r="V632" t="str">
        <f>IFERROR(__xludf.DUMMYFUNCTION("""COMPUTED_VALUE"""),"09961713-6")</f>
        <v>09961713-6</v>
      </c>
      <c r="AA632" s="38">
        <f>IFERROR(__xludf.DUMMYFUNCTION("""COMPUTED_VALUE"""),41729.0)</f>
        <v>41729</v>
      </c>
      <c r="AB632" s="38">
        <f>IFERROR(__xludf.DUMMYFUNCTION("""COMPUTED_VALUE"""),41736.0)</f>
        <v>41736</v>
      </c>
      <c r="AC632">
        <f>IFERROR(__xludf.DUMMYFUNCTION("""COMPUTED_VALUE"""),21.0)</f>
        <v>21</v>
      </c>
      <c r="AD632" t="str">
        <f>IFERROR(__xludf.DUMMYFUNCTION("""COMPUTED_VALUE"""),"ADMINISTRATIVO")</f>
        <v>ADMINISTRATIVO</v>
      </c>
      <c r="AF632" s="39" t="str">
        <f>IFERROR(__xludf.DUMMYFUNCTION("""COMPUTED_VALUE"""),"ADMINISTRATIVO DE REGISTRO CURRICULAR")</f>
        <v>ADMINISTRATIVO DE REGISTRO CURRICULAR</v>
      </c>
      <c r="AG632" s="39"/>
      <c r="AH632" s="34" t="str">
        <f>IFERROR(__xludf.DUMMYFUNCTION("""COMPUTED_VALUE"""),"PROCESO DE SELECCIÓN")</f>
        <v>PROCESO DE SELECCIÓN</v>
      </c>
      <c r="AI632" s="34"/>
      <c r="AJ632" s="34"/>
      <c r="AK632" s="34" t="str">
        <f>IFERROR(__xludf.DUMMYFUNCTION("""COMPUTED_VALUE"""),"P")</f>
        <v>P</v>
      </c>
      <c r="AL632">
        <f>IFERROR(__xludf.DUMMYFUNCTION("""COMPUTED_VALUE"""),21.0)</f>
        <v>21</v>
      </c>
      <c r="AM632">
        <f>IFERROR(__xludf.DUMMYFUNCTION("""COMPUTED_VALUE"""),2014.0)</f>
        <v>2014</v>
      </c>
      <c r="AN632" t="str">
        <f t="shared" si="1"/>
        <v>09961713-6</v>
      </c>
    </row>
    <row r="633">
      <c r="A633" s="33">
        <f>IFERROR(__xludf.DUMMYFUNCTION("""COMPUTED_VALUE"""),1.6567441E7)</f>
        <v>16567441</v>
      </c>
      <c r="B633" s="33">
        <f>IFERROR(__xludf.DUMMYFUNCTION("""COMPUTED_VALUE"""),41.0)</f>
        <v>41</v>
      </c>
      <c r="C633" s="33"/>
      <c r="D633" s="34" t="str">
        <f>IFERROR(__xludf.DUMMYFUNCTION("""COMPUTED_VALUE"""),"VICERRECTORIA ACADEMICA")</f>
        <v>VICERRECTORIA ACADEMICA</v>
      </c>
      <c r="E633" s="34" t="str">
        <f>IFERROR(__xludf.DUMMYFUNCTION("""COMPUTED_VALUE"""),"DIRECCION DE PREGRADO")</f>
        <v>DIRECCION DE PREGRADO</v>
      </c>
      <c r="F633" s="34" t="str">
        <f>IFERROR(__xludf.DUMMYFUNCTION("""COMPUTED_VALUE"""),"Analista de Gestión II")</f>
        <v>Analista de Gestión II</v>
      </c>
      <c r="G633" s="33" t="str">
        <f>IFERROR(__xludf.DUMMYFUNCTION("""COMPUTED_VALUE"""),"ANALISTA II")</f>
        <v>ANALISTA II</v>
      </c>
      <c r="H633">
        <f>IFERROR(__xludf.DUMMYFUNCTION("""COMPUTED_VALUE"""),12.0)</f>
        <v>12</v>
      </c>
      <c r="I633" s="34"/>
      <c r="J633" s="33" t="str">
        <f>IFERROR(__xludf.DUMMYFUNCTION("""COMPUTED_VALUE"""),"A CONTRATA")</f>
        <v>A CONTRATA</v>
      </c>
      <c r="K633" s="33" t="str">
        <f>IFERROR(__xludf.DUMMYFUNCTION("""COMPUTED_VALUE"""),"PROFESIONAL")</f>
        <v>PROFESIONAL</v>
      </c>
      <c r="L633" s="34" t="str">
        <f>IFERROR(__xludf.DUMMYFUNCTION("""COMPUTED_VALUE"""),"INTERNO")</f>
        <v>INTERNO</v>
      </c>
      <c r="M633" s="34">
        <f>IFERROR(__xludf.DUMMYFUNCTION("""COMPUTED_VALUE"""),4.0)</f>
        <v>4</v>
      </c>
      <c r="N633" s="34" t="str">
        <f>IFERROR(__xludf.DUMMYFUNCTION("""COMPUTED_VALUE"""),"EXTERNO")</f>
        <v>EXTERNO</v>
      </c>
      <c r="O633">
        <f>IFERROR(__xludf.DUMMYFUNCTION("""COMPUTED_VALUE"""),9.0)</f>
        <v>9</v>
      </c>
      <c r="Q633" s="35"/>
      <c r="R633" s="36" t="str">
        <f>IFERROR(__xludf.DUMMYFUNCTION("""COMPUTED_VALUE"""),"SELECCIONADA")</f>
        <v>SELECCIONADA</v>
      </c>
      <c r="S633" s="37">
        <f>IFERROR(__xludf.DUMMYFUNCTION("""COMPUTED_VALUE"""),41792.0)</f>
        <v>41792</v>
      </c>
      <c r="T633" s="34"/>
      <c r="U633" t="str">
        <f>IFERROR(__xludf.DUMMYFUNCTION("""COMPUTED_VALUE"""),"CARLA LUCERO CARO")</f>
        <v>CARLA LUCERO CARO</v>
      </c>
      <c r="V633" t="str">
        <f>IFERROR(__xludf.DUMMYFUNCTION("""COMPUTED_VALUE"""),"16567441-3")</f>
        <v>16567441-3</v>
      </c>
      <c r="AA633" s="38">
        <f>IFERROR(__xludf.DUMMYFUNCTION("""COMPUTED_VALUE"""),41740.0)</f>
        <v>41740</v>
      </c>
      <c r="AB633" s="38">
        <f>IFERROR(__xludf.DUMMYFUNCTION("""COMPUTED_VALUE"""),41747.0)</f>
        <v>41747</v>
      </c>
      <c r="AF633" s="39"/>
      <c r="AG633" s="39"/>
      <c r="AH633" s="34" t="str">
        <f>IFERROR(__xludf.DUMMYFUNCTION("""COMPUTED_VALUE"""),"PROCESO DE SELECCIÓN")</f>
        <v>PROCESO DE SELECCIÓN</v>
      </c>
      <c r="AI633" s="34"/>
      <c r="AJ633" s="34"/>
      <c r="AK633" s="34" t="str">
        <f>IFERROR(__xludf.DUMMYFUNCTION("""COMPUTED_VALUE"""),"P")</f>
        <v>P</v>
      </c>
      <c r="AL633">
        <f>IFERROR(__xludf.DUMMYFUNCTION("""COMPUTED_VALUE"""),32.0)</f>
        <v>32</v>
      </c>
      <c r="AM633">
        <f>IFERROR(__xludf.DUMMYFUNCTION("""COMPUTED_VALUE"""),2014.0)</f>
        <v>2014</v>
      </c>
      <c r="AN633" t="str">
        <f t="shared" si="1"/>
        <v>16567441-3</v>
      </c>
    </row>
    <row r="634">
      <c r="A634" s="33">
        <f>IFERROR(__xludf.DUMMYFUNCTION("""COMPUTED_VALUE"""),1.7254484E7)</f>
        <v>17254484</v>
      </c>
      <c r="B634" s="33">
        <f>IFERROR(__xludf.DUMMYFUNCTION("""COMPUTED_VALUE"""),58.0)</f>
        <v>58</v>
      </c>
      <c r="C634" s="33"/>
      <c r="D634" s="34" t="str">
        <f>IFERROR(__xludf.DUMMYFUNCTION("""COMPUTED_VALUE"""),"FACULTAD DE ADMINISTRACION Y ECONOMIA")</f>
        <v>FACULTAD DE ADMINISTRACION Y ECONOMIA</v>
      </c>
      <c r="E634" s="34" t="str">
        <f>IFERROR(__xludf.DUMMYFUNCTION("""COMPUTED_VALUE"""),"FACULTAD DE ADMINISTRACION Y ECONOMIA")</f>
        <v>FACULTAD DE ADMINISTRACION Y ECONOMIA</v>
      </c>
      <c r="F634" s="34" t="str">
        <f>IFERROR(__xludf.DUMMYFUNCTION("""COMPUTED_VALUE"""),"Jefe de Oficina")</f>
        <v>Jefe de Oficina</v>
      </c>
      <c r="G634" s="33" t="str">
        <f>IFERROR(__xludf.DUMMYFUNCTION("""COMPUTED_VALUE"""),"JEFE DE BIENES Y SERVICIOS")</f>
        <v>JEFE DE BIENES Y SERVICIOS</v>
      </c>
      <c r="H634">
        <f>IFERROR(__xludf.DUMMYFUNCTION("""COMPUTED_VALUE"""),10.0)</f>
        <v>10</v>
      </c>
      <c r="I634" s="34"/>
      <c r="J634" s="33" t="str">
        <f>IFERROR(__xludf.DUMMYFUNCTION("""COMPUTED_VALUE"""),"A CONTRATA")</f>
        <v>A CONTRATA</v>
      </c>
      <c r="K634" s="33" t="str">
        <f>IFERROR(__xludf.DUMMYFUNCTION("""COMPUTED_VALUE"""),"ADMINISTRATIVO")</f>
        <v>ADMINISTRATIVO</v>
      </c>
      <c r="L634" s="34" t="str">
        <f>IFERROR(__xludf.DUMMYFUNCTION("""COMPUTED_VALUE"""),"INTERNO")</f>
        <v>INTERNO</v>
      </c>
      <c r="M634" s="34">
        <f>IFERROR(__xludf.DUMMYFUNCTION("""COMPUTED_VALUE"""),9.0)</f>
        <v>9</v>
      </c>
      <c r="N634" s="34" t="str">
        <f>IFERROR(__xludf.DUMMYFUNCTION("""COMPUTED_VALUE"""),"EXTERNO")</f>
        <v>EXTERNO</v>
      </c>
      <c r="O634">
        <f>IFERROR(__xludf.DUMMYFUNCTION("""COMPUTED_VALUE"""),6.0)</f>
        <v>6</v>
      </c>
      <c r="P634">
        <f>IFERROR(__xludf.DUMMYFUNCTION("""COMPUTED_VALUE"""),1.0)</f>
        <v>1</v>
      </c>
      <c r="Q634" s="35">
        <f>IFERROR(__xludf.DUMMYFUNCTION("""COMPUTED_VALUE"""),2.0)</f>
        <v>2</v>
      </c>
      <c r="R634" s="36" t="str">
        <f>IFERROR(__xludf.DUMMYFUNCTION("""COMPUTED_VALUE"""),"SELECCIONADA")</f>
        <v>SELECCIONADA</v>
      </c>
      <c r="S634" s="37">
        <f>IFERROR(__xludf.DUMMYFUNCTION("""COMPUTED_VALUE"""),41820.0)</f>
        <v>41820</v>
      </c>
      <c r="T634" s="34"/>
      <c r="U634" t="str">
        <f>IFERROR(__xludf.DUMMYFUNCTION("""COMPUTED_VALUE"""),"GERALDINE ALVAREZ RUBILLO")</f>
        <v>GERALDINE ALVAREZ RUBILLO</v>
      </c>
      <c r="V634" t="str">
        <f>IFERROR(__xludf.DUMMYFUNCTION("""COMPUTED_VALUE"""),"17254484-3")</f>
        <v>17254484-3</v>
      </c>
      <c r="AA634" s="38">
        <f>IFERROR(__xludf.DUMMYFUNCTION("""COMPUTED_VALUE"""),41745.0)</f>
        <v>41745</v>
      </c>
      <c r="AB634" s="38">
        <f>IFERROR(__xludf.DUMMYFUNCTION("""COMPUTED_VALUE"""),41752.0)</f>
        <v>41752</v>
      </c>
      <c r="AF634" s="39"/>
      <c r="AG634" s="39"/>
      <c r="AH634" s="34" t="str">
        <f>IFERROR(__xludf.DUMMYFUNCTION("""COMPUTED_VALUE"""),"PROCESO DE SELECCIÓN")</f>
        <v>PROCESO DE SELECCIÓN</v>
      </c>
      <c r="AI634" s="34"/>
      <c r="AJ634" s="34"/>
      <c r="AK634" s="34" t="str">
        <f>IFERROR(__xludf.DUMMYFUNCTION("""COMPUTED_VALUE"""),"E")</f>
        <v>E</v>
      </c>
      <c r="AL634">
        <f>IFERROR(__xludf.DUMMYFUNCTION("""COMPUTED_VALUE"""),49.0)</f>
        <v>49</v>
      </c>
      <c r="AM634">
        <f>IFERROR(__xludf.DUMMYFUNCTION("""COMPUTED_VALUE"""),2014.0)</f>
        <v>2014</v>
      </c>
      <c r="AN634" t="str">
        <f t="shared" si="1"/>
        <v>17254484-3</v>
      </c>
    </row>
    <row r="635">
      <c r="A635" s="33">
        <f>IFERROR(__xludf.DUMMYFUNCTION("""COMPUTED_VALUE"""),1.2477339E7)</f>
        <v>12477339</v>
      </c>
      <c r="B635" s="33">
        <f>IFERROR(__xludf.DUMMYFUNCTION("""COMPUTED_VALUE"""),42.0)</f>
        <v>42</v>
      </c>
      <c r="C635" s="33"/>
      <c r="D635" s="34" t="str">
        <f>IFERROR(__xludf.DUMMYFUNCTION("""COMPUTED_VALUE"""),"FACULTAD DE CIENCIAS MEDICAS")</f>
        <v>FACULTAD DE CIENCIAS MEDICAS</v>
      </c>
      <c r="E635" s="34" t="str">
        <f>IFERROR(__xludf.DUMMYFUNCTION("""COMPUTED_VALUE"""),"LICENCIATURA EN CIENCIAS DE LA ACTIVIDAD FISICA")</f>
        <v>LICENCIATURA EN CIENCIAS DE LA ACTIVIDAD FISICA</v>
      </c>
      <c r="F635" s="34" t="str">
        <f>IFERROR(__xludf.DUMMYFUNCTION("""COMPUTED_VALUE"""),"Auxiliar de Servicios")</f>
        <v>Auxiliar de Servicios</v>
      </c>
      <c r="G635" s="33" t="str">
        <f>IFERROR(__xludf.DUMMYFUNCTION("""COMPUTED_VALUE"""),"AUXILIAR DE SERVICIOS")</f>
        <v>AUXILIAR DE SERVICIOS</v>
      </c>
      <c r="H635">
        <f>IFERROR(__xludf.DUMMYFUNCTION("""COMPUTED_VALUE"""),23.0)</f>
        <v>23</v>
      </c>
      <c r="I635" s="34"/>
      <c r="J635" s="33" t="str">
        <f>IFERROR(__xludf.DUMMYFUNCTION("""COMPUTED_VALUE"""),"A CONTRATA")</f>
        <v>A CONTRATA</v>
      </c>
      <c r="K635" s="33" t="str">
        <f>IFERROR(__xludf.DUMMYFUNCTION("""COMPUTED_VALUE"""),"AUXILIAR")</f>
        <v>AUXILIAR</v>
      </c>
      <c r="L635" s="34" t="str">
        <f>IFERROR(__xludf.DUMMYFUNCTION("""COMPUTED_VALUE"""),"INTERNO")</f>
        <v>INTERNO</v>
      </c>
      <c r="M635" s="34">
        <f>IFERROR(__xludf.DUMMYFUNCTION("""COMPUTED_VALUE"""),0.0)</f>
        <v>0</v>
      </c>
      <c r="N635" s="34" t="str">
        <f>IFERROR(__xludf.DUMMYFUNCTION("""COMPUTED_VALUE"""),"EXTERNO")</f>
        <v>EXTERNO</v>
      </c>
      <c r="O635">
        <f>IFERROR(__xludf.DUMMYFUNCTION("""COMPUTED_VALUE"""),14.0)</f>
        <v>14</v>
      </c>
      <c r="Q635" s="35"/>
      <c r="R635" s="36" t="str">
        <f>IFERROR(__xludf.DUMMYFUNCTION("""COMPUTED_VALUE"""),"SELECCIONADO")</f>
        <v>SELECCIONADO</v>
      </c>
      <c r="S635" s="37">
        <f>IFERROR(__xludf.DUMMYFUNCTION("""COMPUTED_VALUE"""),41799.0)</f>
        <v>41799</v>
      </c>
      <c r="T635" s="34"/>
      <c r="U635" t="str">
        <f>IFERROR(__xludf.DUMMYFUNCTION("""COMPUTED_VALUE"""),"SERGIO GAETE HERNANDEZ")</f>
        <v>SERGIO GAETE HERNANDEZ</v>
      </c>
      <c r="V635" t="str">
        <f>IFERROR(__xludf.DUMMYFUNCTION("""COMPUTED_VALUE"""),"12477339-3")</f>
        <v>12477339-3</v>
      </c>
      <c r="AA635" s="38">
        <f>IFERROR(__xludf.DUMMYFUNCTION("""COMPUTED_VALUE"""),41750.0)</f>
        <v>41750</v>
      </c>
      <c r="AB635" s="38">
        <f>IFERROR(__xludf.DUMMYFUNCTION("""COMPUTED_VALUE"""),41757.0)</f>
        <v>41757</v>
      </c>
      <c r="AF635" s="39"/>
      <c r="AG635" s="39"/>
      <c r="AH635" s="34" t="str">
        <f>IFERROR(__xludf.DUMMYFUNCTION("""COMPUTED_VALUE"""),"PROCESO DE SELECCIÓN")</f>
        <v>PROCESO DE SELECCIÓN</v>
      </c>
      <c r="AI635" s="34"/>
      <c r="AJ635" s="34"/>
      <c r="AK635" s="34"/>
      <c r="AL635">
        <f>IFERROR(__xludf.DUMMYFUNCTION("""COMPUTED_VALUE"""),31.0)</f>
        <v>31</v>
      </c>
      <c r="AM635">
        <f>IFERROR(__xludf.DUMMYFUNCTION("""COMPUTED_VALUE"""),2014.0)</f>
        <v>2014</v>
      </c>
      <c r="AN635" t="str">
        <f t="shared" si="1"/>
        <v>12477339-3</v>
      </c>
    </row>
    <row r="636">
      <c r="A636" s="33">
        <f>IFERROR(__xludf.DUMMYFUNCTION("""COMPUTED_VALUE"""),1.2264463E7)</f>
        <v>12264463</v>
      </c>
      <c r="B636" s="33">
        <f>IFERROR(__xludf.DUMMYFUNCTION("""COMPUTED_VALUE"""),40.0)</f>
        <v>40</v>
      </c>
      <c r="C636" s="33"/>
      <c r="D636" s="34" t="str">
        <f>IFERROR(__xludf.DUMMYFUNCTION("""COMPUTED_VALUE"""),"FACULTAD DE HUMANIDADES")</f>
        <v>FACULTAD DE HUMANIDADES</v>
      </c>
      <c r="E636" s="34" t="str">
        <f>IFERROR(__xludf.DUMMYFUNCTION("""COMPUTED_VALUE"""),"DEPARTAMENTO DE LINGÜISTICA Y LITERATURA")</f>
        <v>DEPARTAMENTO DE LINGÜISTICA Y LITERATURA</v>
      </c>
      <c r="F636" s="34" t="str">
        <f>IFERROR(__xludf.DUMMYFUNCTION("""COMPUTED_VALUE"""),"Jefe de Sección")</f>
        <v>Jefe de Sección</v>
      </c>
      <c r="G636" s="33" t="str">
        <f>IFERROR(__xludf.DUMMYFUNCTION("""COMPUTED_VALUE"""),"SUPERVISOR DE MONITORES PROYECTO INGLES B-LEARNING")</f>
        <v>SUPERVISOR DE MONITORES PROYECTO INGLES B-LEARNING</v>
      </c>
      <c r="H636">
        <f>IFERROR(__xludf.DUMMYFUNCTION("""COMPUTED_VALUE"""),10.0)</f>
        <v>10</v>
      </c>
      <c r="I636" s="34"/>
      <c r="J636" s="33" t="str">
        <f>IFERROR(__xludf.DUMMYFUNCTION("""COMPUTED_VALUE"""),"A CONTRATA")</f>
        <v>A CONTRATA</v>
      </c>
      <c r="K636" s="33" t="str">
        <f>IFERROR(__xludf.DUMMYFUNCTION("""COMPUTED_VALUE"""),"PROFESIONAL")</f>
        <v>PROFESIONAL</v>
      </c>
      <c r="L636" s="34" t="str">
        <f>IFERROR(__xludf.DUMMYFUNCTION("""COMPUTED_VALUE"""),"INTERNO")</f>
        <v>INTERNO</v>
      </c>
      <c r="M636" s="34">
        <f>IFERROR(__xludf.DUMMYFUNCTION("""COMPUTED_VALUE"""),7.0)</f>
        <v>7</v>
      </c>
      <c r="N636" s="34" t="str">
        <f>IFERROR(__xludf.DUMMYFUNCTION("""COMPUTED_VALUE"""),"NO")</f>
        <v>NO</v>
      </c>
      <c r="Q636" s="35"/>
      <c r="R636" s="36" t="str">
        <f>IFERROR(__xludf.DUMMYFUNCTION("""COMPUTED_VALUE"""),"SELECCIONADA")</f>
        <v>SELECCIONADA</v>
      </c>
      <c r="S636" s="37">
        <f>IFERROR(__xludf.DUMMYFUNCTION("""COMPUTED_VALUE"""),41799.0)</f>
        <v>41799</v>
      </c>
      <c r="T636" s="34" t="str">
        <f>IFERROR(__xludf.DUMMYFUNCTION("""COMPUTED_VALUE"""),"JULIA BARRAZA SAN MARTIN")</f>
        <v>JULIA BARRAZA SAN MARTIN</v>
      </c>
      <c r="V636" t="str">
        <f>IFERROR(__xludf.DUMMYFUNCTION("""COMPUTED_VALUE"""),"12264463-4")</f>
        <v>12264463-4</v>
      </c>
      <c r="AA636" s="38">
        <f>IFERROR(__xludf.DUMMYFUNCTION("""COMPUTED_VALUE"""),41751.0)</f>
        <v>41751</v>
      </c>
      <c r="AB636" s="38">
        <f>IFERROR(__xludf.DUMMYFUNCTION("""COMPUTED_VALUE"""),41758.0)</f>
        <v>41758</v>
      </c>
      <c r="AC636">
        <f>IFERROR(__xludf.DUMMYFUNCTION("""COMPUTED_VALUE"""),14.0)</f>
        <v>14</v>
      </c>
      <c r="AD636" t="str">
        <f>IFERROR(__xludf.DUMMYFUNCTION("""COMPUTED_VALUE"""),"PROFESIONAL")</f>
        <v>PROFESIONAL</v>
      </c>
      <c r="AF636" s="39" t="str">
        <f>IFERROR(__xludf.DUMMYFUNCTION("""COMPUTED_VALUE"""),"ANALISTA DE CAPACITACION Y DESARROLLO")</f>
        <v>ANALISTA DE CAPACITACION Y DESARROLLO</v>
      </c>
      <c r="AG636" s="39"/>
      <c r="AH636" s="34" t="str">
        <f>IFERROR(__xludf.DUMMYFUNCTION("""COMPUTED_VALUE"""),"PROCESO DE SELECCIÓN")</f>
        <v>PROCESO DE SELECCIÓN</v>
      </c>
      <c r="AI636" s="34"/>
      <c r="AJ636" s="34"/>
      <c r="AK636" s="34" t="str">
        <f>IFERROR(__xludf.DUMMYFUNCTION("""COMPUTED_VALUE"""),"P")</f>
        <v>P</v>
      </c>
      <c r="AL636">
        <f>IFERROR(__xludf.DUMMYFUNCTION("""COMPUTED_VALUE"""),30.0)</f>
        <v>30</v>
      </c>
      <c r="AM636">
        <f>IFERROR(__xludf.DUMMYFUNCTION("""COMPUTED_VALUE"""),2014.0)</f>
        <v>2014</v>
      </c>
      <c r="AN636" t="str">
        <f t="shared" si="1"/>
        <v>12264463-4</v>
      </c>
    </row>
    <row r="637">
      <c r="A637" s="33">
        <f>IFERROR(__xludf.DUMMYFUNCTION("""COMPUTED_VALUE"""),1.2748537E7)</f>
        <v>12748537</v>
      </c>
      <c r="B637" s="33">
        <f>IFERROR(__xludf.DUMMYFUNCTION("""COMPUTED_VALUE"""),33.0)</f>
        <v>33</v>
      </c>
      <c r="C637" s="33"/>
      <c r="D637" s="34" t="str">
        <f>IFERROR(__xludf.DUMMYFUNCTION("""COMPUTED_VALUE"""),"VICERRECTORIA DE APOYO AL ESTUDIANTE")</f>
        <v>VICERRECTORIA DE APOYO AL ESTUDIANTE</v>
      </c>
      <c r="E637" s="34" t="str">
        <f>IFERROR(__xludf.DUMMYFUNCTION("""COMPUTED_VALUE"""),"DEPARTAMENTO DE GESTION DEL DEPORTE Y CULTURA")</f>
        <v>DEPARTAMENTO DE GESTION DEL DEPORTE Y CULTURA</v>
      </c>
      <c r="F637" s="34" t="str">
        <f>IFERROR(__xludf.DUMMYFUNCTION("""COMPUTED_VALUE"""),"Jefe de Sección")</f>
        <v>Jefe de Sección</v>
      </c>
      <c r="G637" s="33" t="str">
        <f>IFERROR(__xludf.DUMMYFUNCTION("""COMPUTED_VALUE"""),"COORDINADOR DE SECCION DE CURSOS DEPORTIVOS")</f>
        <v>COORDINADOR DE SECCION DE CURSOS DEPORTIVOS</v>
      </c>
      <c r="H637">
        <f>IFERROR(__xludf.DUMMYFUNCTION("""COMPUTED_VALUE"""),10.0)</f>
        <v>10</v>
      </c>
      <c r="I637" s="34"/>
      <c r="J637" s="33" t="str">
        <f>IFERROR(__xludf.DUMMYFUNCTION("""COMPUTED_VALUE"""),"A CONTRATA")</f>
        <v>A CONTRATA</v>
      </c>
      <c r="K637" s="33" t="str">
        <f>IFERROR(__xludf.DUMMYFUNCTION("""COMPUTED_VALUE"""),"PROFESIONAL")</f>
        <v>PROFESIONAL</v>
      </c>
      <c r="L637" s="34" t="str">
        <f>IFERROR(__xludf.DUMMYFUNCTION("""COMPUTED_VALUE"""),"INTERNO")</f>
        <v>INTERNO</v>
      </c>
      <c r="M637" s="34">
        <f>IFERROR(__xludf.DUMMYFUNCTION("""COMPUTED_VALUE"""),2.0)</f>
        <v>2</v>
      </c>
      <c r="N637" s="34" t="str">
        <f>IFERROR(__xludf.DUMMYFUNCTION("""COMPUTED_VALUE"""),"NO")</f>
        <v>NO</v>
      </c>
      <c r="Q637" s="35"/>
      <c r="R637" s="36" t="str">
        <f>IFERROR(__xludf.DUMMYFUNCTION("""COMPUTED_VALUE"""),"SELECCIONADO")</f>
        <v>SELECCIONADO</v>
      </c>
      <c r="S637" s="37">
        <f>IFERROR(__xludf.DUMMYFUNCTION("""COMPUTED_VALUE"""),41785.0)</f>
        <v>41785</v>
      </c>
      <c r="T637" s="34" t="str">
        <f>IFERROR(__xludf.DUMMYFUNCTION("""COMPUTED_VALUE"""),"CRISTIAN FERRADA MENDEZ")</f>
        <v>CRISTIAN FERRADA MENDEZ</v>
      </c>
      <c r="V637" t="str">
        <f>IFERROR(__xludf.DUMMYFUNCTION("""COMPUTED_VALUE"""),"12748537-2")</f>
        <v>12748537-2</v>
      </c>
      <c r="AA637" s="38">
        <f>IFERROR(__xludf.DUMMYFUNCTION("""COMPUTED_VALUE"""),41754.0)</f>
        <v>41754</v>
      </c>
      <c r="AB637" s="38">
        <f>IFERROR(__xludf.DUMMYFUNCTION("""COMPUTED_VALUE"""),41761.0)</f>
        <v>41761</v>
      </c>
      <c r="AC637">
        <f>IFERROR(__xludf.DUMMYFUNCTION("""COMPUTED_VALUE"""),12.0)</f>
        <v>12</v>
      </c>
      <c r="AD637" t="str">
        <f>IFERROR(__xludf.DUMMYFUNCTION("""COMPUTED_VALUE"""),"PROFESIONAL")</f>
        <v>PROFESIONAL</v>
      </c>
      <c r="AF637" s="39" t="str">
        <f>IFERROR(__xludf.DUMMYFUNCTION("""COMPUTED_VALUE"""),"DEPARTAMENTO DE GESTION DE DEPORTE Y CULTURA")</f>
        <v>DEPARTAMENTO DE GESTION DE DEPORTE Y CULTURA</v>
      </c>
      <c r="AG637" s="39"/>
      <c r="AH637" s="34" t="str">
        <f>IFERROR(__xludf.DUMMYFUNCTION("""COMPUTED_VALUE"""),"PROCESO DE SELECCIÓN")</f>
        <v>PROCESO DE SELECCIÓN</v>
      </c>
      <c r="AI637" s="34"/>
      <c r="AJ637" s="34"/>
      <c r="AK637" s="34" t="str">
        <f>IFERROR(__xludf.DUMMYFUNCTION("""COMPUTED_VALUE"""),"P")</f>
        <v>P</v>
      </c>
      <c r="AL637">
        <f>IFERROR(__xludf.DUMMYFUNCTION("""COMPUTED_VALUE"""),17.0)</f>
        <v>17</v>
      </c>
      <c r="AM637">
        <f>IFERROR(__xludf.DUMMYFUNCTION("""COMPUTED_VALUE"""),2014.0)</f>
        <v>2014</v>
      </c>
      <c r="AN637" t="str">
        <f t="shared" si="1"/>
        <v>12748537-2</v>
      </c>
    </row>
    <row r="638">
      <c r="A638" s="33">
        <f>IFERROR(__xludf.DUMMYFUNCTION("""COMPUTED_VALUE"""),1.3063123E7)</f>
        <v>13063123</v>
      </c>
      <c r="B638" s="33">
        <f>IFERROR(__xludf.DUMMYFUNCTION("""COMPUTED_VALUE"""),35.0)</f>
        <v>35</v>
      </c>
      <c r="C638" s="33"/>
      <c r="D638" s="34" t="str">
        <f>IFERROR(__xludf.DUMMYFUNCTION("""COMPUTED_VALUE"""),"FACULTAD DE CIENCIA")</f>
        <v>FACULTAD DE CIENCIA</v>
      </c>
      <c r="E638" s="34" t="str">
        <f>IFERROR(__xludf.DUMMYFUNCTION("""COMPUTED_VALUE"""),"FACULTAD DE CIENCIA")</f>
        <v>FACULTAD DE CIENCIA</v>
      </c>
      <c r="F638" s="34" t="str">
        <f>IFERROR(__xludf.DUMMYFUNCTION("""COMPUTED_VALUE"""),"Encargado Administrativo de Unidad Académica")</f>
        <v>Encargado Administrativo de Unidad Académica</v>
      </c>
      <c r="G638" s="33" t="str">
        <f>IFERROR(__xludf.DUMMYFUNCTION("""COMPUTED_VALUE"""),"JEFE ADMINISTRATIVO")</f>
        <v>JEFE ADMINISTRATIVO</v>
      </c>
      <c r="H638">
        <f>IFERROR(__xludf.DUMMYFUNCTION("""COMPUTED_VALUE"""),10.0)</f>
        <v>10</v>
      </c>
      <c r="I638" s="34"/>
      <c r="J638" s="33" t="str">
        <f>IFERROR(__xludf.DUMMYFUNCTION("""COMPUTED_VALUE"""),"A CONTRATA")</f>
        <v>A CONTRATA</v>
      </c>
      <c r="K638" s="33" t="str">
        <f>IFERROR(__xludf.DUMMYFUNCTION("""COMPUTED_VALUE"""),"ADMINISTRATIVO")</f>
        <v>ADMINISTRATIVO</v>
      </c>
      <c r="L638" s="34" t="str">
        <f>IFERROR(__xludf.DUMMYFUNCTION("""COMPUTED_VALUE"""),"INTERNO")</f>
        <v>INTERNO</v>
      </c>
      <c r="M638" s="34">
        <f>IFERROR(__xludf.DUMMYFUNCTION("""COMPUTED_VALUE"""),8.0)</f>
        <v>8</v>
      </c>
      <c r="N638" s="34" t="str">
        <f>IFERROR(__xludf.DUMMYFUNCTION("""COMPUTED_VALUE"""),"NO")</f>
        <v>NO</v>
      </c>
      <c r="Q638" s="35"/>
      <c r="R638" s="36" t="str">
        <f>IFERROR(__xludf.DUMMYFUNCTION("""COMPUTED_VALUE"""),"SELECCIONADO")</f>
        <v>SELECCIONADO</v>
      </c>
      <c r="S638" s="37">
        <f>IFERROR(__xludf.DUMMYFUNCTION("""COMPUTED_VALUE"""),41785.0)</f>
        <v>41785</v>
      </c>
      <c r="T638" s="34" t="str">
        <f>IFERROR(__xludf.DUMMYFUNCTION("""COMPUTED_VALUE"""),"MARCELO AVILA SOTO")</f>
        <v>MARCELO AVILA SOTO</v>
      </c>
      <c r="V638" t="str">
        <f>IFERROR(__xludf.DUMMYFUNCTION("""COMPUTED_VALUE"""),"13063123-1")</f>
        <v>13063123-1</v>
      </c>
      <c r="AA638" s="38">
        <f>IFERROR(__xludf.DUMMYFUNCTION("""COMPUTED_VALUE"""),41785.0)</f>
        <v>41785</v>
      </c>
      <c r="AB638" s="38">
        <f>IFERROR(__xludf.DUMMYFUNCTION("""COMPUTED_VALUE"""),41761.0)</f>
        <v>41761</v>
      </c>
      <c r="AC638">
        <f>IFERROR(__xludf.DUMMYFUNCTION("""COMPUTED_VALUE"""),15.0)</f>
        <v>15</v>
      </c>
      <c r="AD638" t="str">
        <f>IFERROR(__xludf.DUMMYFUNCTION("""COMPUTED_VALUE"""),"ADMINISTRATIVO")</f>
        <v>ADMINISTRATIVO</v>
      </c>
      <c r="AF638" s="39" t="str">
        <f>IFERROR(__xludf.DUMMYFUNCTION("""COMPUTED_VALUE"""),"DEPARTAMENTO DE RECURSOS HUMANOS")</f>
        <v>DEPARTAMENTO DE RECURSOS HUMANOS</v>
      </c>
      <c r="AG638" s="39"/>
      <c r="AH638" s="34" t="str">
        <f>IFERROR(__xludf.DUMMYFUNCTION("""COMPUTED_VALUE"""),"PROCESO DE SELECCIÓN")</f>
        <v>PROCESO DE SELECCIÓN</v>
      </c>
      <c r="AI638" s="34"/>
      <c r="AJ638" s="34"/>
      <c r="AK638" s="34" t="str">
        <f>IFERROR(__xludf.DUMMYFUNCTION("""COMPUTED_VALUE"""),"C")</f>
        <v>C</v>
      </c>
      <c r="AL638">
        <f>IFERROR(__xludf.DUMMYFUNCTION("""COMPUTED_VALUE"""),17.0)</f>
        <v>17</v>
      </c>
      <c r="AM638">
        <f>IFERROR(__xludf.DUMMYFUNCTION("""COMPUTED_VALUE"""),2014.0)</f>
        <v>2014</v>
      </c>
      <c r="AN638" t="str">
        <f t="shared" si="1"/>
        <v>13063123-1</v>
      </c>
    </row>
    <row r="639">
      <c r="A639" s="33">
        <f>IFERROR(__xludf.DUMMYFUNCTION("""COMPUTED_VALUE"""),1.2900867E7)</f>
        <v>12900867</v>
      </c>
      <c r="B639" s="33">
        <f>IFERROR(__xludf.DUMMYFUNCTION("""COMPUTED_VALUE"""),38.0)</f>
        <v>38</v>
      </c>
      <c r="C639" s="33"/>
      <c r="D639" s="34" t="str">
        <f>IFERROR(__xludf.DUMMYFUNCTION("""COMPUTED_VALUE"""),"VICERRECTORIA DE APOYO AL ESTUDIANTE")</f>
        <v>VICERRECTORIA DE APOYO AL ESTUDIANTE</v>
      </c>
      <c r="E639" s="34" t="str">
        <f>IFERROR(__xludf.DUMMYFUNCTION("""COMPUTED_VALUE"""),"UNIDAD DE ADMINISTRACION DE SERVICIOS ALIMENTARIOS")</f>
        <v>UNIDAD DE ADMINISTRACION DE SERVICIOS ALIMENTARIOS</v>
      </c>
      <c r="F639" s="34" t="str">
        <f>IFERROR(__xludf.DUMMYFUNCTION("""COMPUTED_VALUE"""),"Auxiliar de Servicios")</f>
        <v>Auxiliar de Servicios</v>
      </c>
      <c r="G639" s="33" t="str">
        <f>IFERROR(__xludf.DUMMYFUNCTION("""COMPUTED_VALUE"""),"AUXILIAR DE SERVICIOS")</f>
        <v>AUXILIAR DE SERVICIOS</v>
      </c>
      <c r="H639">
        <f>IFERROR(__xludf.DUMMYFUNCTION("""COMPUTED_VALUE"""),23.0)</f>
        <v>23</v>
      </c>
      <c r="I639" s="34"/>
      <c r="J639" s="33" t="str">
        <f>IFERROR(__xludf.DUMMYFUNCTION("""COMPUTED_VALUE"""),"A CONTRATA")</f>
        <v>A CONTRATA</v>
      </c>
      <c r="K639" s="33" t="str">
        <f>IFERROR(__xludf.DUMMYFUNCTION("""COMPUTED_VALUE"""),"AUXILIAR")</f>
        <v>AUXILIAR</v>
      </c>
      <c r="L639" s="34" t="str">
        <f>IFERROR(__xludf.DUMMYFUNCTION("""COMPUTED_VALUE"""),"INTERNO")</f>
        <v>INTERNO</v>
      </c>
      <c r="M639" s="34">
        <f>IFERROR(__xludf.DUMMYFUNCTION("""COMPUTED_VALUE"""),0.0)</f>
        <v>0</v>
      </c>
      <c r="N639" s="34" t="str">
        <f>IFERROR(__xludf.DUMMYFUNCTION("""COMPUTED_VALUE"""),"EXTERNO")</f>
        <v>EXTERNO</v>
      </c>
      <c r="O639">
        <f>IFERROR(__xludf.DUMMYFUNCTION("""COMPUTED_VALUE"""),4.0)</f>
        <v>4</v>
      </c>
      <c r="Q639" s="35"/>
      <c r="R639" s="36" t="str">
        <f>IFERROR(__xludf.DUMMYFUNCTION("""COMPUTED_VALUE"""),"SELECCIONADA")</f>
        <v>SELECCIONADA</v>
      </c>
      <c r="S639" s="37">
        <f>IFERROR(__xludf.DUMMYFUNCTION("""COMPUTED_VALUE"""),41799.0)</f>
        <v>41799</v>
      </c>
      <c r="T639" s="34"/>
      <c r="U639" t="str">
        <f>IFERROR(__xludf.DUMMYFUNCTION("""COMPUTED_VALUE"""),"RAQUEL AVILA GALVEZ")</f>
        <v>RAQUEL AVILA GALVEZ</v>
      </c>
      <c r="V639" t="str">
        <f>IFERROR(__xludf.DUMMYFUNCTION("""COMPUTED_VALUE"""),"12900867-9")</f>
        <v>12900867-9</v>
      </c>
      <c r="AA639" s="38">
        <f>IFERROR(__xludf.DUMMYFUNCTION("""COMPUTED_VALUE"""),41757.0)</f>
        <v>41757</v>
      </c>
      <c r="AB639" s="38">
        <f>IFERROR(__xludf.DUMMYFUNCTION("""COMPUTED_VALUE"""),41764.0)</f>
        <v>41764</v>
      </c>
      <c r="AF639" s="39"/>
      <c r="AG639" s="39"/>
      <c r="AH639" s="34" t="str">
        <f>IFERROR(__xludf.DUMMYFUNCTION("""COMPUTED_VALUE"""),"PROCESO DE SELECCIÓN")</f>
        <v>PROCESO DE SELECCIÓN</v>
      </c>
      <c r="AI639" s="34"/>
      <c r="AJ639" s="34"/>
      <c r="AK639" s="34" t="str">
        <f>IFERROR(__xludf.DUMMYFUNCTION("""COMPUTED_VALUE"""),"E")</f>
        <v>E</v>
      </c>
      <c r="AL639">
        <f>IFERROR(__xludf.DUMMYFUNCTION("""COMPUTED_VALUE"""),26.0)</f>
        <v>26</v>
      </c>
      <c r="AM639">
        <f>IFERROR(__xludf.DUMMYFUNCTION("""COMPUTED_VALUE"""),2014.0)</f>
        <v>2014</v>
      </c>
      <c r="AN639" t="str">
        <f t="shared" si="1"/>
        <v>12900867-9</v>
      </c>
    </row>
    <row r="640">
      <c r="A640" s="33">
        <f>IFERROR(__xludf.DUMMYFUNCTION("""COMPUTED_VALUE"""),1.6615699E7)</f>
        <v>16615699</v>
      </c>
      <c r="B640" s="33">
        <f>IFERROR(__xludf.DUMMYFUNCTION("""COMPUTED_VALUE"""),62.0)</f>
        <v>62</v>
      </c>
      <c r="C640" s="33"/>
      <c r="D640" s="34" t="str">
        <f>IFERROR(__xludf.DUMMYFUNCTION("""COMPUTED_VALUE"""),"PRORRECTORIA")</f>
        <v>PRORRECTORIA</v>
      </c>
      <c r="E640" s="34" t="str">
        <f>IFERROR(__xludf.DUMMYFUNCTION("""COMPUTED_VALUE"""),"DEPARTAMENTO DE RECURSOS HUMANOS")</f>
        <v>DEPARTAMENTO DE RECURSOS HUMANOS</v>
      </c>
      <c r="F640" s="34" t="str">
        <f>IFERROR(__xludf.DUMMYFUNCTION("""COMPUTED_VALUE"""),"Asistente Social Personal")</f>
        <v>Asistente Social Personal</v>
      </c>
      <c r="G640" s="33" t="str">
        <f>IFERROR(__xludf.DUMMYFUNCTION("""COMPUTED_VALUE"""),"ASISTENTE SOCIAL")</f>
        <v>ASISTENTE SOCIAL</v>
      </c>
      <c r="H640">
        <f>IFERROR(__xludf.DUMMYFUNCTION("""COMPUTED_VALUE"""),13.0)</f>
        <v>13</v>
      </c>
      <c r="I640" s="34"/>
      <c r="J640" s="33" t="str">
        <f>IFERROR(__xludf.DUMMYFUNCTION("""COMPUTED_VALUE"""),"A CONTRATA")</f>
        <v>A CONTRATA</v>
      </c>
      <c r="K640" s="33" t="str">
        <f>IFERROR(__xludf.DUMMYFUNCTION("""COMPUTED_VALUE"""),"PROFESIONAL")</f>
        <v>PROFESIONAL</v>
      </c>
      <c r="L640" s="34" t="str">
        <f>IFERROR(__xludf.DUMMYFUNCTION("""COMPUTED_VALUE"""),"INTERNO")</f>
        <v>INTERNO</v>
      </c>
      <c r="M640" s="34">
        <f>IFERROR(__xludf.DUMMYFUNCTION("""COMPUTED_VALUE"""),4.0)</f>
        <v>4</v>
      </c>
      <c r="N640" s="34" t="str">
        <f>IFERROR(__xludf.DUMMYFUNCTION("""COMPUTED_VALUE"""),"NO")</f>
        <v>NO</v>
      </c>
      <c r="P640">
        <f>IFERROR(__xludf.DUMMYFUNCTION("""COMPUTED_VALUE"""),3.0)</f>
        <v>3</v>
      </c>
      <c r="Q640" s="35">
        <f>IFERROR(__xludf.DUMMYFUNCTION("""COMPUTED_VALUE"""),0.0)</f>
        <v>0</v>
      </c>
      <c r="R640" s="36" t="str">
        <f>IFERROR(__xludf.DUMMYFUNCTION("""COMPUTED_VALUE"""),"SELECCIONADA")</f>
        <v>SELECCIONADA</v>
      </c>
      <c r="S640" s="37">
        <f>IFERROR(__xludf.DUMMYFUNCTION("""COMPUTED_VALUE"""),41792.0)</f>
        <v>41792</v>
      </c>
      <c r="T640" s="34" t="str">
        <f>IFERROR(__xludf.DUMMYFUNCTION("""COMPUTED_VALUE"""),"ANGELICA FAJARDO LAZO")</f>
        <v>ANGELICA FAJARDO LAZO</v>
      </c>
      <c r="V640" t="str">
        <f>IFERROR(__xludf.DUMMYFUNCTION("""COMPUTED_VALUE"""),"16615699-8")</f>
        <v>16615699-8</v>
      </c>
      <c r="AA640" s="38">
        <f>IFERROR(__xludf.DUMMYFUNCTION("""COMPUTED_VALUE"""),41757.0)</f>
        <v>41757</v>
      </c>
      <c r="AB640" s="38">
        <f>IFERROR(__xludf.DUMMYFUNCTION("""COMPUTED_VALUE"""),41764.0)</f>
        <v>41764</v>
      </c>
      <c r="AC640">
        <f>IFERROR(__xludf.DUMMYFUNCTION("""COMPUTED_VALUE"""),17.0)</f>
        <v>17</v>
      </c>
      <c r="AD640" t="str">
        <f>IFERROR(__xludf.DUMMYFUNCTION("""COMPUTED_VALUE"""),"ADMINISTRATIVO")</f>
        <v>ADMINISTRATIVO</v>
      </c>
      <c r="AF640" s="39" t="str">
        <f>IFERROR(__xludf.DUMMYFUNCTION("""COMPUTED_VALUE"""),"PROGRAMA DE BACHILLERATO")</f>
        <v>PROGRAMA DE BACHILLERATO</v>
      </c>
      <c r="AG640" s="39"/>
      <c r="AH640" s="34" t="str">
        <f>IFERROR(__xludf.DUMMYFUNCTION("""COMPUTED_VALUE"""),"PROCESO DE SELECCIÓN")</f>
        <v>PROCESO DE SELECCIÓN</v>
      </c>
      <c r="AI640" s="34"/>
      <c r="AJ640" s="34"/>
      <c r="AK640" s="34" t="str">
        <f>IFERROR(__xludf.DUMMYFUNCTION("""COMPUTED_VALUE"""),"C")</f>
        <v>C</v>
      </c>
      <c r="AL640">
        <f>IFERROR(__xludf.DUMMYFUNCTION("""COMPUTED_VALUE"""),21.0)</f>
        <v>21</v>
      </c>
      <c r="AM640">
        <f>IFERROR(__xludf.DUMMYFUNCTION("""COMPUTED_VALUE"""),2014.0)</f>
        <v>2014</v>
      </c>
      <c r="AN640" t="str">
        <f t="shared" si="1"/>
        <v>16615699-8</v>
      </c>
    </row>
    <row r="641">
      <c r="A641" s="33">
        <f>IFERROR(__xludf.DUMMYFUNCTION("""COMPUTED_VALUE"""),1.3453913E7)</f>
        <v>13453913</v>
      </c>
      <c r="B641" s="33">
        <f>IFERROR(__xludf.DUMMYFUNCTION("""COMPUTED_VALUE"""),70.0)</f>
        <v>70</v>
      </c>
      <c r="C641" s="33"/>
      <c r="D641" s="34" t="str">
        <f>IFERROR(__xludf.DUMMYFUNCTION("""COMPUTED_VALUE"""),"PRORRECTORIA")</f>
        <v>PRORRECTORIA</v>
      </c>
      <c r="E641" s="34" t="str">
        <f>IFERROR(__xludf.DUMMYFUNCTION("""COMPUTED_VALUE"""),"DEPARTAMENTO DE RECURSOS HUMANOS")</f>
        <v>DEPARTAMENTO DE RECURSOS HUMANOS</v>
      </c>
      <c r="F641" s="34" t="str">
        <f>IFERROR(__xludf.DUMMYFUNCTION("""COMPUTED_VALUE"""),"Técnico Contable")</f>
        <v>Técnico Contable</v>
      </c>
      <c r="G641" s="33" t="str">
        <f>IFERROR(__xludf.DUMMYFUNCTION("""COMPUTED_VALUE"""),"TECNICO CONTABLE")</f>
        <v>TECNICO CONTABLE</v>
      </c>
      <c r="H641">
        <f>IFERROR(__xludf.DUMMYFUNCTION("""COMPUTED_VALUE"""),14.0)</f>
        <v>14</v>
      </c>
      <c r="I641" s="34"/>
      <c r="J641" s="33" t="str">
        <f>IFERROR(__xludf.DUMMYFUNCTION("""COMPUTED_VALUE"""),"A CONTRATA")</f>
        <v>A CONTRATA</v>
      </c>
      <c r="K641" s="33" t="str">
        <f>IFERROR(__xludf.DUMMYFUNCTION("""COMPUTED_VALUE"""),"TECNICO")</f>
        <v>TECNICO</v>
      </c>
      <c r="L641" s="34" t="str">
        <f>IFERROR(__xludf.DUMMYFUNCTION("""COMPUTED_VALUE"""),"INTERNO")</f>
        <v>INTERNO</v>
      </c>
      <c r="M641" s="34">
        <f>IFERROR(__xludf.DUMMYFUNCTION("""COMPUTED_VALUE"""),0.0)</f>
        <v>0</v>
      </c>
      <c r="N641" s="34" t="str">
        <f>IFERROR(__xludf.DUMMYFUNCTION("""COMPUTED_VALUE"""),"NO")</f>
        <v>NO</v>
      </c>
      <c r="P641">
        <f>IFERROR(__xludf.DUMMYFUNCTION("""COMPUTED_VALUE"""),1.0)</f>
        <v>1</v>
      </c>
      <c r="Q641" s="35">
        <f>IFERROR(__xludf.DUMMYFUNCTION("""COMPUTED_VALUE"""),0.0)</f>
        <v>0</v>
      </c>
      <c r="R641" s="36" t="str">
        <f>IFERROR(__xludf.DUMMYFUNCTION("""COMPUTED_VALUE"""),"SELECCIONADO")</f>
        <v>SELECCIONADO</v>
      </c>
      <c r="S641" s="37">
        <f>IFERROR(__xludf.DUMMYFUNCTION("""COMPUTED_VALUE"""),41792.0)</f>
        <v>41792</v>
      </c>
      <c r="T641" s="34" t="str">
        <f>IFERROR(__xludf.DUMMYFUNCTION("""COMPUTED_VALUE"""),"RODRIGO BORQUEZ CONTRERAS")</f>
        <v>RODRIGO BORQUEZ CONTRERAS</v>
      </c>
      <c r="V641" t="str">
        <f>IFERROR(__xludf.DUMMYFUNCTION("""COMPUTED_VALUE"""),"13453913-5")</f>
        <v>13453913-5</v>
      </c>
      <c r="AA641" s="38">
        <f>IFERROR(__xludf.DUMMYFUNCTION("""COMPUTED_VALUE"""),41758.0)</f>
        <v>41758</v>
      </c>
      <c r="AB641" s="38">
        <f>IFERROR(__xludf.DUMMYFUNCTION("""COMPUTED_VALUE"""),41765.0)</f>
        <v>41765</v>
      </c>
      <c r="AC641">
        <f>IFERROR(__xludf.DUMMYFUNCTION("""COMPUTED_VALUE"""),18.0)</f>
        <v>18</v>
      </c>
      <c r="AD641" t="str">
        <f>IFERROR(__xludf.DUMMYFUNCTION("""COMPUTED_VALUE"""),"TECNICO")</f>
        <v>TECNICO</v>
      </c>
      <c r="AF641" s="39" t="str">
        <f>IFERROR(__xludf.DUMMYFUNCTION("""COMPUTED_VALUE"""),"UNIDAD DE BIENESTAR DEL PERSONAL")</f>
        <v>UNIDAD DE BIENESTAR DEL PERSONAL</v>
      </c>
      <c r="AG641" s="39"/>
      <c r="AH641" s="34" t="str">
        <f>IFERROR(__xludf.DUMMYFUNCTION("""COMPUTED_VALUE"""),"PROCESO DE SELECCIÓN")</f>
        <v>PROCESO DE SELECCIÓN</v>
      </c>
      <c r="AI641" s="34"/>
      <c r="AJ641" s="34"/>
      <c r="AK641" s="34" t="str">
        <f>IFERROR(__xludf.DUMMYFUNCTION("""COMPUTED_VALUE"""),"P")</f>
        <v>P</v>
      </c>
      <c r="AL641">
        <f>IFERROR(__xludf.DUMMYFUNCTION("""COMPUTED_VALUE"""),20.0)</f>
        <v>20</v>
      </c>
      <c r="AM641">
        <f>IFERROR(__xludf.DUMMYFUNCTION("""COMPUTED_VALUE"""),2014.0)</f>
        <v>2014</v>
      </c>
      <c r="AN641" t="str">
        <f t="shared" si="1"/>
        <v>13453913-5</v>
      </c>
    </row>
    <row r="642">
      <c r="A642" s="33">
        <f>IFERROR(__xludf.DUMMYFUNCTION("""COMPUTED_VALUE"""),8771005.0)</f>
        <v>8771005</v>
      </c>
      <c r="B642" s="33">
        <f>IFERROR(__xludf.DUMMYFUNCTION("""COMPUTED_VALUE"""),50.0)</f>
        <v>50</v>
      </c>
      <c r="C642" s="33"/>
      <c r="D642" s="34" t="str">
        <f>IFERROR(__xludf.DUMMYFUNCTION("""COMPUTED_VALUE"""),"FACULTAD DE CIENCIA")</f>
        <v>FACULTAD DE CIENCIA</v>
      </c>
      <c r="E642" s="34" t="str">
        <f>IFERROR(__xludf.DUMMYFUNCTION("""COMPUTED_VALUE"""),"DEPARTAMENTO DE FISICA")</f>
        <v>DEPARTAMENTO DE FISICA</v>
      </c>
      <c r="F642" s="34" t="str">
        <f>IFERROR(__xludf.DUMMYFUNCTION("""COMPUTED_VALUE"""),"Técnico de Laboratorio")</f>
        <v>Técnico de Laboratorio</v>
      </c>
      <c r="G642" s="33" t="str">
        <f>IFERROR(__xludf.DUMMYFUNCTION("""COMPUTED_VALUE"""),"TECNICO ELECTRONICO")</f>
        <v>TECNICO ELECTRONICO</v>
      </c>
      <c r="H642">
        <f>IFERROR(__xludf.DUMMYFUNCTION("""COMPUTED_VALUE"""),17.0)</f>
        <v>17</v>
      </c>
      <c r="I642" s="34"/>
      <c r="J642" s="33" t="str">
        <f>IFERROR(__xludf.DUMMYFUNCTION("""COMPUTED_VALUE"""),"A CONTRATA")</f>
        <v>A CONTRATA</v>
      </c>
      <c r="K642" s="33" t="str">
        <f>IFERROR(__xludf.DUMMYFUNCTION("""COMPUTED_VALUE"""),"TECNICO")</f>
        <v>TECNICO</v>
      </c>
      <c r="L642" s="34" t="str">
        <f>IFERROR(__xludf.DUMMYFUNCTION("""COMPUTED_VALUE"""),"INTERNO")</f>
        <v>INTERNO</v>
      </c>
      <c r="M642" s="34">
        <f>IFERROR(__xludf.DUMMYFUNCTION("""COMPUTED_VALUE"""),0.0)</f>
        <v>0</v>
      </c>
      <c r="N642" s="34" t="str">
        <f>IFERROR(__xludf.DUMMYFUNCTION("""COMPUTED_VALUE"""),"EXTERNO")</f>
        <v>EXTERNO</v>
      </c>
      <c r="O642">
        <f>IFERROR(__xludf.DUMMYFUNCTION("""COMPUTED_VALUE"""),5.0)</f>
        <v>5</v>
      </c>
      <c r="Q642" s="35"/>
      <c r="R642" s="36" t="str">
        <f>IFERROR(__xludf.DUMMYFUNCTION("""COMPUTED_VALUE"""),"SELECCIONADO")</f>
        <v>SELECCIONADO</v>
      </c>
      <c r="S642" s="37">
        <f>IFERROR(__xludf.DUMMYFUNCTION("""COMPUTED_VALUE"""),41807.0)</f>
        <v>41807</v>
      </c>
      <c r="T642" s="34"/>
      <c r="U642" t="str">
        <f>IFERROR(__xludf.DUMMYFUNCTION("""COMPUTED_VALUE"""),"ALEXEI ITURRIAGA CASTRO")</f>
        <v>ALEXEI ITURRIAGA CASTRO</v>
      </c>
      <c r="V642" t="str">
        <f>IFERROR(__xludf.DUMMYFUNCTION("""COMPUTED_VALUE"""),"08771005-K")</f>
        <v>08771005-K</v>
      </c>
      <c r="AA642" s="38">
        <f>IFERROR(__xludf.DUMMYFUNCTION("""COMPUTED_VALUE"""),41765.0)</f>
        <v>41765</v>
      </c>
      <c r="AB642" s="38">
        <f>IFERROR(__xludf.DUMMYFUNCTION("""COMPUTED_VALUE"""),41772.0)</f>
        <v>41772</v>
      </c>
      <c r="AF642" s="39"/>
      <c r="AG642" s="39"/>
      <c r="AH642" s="34" t="str">
        <f>IFERROR(__xludf.DUMMYFUNCTION("""COMPUTED_VALUE"""),"PROCESO DE SELECCIÓN")</f>
        <v>PROCESO DE SELECCIÓN</v>
      </c>
      <c r="AI642" s="34"/>
      <c r="AJ642" s="34"/>
      <c r="AK642" s="34" t="str">
        <f>IFERROR(__xludf.DUMMYFUNCTION("""COMPUTED_VALUE"""),"E")</f>
        <v>E</v>
      </c>
      <c r="AL642">
        <f>IFERROR(__xludf.DUMMYFUNCTION("""COMPUTED_VALUE"""),26.0)</f>
        <v>26</v>
      </c>
      <c r="AM642">
        <f>IFERROR(__xludf.DUMMYFUNCTION("""COMPUTED_VALUE"""),2014.0)</f>
        <v>2014</v>
      </c>
      <c r="AN642" t="str">
        <f t="shared" si="1"/>
        <v>08771005-K</v>
      </c>
    </row>
    <row r="643">
      <c r="A643" s="33">
        <f>IFERROR(__xludf.DUMMYFUNCTION("""COMPUTED_VALUE"""),1.7089843E7)</f>
        <v>17089843</v>
      </c>
      <c r="B643" s="33">
        <f>IFERROR(__xludf.DUMMYFUNCTION("""COMPUTED_VALUE"""),110.0)</f>
        <v>110</v>
      </c>
      <c r="C643" s="33"/>
      <c r="D643" s="34" t="str">
        <f>IFERROR(__xludf.DUMMYFUNCTION("""COMPUTED_VALUE"""),"PRORRECTORIA")</f>
        <v>PRORRECTORIA</v>
      </c>
      <c r="E643" s="34" t="str">
        <f>IFERROR(__xludf.DUMMYFUNCTION("""COMPUTED_VALUE"""),"DEPARTAMENTO DE DESARROLLO DE PERSONAS")</f>
        <v>DEPARTAMENTO DE DESARROLLO DE PERSONAS</v>
      </c>
      <c r="F643" s="34" t="str">
        <f>IFERROR(__xludf.DUMMYFUNCTION("""COMPUTED_VALUE"""),"Analista de Gestión I")</f>
        <v>Analista de Gestión I</v>
      </c>
      <c r="G643" s="33" t="str">
        <f>IFERROR(__xludf.DUMMYFUNCTION("""COMPUTED_VALUE"""),"ANALISTA I")</f>
        <v>ANALISTA I</v>
      </c>
      <c r="H643">
        <f>IFERROR(__xludf.DUMMYFUNCTION("""COMPUTED_VALUE"""),10.0)</f>
        <v>10</v>
      </c>
      <c r="I643" s="34"/>
      <c r="J643" s="33" t="str">
        <f>IFERROR(__xludf.DUMMYFUNCTION("""COMPUTED_VALUE"""),"A CONTRATA")</f>
        <v>A CONTRATA</v>
      </c>
      <c r="K643" s="33" t="str">
        <f>IFERROR(__xludf.DUMMYFUNCTION("""COMPUTED_VALUE"""),"PROFESIONAL")</f>
        <v>PROFESIONAL</v>
      </c>
      <c r="L643" s="34" t="str">
        <f>IFERROR(__xludf.DUMMYFUNCTION("""COMPUTED_VALUE"""),"INTERNO")</f>
        <v>INTERNO</v>
      </c>
      <c r="M643" s="34">
        <f>IFERROR(__xludf.DUMMYFUNCTION("""COMPUTED_VALUE"""),3.0)</f>
        <v>3</v>
      </c>
      <c r="N643" s="34" t="str">
        <f>IFERROR(__xludf.DUMMYFUNCTION("""COMPUTED_VALUE"""),"EXTERNO")</f>
        <v>EXTERNO</v>
      </c>
      <c r="O643">
        <f>IFERROR(__xludf.DUMMYFUNCTION("""COMPUTED_VALUE"""),7.0)</f>
        <v>7</v>
      </c>
      <c r="P643">
        <f>IFERROR(__xludf.DUMMYFUNCTION("""COMPUTED_VALUE"""),1.0)</f>
        <v>1</v>
      </c>
      <c r="Q643" s="35">
        <f>IFERROR(__xludf.DUMMYFUNCTION("""COMPUTED_VALUE"""),1.0)</f>
        <v>1</v>
      </c>
      <c r="R643" s="36" t="str">
        <f>IFERROR(__xludf.DUMMYFUNCTION("""COMPUTED_VALUE"""),"SELECCIONADO")</f>
        <v>SELECCIONADO</v>
      </c>
      <c r="S643" s="37">
        <f>IFERROR(__xludf.DUMMYFUNCTION("""COMPUTED_VALUE"""),41791.0)</f>
        <v>41791</v>
      </c>
      <c r="T643" s="34"/>
      <c r="U643" t="str">
        <f>IFERROR(__xludf.DUMMYFUNCTION("""COMPUTED_VALUE"""),"ANDRES GONZALEZ SANTA CRUZ")</f>
        <v>ANDRES GONZALEZ SANTA CRUZ</v>
      </c>
      <c r="V643" t="str">
        <f>IFERROR(__xludf.DUMMYFUNCTION("""COMPUTED_VALUE"""),"17089843-5")</f>
        <v>17089843-5</v>
      </c>
      <c r="W643" t="str">
        <f>IFERROR(__xludf.DUMMYFUNCTION("""COMPUTED_VALUE"""),"No")</f>
        <v>No</v>
      </c>
      <c r="AA643" s="38">
        <f>IFERROR(__xludf.DUMMYFUNCTION("""COMPUTED_VALUE"""),41773.0)</f>
        <v>41773</v>
      </c>
      <c r="AB643" s="38">
        <f>IFERROR(__xludf.DUMMYFUNCTION("""COMPUTED_VALUE"""),41775.0)</f>
        <v>41775</v>
      </c>
      <c r="AF643" s="39"/>
      <c r="AG643" s="39"/>
      <c r="AH643" s="34" t="str">
        <f>IFERROR(__xludf.DUMMYFUNCTION("""COMPUTED_VALUE"""),"PROCESO DE SELECCIÓN")</f>
        <v>PROCESO DE SELECCIÓN</v>
      </c>
      <c r="AI643" s="34"/>
      <c r="AJ643" s="34"/>
      <c r="AK643" s="34" t="str">
        <f>IFERROR(__xludf.DUMMYFUNCTION("""COMPUTED_VALUE"""),"P")</f>
        <v>P</v>
      </c>
      <c r="AL643">
        <f>IFERROR(__xludf.DUMMYFUNCTION("""COMPUTED_VALUE"""),11.0)</f>
        <v>11</v>
      </c>
      <c r="AM643">
        <f>IFERROR(__xludf.DUMMYFUNCTION("""COMPUTED_VALUE"""),2014.0)</f>
        <v>2014</v>
      </c>
      <c r="AN643" t="str">
        <f t="shared" si="1"/>
        <v>17089843-5</v>
      </c>
    </row>
    <row r="644">
      <c r="A644" s="33">
        <f>IFERROR(__xludf.DUMMYFUNCTION("""COMPUTED_VALUE"""),8038677.0)</f>
        <v>8038677</v>
      </c>
      <c r="B644" s="33">
        <f>IFERROR(__xludf.DUMMYFUNCTION("""COMPUTED_VALUE"""),49.0)</f>
        <v>49</v>
      </c>
      <c r="C644" s="33"/>
      <c r="D644" s="34" t="str">
        <f>IFERROR(__xludf.DUMMYFUNCTION("""COMPUTED_VALUE"""),"VICERRECTORIA DE VINCULACION CON EL MEDIO")</f>
        <v>VICERRECTORIA DE VINCULACION CON EL MEDIO</v>
      </c>
      <c r="E644" s="34" t="str">
        <f>IFERROR(__xludf.DUMMYFUNCTION("""COMPUTED_VALUE"""),"DEPARTAMENTO EDITORIAL")</f>
        <v>DEPARTAMENTO EDITORIAL</v>
      </c>
      <c r="F644" s="34" t="str">
        <f>IFERROR(__xludf.DUMMYFUNCTION("""COMPUTED_VALUE"""),"Administrativo Especializado")</f>
        <v>Administrativo Especializado</v>
      </c>
      <c r="G644" s="33" t="str">
        <f>IFERROR(__xludf.DUMMYFUNCTION("""COMPUTED_VALUE"""),"ADMINISTRATIVO ESPECIALIZADO")</f>
        <v>ADMINISTRATIVO ESPECIALIZADO</v>
      </c>
      <c r="H644">
        <f>IFERROR(__xludf.DUMMYFUNCTION("""COMPUTED_VALUE"""),10.0)</f>
        <v>10</v>
      </c>
      <c r="I644" s="34"/>
      <c r="J644" s="33" t="str">
        <f>IFERROR(__xludf.DUMMYFUNCTION("""COMPUTED_VALUE"""),"A CONTRATA")</f>
        <v>A CONTRATA</v>
      </c>
      <c r="K644" s="33" t="str">
        <f>IFERROR(__xludf.DUMMYFUNCTION("""COMPUTED_VALUE"""),"ADMINISTRATIVO")</f>
        <v>ADMINISTRATIVO</v>
      </c>
      <c r="L644" s="34" t="str">
        <f>IFERROR(__xludf.DUMMYFUNCTION("""COMPUTED_VALUE"""),"INTERNO")</f>
        <v>INTERNO</v>
      </c>
      <c r="M644" s="34">
        <f>IFERROR(__xludf.DUMMYFUNCTION("""COMPUTED_VALUE"""),3.0)</f>
        <v>3</v>
      </c>
      <c r="N644" s="34" t="str">
        <f>IFERROR(__xludf.DUMMYFUNCTION("""COMPUTED_VALUE"""),"EXTERNO")</f>
        <v>EXTERNO</v>
      </c>
      <c r="Q644" s="35"/>
      <c r="R644" s="36" t="str">
        <f>IFERROR(__xludf.DUMMYFUNCTION("""COMPUTED_VALUE"""),"SELECCIONADA")</f>
        <v>SELECCIONADA</v>
      </c>
      <c r="S644" s="37">
        <f>IFERROR(__xludf.DUMMYFUNCTION("""COMPUTED_VALUE"""),41827.0)</f>
        <v>41827</v>
      </c>
      <c r="T644" s="34"/>
      <c r="U644" t="str">
        <f>IFERROR(__xludf.DUMMYFUNCTION("""COMPUTED_VALUE"""),"CARMEN JULIA RIOSECO WACKERLING")</f>
        <v>CARMEN JULIA RIOSECO WACKERLING</v>
      </c>
      <c r="V644" t="str">
        <f>IFERROR(__xludf.DUMMYFUNCTION("""COMPUTED_VALUE"""),"08038677-K")</f>
        <v>08038677-K</v>
      </c>
      <c r="AA644" s="38">
        <f>IFERROR(__xludf.DUMMYFUNCTION("""COMPUTED_VALUE"""),41772.0)</f>
        <v>41772</v>
      </c>
      <c r="AB644" s="38">
        <f>IFERROR(__xludf.DUMMYFUNCTION("""COMPUTED_VALUE"""),41779.0)</f>
        <v>41779</v>
      </c>
      <c r="AF644" s="39"/>
      <c r="AG644" s="39"/>
      <c r="AH644" s="34" t="str">
        <f>IFERROR(__xludf.DUMMYFUNCTION("""COMPUTED_VALUE"""),"PROCESO DE SELECCIÓN")</f>
        <v>PROCESO DE SELECCIÓN</v>
      </c>
      <c r="AI644" s="34"/>
      <c r="AJ644" s="34"/>
      <c r="AK644" s="34" t="str">
        <f>IFERROR(__xludf.DUMMYFUNCTION("""COMPUTED_VALUE"""),"P")</f>
        <v>P</v>
      </c>
      <c r="AL644">
        <f>IFERROR(__xludf.DUMMYFUNCTION("""COMPUTED_VALUE"""),35.0)</f>
        <v>35</v>
      </c>
      <c r="AM644">
        <f>IFERROR(__xludf.DUMMYFUNCTION("""COMPUTED_VALUE"""),2014.0)</f>
        <v>2014</v>
      </c>
      <c r="AN644" t="str">
        <f t="shared" si="1"/>
        <v>08038677-K</v>
      </c>
    </row>
    <row r="645">
      <c r="A645" s="33">
        <f>IFERROR(__xludf.DUMMYFUNCTION("""COMPUTED_VALUE"""),1.4284438E7)</f>
        <v>14284438</v>
      </c>
      <c r="B645" s="33">
        <f>IFERROR(__xludf.DUMMYFUNCTION("""COMPUTED_VALUE"""),54.0)</f>
        <v>54</v>
      </c>
      <c r="C645" s="33"/>
      <c r="D645" s="34" t="str">
        <f>IFERROR(__xludf.DUMMYFUNCTION("""COMPUTED_VALUE"""),"VICERRECTORIA ACADEMICA")</f>
        <v>VICERRECTORIA ACADEMICA</v>
      </c>
      <c r="E645" s="34" t="str">
        <f>IFERROR(__xludf.DUMMYFUNCTION("""COMPUTED_VALUE"""),"UNIE-CITECAMP")</f>
        <v>UNIE-CITECAMP</v>
      </c>
      <c r="F645" s="34" t="str">
        <f>IFERROR(__xludf.DUMMYFUNCTION("""COMPUTED_VALUE"""),"Mayordomo")</f>
        <v>Mayordomo</v>
      </c>
      <c r="G645" s="33" t="str">
        <f>IFERROR(__xludf.DUMMYFUNCTION("""COMPUTED_VALUE"""),"MAYORDOMO")</f>
        <v>MAYORDOMO</v>
      </c>
      <c r="H645">
        <f>IFERROR(__xludf.DUMMYFUNCTION("""COMPUTED_VALUE"""),21.0)</f>
        <v>21</v>
      </c>
      <c r="I645" s="34"/>
      <c r="J645" s="33" t="str">
        <f>IFERROR(__xludf.DUMMYFUNCTION("""COMPUTED_VALUE"""),"A CONTRATA")</f>
        <v>A CONTRATA</v>
      </c>
      <c r="K645" s="33" t="str">
        <f>IFERROR(__xludf.DUMMYFUNCTION("""COMPUTED_VALUE"""),"AUXILIAR")</f>
        <v>AUXILIAR</v>
      </c>
      <c r="L645" s="34" t="str">
        <f>IFERROR(__xludf.DUMMYFUNCTION("""COMPUTED_VALUE"""),"INTERNO")</f>
        <v>INTERNO</v>
      </c>
      <c r="M645" s="34">
        <f>IFERROR(__xludf.DUMMYFUNCTION("""COMPUTED_VALUE"""),0.0)</f>
        <v>0</v>
      </c>
      <c r="N645" s="34" t="str">
        <f>IFERROR(__xludf.DUMMYFUNCTION("""COMPUTED_VALUE"""),"EXTERNO")</f>
        <v>EXTERNO</v>
      </c>
      <c r="O645">
        <f>IFERROR(__xludf.DUMMYFUNCTION("""COMPUTED_VALUE"""),11.0)</f>
        <v>11</v>
      </c>
      <c r="Q645" s="35"/>
      <c r="R645" s="36" t="str">
        <f>IFERROR(__xludf.DUMMYFUNCTION("""COMPUTED_VALUE"""),"SELECCIONADO")</f>
        <v>SELECCIONADO</v>
      </c>
      <c r="S645" s="37">
        <f>IFERROR(__xludf.DUMMYFUNCTION("""COMPUTED_VALUE"""),41834.0)</f>
        <v>41834</v>
      </c>
      <c r="T645" s="34"/>
      <c r="U645" t="str">
        <f>IFERROR(__xludf.DUMMYFUNCTION("""COMPUTED_VALUE"""),"HUGO BUSTOS SAEZ")</f>
        <v>HUGO BUSTOS SAEZ</v>
      </c>
      <c r="V645" t="str">
        <f>IFERROR(__xludf.DUMMYFUNCTION("""COMPUTED_VALUE"""),"14284438-9")</f>
        <v>14284438-9</v>
      </c>
      <c r="AA645" s="38">
        <f>IFERROR(__xludf.DUMMYFUNCTION("""COMPUTED_VALUE"""),41772.0)</f>
        <v>41772</v>
      </c>
      <c r="AB645" s="38">
        <f>IFERROR(__xludf.DUMMYFUNCTION("""COMPUTED_VALUE"""),41779.0)</f>
        <v>41779</v>
      </c>
      <c r="AF645" s="39"/>
      <c r="AG645" s="39"/>
      <c r="AH645" s="34" t="str">
        <f>IFERROR(__xludf.DUMMYFUNCTION("""COMPUTED_VALUE"""),"PROCESO DE SELECCIÓN")</f>
        <v>PROCESO DE SELECCIÓN</v>
      </c>
      <c r="AI645" s="34"/>
      <c r="AJ645" s="34"/>
      <c r="AK645" s="34" t="str">
        <f>IFERROR(__xludf.DUMMYFUNCTION("""COMPUTED_VALUE"""),"E")</f>
        <v>E</v>
      </c>
      <c r="AL645">
        <f>IFERROR(__xludf.DUMMYFUNCTION("""COMPUTED_VALUE"""),40.0)</f>
        <v>40</v>
      </c>
      <c r="AM645">
        <f>IFERROR(__xludf.DUMMYFUNCTION("""COMPUTED_VALUE"""),2014.0)</f>
        <v>2014</v>
      </c>
      <c r="AN645" t="str">
        <f t="shared" si="1"/>
        <v>14284438-9</v>
      </c>
    </row>
    <row r="646">
      <c r="A646" s="33">
        <f>IFERROR(__xludf.DUMMYFUNCTION("""COMPUTED_VALUE"""),1.4349291E7)</f>
        <v>14349291</v>
      </c>
      <c r="B646" s="33">
        <f>IFERROR(__xludf.DUMMYFUNCTION("""COMPUTED_VALUE"""),56.0)</f>
        <v>56</v>
      </c>
      <c r="C646" s="33"/>
      <c r="D646" s="34" t="str">
        <f>IFERROR(__xludf.DUMMYFUNCTION("""COMPUTED_VALUE"""),"FACULTAD DE INGENIERIA")</f>
        <v>FACULTAD DE INGENIERIA</v>
      </c>
      <c r="E646" s="34" t="str">
        <f>IFERROR(__xludf.DUMMYFUNCTION("""COMPUTED_VALUE"""),"DEPARTAMENTO DE INGENIERIA GEOGRAFICA")</f>
        <v>DEPARTAMENTO DE INGENIERIA GEOGRAFICA</v>
      </c>
      <c r="F646" s="34" t="str">
        <f>IFERROR(__xludf.DUMMYFUNCTION("""COMPUTED_VALUE"""),"Técnico de Laboratorio")</f>
        <v>Técnico de Laboratorio</v>
      </c>
      <c r="G646" s="33" t="str">
        <f>IFERROR(__xludf.DUMMYFUNCTION("""COMPUTED_VALUE"""),"TECNICO DE LABORATORIO")</f>
        <v>TECNICO DE LABORATORIO</v>
      </c>
      <c r="H646">
        <f>IFERROR(__xludf.DUMMYFUNCTION("""COMPUTED_VALUE"""),17.0)</f>
        <v>17</v>
      </c>
      <c r="I646" s="34"/>
      <c r="J646" s="33" t="str">
        <f>IFERROR(__xludf.DUMMYFUNCTION("""COMPUTED_VALUE"""),"A CONTRATA")</f>
        <v>A CONTRATA</v>
      </c>
      <c r="K646" s="33" t="str">
        <f>IFERROR(__xludf.DUMMYFUNCTION("""COMPUTED_VALUE"""),"TECNICO")</f>
        <v>TECNICO</v>
      </c>
      <c r="L646" s="34" t="str">
        <f>IFERROR(__xludf.DUMMYFUNCTION("""COMPUTED_VALUE"""),"INTERNO")</f>
        <v>INTERNO</v>
      </c>
      <c r="M646" s="34">
        <f>IFERROR(__xludf.DUMMYFUNCTION("""COMPUTED_VALUE"""),2.0)</f>
        <v>2</v>
      </c>
      <c r="N646" s="34" t="str">
        <f>IFERROR(__xludf.DUMMYFUNCTION("""COMPUTED_VALUE"""),"EXTERNO")</f>
        <v>EXTERNO</v>
      </c>
      <c r="O646">
        <f>IFERROR(__xludf.DUMMYFUNCTION("""COMPUTED_VALUE"""),3.0)</f>
        <v>3</v>
      </c>
      <c r="P646">
        <f>IFERROR(__xludf.DUMMYFUNCTION("""COMPUTED_VALUE"""),1.0)</f>
        <v>1</v>
      </c>
      <c r="Q646" s="35">
        <f>IFERROR(__xludf.DUMMYFUNCTION("""COMPUTED_VALUE"""),1.0)</f>
        <v>1</v>
      </c>
      <c r="R646" s="36" t="str">
        <f>IFERROR(__xludf.DUMMYFUNCTION("""COMPUTED_VALUE"""),"SELECCIONADO")</f>
        <v>SELECCIONADO</v>
      </c>
      <c r="S646" s="37">
        <f>IFERROR(__xludf.DUMMYFUNCTION("""COMPUTED_VALUE"""),41852.0)</f>
        <v>41852</v>
      </c>
      <c r="T646" s="34"/>
      <c r="U646" t="str">
        <f>IFERROR(__xludf.DUMMYFUNCTION("""COMPUTED_VALUE"""),"FERNANDO ISLA RODRIGUEZ")</f>
        <v>FERNANDO ISLA RODRIGUEZ</v>
      </c>
      <c r="V646" t="str">
        <f>IFERROR(__xludf.DUMMYFUNCTION("""COMPUTED_VALUE"""),"14349291-5")</f>
        <v>14349291-5</v>
      </c>
      <c r="AA646" s="38">
        <f>IFERROR(__xludf.DUMMYFUNCTION("""COMPUTED_VALUE"""),41778.0)</f>
        <v>41778</v>
      </c>
      <c r="AB646" s="38">
        <f>IFERROR(__xludf.DUMMYFUNCTION("""COMPUTED_VALUE"""),41785.0)</f>
        <v>41785</v>
      </c>
      <c r="AF646" s="39"/>
      <c r="AG646" s="39"/>
      <c r="AH646" s="34" t="str">
        <f>IFERROR(__xludf.DUMMYFUNCTION("""COMPUTED_VALUE"""),"PROCESO DE SELECCIÓN")</f>
        <v>PROCESO DE SELECCIÓN</v>
      </c>
      <c r="AI646" s="34"/>
      <c r="AJ646" s="34"/>
      <c r="AK646" s="34" t="str">
        <f>IFERROR(__xludf.DUMMYFUNCTION("""COMPUTED_VALUE"""),"P")</f>
        <v>P</v>
      </c>
      <c r="AL646">
        <f>IFERROR(__xludf.DUMMYFUNCTION("""COMPUTED_VALUE"""),50.0)</f>
        <v>50</v>
      </c>
      <c r="AM646">
        <f>IFERROR(__xludf.DUMMYFUNCTION("""COMPUTED_VALUE"""),2014.0)</f>
        <v>2014</v>
      </c>
      <c r="AN646" t="str">
        <f t="shared" si="1"/>
        <v>14349291-5</v>
      </c>
    </row>
    <row r="647">
      <c r="A647" s="33">
        <f>IFERROR(__xludf.DUMMYFUNCTION("""COMPUTED_VALUE"""),1.6861876E7)</f>
        <v>16861876</v>
      </c>
      <c r="B647" s="33">
        <f>IFERROR(__xludf.DUMMYFUNCTION("""COMPUTED_VALUE"""),47.0)</f>
        <v>47</v>
      </c>
      <c r="C647" s="33"/>
      <c r="D647" s="34" t="str">
        <f>IFERROR(__xludf.DUMMYFUNCTION("""COMPUTED_VALUE"""),"VICERRECTORIA DE APOYO AL ESTUDIANTE")</f>
        <v>VICERRECTORIA DE APOYO AL ESTUDIANTE</v>
      </c>
      <c r="E647" s="34" t="str">
        <f>IFERROR(__xludf.DUMMYFUNCTION("""COMPUTED_VALUE"""),"DEPARTAMENTO DE GESTION DEL DEPORTE Y CULTURA")</f>
        <v>DEPARTAMENTO DE GESTION DEL DEPORTE Y CULTURA</v>
      </c>
      <c r="F647" s="34" t="str">
        <f>IFERROR(__xludf.DUMMYFUNCTION("""COMPUTED_VALUE"""),"Auxiliar de Servicios")</f>
        <v>Auxiliar de Servicios</v>
      </c>
      <c r="G647" s="33" t="str">
        <f>IFERROR(__xludf.DUMMYFUNCTION("""COMPUTED_VALUE"""),"AUXILIAR DE SERVICIOS")</f>
        <v>AUXILIAR DE SERVICIOS</v>
      </c>
      <c r="H647">
        <f>IFERROR(__xludf.DUMMYFUNCTION("""COMPUTED_VALUE"""),23.0)</f>
        <v>23</v>
      </c>
      <c r="I647" s="34"/>
      <c r="J647" s="33" t="str">
        <f>IFERROR(__xludf.DUMMYFUNCTION("""COMPUTED_VALUE"""),"A CONTRATA")</f>
        <v>A CONTRATA</v>
      </c>
      <c r="K647" s="33" t="str">
        <f>IFERROR(__xludf.DUMMYFUNCTION("""COMPUTED_VALUE"""),"AUXILIAR")</f>
        <v>AUXILIAR</v>
      </c>
      <c r="L647" s="34" t="str">
        <f>IFERROR(__xludf.DUMMYFUNCTION("""COMPUTED_VALUE"""),"INTERNO")</f>
        <v>INTERNO</v>
      </c>
      <c r="M647" s="34">
        <f>IFERROR(__xludf.DUMMYFUNCTION("""COMPUTED_VALUE"""),0.0)</f>
        <v>0</v>
      </c>
      <c r="N647" s="34" t="str">
        <f>IFERROR(__xludf.DUMMYFUNCTION("""COMPUTED_VALUE"""),"EXTERNO")</f>
        <v>EXTERNO</v>
      </c>
      <c r="O647">
        <f>IFERROR(__xludf.DUMMYFUNCTION("""COMPUTED_VALUE"""),11.0)</f>
        <v>11</v>
      </c>
      <c r="Q647" s="35"/>
      <c r="R647" s="36" t="str">
        <f>IFERROR(__xludf.DUMMYFUNCTION("""COMPUTED_VALUE"""),"SELECCIONADO")</f>
        <v>SELECCIONADO</v>
      </c>
      <c r="S647" s="37">
        <f>IFERROR(__xludf.DUMMYFUNCTION("""COMPUTED_VALUE"""),41827.0)</f>
        <v>41827</v>
      </c>
      <c r="T647" s="34"/>
      <c r="U647" t="str">
        <f>IFERROR(__xludf.DUMMYFUNCTION("""COMPUTED_VALUE"""),"MAURICIO VALENZUELA ARANCIBIA")</f>
        <v>MAURICIO VALENZUELA ARANCIBIA</v>
      </c>
      <c r="V647" t="str">
        <f>IFERROR(__xludf.DUMMYFUNCTION("""COMPUTED_VALUE"""),"16861876-K")</f>
        <v>16861876-K</v>
      </c>
      <c r="AA647" s="38">
        <f>IFERROR(__xludf.DUMMYFUNCTION("""COMPUTED_VALUE"""),41788.0)</f>
        <v>41788</v>
      </c>
      <c r="AB647" s="38">
        <f>IFERROR(__xludf.DUMMYFUNCTION("""COMPUTED_VALUE"""),41792.0)</f>
        <v>41792</v>
      </c>
      <c r="AF647" s="39"/>
      <c r="AG647" s="39"/>
      <c r="AH647" s="34" t="str">
        <f>IFERROR(__xludf.DUMMYFUNCTION("""COMPUTED_VALUE"""),"PROCESO DE SELECCIÓN")</f>
        <v>PROCESO DE SELECCIÓN</v>
      </c>
      <c r="AI647" s="34"/>
      <c r="AJ647" s="34"/>
      <c r="AK647" s="34" t="str">
        <f>IFERROR(__xludf.DUMMYFUNCTION("""COMPUTED_VALUE"""),"E")</f>
        <v>E</v>
      </c>
      <c r="AL647">
        <f>IFERROR(__xludf.DUMMYFUNCTION("""COMPUTED_VALUE"""),26.0)</f>
        <v>26</v>
      </c>
      <c r="AM647">
        <f>IFERROR(__xludf.DUMMYFUNCTION("""COMPUTED_VALUE"""),2014.0)</f>
        <v>2014</v>
      </c>
      <c r="AN647" t="str">
        <f t="shared" si="1"/>
        <v>16861876-K</v>
      </c>
    </row>
    <row r="648">
      <c r="A648" s="33">
        <f>IFERROR(__xludf.DUMMYFUNCTION("""COMPUTED_VALUE"""),1.4404679E7)</f>
        <v>14404679</v>
      </c>
      <c r="B648" s="33">
        <f>IFERROR(__xludf.DUMMYFUNCTION("""COMPUTED_VALUE"""),52.0)</f>
        <v>52</v>
      </c>
      <c r="C648" s="33"/>
      <c r="D648" s="34" t="str">
        <f>IFERROR(__xludf.DUMMYFUNCTION("""COMPUTED_VALUE"""),"FACULTAD DE CIENCIAS MEDICAS")</f>
        <v>FACULTAD DE CIENCIAS MEDICAS</v>
      </c>
      <c r="E648" s="34" t="str">
        <f>IFERROR(__xludf.DUMMYFUNCTION("""COMPUTED_VALUE"""),"FACULTAD DE CIENCIAS MEDICAS")</f>
        <v>FACULTAD DE CIENCIAS MEDICAS</v>
      </c>
      <c r="F648" s="34" t="str">
        <f>IFERROR(__xludf.DUMMYFUNCTION("""COMPUTED_VALUE"""),"Mayordomo")</f>
        <v>Mayordomo</v>
      </c>
      <c r="G648" s="33" t="str">
        <f>IFERROR(__xludf.DUMMYFUNCTION("""COMPUTED_VALUE"""),"MAYORDOMO")</f>
        <v>MAYORDOMO</v>
      </c>
      <c r="H648">
        <f>IFERROR(__xludf.DUMMYFUNCTION("""COMPUTED_VALUE"""),21.0)</f>
        <v>21</v>
      </c>
      <c r="I648" s="34"/>
      <c r="J648" s="33" t="str">
        <f>IFERROR(__xludf.DUMMYFUNCTION("""COMPUTED_VALUE"""),"A CONTRATA")</f>
        <v>A CONTRATA</v>
      </c>
      <c r="K648" s="33" t="str">
        <f>IFERROR(__xludf.DUMMYFUNCTION("""COMPUTED_VALUE"""),"AUXILIAR")</f>
        <v>AUXILIAR</v>
      </c>
      <c r="L648" s="34" t="str">
        <f>IFERROR(__xludf.DUMMYFUNCTION("""COMPUTED_VALUE"""),"INTERNO")</f>
        <v>INTERNO</v>
      </c>
      <c r="M648" s="34">
        <f>IFERROR(__xludf.DUMMYFUNCTION("""COMPUTED_VALUE"""),0.0)</f>
        <v>0</v>
      </c>
      <c r="N648" s="34" t="str">
        <f>IFERROR(__xludf.DUMMYFUNCTION("""COMPUTED_VALUE"""),"EXTERNO")</f>
        <v>EXTERNO</v>
      </c>
      <c r="O648">
        <f>IFERROR(__xludf.DUMMYFUNCTION("""COMPUTED_VALUE"""),13.0)</f>
        <v>13</v>
      </c>
      <c r="Q648" s="35"/>
      <c r="R648" s="36" t="str">
        <f>IFERROR(__xludf.DUMMYFUNCTION("""COMPUTED_VALUE"""),"SELECCIONADO")</f>
        <v>SELECCIONADO</v>
      </c>
      <c r="S648" s="37">
        <f>IFERROR(__xludf.DUMMYFUNCTION("""COMPUTED_VALUE"""),41834.0)</f>
        <v>41834</v>
      </c>
      <c r="T648" s="34"/>
      <c r="U648" t="str">
        <f>IFERROR(__xludf.DUMMYFUNCTION("""COMPUTED_VALUE"""),"ALEJANDRO MARTINEZ NAVIA")</f>
        <v>ALEJANDRO MARTINEZ NAVIA</v>
      </c>
      <c r="V648" t="str">
        <f>IFERROR(__xludf.DUMMYFUNCTION("""COMPUTED_VALUE"""),"14404679-K")</f>
        <v>14404679-K</v>
      </c>
      <c r="AA648" s="38">
        <f>IFERROR(__xludf.DUMMYFUNCTION("""COMPUTED_VALUE"""),41785.0)</f>
        <v>41785</v>
      </c>
      <c r="AB648" s="38">
        <f>IFERROR(__xludf.DUMMYFUNCTION("""COMPUTED_VALUE"""),41792.0)</f>
        <v>41792</v>
      </c>
      <c r="AF648" s="39"/>
      <c r="AG648" s="39"/>
      <c r="AH648" s="34" t="str">
        <f>IFERROR(__xludf.DUMMYFUNCTION("""COMPUTED_VALUE"""),"PROCESO DE SELECCIÓN")</f>
        <v>PROCESO DE SELECCIÓN</v>
      </c>
      <c r="AI648" s="34"/>
      <c r="AJ648" s="34"/>
      <c r="AK648" s="34"/>
      <c r="AL648">
        <f>IFERROR(__xludf.DUMMYFUNCTION("""COMPUTED_VALUE"""),31.0)</f>
        <v>31</v>
      </c>
      <c r="AM648">
        <f>IFERROR(__xludf.DUMMYFUNCTION("""COMPUTED_VALUE"""),2014.0)</f>
        <v>2014</v>
      </c>
      <c r="AN648" t="str">
        <f t="shared" si="1"/>
        <v>14404679-K</v>
      </c>
    </row>
    <row r="649">
      <c r="A649" s="33">
        <f>IFERROR(__xludf.DUMMYFUNCTION("""COMPUTED_VALUE"""),1.3451143E7)</f>
        <v>13451143</v>
      </c>
      <c r="B649" s="33">
        <f>IFERROR(__xludf.DUMMYFUNCTION("""COMPUTED_VALUE"""),45.0)</f>
        <v>45</v>
      </c>
      <c r="C649" s="33"/>
      <c r="D649" s="34" t="str">
        <f>IFERROR(__xludf.DUMMYFUNCTION("""COMPUTED_VALUE"""),"VICERRECTORIA ACADEMICA")</f>
        <v>VICERRECTORIA ACADEMICA</v>
      </c>
      <c r="E649" s="34" t="str">
        <f>IFERROR(__xludf.DUMMYFUNCTION("""COMPUTED_VALUE"""),"UNIDAD DE REGISTRO ACADEMICO Y CURRICULAR")</f>
        <v>UNIDAD DE REGISTRO ACADEMICO Y CURRICULAR</v>
      </c>
      <c r="F649" s="34" t="str">
        <f>IFERROR(__xludf.DUMMYFUNCTION("""COMPUTED_VALUE"""),"Administrativo de Registro Académico")</f>
        <v>Administrativo de Registro Académico</v>
      </c>
      <c r="G649" s="33" t="str">
        <f>IFERROR(__xludf.DUMMYFUNCTION("""COMPUTED_VALUE"""),"ADMINISTRATIVO DE REGISTRO ACADEMICO")</f>
        <v>ADMINISTRATIVO DE REGISTRO ACADEMICO</v>
      </c>
      <c r="H649">
        <f>IFERROR(__xludf.DUMMYFUNCTION("""COMPUTED_VALUE"""),17.0)</f>
        <v>17</v>
      </c>
      <c r="I649" s="34"/>
      <c r="J649" s="33" t="str">
        <f>IFERROR(__xludf.DUMMYFUNCTION("""COMPUTED_VALUE"""),"A CONTRATA")</f>
        <v>A CONTRATA</v>
      </c>
      <c r="K649" s="33" t="str">
        <f>IFERROR(__xludf.DUMMYFUNCTION("""COMPUTED_VALUE"""),"ADMINISTRATIVO")</f>
        <v>ADMINISTRATIVO</v>
      </c>
      <c r="L649" s="34" t="str">
        <f>IFERROR(__xludf.DUMMYFUNCTION("""COMPUTED_VALUE"""),"INTERNO")</f>
        <v>INTERNO</v>
      </c>
      <c r="M649" s="34">
        <f>IFERROR(__xludf.DUMMYFUNCTION("""COMPUTED_VALUE"""),2.0)</f>
        <v>2</v>
      </c>
      <c r="N649" s="34" t="str">
        <f>IFERROR(__xludf.DUMMYFUNCTION("""COMPUTED_VALUE"""),"NO")</f>
        <v>NO</v>
      </c>
      <c r="Q649" s="35"/>
      <c r="R649" s="36" t="str">
        <f>IFERROR(__xludf.DUMMYFUNCTION("""COMPUTED_VALUE"""),"SELECCIONADO")</f>
        <v>SELECCIONADO</v>
      </c>
      <c r="S649" s="37">
        <f>IFERROR(__xludf.DUMMYFUNCTION("""COMPUTED_VALUE"""),41821.0)</f>
        <v>41821</v>
      </c>
      <c r="T649" s="34" t="str">
        <f>IFERROR(__xludf.DUMMYFUNCTION("""COMPUTED_VALUE"""),"MIGUEL ROMAN FARIAS")</f>
        <v>MIGUEL ROMAN FARIAS</v>
      </c>
      <c r="V649" t="str">
        <f>IFERROR(__xludf.DUMMYFUNCTION("""COMPUTED_VALUE"""),"13451143-5")</f>
        <v>13451143-5</v>
      </c>
      <c r="AA649" s="38">
        <f>IFERROR(__xludf.DUMMYFUNCTION("""COMPUTED_VALUE"""),41787.0)</f>
        <v>41787</v>
      </c>
      <c r="AB649" s="38">
        <f>IFERROR(__xludf.DUMMYFUNCTION("""COMPUTED_VALUE"""),41794.0)</f>
        <v>41794</v>
      </c>
      <c r="AC649">
        <f>IFERROR(__xludf.DUMMYFUNCTION("""COMPUTED_VALUE"""),21.0)</f>
        <v>21</v>
      </c>
      <c r="AD649" t="str">
        <f>IFERROR(__xludf.DUMMYFUNCTION("""COMPUTED_VALUE"""),"ADMINISTRATIVO")</f>
        <v>ADMINISTRATIVO</v>
      </c>
      <c r="AF649" s="39" t="str">
        <f>IFERROR(__xludf.DUMMYFUNCTION("""COMPUTED_VALUE"""),"DEPARTAMENTO DE REGISTRO ACADEMICO")</f>
        <v>DEPARTAMENTO DE REGISTRO ACADEMICO</v>
      </c>
      <c r="AG649" s="39"/>
      <c r="AH649" s="34" t="str">
        <f>IFERROR(__xludf.DUMMYFUNCTION("""COMPUTED_VALUE"""),"PROCESO DE SELECCIÓN")</f>
        <v>PROCESO DE SELECCIÓN</v>
      </c>
      <c r="AI649" s="34"/>
      <c r="AJ649" s="34"/>
      <c r="AK649" s="34" t="str">
        <f>IFERROR(__xludf.DUMMYFUNCTION("""COMPUTED_VALUE"""),"P")</f>
        <v>P</v>
      </c>
      <c r="AL649">
        <f>IFERROR(__xludf.DUMMYFUNCTION("""COMPUTED_VALUE"""),20.0)</f>
        <v>20</v>
      </c>
      <c r="AM649">
        <f>IFERROR(__xludf.DUMMYFUNCTION("""COMPUTED_VALUE"""),2014.0)</f>
        <v>2014</v>
      </c>
      <c r="AN649" t="str">
        <f t="shared" si="1"/>
        <v>13451143-5</v>
      </c>
    </row>
    <row r="650">
      <c r="A650" s="33">
        <f>IFERROR(__xludf.DUMMYFUNCTION("""COMPUTED_VALUE"""),1.7767326E7)</f>
        <v>17767326</v>
      </c>
      <c r="B650" s="33">
        <f>IFERROR(__xludf.DUMMYFUNCTION("""COMPUTED_VALUE"""),48.0)</f>
        <v>48</v>
      </c>
      <c r="C650" s="33"/>
      <c r="D650" s="34" t="str">
        <f>IFERROR(__xludf.DUMMYFUNCTION("""COMPUTED_VALUE"""),"FACULTAD DE HUMANIDADES")</f>
        <v>FACULTAD DE HUMANIDADES</v>
      </c>
      <c r="E650" s="34" t="str">
        <f>IFERROR(__xludf.DUMMYFUNCTION("""COMPUTED_VALUE"""),"DEPARTAMENTO DE LINGÜISTICA Y LITERATURA")</f>
        <v>DEPARTAMENTO DE LINGÜISTICA Y LITERATURA</v>
      </c>
      <c r="F650" s="34" t="str">
        <f>IFERROR(__xludf.DUMMYFUNCTION("""COMPUTED_VALUE"""),"Secretario de Apoyo Docente")</f>
        <v>Secretario de Apoyo Docente</v>
      </c>
      <c r="G650" s="33" t="str">
        <f>IFERROR(__xludf.DUMMYFUNCTION("""COMPUTED_VALUE"""),"SECRETARIA DE APOYO DOCENTE")</f>
        <v>SECRETARIA DE APOYO DOCENTE</v>
      </c>
      <c r="H650">
        <f>IFERROR(__xludf.DUMMYFUNCTION("""COMPUTED_VALUE"""),17.0)</f>
        <v>17</v>
      </c>
      <c r="I650" s="34"/>
      <c r="J650" s="33" t="str">
        <f>IFERROR(__xludf.DUMMYFUNCTION("""COMPUTED_VALUE"""),"A CONTRATA")</f>
        <v>A CONTRATA</v>
      </c>
      <c r="K650" s="33" t="str">
        <f>IFERROR(__xludf.DUMMYFUNCTION("""COMPUTED_VALUE"""),"ADMINISTRATIVO")</f>
        <v>ADMINISTRATIVO</v>
      </c>
      <c r="L650" s="34" t="str">
        <f>IFERROR(__xludf.DUMMYFUNCTION("""COMPUTED_VALUE"""),"INTERNO")</f>
        <v>INTERNO</v>
      </c>
      <c r="M650" s="34">
        <f>IFERROR(__xludf.DUMMYFUNCTION("""COMPUTED_VALUE"""),0.0)</f>
        <v>0</v>
      </c>
      <c r="N650" s="34" t="str">
        <f>IFERROR(__xludf.DUMMYFUNCTION("""COMPUTED_VALUE"""),"EXTERNO")</f>
        <v>EXTERNO</v>
      </c>
      <c r="O650">
        <f>IFERROR(__xludf.DUMMYFUNCTION("""COMPUTED_VALUE"""),7.0)</f>
        <v>7</v>
      </c>
      <c r="Q650" s="35"/>
      <c r="R650" s="36" t="str">
        <f>IFERROR(__xludf.DUMMYFUNCTION("""COMPUTED_VALUE"""),"SELECCIONADA")</f>
        <v>SELECCIONADA</v>
      </c>
      <c r="S650" s="37">
        <f>IFERROR(__xludf.DUMMYFUNCTION("""COMPUTED_VALUE"""),41821.0)</f>
        <v>41821</v>
      </c>
      <c r="T650" s="34"/>
      <c r="U650" t="str">
        <f>IFERROR(__xludf.DUMMYFUNCTION("""COMPUTED_VALUE"""),"SUGEY VISCARRA REBOLLEDO")</f>
        <v>SUGEY VISCARRA REBOLLEDO</v>
      </c>
      <c r="V650" t="str">
        <f>IFERROR(__xludf.DUMMYFUNCTION("""COMPUTED_VALUE"""),"17767326-9")</f>
        <v>17767326-9</v>
      </c>
      <c r="AA650" s="38">
        <f>IFERROR(__xludf.DUMMYFUNCTION("""COMPUTED_VALUE"""),41792.0)</f>
        <v>41792</v>
      </c>
      <c r="AB650" s="38">
        <f>IFERROR(__xludf.DUMMYFUNCTION("""COMPUTED_VALUE"""),41794.0)</f>
        <v>41794</v>
      </c>
      <c r="AF650" s="39"/>
      <c r="AG650" s="39"/>
      <c r="AH650" s="34" t="str">
        <f>IFERROR(__xludf.DUMMYFUNCTION("""COMPUTED_VALUE"""),"PROCESO DE SELECCIÓN")</f>
        <v>PROCESO DE SELECCIÓN</v>
      </c>
      <c r="AI650" s="34"/>
      <c r="AJ650" s="34"/>
      <c r="AK650" s="34" t="str">
        <f>IFERROR(__xludf.DUMMYFUNCTION("""COMPUTED_VALUE"""),"P")</f>
        <v>P</v>
      </c>
      <c r="AL650">
        <f>IFERROR(__xludf.DUMMYFUNCTION("""COMPUTED_VALUE"""),20.0)</f>
        <v>20</v>
      </c>
      <c r="AM650">
        <f>IFERROR(__xludf.DUMMYFUNCTION("""COMPUTED_VALUE"""),2014.0)</f>
        <v>2014</v>
      </c>
      <c r="AN650" t="str">
        <f t="shared" si="1"/>
        <v>17767326-9</v>
      </c>
    </row>
    <row r="651">
      <c r="A651" s="33">
        <f>IFERROR(__xludf.DUMMYFUNCTION("""COMPUTED_VALUE"""),1.3454355E7)</f>
        <v>13454355</v>
      </c>
      <c r="B651" s="33">
        <f>IFERROR(__xludf.DUMMYFUNCTION("""COMPUTED_VALUE"""),69.0)</f>
        <v>69</v>
      </c>
      <c r="C651" s="33"/>
      <c r="D651" s="34" t="str">
        <f>IFERROR(__xludf.DUMMYFUNCTION("""COMPUTED_VALUE"""),"PRORRECTORIA")</f>
        <v>PRORRECTORIA</v>
      </c>
      <c r="E651" s="34" t="str">
        <f>IFERROR(__xludf.DUMMYFUNCTION("""COMPUTED_VALUE"""),"DEPARTAMENTO DE RECURSOS HUMANOS")</f>
        <v>DEPARTAMENTO DE RECURSOS HUMANOS</v>
      </c>
      <c r="F651" s="34" t="str">
        <f>IFERROR(__xludf.DUMMYFUNCTION("""COMPUTED_VALUE"""),"Administrativo de Apoyo")</f>
        <v>Administrativo de Apoyo</v>
      </c>
      <c r="G651" s="33" t="str">
        <f>IFERROR(__xludf.DUMMYFUNCTION("""COMPUTED_VALUE"""),"ADMINISTRATIVO DE APOYO")</f>
        <v>ADMINISTRATIVO DE APOYO</v>
      </c>
      <c r="H651">
        <f>IFERROR(__xludf.DUMMYFUNCTION("""COMPUTED_VALUE"""),20.0)</f>
        <v>20</v>
      </c>
      <c r="I651" s="34"/>
      <c r="J651" s="33" t="str">
        <f>IFERROR(__xludf.DUMMYFUNCTION("""COMPUTED_VALUE"""),"A CONTRATA")</f>
        <v>A CONTRATA</v>
      </c>
      <c r="K651" s="33" t="str">
        <f>IFERROR(__xludf.DUMMYFUNCTION("""COMPUTED_VALUE"""),"ADMINISTRATIVO")</f>
        <v>ADMINISTRATIVO</v>
      </c>
      <c r="L651" s="34" t="str">
        <f>IFERROR(__xludf.DUMMYFUNCTION("""COMPUTED_VALUE"""),"INTERNO")</f>
        <v>INTERNO</v>
      </c>
      <c r="M651" s="34">
        <f>IFERROR(__xludf.DUMMYFUNCTION("""COMPUTED_VALUE"""),0.0)</f>
        <v>0</v>
      </c>
      <c r="N651" s="34" t="str">
        <f>IFERROR(__xludf.DUMMYFUNCTION("""COMPUTED_VALUE"""),"EXTERNO")</f>
        <v>EXTERNO</v>
      </c>
      <c r="O651">
        <f>IFERROR(__xludf.DUMMYFUNCTION("""COMPUTED_VALUE"""),6.0)</f>
        <v>6</v>
      </c>
      <c r="P651">
        <f>IFERROR(__xludf.DUMMYFUNCTION("""COMPUTED_VALUE"""),1.0)</f>
        <v>1</v>
      </c>
      <c r="Q651" s="35">
        <f>IFERROR(__xludf.DUMMYFUNCTION("""COMPUTED_VALUE"""),1.0)</f>
        <v>1</v>
      </c>
      <c r="R651" s="36" t="str">
        <f>IFERROR(__xludf.DUMMYFUNCTION("""COMPUTED_VALUE"""),"SELECCIONADO")</f>
        <v>SELECCIONADO</v>
      </c>
      <c r="S651" s="37">
        <f>IFERROR(__xludf.DUMMYFUNCTION("""COMPUTED_VALUE"""),41841.0)</f>
        <v>41841</v>
      </c>
      <c r="T651" s="34"/>
      <c r="U651" t="str">
        <f>IFERROR(__xludf.DUMMYFUNCTION("""COMPUTED_VALUE"""),"DANIEL JORDAN CASTRO")</f>
        <v>DANIEL JORDAN CASTRO</v>
      </c>
      <c r="V651" t="str">
        <f>IFERROR(__xludf.DUMMYFUNCTION("""COMPUTED_VALUE"""),"13454355-8")</f>
        <v>13454355-8</v>
      </c>
      <c r="AA651" s="38">
        <f>IFERROR(__xludf.DUMMYFUNCTION("""COMPUTED_VALUE"""),41788.0)</f>
        <v>41788</v>
      </c>
      <c r="AB651" s="38">
        <f>IFERROR(__xludf.DUMMYFUNCTION("""COMPUTED_VALUE"""),41795.0)</f>
        <v>41795</v>
      </c>
      <c r="AF651" s="39"/>
      <c r="AG651" s="39"/>
      <c r="AH651" s="34" t="str">
        <f>IFERROR(__xludf.DUMMYFUNCTION("""COMPUTED_VALUE"""),"PROCESO DE SELECCIÓN")</f>
        <v>PROCESO DE SELECCIÓN</v>
      </c>
      <c r="AI651" s="34"/>
      <c r="AJ651" s="34"/>
      <c r="AK651" s="34" t="str">
        <f>IFERROR(__xludf.DUMMYFUNCTION("""COMPUTED_VALUE"""),"C")</f>
        <v>C</v>
      </c>
      <c r="AL651">
        <f>IFERROR(__xludf.DUMMYFUNCTION("""COMPUTED_VALUE"""),33.0)</f>
        <v>33</v>
      </c>
      <c r="AM651">
        <f>IFERROR(__xludf.DUMMYFUNCTION("""COMPUTED_VALUE"""),2014.0)</f>
        <v>2014</v>
      </c>
      <c r="AN651" t="str">
        <f t="shared" si="1"/>
        <v>13454355-8</v>
      </c>
    </row>
    <row r="652">
      <c r="A652" s="33">
        <f>IFERROR(__xludf.DUMMYFUNCTION("""COMPUTED_VALUE"""),1.5774828E7)</f>
        <v>15774828</v>
      </c>
      <c r="B652" s="33">
        <f>IFERROR(__xludf.DUMMYFUNCTION("""COMPUTED_VALUE"""),51.0)</f>
        <v>51</v>
      </c>
      <c r="C652" s="33"/>
      <c r="D652" s="34" t="str">
        <f>IFERROR(__xludf.DUMMYFUNCTION("""COMPUTED_VALUE"""),"VICERRECTORIA ACADEMICA")</f>
        <v>VICERRECTORIA ACADEMICA</v>
      </c>
      <c r="E652" s="34" t="str">
        <f>IFERROR(__xludf.DUMMYFUNCTION("""COMPUTED_VALUE"""),"UNIDAD DE BIBLIOTECAS")</f>
        <v>UNIDAD DE BIBLIOTECAS</v>
      </c>
      <c r="F652" s="34" t="str">
        <f>IFERROR(__xludf.DUMMYFUNCTION("""COMPUTED_VALUE"""),"Asistente de Biblioteca")</f>
        <v>Asistente de Biblioteca</v>
      </c>
      <c r="G652" s="33" t="str">
        <f>IFERROR(__xludf.DUMMYFUNCTION("""COMPUTED_VALUE"""),"ASISTENTE DE BIBLIOTECA")</f>
        <v>ASISTENTE DE BIBLIOTECA</v>
      </c>
      <c r="H652">
        <f>IFERROR(__xludf.DUMMYFUNCTION("""COMPUTED_VALUE"""),20.0)</f>
        <v>20</v>
      </c>
      <c r="I652" s="34"/>
      <c r="J652" s="33" t="str">
        <f>IFERROR(__xludf.DUMMYFUNCTION("""COMPUTED_VALUE"""),"A CONTRATA")</f>
        <v>A CONTRATA</v>
      </c>
      <c r="K652" s="33" t="str">
        <f>IFERROR(__xludf.DUMMYFUNCTION("""COMPUTED_VALUE"""),"ADMINISTRATIVO")</f>
        <v>ADMINISTRATIVO</v>
      </c>
      <c r="L652" s="34" t="str">
        <f>IFERROR(__xludf.DUMMYFUNCTION("""COMPUTED_VALUE"""),"INTERNO")</f>
        <v>INTERNO</v>
      </c>
      <c r="M652" s="34">
        <f>IFERROR(__xludf.DUMMYFUNCTION("""COMPUTED_VALUE"""),0.0)</f>
        <v>0</v>
      </c>
      <c r="N652" s="34" t="str">
        <f>IFERROR(__xludf.DUMMYFUNCTION("""COMPUTED_VALUE"""),"EXTERNO")</f>
        <v>EXTERNO</v>
      </c>
      <c r="O652">
        <f>IFERROR(__xludf.DUMMYFUNCTION("""COMPUTED_VALUE"""),5.0)</f>
        <v>5</v>
      </c>
      <c r="Q652" s="35"/>
      <c r="R652" s="36" t="str">
        <f>IFERROR(__xludf.DUMMYFUNCTION("""COMPUTED_VALUE"""),"SELECCIONADO")</f>
        <v>SELECCIONADO</v>
      </c>
      <c r="S652" s="37">
        <f>IFERROR(__xludf.DUMMYFUNCTION("""COMPUTED_VALUE"""),41841.0)</f>
        <v>41841</v>
      </c>
      <c r="T652" s="34"/>
      <c r="U652" t="str">
        <f>IFERROR(__xludf.DUMMYFUNCTION("""COMPUTED_VALUE"""),"ALEXIS ARELLANO FARIAS")</f>
        <v>ALEXIS ARELLANO FARIAS</v>
      </c>
      <c r="V652" t="str">
        <f>IFERROR(__xludf.DUMMYFUNCTION("""COMPUTED_VALUE"""),"15774828-9")</f>
        <v>15774828-9</v>
      </c>
      <c r="AA652" s="38">
        <f>IFERROR(__xludf.DUMMYFUNCTION("""COMPUTED_VALUE"""),41793.0)</f>
        <v>41793</v>
      </c>
      <c r="AB652" s="38">
        <f>IFERROR(__xludf.DUMMYFUNCTION("""COMPUTED_VALUE"""),41800.0)</f>
        <v>41800</v>
      </c>
      <c r="AF652" s="39"/>
      <c r="AG652" s="39"/>
      <c r="AH652" s="34" t="str">
        <f>IFERROR(__xludf.DUMMYFUNCTION("""COMPUTED_VALUE"""),"PROCESO DE SELECCIÓN")</f>
        <v>PROCESO DE SELECCIÓN</v>
      </c>
      <c r="AI652" s="34"/>
      <c r="AJ652" s="34"/>
      <c r="AK652" s="34" t="str">
        <f>IFERROR(__xludf.DUMMYFUNCTION("""COMPUTED_VALUE"""),"C")</f>
        <v>C</v>
      </c>
      <c r="AL652">
        <f>IFERROR(__xludf.DUMMYFUNCTION("""COMPUTED_VALUE"""),30.0)</f>
        <v>30</v>
      </c>
      <c r="AM652">
        <f>IFERROR(__xludf.DUMMYFUNCTION("""COMPUTED_VALUE"""),2014.0)</f>
        <v>2014</v>
      </c>
      <c r="AN652" t="str">
        <f t="shared" si="1"/>
        <v>15774828-9</v>
      </c>
    </row>
    <row r="653">
      <c r="A653" s="33">
        <f>IFERROR(__xludf.DUMMYFUNCTION("""COMPUTED_VALUE"""),1.7741571E7)</f>
        <v>17741571</v>
      </c>
      <c r="B653" s="33">
        <f>IFERROR(__xludf.DUMMYFUNCTION("""COMPUTED_VALUE"""),68.0)</f>
        <v>68</v>
      </c>
      <c r="C653" s="33"/>
      <c r="D653" s="34" t="str">
        <f>IFERROR(__xludf.DUMMYFUNCTION("""COMPUTED_VALUE"""),"PRORRECTORIA")</f>
        <v>PRORRECTORIA</v>
      </c>
      <c r="E653" s="34" t="str">
        <f>IFERROR(__xludf.DUMMYFUNCTION("""COMPUTED_VALUE"""),"DEPARTAMENTO DE RECURSOS HUMANOS")</f>
        <v>DEPARTAMENTO DE RECURSOS HUMANOS</v>
      </c>
      <c r="F653" s="34" t="str">
        <f>IFERROR(__xludf.DUMMYFUNCTION("""COMPUTED_VALUE"""),"Administrativo de Recursos Humanos")</f>
        <v>Administrativo de Recursos Humanos</v>
      </c>
      <c r="G653" s="33" t="str">
        <f>IFERROR(__xludf.DUMMYFUNCTION("""COMPUTED_VALUE"""),"ADMINISTRATIVO DE RECURSOS HUMANOS")</f>
        <v>ADMINISTRATIVO DE RECURSOS HUMANOS</v>
      </c>
      <c r="H653">
        <f>IFERROR(__xludf.DUMMYFUNCTION("""COMPUTED_VALUE"""),17.0)</f>
        <v>17</v>
      </c>
      <c r="I653" s="34"/>
      <c r="J653" s="33" t="str">
        <f>IFERROR(__xludf.DUMMYFUNCTION("""COMPUTED_VALUE"""),"A CONTRATA")</f>
        <v>A CONTRATA</v>
      </c>
      <c r="K653" s="33" t="str">
        <f>IFERROR(__xludf.DUMMYFUNCTION("""COMPUTED_VALUE"""),"ADMINISTRATIVO")</f>
        <v>ADMINISTRATIVO</v>
      </c>
      <c r="L653" s="34" t="str">
        <f>IFERROR(__xludf.DUMMYFUNCTION("""COMPUTED_VALUE"""),"INTERNO")</f>
        <v>INTERNO</v>
      </c>
      <c r="M653" s="34">
        <f>IFERROR(__xludf.DUMMYFUNCTION("""COMPUTED_VALUE"""),0.0)</f>
        <v>0</v>
      </c>
      <c r="N653" s="34" t="str">
        <f>IFERROR(__xludf.DUMMYFUNCTION("""COMPUTED_VALUE"""),"EXTERNO")</f>
        <v>EXTERNO</v>
      </c>
      <c r="O653">
        <f>IFERROR(__xludf.DUMMYFUNCTION("""COMPUTED_VALUE"""),6.0)</f>
        <v>6</v>
      </c>
      <c r="P653">
        <f>IFERROR(__xludf.DUMMYFUNCTION("""COMPUTED_VALUE"""),1.0)</f>
        <v>1</v>
      </c>
      <c r="Q653" s="35">
        <f>IFERROR(__xludf.DUMMYFUNCTION("""COMPUTED_VALUE"""),1.0)</f>
        <v>1</v>
      </c>
      <c r="R653" s="36" t="str">
        <f>IFERROR(__xludf.DUMMYFUNCTION("""COMPUTED_VALUE"""),"SELECCIONADO")</f>
        <v>SELECCIONADO</v>
      </c>
      <c r="S653" s="37">
        <f>IFERROR(__xludf.DUMMYFUNCTION("""COMPUTED_VALUE"""),41821.0)</f>
        <v>41821</v>
      </c>
      <c r="T653" s="34"/>
      <c r="U653" t="str">
        <f>IFERROR(__xludf.DUMMYFUNCTION("""COMPUTED_VALUE"""),"MARTIN ANGULO RUIZ")</f>
        <v>MARTIN ANGULO RUIZ</v>
      </c>
      <c r="V653" t="str">
        <f>IFERROR(__xludf.DUMMYFUNCTION("""COMPUTED_VALUE"""),"17741571-5")</f>
        <v>17741571-5</v>
      </c>
      <c r="AA653" s="38">
        <f>IFERROR(__xludf.DUMMYFUNCTION("""COMPUTED_VALUE"""),41796.0)</f>
        <v>41796</v>
      </c>
      <c r="AB653" s="38">
        <f>IFERROR(__xludf.DUMMYFUNCTION("""COMPUTED_VALUE"""),41800.0)</f>
        <v>41800</v>
      </c>
      <c r="AF653" s="39"/>
      <c r="AG653" s="39"/>
      <c r="AH653" s="34" t="str">
        <f>IFERROR(__xludf.DUMMYFUNCTION("""COMPUTED_VALUE"""),"PROCESO DE SELECCIÓN")</f>
        <v>PROCESO DE SELECCIÓN</v>
      </c>
      <c r="AI653" s="34" t="str">
        <f>IFERROR(__xludf.DUMMYFUNCTION("""COMPUTED_VALUE"""),"MARCELO AVILA SOTO")</f>
        <v>MARCELO AVILA SOTO</v>
      </c>
      <c r="AJ653" s="34"/>
      <c r="AK653" s="34" t="str">
        <f>IFERROR(__xludf.DUMMYFUNCTION("""COMPUTED_VALUE"""),"C")</f>
        <v>C</v>
      </c>
      <c r="AL653">
        <f>IFERROR(__xludf.DUMMYFUNCTION("""COMPUTED_VALUE"""),16.0)</f>
        <v>16</v>
      </c>
      <c r="AM653">
        <f>IFERROR(__xludf.DUMMYFUNCTION("""COMPUTED_VALUE"""),2014.0)</f>
        <v>2014</v>
      </c>
      <c r="AN653" t="str">
        <f t="shared" si="1"/>
        <v>17741571-5</v>
      </c>
    </row>
    <row r="654">
      <c r="A654" s="33">
        <f>IFERROR(__xludf.DUMMYFUNCTION("""COMPUTED_VALUE"""),1.364038E7)</f>
        <v>13640380</v>
      </c>
      <c r="B654" s="33">
        <f>IFERROR(__xludf.DUMMYFUNCTION("""COMPUTED_VALUE"""),43.0)</f>
        <v>43</v>
      </c>
      <c r="C654" s="33"/>
      <c r="D654" s="34" t="str">
        <f>IFERROR(__xludf.DUMMYFUNCTION("""COMPUTED_VALUE"""),"VICERRECTORIA DE APOYO AL ESTUDIANTE")</f>
        <v>VICERRECTORIA DE APOYO AL ESTUDIANTE</v>
      </c>
      <c r="E654" s="34" t="str">
        <f>IFERROR(__xludf.DUMMYFUNCTION("""COMPUTED_VALUE"""),"UNIDAD DE ATENCION DE SALUD")</f>
        <v>UNIDAD DE ATENCION DE SALUD</v>
      </c>
      <c r="F654" s="34" t="str">
        <f>IFERROR(__xludf.DUMMYFUNCTION("""COMPUTED_VALUE"""),"Médicos y Dentistas")</f>
        <v>Médicos y Dentistas</v>
      </c>
      <c r="G654" s="33" t="str">
        <f>IFERROR(__xludf.DUMMYFUNCTION("""COMPUTED_VALUE"""),"MEDICO CIRUJANO")</f>
        <v>MEDICO CIRUJANO</v>
      </c>
      <c r="I654" s="34"/>
      <c r="J654" s="33" t="str">
        <f>IFERROR(__xludf.DUMMYFUNCTION("""COMPUTED_VALUE"""),"Por 22 hr. Ley 15.076")</f>
        <v>Por 22 hr. Ley 15.076</v>
      </c>
      <c r="K654" s="33" t="str">
        <f>IFERROR(__xludf.DUMMYFUNCTION("""COMPUTED_VALUE"""),"PROFESIONAL")</f>
        <v>PROFESIONAL</v>
      </c>
      <c r="L654" s="34" t="str">
        <f>IFERROR(__xludf.DUMMYFUNCTION("""COMPUTED_VALUE"""),"INTERNO")</f>
        <v>INTERNO</v>
      </c>
      <c r="M654" s="34">
        <f>IFERROR(__xludf.DUMMYFUNCTION("""COMPUTED_VALUE"""),0.0)</f>
        <v>0</v>
      </c>
      <c r="N654" s="34" t="str">
        <f>IFERROR(__xludf.DUMMYFUNCTION("""COMPUTED_VALUE"""),"EXTERNO")</f>
        <v>EXTERNO</v>
      </c>
      <c r="O654">
        <f>IFERROR(__xludf.DUMMYFUNCTION("""COMPUTED_VALUE"""),1.0)</f>
        <v>1</v>
      </c>
      <c r="Q654" s="35"/>
      <c r="R654" s="36" t="str">
        <f>IFERROR(__xludf.DUMMYFUNCTION("""COMPUTED_VALUE"""),"SELECCIONADO")</f>
        <v>SELECCIONADO</v>
      </c>
      <c r="S654" s="37">
        <f>IFERROR(__xludf.DUMMYFUNCTION("""COMPUTED_VALUE"""),41813.0)</f>
        <v>41813</v>
      </c>
      <c r="T654" s="34"/>
      <c r="U654" t="str">
        <f>IFERROR(__xludf.DUMMYFUNCTION("""COMPUTED_VALUE"""),"JOSE EGANA RODRIGUEZ")</f>
        <v>JOSE EGANA RODRIGUEZ</v>
      </c>
      <c r="V654" t="str">
        <f>IFERROR(__xludf.DUMMYFUNCTION("""COMPUTED_VALUE"""),"13640380-K")</f>
        <v>13640380-K</v>
      </c>
      <c r="AA654" s="38">
        <f>IFERROR(__xludf.DUMMYFUNCTION("""COMPUTED_VALUE"""),41774.0)</f>
        <v>41774</v>
      </c>
      <c r="AB654" s="38">
        <f>IFERROR(__xludf.DUMMYFUNCTION("""COMPUTED_VALUE"""),41802.0)</f>
        <v>41802</v>
      </c>
      <c r="AF654" s="39"/>
      <c r="AG654" s="39"/>
      <c r="AH654" s="34" t="str">
        <f>IFERROR(__xludf.DUMMYFUNCTION("""COMPUTED_VALUE"""),"PROCESO DE SELECCIÓN")</f>
        <v>PROCESO DE SELECCIÓN</v>
      </c>
      <c r="AI654" s="34"/>
      <c r="AJ654" s="34"/>
      <c r="AK654" s="34" t="str">
        <f>IFERROR(__xludf.DUMMYFUNCTION("""COMPUTED_VALUE"""),"E")</f>
        <v>E</v>
      </c>
      <c r="AL654">
        <f>IFERROR(__xludf.DUMMYFUNCTION("""COMPUTED_VALUE"""),8.0)</f>
        <v>8</v>
      </c>
      <c r="AM654">
        <f>IFERROR(__xludf.DUMMYFUNCTION("""COMPUTED_VALUE"""),2014.0)</f>
        <v>2014</v>
      </c>
      <c r="AN654" t="str">
        <f t="shared" si="1"/>
        <v>13640380-K</v>
      </c>
    </row>
    <row r="655">
      <c r="A655" s="33">
        <f>IFERROR(__xludf.DUMMYFUNCTION("""COMPUTED_VALUE"""),1.3067959E7)</f>
        <v>13067959</v>
      </c>
      <c r="B655" s="33">
        <f>IFERROR(__xludf.DUMMYFUNCTION("""COMPUTED_VALUE"""),106.0)</f>
        <v>106</v>
      </c>
      <c r="C655" s="33"/>
      <c r="D655" s="34" t="str">
        <f>IFERROR(__xludf.DUMMYFUNCTION("""COMPUTED_VALUE"""),"FACULTAD TECNOLOGICA")</f>
        <v>FACULTAD TECNOLOGICA</v>
      </c>
      <c r="E655" s="34" t="str">
        <f>IFERROR(__xludf.DUMMYFUNCTION("""COMPUTED_VALUE"""),"FACULTAD TECNOLOGICA")</f>
        <v>FACULTAD TECNOLOGICA</v>
      </c>
      <c r="F655" s="34" t="str">
        <f>IFERROR(__xludf.DUMMYFUNCTION("""COMPUTED_VALUE"""),"Asistente Social Estudiantil")</f>
        <v>Asistente Social Estudiantil</v>
      </c>
      <c r="G655" s="33" t="str">
        <f>IFERROR(__xludf.DUMMYFUNCTION("""COMPUTED_VALUE"""),"ASISTENTE SOCIAL")</f>
        <v>ASISTENTE SOCIAL</v>
      </c>
      <c r="H655">
        <f>IFERROR(__xludf.DUMMYFUNCTION("""COMPUTED_VALUE"""),13.0)</f>
        <v>13</v>
      </c>
      <c r="I655" s="34"/>
      <c r="J655" s="33" t="str">
        <f>IFERROR(__xludf.DUMMYFUNCTION("""COMPUTED_VALUE"""),"A CONTRATA")</f>
        <v>A CONTRATA</v>
      </c>
      <c r="K655" s="33" t="str">
        <f>IFERROR(__xludf.DUMMYFUNCTION("""COMPUTED_VALUE"""),"PROFESIONAL")</f>
        <v>PROFESIONAL</v>
      </c>
      <c r="L655" s="34" t="str">
        <f>IFERROR(__xludf.DUMMYFUNCTION("""COMPUTED_VALUE"""),"INTERNO")</f>
        <v>INTERNO</v>
      </c>
      <c r="M655" s="34">
        <f>IFERROR(__xludf.DUMMYFUNCTION("""COMPUTED_VALUE"""),5.0)</f>
        <v>5</v>
      </c>
      <c r="N655" s="34" t="str">
        <f>IFERROR(__xludf.DUMMYFUNCTION("""COMPUTED_VALUE"""),"NO")</f>
        <v>NO</v>
      </c>
      <c r="P655">
        <f>IFERROR(__xludf.DUMMYFUNCTION("""COMPUTED_VALUE"""),1.0)</f>
        <v>1</v>
      </c>
      <c r="Q655" s="35"/>
      <c r="R655" s="36" t="str">
        <f>IFERROR(__xludf.DUMMYFUNCTION("""COMPUTED_VALUE"""),"SELECCIONADA")</f>
        <v>SELECCIONADA</v>
      </c>
      <c r="S655" s="37">
        <f>IFERROR(__xludf.DUMMYFUNCTION("""COMPUTED_VALUE"""),41852.0)</f>
        <v>41852</v>
      </c>
      <c r="T655" s="34" t="str">
        <f>IFERROR(__xludf.DUMMYFUNCTION("""COMPUTED_VALUE"""),"PAULA HERNANDEZ BANNOUT")</f>
        <v>PAULA HERNANDEZ BANNOUT</v>
      </c>
      <c r="V655" t="str">
        <f>IFERROR(__xludf.DUMMYFUNCTION("""COMPUTED_VALUE"""),"13067959-5")</f>
        <v>13067959-5</v>
      </c>
      <c r="W655" t="str">
        <f>IFERROR(__xludf.DUMMYFUNCTION("""COMPUTED_VALUE"""),"SI")</f>
        <v>SI</v>
      </c>
      <c r="X655" t="str">
        <f>IFERROR(__xludf.DUMMYFUNCTION("""COMPUTED_VALUE"""),"AUTOCONTROL")</f>
        <v>AUTOCONTROL</v>
      </c>
      <c r="Y655" t="str">
        <f>IFERROR(__xludf.DUMMYFUNCTION("""COMPUTED_VALUE"""),"TRABAJO EN EQUIPO")</f>
        <v>TRABAJO EN EQUIPO</v>
      </c>
      <c r="AA655" s="38">
        <f>IFERROR(__xludf.DUMMYFUNCTION("""COMPUTED_VALUE"""),41795.0)</f>
        <v>41795</v>
      </c>
      <c r="AB655" s="38">
        <f>IFERROR(__xludf.DUMMYFUNCTION("""COMPUTED_VALUE"""),41802.0)</f>
        <v>41802</v>
      </c>
      <c r="AC655">
        <f>IFERROR(__xludf.DUMMYFUNCTION("""COMPUTED_VALUE"""),13.0)</f>
        <v>13</v>
      </c>
      <c r="AD655" t="str">
        <f>IFERROR(__xludf.DUMMYFUNCTION("""COMPUTED_VALUE"""),"PROFESIONAL")</f>
        <v>PROFESIONAL</v>
      </c>
      <c r="AF655" s="39" t="str">
        <f>IFERROR(__xludf.DUMMYFUNCTION("""COMPUTED_VALUE"""),"FACULTAD TECNOLOGICA")</f>
        <v>FACULTAD TECNOLOGICA</v>
      </c>
      <c r="AG655" s="39"/>
      <c r="AH655" s="34" t="str">
        <f>IFERROR(__xludf.DUMMYFUNCTION("""COMPUTED_VALUE"""),"PROCESO DE SELECCIÓN")</f>
        <v>PROCESO DE SELECCIÓN</v>
      </c>
      <c r="AI655" s="34"/>
      <c r="AJ655" s="34"/>
      <c r="AK655" s="34" t="str">
        <f>IFERROR(__xludf.DUMMYFUNCTION("""COMPUTED_VALUE"""),"C")</f>
        <v>C</v>
      </c>
      <c r="AL655">
        <f>IFERROR(__xludf.DUMMYFUNCTION("""COMPUTED_VALUE"""),37.0)</f>
        <v>37</v>
      </c>
      <c r="AM655">
        <f>IFERROR(__xludf.DUMMYFUNCTION("""COMPUTED_VALUE"""),2014.0)</f>
        <v>2014</v>
      </c>
      <c r="AN655" t="str">
        <f t="shared" si="1"/>
        <v>13067959-5</v>
      </c>
    </row>
    <row r="656">
      <c r="A656" s="33">
        <f>IFERROR(__xludf.DUMMYFUNCTION("""COMPUTED_VALUE"""),1.5794147E7)</f>
        <v>15794147</v>
      </c>
      <c r="B656" s="33">
        <f>IFERROR(__xludf.DUMMYFUNCTION("""COMPUTED_VALUE"""),57.0)</f>
        <v>57</v>
      </c>
      <c r="C656" s="33"/>
      <c r="D656" s="34" t="str">
        <f>IFERROR(__xludf.DUMMYFUNCTION("""COMPUTED_VALUE"""),"VICERRECTORIA DE APOYO AL ESTUDIANTE")</f>
        <v>VICERRECTORIA DE APOYO AL ESTUDIANTE</v>
      </c>
      <c r="E656" s="34" t="str">
        <f>IFERROR(__xludf.DUMMYFUNCTION("""COMPUTED_VALUE"""),"DEPARTAMENTO DE GESTION DEL DEPORTE Y CULTURA")</f>
        <v>DEPARTAMENTO DE GESTION DEL DEPORTE Y CULTURA</v>
      </c>
      <c r="F656" s="34" t="str">
        <f>IFERROR(__xludf.DUMMYFUNCTION("""COMPUTED_VALUE"""),"Entrenador Deportivo")</f>
        <v>Entrenador Deportivo</v>
      </c>
      <c r="G656" s="33" t="str">
        <f>IFERROR(__xludf.DUMMYFUNCTION("""COMPUTED_VALUE"""),"PROFESOR ENTRENADOR DE ATLETISMO (1/2 JORNADA)")</f>
        <v>PROFESOR ENTRENADOR DE ATLETISMO (1/2 JORNADA)</v>
      </c>
      <c r="H656">
        <f>IFERROR(__xludf.DUMMYFUNCTION("""COMPUTED_VALUE"""),13.0)</f>
        <v>13</v>
      </c>
      <c r="I656" s="34"/>
      <c r="J656" s="33" t="str">
        <f>IFERROR(__xludf.DUMMYFUNCTION("""COMPUTED_VALUE"""),"A CONTRATA")</f>
        <v>A CONTRATA</v>
      </c>
      <c r="K656" s="33" t="str">
        <f>IFERROR(__xludf.DUMMYFUNCTION("""COMPUTED_VALUE"""),"PROFESIONAL")</f>
        <v>PROFESIONAL</v>
      </c>
      <c r="L656" s="34" t="str">
        <f>IFERROR(__xludf.DUMMYFUNCTION("""COMPUTED_VALUE"""),"INTERNO")</f>
        <v>INTERNO</v>
      </c>
      <c r="M656" s="34">
        <f>IFERROR(__xludf.DUMMYFUNCTION("""COMPUTED_VALUE"""),1.0)</f>
        <v>1</v>
      </c>
      <c r="N656" s="34" t="str">
        <f>IFERROR(__xludf.DUMMYFUNCTION("""COMPUTED_VALUE"""),"NO")</f>
        <v>NO</v>
      </c>
      <c r="P656">
        <f>IFERROR(__xludf.DUMMYFUNCTION("""COMPUTED_VALUE"""),1.0)</f>
        <v>1</v>
      </c>
      <c r="Q656" s="35">
        <f>IFERROR(__xludf.DUMMYFUNCTION("""COMPUTED_VALUE"""),0.0)</f>
        <v>0</v>
      </c>
      <c r="R656" s="36" t="str">
        <f>IFERROR(__xludf.DUMMYFUNCTION("""COMPUTED_VALUE"""),"SELECCIONADA")</f>
        <v>SELECCIONADA</v>
      </c>
      <c r="S656" s="37">
        <f>IFERROR(__xludf.DUMMYFUNCTION("""COMPUTED_VALUE"""),41852.0)</f>
        <v>41852</v>
      </c>
      <c r="T656" s="34" t="str">
        <f>IFERROR(__xludf.DUMMYFUNCTION("""COMPUTED_VALUE"""),"ROXANA SILVA ZUNIGA")</f>
        <v>ROXANA SILVA ZUNIGA</v>
      </c>
      <c r="V656" t="str">
        <f>IFERROR(__xludf.DUMMYFUNCTION("""COMPUTED_VALUE"""),"15794147-K")</f>
        <v>15794147-K</v>
      </c>
      <c r="AA656" s="38">
        <f>IFERROR(__xludf.DUMMYFUNCTION("""COMPUTED_VALUE"""),41817.0)</f>
        <v>41817</v>
      </c>
      <c r="AB656" s="38">
        <f>IFERROR(__xludf.DUMMYFUNCTION("""COMPUTED_VALUE"""),41823.0)</f>
        <v>41823</v>
      </c>
      <c r="AF656" s="39" t="str">
        <f>IFERROR(__xludf.DUMMYFUNCTION("""COMPUTED_VALUE"""),"DEPARTAMENTO DE GESTION DE DEPORTE Y CULTURA")</f>
        <v>DEPARTAMENTO DE GESTION DE DEPORTE Y CULTURA</v>
      </c>
      <c r="AG656" s="39" t="str">
        <f>IFERROR(__xludf.DUMMYFUNCTION("""COMPUTED_VALUE"""),"PROFESOR HORA")</f>
        <v>PROFESOR HORA</v>
      </c>
      <c r="AH656" s="34" t="str">
        <f>IFERROR(__xludf.DUMMYFUNCTION("""COMPUTED_VALUE"""),"PROCESO DE SELECCIÓN")</f>
        <v>PROCESO DE SELECCIÓN</v>
      </c>
      <c r="AI656" s="34"/>
      <c r="AJ656" s="34"/>
      <c r="AK656" s="34" t="str">
        <f>IFERROR(__xludf.DUMMYFUNCTION("""COMPUTED_VALUE"""),"P")</f>
        <v>P</v>
      </c>
      <c r="AL656">
        <f>IFERROR(__xludf.DUMMYFUNCTION("""COMPUTED_VALUE"""),22.0)</f>
        <v>22</v>
      </c>
      <c r="AM656">
        <f>IFERROR(__xludf.DUMMYFUNCTION("""COMPUTED_VALUE"""),2014.0)</f>
        <v>2014</v>
      </c>
      <c r="AN656" t="str">
        <f t="shared" si="1"/>
        <v>15794147-K</v>
      </c>
    </row>
    <row r="657">
      <c r="A657" s="33">
        <f>IFERROR(__xludf.DUMMYFUNCTION("""COMPUTED_VALUE"""),1.3465223E7)</f>
        <v>13465223</v>
      </c>
      <c r="B657" s="33">
        <f>IFERROR(__xludf.DUMMYFUNCTION("""COMPUTED_VALUE"""),55.0)</f>
        <v>55</v>
      </c>
      <c r="C657" s="33"/>
      <c r="D657" s="34" t="str">
        <f>IFERROR(__xludf.DUMMYFUNCTION("""COMPUTED_VALUE"""),"FACULTAD DE INGENIERIA")</f>
        <v>FACULTAD DE INGENIERIA</v>
      </c>
      <c r="E657" s="34" t="str">
        <f>IFERROR(__xludf.DUMMYFUNCTION("""COMPUTED_VALUE"""),"DEPARTAMENTO DE INGENIERIA GEOGRAFICA")</f>
        <v>DEPARTAMENTO DE INGENIERIA GEOGRAFICA</v>
      </c>
      <c r="F657" s="34" t="str">
        <f>IFERROR(__xludf.DUMMYFUNCTION("""COMPUTED_VALUE"""),"Secretario de Apoyo Docente")</f>
        <v>Secretario de Apoyo Docente</v>
      </c>
      <c r="G657" s="33" t="str">
        <f>IFERROR(__xludf.DUMMYFUNCTION("""COMPUTED_VALUE"""),"SECRETARIA DE APOYO DOCENTE")</f>
        <v>SECRETARIA DE APOYO DOCENTE</v>
      </c>
      <c r="H657">
        <f>IFERROR(__xludf.DUMMYFUNCTION("""COMPUTED_VALUE"""),17.0)</f>
        <v>17</v>
      </c>
      <c r="I657" s="34"/>
      <c r="J657" s="33" t="str">
        <f>IFERROR(__xludf.DUMMYFUNCTION("""COMPUTED_VALUE"""),"A CONTRATA")</f>
        <v>A CONTRATA</v>
      </c>
      <c r="K657" s="33" t="str">
        <f>IFERROR(__xludf.DUMMYFUNCTION("""COMPUTED_VALUE"""),"ADMINISTRATIVO")</f>
        <v>ADMINISTRATIVO</v>
      </c>
      <c r="L657" s="34" t="str">
        <f>IFERROR(__xludf.DUMMYFUNCTION("""COMPUTED_VALUE"""),"INTERNO")</f>
        <v>INTERNO</v>
      </c>
      <c r="M657" s="34">
        <f>IFERROR(__xludf.DUMMYFUNCTION("""COMPUTED_VALUE"""),1.0)</f>
        <v>1</v>
      </c>
      <c r="N657" s="34" t="str">
        <f>IFERROR(__xludf.DUMMYFUNCTION("""COMPUTED_VALUE"""),"NO")</f>
        <v>NO</v>
      </c>
      <c r="Q657" s="35"/>
      <c r="R657" s="36" t="str">
        <f>IFERROR(__xludf.DUMMYFUNCTION("""COMPUTED_VALUE"""),"SELECCIONADA")</f>
        <v>SELECCIONADA</v>
      </c>
      <c r="S657" s="37">
        <f>IFERROR(__xludf.DUMMYFUNCTION("""COMPUTED_VALUE"""),41852.0)</f>
        <v>41852</v>
      </c>
      <c r="T657" s="34" t="str">
        <f>IFERROR(__xludf.DUMMYFUNCTION("""COMPUTED_VALUE"""),"SABINA HUERTA SERRANO")</f>
        <v>SABINA HUERTA SERRANO</v>
      </c>
      <c r="V657" t="str">
        <f>IFERROR(__xludf.DUMMYFUNCTION("""COMPUTED_VALUE"""),"13465223-3")</f>
        <v>13465223-3</v>
      </c>
      <c r="AA657" s="38">
        <f>IFERROR(__xludf.DUMMYFUNCTION("""COMPUTED_VALUE"""),41820.0)</f>
        <v>41820</v>
      </c>
      <c r="AB657" s="38">
        <f>IFERROR(__xludf.DUMMYFUNCTION("""COMPUTED_VALUE"""),41827.0)</f>
        <v>41827</v>
      </c>
      <c r="AC657">
        <f>IFERROR(__xludf.DUMMYFUNCTION("""COMPUTED_VALUE"""),19.0)</f>
        <v>19</v>
      </c>
      <c r="AD657" t="str">
        <f>IFERROR(__xludf.DUMMYFUNCTION("""COMPUTED_VALUE"""),"ADMINISTRATIVO")</f>
        <v>ADMINISTRATIVO</v>
      </c>
      <c r="AF657" s="39" t="str">
        <f>IFERROR(__xludf.DUMMYFUNCTION("""COMPUTED_VALUE"""),"DEPARTAMENTO DE FISICA")</f>
        <v>DEPARTAMENTO DE FISICA</v>
      </c>
      <c r="AG657" s="39"/>
      <c r="AH657" s="34" t="str">
        <f>IFERROR(__xludf.DUMMYFUNCTION("""COMPUTED_VALUE"""),"PROCESO DE SELECCIÓN")</f>
        <v>PROCESO DE SELECCIÓN</v>
      </c>
      <c r="AI657" s="34"/>
      <c r="AJ657" s="34"/>
      <c r="AK657" s="34" t="str">
        <f>IFERROR(__xludf.DUMMYFUNCTION("""COMPUTED_VALUE"""),"P")</f>
        <v>P</v>
      </c>
      <c r="AL657">
        <f>IFERROR(__xludf.DUMMYFUNCTION("""COMPUTED_VALUE"""),20.0)</f>
        <v>20</v>
      </c>
      <c r="AM657">
        <f>IFERROR(__xludf.DUMMYFUNCTION("""COMPUTED_VALUE"""),2014.0)</f>
        <v>2014</v>
      </c>
      <c r="AN657" t="str">
        <f t="shared" si="1"/>
        <v>13465223-3</v>
      </c>
    </row>
    <row r="658">
      <c r="A658" s="33">
        <f>IFERROR(__xludf.DUMMYFUNCTION("""COMPUTED_VALUE"""),1.5348018E7)</f>
        <v>15348018</v>
      </c>
      <c r="B658" s="33">
        <f>IFERROR(__xludf.DUMMYFUNCTION("""COMPUTED_VALUE"""),65.0)</f>
        <v>65</v>
      </c>
      <c r="C658" s="33"/>
      <c r="D658" s="34" t="str">
        <f>IFERROR(__xludf.DUMMYFUNCTION("""COMPUTED_VALUE"""),"PRORRECTORIA")</f>
        <v>PRORRECTORIA</v>
      </c>
      <c r="E658" s="34" t="str">
        <f>IFERROR(__xludf.DUMMYFUNCTION("""COMPUTED_VALUE"""),"UNIDAD DE BIENESTAR DEL PERSONAL")</f>
        <v>UNIDAD DE BIENESTAR DEL PERSONAL</v>
      </c>
      <c r="F658" s="34" t="str">
        <f>IFERROR(__xludf.DUMMYFUNCTION("""COMPUTED_VALUE"""),"Administrativo Contable")</f>
        <v>Administrativo Contable</v>
      </c>
      <c r="G658" s="33" t="str">
        <f>IFERROR(__xludf.DUMMYFUNCTION("""COMPUTED_VALUE"""),"ADMINISTRATIVO CONTABLE")</f>
        <v>ADMINISTRATIVO CONTABLE</v>
      </c>
      <c r="H658">
        <f>IFERROR(__xludf.DUMMYFUNCTION("""COMPUTED_VALUE"""),17.0)</f>
        <v>17</v>
      </c>
      <c r="I658" s="34"/>
      <c r="J658" s="33" t="str">
        <f>IFERROR(__xludf.DUMMYFUNCTION("""COMPUTED_VALUE"""),"A CONTRATA")</f>
        <v>A CONTRATA</v>
      </c>
      <c r="K658" s="33" t="str">
        <f>IFERROR(__xludf.DUMMYFUNCTION("""COMPUTED_VALUE"""),"TECNICO")</f>
        <v>TECNICO</v>
      </c>
      <c r="L658" s="34" t="str">
        <f>IFERROR(__xludf.DUMMYFUNCTION("""COMPUTED_VALUE"""),"INTERNO")</f>
        <v>INTERNO</v>
      </c>
      <c r="M658" s="34">
        <f>IFERROR(__xludf.DUMMYFUNCTION("""COMPUTED_VALUE"""),0.0)</f>
        <v>0</v>
      </c>
      <c r="N658" s="34" t="str">
        <f>IFERROR(__xludf.DUMMYFUNCTION("""COMPUTED_VALUE"""),"EXTERNO")</f>
        <v>EXTERNO</v>
      </c>
      <c r="O658">
        <f>IFERROR(__xludf.DUMMYFUNCTION("""COMPUTED_VALUE"""),8.0)</f>
        <v>8</v>
      </c>
      <c r="P658">
        <f>IFERROR(__xludf.DUMMYFUNCTION("""COMPUTED_VALUE"""),1.0)</f>
        <v>1</v>
      </c>
      <c r="Q658" s="35">
        <f>IFERROR(__xludf.DUMMYFUNCTION("""COMPUTED_VALUE"""),1.0)</f>
        <v>1</v>
      </c>
      <c r="R658" s="36" t="str">
        <f>IFERROR(__xludf.DUMMYFUNCTION("""COMPUTED_VALUE"""),"SELECCIONADO")</f>
        <v>SELECCIONADO</v>
      </c>
      <c r="S658" s="37">
        <f>IFERROR(__xludf.DUMMYFUNCTION("""COMPUTED_VALUE"""),41869.0)</f>
        <v>41869</v>
      </c>
      <c r="T658" s="34"/>
      <c r="U658" t="str">
        <f>IFERROR(__xludf.DUMMYFUNCTION("""COMPUTED_VALUE"""),"JORGE ANDRES PEREZ PARDO")</f>
        <v>JORGE ANDRES PEREZ PARDO</v>
      </c>
      <c r="V658" t="str">
        <f>IFERROR(__xludf.DUMMYFUNCTION("""COMPUTED_VALUE"""),"15348018-4")</f>
        <v>15348018-4</v>
      </c>
      <c r="AA658" s="38">
        <f>IFERROR(__xludf.DUMMYFUNCTION("""COMPUTED_VALUE"""),41823.0)</f>
        <v>41823</v>
      </c>
      <c r="AB658" s="38">
        <f>IFERROR(__xludf.DUMMYFUNCTION("""COMPUTED_VALUE"""),41830.0)</f>
        <v>41830</v>
      </c>
      <c r="AF658" s="39"/>
      <c r="AG658" s="39"/>
      <c r="AH658" s="34" t="str">
        <f>IFERROR(__xludf.DUMMYFUNCTION("""COMPUTED_VALUE"""),"PROCESO DE SELECCIÓN")</f>
        <v>PROCESO DE SELECCIÓN</v>
      </c>
      <c r="AI658" s="34"/>
      <c r="AJ658" s="34"/>
      <c r="AK658" s="34" t="str">
        <f>IFERROR(__xludf.DUMMYFUNCTION("""COMPUTED_VALUE"""),"C")</f>
        <v>C</v>
      </c>
      <c r="AL658">
        <f>IFERROR(__xludf.DUMMYFUNCTION("""COMPUTED_VALUE"""),28.0)</f>
        <v>28</v>
      </c>
      <c r="AM658">
        <f>IFERROR(__xludf.DUMMYFUNCTION("""COMPUTED_VALUE"""),2014.0)</f>
        <v>2014</v>
      </c>
      <c r="AN658" t="str">
        <f t="shared" si="1"/>
        <v>15348018-4</v>
      </c>
    </row>
    <row r="659">
      <c r="A659" s="33">
        <f>IFERROR(__xludf.DUMMYFUNCTION("""COMPUTED_VALUE"""),1.612203E7)</f>
        <v>16122030</v>
      </c>
      <c r="B659" s="33">
        <f>IFERROR(__xludf.DUMMYFUNCTION("""COMPUTED_VALUE"""),73.0)</f>
        <v>73</v>
      </c>
      <c r="C659" s="33"/>
      <c r="D659" s="34" t="str">
        <f>IFERROR(__xludf.DUMMYFUNCTION("""COMPUTED_VALUE"""),"FACULTAD DE INGENIERIA")</f>
        <v>FACULTAD DE INGENIERIA</v>
      </c>
      <c r="E659" s="34" t="str">
        <f>IFERROR(__xludf.DUMMYFUNCTION("""COMPUTED_VALUE"""),"DEPARTAMENTO DE INGENIERIA EN MINAS")</f>
        <v>DEPARTAMENTO DE INGENIERIA EN MINAS</v>
      </c>
      <c r="F659" s="34" t="str">
        <f>IFERROR(__xludf.DUMMYFUNCTION("""COMPUTED_VALUE"""),"Estafeta")</f>
        <v>Estafeta</v>
      </c>
      <c r="G659" s="33" t="str">
        <f>IFERROR(__xludf.DUMMYFUNCTION("""COMPUTED_VALUE"""),"ESTAFETA")</f>
        <v>ESTAFETA</v>
      </c>
      <c r="H659">
        <f>IFERROR(__xludf.DUMMYFUNCTION("""COMPUTED_VALUE"""),23.0)</f>
        <v>23</v>
      </c>
      <c r="I659" s="34"/>
      <c r="J659" s="33" t="str">
        <f>IFERROR(__xludf.DUMMYFUNCTION("""COMPUTED_VALUE"""),"A CONTRATA")</f>
        <v>A CONTRATA</v>
      </c>
      <c r="K659" s="33" t="str">
        <f>IFERROR(__xludf.DUMMYFUNCTION("""COMPUTED_VALUE"""),"AUXILIAR")</f>
        <v>AUXILIAR</v>
      </c>
      <c r="L659" s="34" t="str">
        <f>IFERROR(__xludf.DUMMYFUNCTION("""COMPUTED_VALUE"""),"INTERNO")</f>
        <v>INTERNO</v>
      </c>
      <c r="M659" s="34">
        <f>IFERROR(__xludf.DUMMYFUNCTION("""COMPUTED_VALUE"""),0.0)</f>
        <v>0</v>
      </c>
      <c r="N659" s="34" t="str">
        <f>IFERROR(__xludf.DUMMYFUNCTION("""COMPUTED_VALUE"""),"EXTERNO")</f>
        <v>EXTERNO</v>
      </c>
      <c r="O659">
        <f>IFERROR(__xludf.DUMMYFUNCTION("""COMPUTED_VALUE"""),4.0)</f>
        <v>4</v>
      </c>
      <c r="P659">
        <f>IFERROR(__xludf.DUMMYFUNCTION("""COMPUTED_VALUE"""),1.0)</f>
        <v>1</v>
      </c>
      <c r="Q659" s="35">
        <f>IFERROR(__xludf.DUMMYFUNCTION("""COMPUTED_VALUE"""),1.0)</f>
        <v>1</v>
      </c>
      <c r="R659" s="36" t="str">
        <f>IFERROR(__xludf.DUMMYFUNCTION("""COMPUTED_VALUE"""),"SELECCIONADO")</f>
        <v>SELECCIONADO</v>
      </c>
      <c r="S659" s="37">
        <f>IFERROR(__xludf.DUMMYFUNCTION("""COMPUTED_VALUE"""),41883.0)</f>
        <v>41883</v>
      </c>
      <c r="T659" s="34"/>
      <c r="U659" t="str">
        <f>IFERROR(__xludf.DUMMYFUNCTION("""COMPUTED_VALUE"""),"LUCIANO LEYTON SILVA")</f>
        <v>LUCIANO LEYTON SILVA</v>
      </c>
      <c r="V659" t="str">
        <f>IFERROR(__xludf.DUMMYFUNCTION("""COMPUTED_VALUE"""),"16122030-2")</f>
        <v>16122030-2</v>
      </c>
      <c r="AA659" s="38">
        <f>IFERROR(__xludf.DUMMYFUNCTION("""COMPUTED_VALUE"""),41828.0)</f>
        <v>41828</v>
      </c>
      <c r="AB659" s="38">
        <f>IFERROR(__xludf.DUMMYFUNCTION("""COMPUTED_VALUE"""),41835.0)</f>
        <v>41835</v>
      </c>
      <c r="AF659" s="39"/>
      <c r="AG659" s="39"/>
      <c r="AH659" s="34" t="str">
        <f>IFERROR(__xludf.DUMMYFUNCTION("""COMPUTED_VALUE"""),"PROCESO DE SELECCIÓN")</f>
        <v>PROCESO DE SELECCIÓN</v>
      </c>
      <c r="AI659" s="34"/>
      <c r="AJ659" s="34"/>
      <c r="AK659" s="34" t="str">
        <f>IFERROR(__xludf.DUMMYFUNCTION("""COMPUTED_VALUE"""),"P")</f>
        <v>P</v>
      </c>
      <c r="AL659">
        <f>IFERROR(__xludf.DUMMYFUNCTION("""COMPUTED_VALUE"""),35.0)</f>
        <v>35</v>
      </c>
      <c r="AM659">
        <f>IFERROR(__xludf.DUMMYFUNCTION("""COMPUTED_VALUE"""),2014.0)</f>
        <v>2014</v>
      </c>
      <c r="AN659" t="str">
        <f t="shared" si="1"/>
        <v>16122030-2</v>
      </c>
    </row>
    <row r="660">
      <c r="A660" s="33">
        <f>IFERROR(__xludf.DUMMYFUNCTION("""COMPUTED_VALUE"""),1.5979607E7)</f>
        <v>15979607</v>
      </c>
      <c r="B660" s="33">
        <f>IFERROR(__xludf.DUMMYFUNCTION("""COMPUTED_VALUE"""),74.0)</f>
        <v>74</v>
      </c>
      <c r="C660" s="33"/>
      <c r="D660" s="34" t="str">
        <f>IFERROR(__xludf.DUMMYFUNCTION("""COMPUTED_VALUE"""),"PRORRECTORIA")</f>
        <v>PRORRECTORIA</v>
      </c>
      <c r="E660" s="34" t="str">
        <f>IFERROR(__xludf.DUMMYFUNCTION("""COMPUTED_VALUE"""),"DEPARTAMENTO DE FINANZAS Y TESORERIA")</f>
        <v>DEPARTAMENTO DE FINANZAS Y TESORERIA</v>
      </c>
      <c r="F660" s="34" t="str">
        <f>IFERROR(__xludf.DUMMYFUNCTION("""COMPUTED_VALUE"""),"Jefe de Área")</f>
        <v>Jefe de Área</v>
      </c>
      <c r="G660" s="33" t="str">
        <f>IFERROR(__xludf.DUMMYFUNCTION("""COMPUTED_VALUE"""),"JEFE DE AREA DE CONTABILIDAD")</f>
        <v>JEFE DE AREA DE CONTABILIDAD</v>
      </c>
      <c r="H660">
        <f>IFERROR(__xludf.DUMMYFUNCTION("""COMPUTED_VALUE"""),6.0)</f>
        <v>6</v>
      </c>
      <c r="I660" s="34"/>
      <c r="J660" s="33" t="str">
        <f>IFERROR(__xludf.DUMMYFUNCTION("""COMPUTED_VALUE"""),"A CONTRATA")</f>
        <v>A CONTRATA</v>
      </c>
      <c r="K660" s="33" t="str">
        <f>IFERROR(__xludf.DUMMYFUNCTION("""COMPUTED_VALUE"""),"PROFESIONAL")</f>
        <v>PROFESIONAL</v>
      </c>
      <c r="L660" s="34" t="str">
        <f>IFERROR(__xludf.DUMMYFUNCTION("""COMPUTED_VALUE"""),"INTERNO")</f>
        <v>INTERNO</v>
      </c>
      <c r="M660" s="34">
        <f>IFERROR(__xludf.DUMMYFUNCTION("""COMPUTED_VALUE"""),3.0)</f>
        <v>3</v>
      </c>
      <c r="N660" s="34" t="str">
        <f>IFERROR(__xludf.DUMMYFUNCTION("""COMPUTED_VALUE"""),"EXTERNO")</f>
        <v>EXTERNO</v>
      </c>
      <c r="O660">
        <f>IFERROR(__xludf.DUMMYFUNCTION("""COMPUTED_VALUE"""),9.0)</f>
        <v>9</v>
      </c>
      <c r="P660">
        <f>IFERROR(__xludf.DUMMYFUNCTION("""COMPUTED_VALUE"""),2.0)</f>
        <v>2</v>
      </c>
      <c r="Q660" s="35">
        <f>IFERROR(__xludf.DUMMYFUNCTION("""COMPUTED_VALUE"""),1.0)</f>
        <v>1</v>
      </c>
      <c r="R660" s="36" t="str">
        <f>IFERROR(__xludf.DUMMYFUNCTION("""COMPUTED_VALUE"""),"SELECCIONADA")</f>
        <v>SELECCIONADA</v>
      </c>
      <c r="S660" s="37">
        <f>IFERROR(__xludf.DUMMYFUNCTION("""COMPUTED_VALUE"""),41883.0)</f>
        <v>41883</v>
      </c>
      <c r="T660" s="34"/>
      <c r="U660" t="str">
        <f>IFERROR(__xludf.DUMMYFUNCTION("""COMPUTED_VALUE"""),"CLAUDIA PIZARRO VERA")</f>
        <v>CLAUDIA PIZARRO VERA</v>
      </c>
      <c r="V660" t="str">
        <f>IFERROR(__xludf.DUMMYFUNCTION("""COMPUTED_VALUE"""),"15979607-8")</f>
        <v>15979607-8</v>
      </c>
      <c r="AA660" s="38">
        <f>IFERROR(__xludf.DUMMYFUNCTION("""COMPUTED_VALUE"""),41829.0)</f>
        <v>41829</v>
      </c>
      <c r="AB660" s="38">
        <f>IFERROR(__xludf.DUMMYFUNCTION("""COMPUTED_VALUE"""),41836.0)</f>
        <v>41836</v>
      </c>
      <c r="AF660" s="39"/>
      <c r="AG660" s="39"/>
      <c r="AH660" s="34" t="str">
        <f>IFERROR(__xludf.DUMMYFUNCTION("""COMPUTED_VALUE"""),"PROCESO DE SELECCIÓN")</f>
        <v>PROCESO DE SELECCIÓN</v>
      </c>
      <c r="AI660" s="34"/>
      <c r="AJ660" s="34"/>
      <c r="AK660" s="34" t="str">
        <f>IFERROR(__xludf.DUMMYFUNCTION("""COMPUTED_VALUE"""),"E")</f>
        <v>E</v>
      </c>
      <c r="AL660">
        <f>IFERROR(__xludf.DUMMYFUNCTION("""COMPUTED_VALUE"""),34.0)</f>
        <v>34</v>
      </c>
      <c r="AM660">
        <f>IFERROR(__xludf.DUMMYFUNCTION("""COMPUTED_VALUE"""),2014.0)</f>
        <v>2014</v>
      </c>
      <c r="AN660" t="str">
        <f t="shared" si="1"/>
        <v>15979607-8</v>
      </c>
    </row>
    <row r="661">
      <c r="A661" s="33">
        <f>IFERROR(__xludf.DUMMYFUNCTION("""COMPUTED_VALUE"""),1.7986671E7)</f>
        <v>17986671</v>
      </c>
      <c r="B661" s="33">
        <f>IFERROR(__xludf.DUMMYFUNCTION("""COMPUTED_VALUE"""),75.0)</f>
        <v>75</v>
      </c>
      <c r="C661" s="33"/>
      <c r="D661" s="34" t="str">
        <f>IFERROR(__xludf.DUMMYFUNCTION("""COMPUTED_VALUE"""),"VICERRECTORIA DE VINCULACION CON EL MEDIO")</f>
        <v>VICERRECTORIA DE VINCULACION CON EL MEDIO</v>
      </c>
      <c r="E661" s="34" t="str">
        <f>IFERROR(__xludf.DUMMYFUNCTION("""COMPUTED_VALUE"""),"DEPARTAMENTO DE COMUNICACIONES")</f>
        <v>DEPARTAMENTO DE COMUNICACIONES</v>
      </c>
      <c r="F661" s="34" t="str">
        <f>IFERROR(__xludf.DUMMYFUNCTION("""COMPUTED_VALUE"""),"Radio Controlador")</f>
        <v>Radio Controlador</v>
      </c>
      <c r="G661" s="33" t="str">
        <f>IFERROR(__xludf.DUMMYFUNCTION("""COMPUTED_VALUE"""),"RADIO OPERADOR")</f>
        <v>RADIO OPERADOR</v>
      </c>
      <c r="H661">
        <f>IFERROR(__xludf.DUMMYFUNCTION("""COMPUTED_VALUE"""),17.0)</f>
        <v>17</v>
      </c>
      <c r="I661" s="34"/>
      <c r="J661" s="33" t="str">
        <f>IFERROR(__xludf.DUMMYFUNCTION("""COMPUTED_VALUE"""),"A CONTRATA")</f>
        <v>A CONTRATA</v>
      </c>
      <c r="K661" s="33" t="str">
        <f>IFERROR(__xludf.DUMMYFUNCTION("""COMPUTED_VALUE"""),"TECNICO")</f>
        <v>TECNICO</v>
      </c>
      <c r="L661" s="34" t="str">
        <f>IFERROR(__xludf.DUMMYFUNCTION("""COMPUTED_VALUE"""),"INTERNO")</f>
        <v>INTERNO</v>
      </c>
      <c r="M661" s="34">
        <f>IFERROR(__xludf.DUMMYFUNCTION("""COMPUTED_VALUE"""),0.0)</f>
        <v>0</v>
      </c>
      <c r="N661" s="34" t="str">
        <f>IFERROR(__xludf.DUMMYFUNCTION("""COMPUTED_VALUE"""),"EXTERNO")</f>
        <v>EXTERNO</v>
      </c>
      <c r="O661">
        <f>IFERROR(__xludf.DUMMYFUNCTION("""COMPUTED_VALUE"""),5.0)</f>
        <v>5</v>
      </c>
      <c r="P661">
        <f>IFERROR(__xludf.DUMMYFUNCTION("""COMPUTED_VALUE"""),2.0)</f>
        <v>2</v>
      </c>
      <c r="Q661" s="35">
        <f>IFERROR(__xludf.DUMMYFUNCTION("""COMPUTED_VALUE"""),1.0)</f>
        <v>1</v>
      </c>
      <c r="R661" s="36" t="str">
        <f>IFERROR(__xludf.DUMMYFUNCTION("""COMPUTED_VALUE"""),"SELECCIONADO")</f>
        <v>SELECCIONADO</v>
      </c>
      <c r="S661" s="37">
        <f>IFERROR(__xludf.DUMMYFUNCTION("""COMPUTED_VALUE"""),41883.0)</f>
        <v>41883</v>
      </c>
      <c r="T661" s="34"/>
      <c r="U661" t="str">
        <f>IFERROR(__xludf.DUMMYFUNCTION("""COMPUTED_VALUE"""),"ALEXIS ARMIJO HUERTA")</f>
        <v>ALEXIS ARMIJO HUERTA</v>
      </c>
      <c r="V661" t="str">
        <f>IFERROR(__xludf.DUMMYFUNCTION("""COMPUTED_VALUE"""),"17986671-4")</f>
        <v>17986671-4</v>
      </c>
      <c r="AA661" s="38">
        <f>IFERROR(__xludf.DUMMYFUNCTION("""COMPUTED_VALUE"""),41831.0)</f>
        <v>41831</v>
      </c>
      <c r="AB661" s="38">
        <f>IFERROR(__xludf.DUMMYFUNCTION("""COMPUTED_VALUE"""),41838.0)</f>
        <v>41838</v>
      </c>
      <c r="AF661" s="39"/>
      <c r="AG661" s="39"/>
      <c r="AH661" s="34" t="str">
        <f>IFERROR(__xludf.DUMMYFUNCTION("""COMPUTED_VALUE"""),"PROCESO DE SELECCIÓN")</f>
        <v>PROCESO DE SELECCIÓN</v>
      </c>
      <c r="AI661" s="34"/>
      <c r="AJ661" s="34"/>
      <c r="AK661" s="34" t="str">
        <f>IFERROR(__xludf.DUMMYFUNCTION("""COMPUTED_VALUE"""),"P")</f>
        <v>P</v>
      </c>
      <c r="AL661">
        <f>IFERROR(__xludf.DUMMYFUNCTION("""COMPUTED_VALUE"""),32.0)</f>
        <v>32</v>
      </c>
      <c r="AM661">
        <f>IFERROR(__xludf.DUMMYFUNCTION("""COMPUTED_VALUE"""),2014.0)</f>
        <v>2014</v>
      </c>
      <c r="AN661" t="str">
        <f t="shared" si="1"/>
        <v>17986671-4</v>
      </c>
    </row>
    <row r="662">
      <c r="A662" s="33">
        <f>IFERROR(__xludf.DUMMYFUNCTION("""COMPUTED_VALUE"""),1.700759E7)</f>
        <v>17007590</v>
      </c>
      <c r="B662" s="33"/>
      <c r="C662" s="33"/>
      <c r="D662" s="34" t="str">
        <f>IFERROR(__xludf.DUMMYFUNCTION("""COMPUTED_VALUE"""),"VICERRECTORIA DE VINCULACION CON EL MEDIO")</f>
        <v>VICERRECTORIA DE VINCULACION CON EL MEDIO</v>
      </c>
      <c r="E662" s="34" t="str">
        <f>IFERROR(__xludf.DUMMYFUNCTION("""COMPUTED_VALUE"""),"DEPARTAMENTO DE COMUNICACIONES")</f>
        <v>DEPARTAMENTO DE COMUNICACIONES</v>
      </c>
      <c r="F662" s="34" t="str">
        <f>IFERROR(__xludf.DUMMYFUNCTION("""COMPUTED_VALUE"""),"Radio Controlador")</f>
        <v>Radio Controlador</v>
      </c>
      <c r="G662" s="33" t="str">
        <f>IFERROR(__xludf.DUMMYFUNCTION("""COMPUTED_VALUE"""),"RADIO OPERADOR")</f>
        <v>RADIO OPERADOR</v>
      </c>
      <c r="H662">
        <f>IFERROR(__xludf.DUMMYFUNCTION("""COMPUTED_VALUE"""),17.0)</f>
        <v>17</v>
      </c>
      <c r="I662" s="34"/>
      <c r="J662" s="33" t="str">
        <f>IFERROR(__xludf.DUMMYFUNCTION("""COMPUTED_VALUE"""),"A CONTRATA")</f>
        <v>A CONTRATA</v>
      </c>
      <c r="K662" s="33" t="str">
        <f>IFERROR(__xludf.DUMMYFUNCTION("""COMPUTED_VALUE"""),"TECNICO")</f>
        <v>TECNICO</v>
      </c>
      <c r="L662" s="34" t="str">
        <f>IFERROR(__xludf.DUMMYFUNCTION("""COMPUTED_VALUE"""),"INTERNO")</f>
        <v>INTERNO</v>
      </c>
      <c r="M662" s="34">
        <f>IFERROR(__xludf.DUMMYFUNCTION("""COMPUTED_VALUE"""),0.0)</f>
        <v>0</v>
      </c>
      <c r="N662" s="34" t="str">
        <f>IFERROR(__xludf.DUMMYFUNCTION("""COMPUTED_VALUE"""),"EXTERNO")</f>
        <v>EXTERNO</v>
      </c>
      <c r="O662">
        <f>IFERROR(__xludf.DUMMYFUNCTION("""COMPUTED_VALUE"""),5.0)</f>
        <v>5</v>
      </c>
      <c r="P662">
        <f>IFERROR(__xludf.DUMMYFUNCTION("""COMPUTED_VALUE"""),2.0)</f>
        <v>2</v>
      </c>
      <c r="Q662" s="35">
        <f>IFERROR(__xludf.DUMMYFUNCTION("""COMPUTED_VALUE"""),1.0)</f>
        <v>1</v>
      </c>
      <c r="R662" s="36" t="str">
        <f>IFERROR(__xludf.DUMMYFUNCTION("""COMPUTED_VALUE"""),"SELECCIONADO")</f>
        <v>SELECCIONADO</v>
      </c>
      <c r="S662" s="37">
        <f>IFERROR(__xludf.DUMMYFUNCTION("""COMPUTED_VALUE"""),41883.0)</f>
        <v>41883</v>
      </c>
      <c r="T662" s="34"/>
      <c r="U662" t="str">
        <f>IFERROR(__xludf.DUMMYFUNCTION("""COMPUTED_VALUE"""),"NICOLAS ORDENES FUENTES")</f>
        <v>NICOLAS ORDENES FUENTES</v>
      </c>
      <c r="V662" t="str">
        <f>IFERROR(__xludf.DUMMYFUNCTION("""COMPUTED_VALUE"""),"17007590-0")</f>
        <v>17007590-0</v>
      </c>
      <c r="AA662" s="38">
        <f>IFERROR(__xludf.DUMMYFUNCTION("""COMPUTED_VALUE"""),41831.0)</f>
        <v>41831</v>
      </c>
      <c r="AB662" s="38">
        <f>IFERROR(__xludf.DUMMYFUNCTION("""COMPUTED_VALUE"""),41838.0)</f>
        <v>41838</v>
      </c>
      <c r="AF662" s="39"/>
      <c r="AG662" s="39"/>
      <c r="AH662" s="34" t="str">
        <f>IFERROR(__xludf.DUMMYFUNCTION("""COMPUTED_VALUE"""),"PROCESO DE SELECCIÓN")</f>
        <v>PROCESO DE SELECCIÓN</v>
      </c>
      <c r="AI662" s="34"/>
      <c r="AJ662" s="34"/>
      <c r="AK662" s="34" t="str">
        <f>IFERROR(__xludf.DUMMYFUNCTION("""COMPUTED_VALUE"""),"P")</f>
        <v>P</v>
      </c>
      <c r="AL662">
        <f>IFERROR(__xludf.DUMMYFUNCTION("""COMPUTED_VALUE"""),32.0)</f>
        <v>32</v>
      </c>
      <c r="AM662">
        <f>IFERROR(__xludf.DUMMYFUNCTION("""COMPUTED_VALUE"""),2014.0)</f>
        <v>2014</v>
      </c>
      <c r="AN662" t="str">
        <f t="shared" si="1"/>
        <v>17007590-0</v>
      </c>
    </row>
    <row r="663">
      <c r="A663" s="33">
        <f>IFERROR(__xludf.DUMMYFUNCTION("""COMPUTED_VALUE"""),1.7167377E7)</f>
        <v>17167377</v>
      </c>
      <c r="B663" s="33">
        <f>IFERROR(__xludf.DUMMYFUNCTION("""COMPUTED_VALUE"""),76.0)</f>
        <v>76</v>
      </c>
      <c r="C663" s="33"/>
      <c r="D663" s="34" t="str">
        <f>IFERROR(__xludf.DUMMYFUNCTION("""COMPUTED_VALUE"""),"VICERRECTORIA DE VINCULACION CON EL MEDIO")</f>
        <v>VICERRECTORIA DE VINCULACION CON EL MEDIO</v>
      </c>
      <c r="E663" s="34" t="str">
        <f>IFERROR(__xludf.DUMMYFUNCTION("""COMPUTED_VALUE"""),"DEPARTAMENTO DE COMUNICACIONES")</f>
        <v>DEPARTAMENTO DE COMUNICACIONES</v>
      </c>
      <c r="F663" s="34" t="str">
        <f>IFERROR(__xludf.DUMMYFUNCTION("""COMPUTED_VALUE"""),"Camarógrafo")</f>
        <v>Camarógrafo</v>
      </c>
      <c r="G663" s="33" t="str">
        <f>IFERROR(__xludf.DUMMYFUNCTION("""COMPUTED_VALUE"""),"CAMAROGRAFO")</f>
        <v>CAMAROGRAFO</v>
      </c>
      <c r="H663">
        <f>IFERROR(__xludf.DUMMYFUNCTION("""COMPUTED_VALUE"""),13.0)</f>
        <v>13</v>
      </c>
      <c r="I663" s="34"/>
      <c r="J663" s="33" t="str">
        <f>IFERROR(__xludf.DUMMYFUNCTION("""COMPUTED_VALUE"""),"A CONTRATA")</f>
        <v>A CONTRATA</v>
      </c>
      <c r="K663" s="33" t="str">
        <f>IFERROR(__xludf.DUMMYFUNCTION("""COMPUTED_VALUE"""),"TECNICO")</f>
        <v>TECNICO</v>
      </c>
      <c r="L663" s="34" t="str">
        <f>IFERROR(__xludf.DUMMYFUNCTION("""COMPUTED_VALUE"""),"INTERNO")</f>
        <v>INTERNO</v>
      </c>
      <c r="M663" s="34">
        <f>IFERROR(__xludf.DUMMYFUNCTION("""COMPUTED_VALUE"""),0.0)</f>
        <v>0</v>
      </c>
      <c r="N663" s="34" t="str">
        <f>IFERROR(__xludf.DUMMYFUNCTION("""COMPUTED_VALUE"""),"EXTERNO")</f>
        <v>EXTERNO</v>
      </c>
      <c r="O663">
        <f>IFERROR(__xludf.DUMMYFUNCTION("""COMPUTED_VALUE"""),17.0)</f>
        <v>17</v>
      </c>
      <c r="P663">
        <f>IFERROR(__xludf.DUMMYFUNCTION("""COMPUTED_VALUE"""),2.0)</f>
        <v>2</v>
      </c>
      <c r="Q663" s="35">
        <f>IFERROR(__xludf.DUMMYFUNCTION("""COMPUTED_VALUE"""),1.0)</f>
        <v>1</v>
      </c>
      <c r="R663" s="36" t="str">
        <f>IFERROR(__xludf.DUMMYFUNCTION("""COMPUTED_VALUE"""),"SELECCIONADO")</f>
        <v>SELECCIONADO</v>
      </c>
      <c r="S663" s="37">
        <f>IFERROR(__xludf.DUMMYFUNCTION("""COMPUTED_VALUE"""),41871.0)</f>
        <v>41871</v>
      </c>
      <c r="T663" s="34"/>
      <c r="U663" t="str">
        <f>IFERROR(__xludf.DUMMYFUNCTION("""COMPUTED_VALUE"""),"BASTIAN GONZALEZ TAPIA")</f>
        <v>BASTIAN GONZALEZ TAPIA</v>
      </c>
      <c r="V663" t="str">
        <f>IFERROR(__xludf.DUMMYFUNCTION("""COMPUTED_VALUE"""),"17167377-1")</f>
        <v>17167377-1</v>
      </c>
      <c r="AA663" s="38">
        <f>IFERROR(__xludf.DUMMYFUNCTION("""COMPUTED_VALUE"""),41831.0)</f>
        <v>41831</v>
      </c>
      <c r="AB663" s="38">
        <f>IFERROR(__xludf.DUMMYFUNCTION("""COMPUTED_VALUE"""),41838.0)</f>
        <v>41838</v>
      </c>
      <c r="AF663" s="39"/>
      <c r="AG663" s="39"/>
      <c r="AH663" s="34" t="str">
        <f>IFERROR(__xludf.DUMMYFUNCTION("""COMPUTED_VALUE"""),"PROCESO DE SELECCIÓN")</f>
        <v>PROCESO DE SELECCIÓN</v>
      </c>
      <c r="AI663" s="34"/>
      <c r="AJ663" s="34"/>
      <c r="AK663" s="34" t="str">
        <f>IFERROR(__xludf.DUMMYFUNCTION("""COMPUTED_VALUE"""),"C")</f>
        <v>C</v>
      </c>
      <c r="AL663">
        <f>IFERROR(__xludf.DUMMYFUNCTION("""COMPUTED_VALUE"""),24.0)</f>
        <v>24</v>
      </c>
      <c r="AM663">
        <f>IFERROR(__xludf.DUMMYFUNCTION("""COMPUTED_VALUE"""),2014.0)</f>
        <v>2014</v>
      </c>
      <c r="AN663" t="str">
        <f t="shared" si="1"/>
        <v>17167377-1</v>
      </c>
    </row>
    <row r="664">
      <c r="A664" s="33">
        <f>IFERROR(__xludf.DUMMYFUNCTION("""COMPUTED_VALUE"""),1.4147405E7)</f>
        <v>14147405</v>
      </c>
      <c r="B664" s="33">
        <f>IFERROR(__xludf.DUMMYFUNCTION("""COMPUTED_VALUE"""),82.0)</f>
        <v>82</v>
      </c>
      <c r="C664" s="33"/>
      <c r="D664" s="34" t="str">
        <f>IFERROR(__xludf.DUMMYFUNCTION("""COMPUTED_VALUE"""),"VICERRECTORIA ACADEMICA")</f>
        <v>VICERRECTORIA ACADEMICA</v>
      </c>
      <c r="E664" s="34" t="str">
        <f>IFERROR(__xludf.DUMMYFUNCTION("""COMPUTED_VALUE"""),"UNIDAD DE BIBLIOTECAS")</f>
        <v>UNIDAD DE BIBLIOTECAS</v>
      </c>
      <c r="F664" s="34" t="str">
        <f>IFERROR(__xludf.DUMMYFUNCTION("""COMPUTED_VALUE"""),"Jefe de Sección")</f>
        <v>Jefe de Sección</v>
      </c>
      <c r="G664" s="33" t="str">
        <f>IFERROR(__xludf.DUMMYFUNCTION("""COMPUTED_VALUE"""),"JEFE DE SECCION DE BIBLIOTECA")</f>
        <v>JEFE DE SECCION DE BIBLIOTECA</v>
      </c>
      <c r="H664">
        <f>IFERROR(__xludf.DUMMYFUNCTION("""COMPUTED_VALUE"""),10.0)</f>
        <v>10</v>
      </c>
      <c r="I664" s="34"/>
      <c r="J664" s="33" t="str">
        <f>IFERROR(__xludf.DUMMYFUNCTION("""COMPUTED_VALUE"""),"A CONTRATA")</f>
        <v>A CONTRATA</v>
      </c>
      <c r="K664" s="33" t="str">
        <f>IFERROR(__xludf.DUMMYFUNCTION("""COMPUTED_VALUE"""),"PROFESIONAL")</f>
        <v>PROFESIONAL</v>
      </c>
      <c r="L664" s="34" t="str">
        <f>IFERROR(__xludf.DUMMYFUNCTION("""COMPUTED_VALUE"""),"INTERNO")</f>
        <v>INTERNO</v>
      </c>
      <c r="M664" s="34">
        <f>IFERROR(__xludf.DUMMYFUNCTION("""COMPUTED_VALUE"""),2.0)</f>
        <v>2</v>
      </c>
      <c r="N664" s="34" t="str">
        <f>IFERROR(__xludf.DUMMYFUNCTION("""COMPUTED_VALUE"""),"EXTERNO")</f>
        <v>EXTERNO</v>
      </c>
      <c r="O664">
        <f>IFERROR(__xludf.DUMMYFUNCTION("""COMPUTED_VALUE"""),32.0)</f>
        <v>32</v>
      </c>
      <c r="P664">
        <f>IFERROR(__xludf.DUMMYFUNCTION("""COMPUTED_VALUE"""),4.0)</f>
        <v>4</v>
      </c>
      <c r="Q664" s="35">
        <f>IFERROR(__xludf.DUMMYFUNCTION("""COMPUTED_VALUE"""),1.0)</f>
        <v>1</v>
      </c>
      <c r="R664" s="36" t="str">
        <f>IFERROR(__xludf.DUMMYFUNCTION("""COMPUTED_VALUE"""),"SELECCIONADO")</f>
        <v>SELECCIONADO</v>
      </c>
      <c r="S664" s="37">
        <f>IFERROR(__xludf.DUMMYFUNCTION("""COMPUTED_VALUE"""),41911.0)</f>
        <v>41911</v>
      </c>
      <c r="T664" s="34"/>
      <c r="U664" t="str">
        <f>IFERROR(__xludf.DUMMYFUNCTION("""COMPUTED_VALUE"""),"FRANCISCO BUSTOS NAULIN")</f>
        <v>FRANCISCO BUSTOS NAULIN</v>
      </c>
      <c r="V664" t="str">
        <f>IFERROR(__xludf.DUMMYFUNCTION("""COMPUTED_VALUE"""),"14147405-7")</f>
        <v>14147405-7</v>
      </c>
      <c r="AA664" s="38">
        <f>IFERROR(__xludf.DUMMYFUNCTION("""COMPUTED_VALUE"""),41831.0)</f>
        <v>41831</v>
      </c>
      <c r="AB664" s="38">
        <f>IFERROR(__xludf.DUMMYFUNCTION("""COMPUTED_VALUE"""),41838.0)</f>
        <v>41838</v>
      </c>
      <c r="AF664" s="39"/>
      <c r="AG664" s="39"/>
      <c r="AH664" s="34" t="str">
        <f>IFERROR(__xludf.DUMMYFUNCTION("""COMPUTED_VALUE"""),"PROCESO DE SELECCIÓN")</f>
        <v>PROCESO DE SELECCIÓN</v>
      </c>
      <c r="AI664" s="34"/>
      <c r="AJ664" s="34"/>
      <c r="AK664" s="34" t="str">
        <f>IFERROR(__xludf.DUMMYFUNCTION("""COMPUTED_VALUE"""),"E")</f>
        <v>E</v>
      </c>
      <c r="AL664">
        <f>IFERROR(__xludf.DUMMYFUNCTION("""COMPUTED_VALUE"""),52.0)</f>
        <v>52</v>
      </c>
      <c r="AM664">
        <f>IFERROR(__xludf.DUMMYFUNCTION("""COMPUTED_VALUE"""),2014.0)</f>
        <v>2014</v>
      </c>
      <c r="AN664" t="str">
        <f t="shared" si="1"/>
        <v>14147405-7</v>
      </c>
    </row>
    <row r="665">
      <c r="A665" s="33">
        <f>IFERROR(__xludf.DUMMYFUNCTION("""COMPUTED_VALUE"""),1.7543051E7)</f>
        <v>17543051</v>
      </c>
      <c r="B665" s="33">
        <f>IFERROR(__xludf.DUMMYFUNCTION("""COMPUTED_VALUE"""),108.0)</f>
        <v>108</v>
      </c>
      <c r="C665" s="33"/>
      <c r="D665" s="34" t="str">
        <f>IFERROR(__xludf.DUMMYFUNCTION("""COMPUTED_VALUE"""),"VICERRECTORIA DE VINCULACION CON EL MEDIO")</f>
        <v>VICERRECTORIA DE VINCULACION CON EL MEDIO</v>
      </c>
      <c r="E665" s="34" t="str">
        <f>IFERROR(__xludf.DUMMYFUNCTION("""COMPUTED_VALUE"""),"VICERRECTORIA DE VINCULACION CON EL MEDIO")</f>
        <v>VICERRECTORIA DE VINCULACION CON EL MEDIO</v>
      </c>
      <c r="F665" s="34" t="str">
        <f>IFERROR(__xludf.DUMMYFUNCTION("""COMPUTED_VALUE"""),"Analista de Gestión I")</f>
        <v>Analista de Gestión I</v>
      </c>
      <c r="G665" s="33" t="str">
        <f>IFERROR(__xludf.DUMMYFUNCTION("""COMPUTED_VALUE"""),"ANALISTA DE GESTION")</f>
        <v>ANALISTA DE GESTION</v>
      </c>
      <c r="H665">
        <f>IFERROR(__xludf.DUMMYFUNCTION("""COMPUTED_VALUE"""),10.0)</f>
        <v>10</v>
      </c>
      <c r="I665" s="34"/>
      <c r="J665" s="33" t="str">
        <f>IFERROR(__xludf.DUMMYFUNCTION("""COMPUTED_VALUE"""),"A CONTRATA")</f>
        <v>A CONTRATA</v>
      </c>
      <c r="K665" s="33" t="str">
        <f>IFERROR(__xludf.DUMMYFUNCTION("""COMPUTED_VALUE"""),"PROFESIONAL")</f>
        <v>PROFESIONAL</v>
      </c>
      <c r="L665" s="34" t="str">
        <f>IFERROR(__xludf.DUMMYFUNCTION("""COMPUTED_VALUE"""),"INTERNO")</f>
        <v>INTERNO</v>
      </c>
      <c r="M665" s="34">
        <f>IFERROR(__xludf.DUMMYFUNCTION("""COMPUTED_VALUE"""),1.0)</f>
        <v>1</v>
      </c>
      <c r="N665" s="34" t="str">
        <f>IFERROR(__xludf.DUMMYFUNCTION("""COMPUTED_VALUE"""),"EXTERNO")</f>
        <v>EXTERNO</v>
      </c>
      <c r="O665">
        <f>IFERROR(__xludf.DUMMYFUNCTION("""COMPUTED_VALUE"""),24.0)</f>
        <v>24</v>
      </c>
      <c r="P665">
        <f>IFERROR(__xludf.DUMMYFUNCTION("""COMPUTED_VALUE"""),2.0)</f>
        <v>2</v>
      </c>
      <c r="Q665" s="35">
        <f>IFERROR(__xludf.DUMMYFUNCTION("""COMPUTED_VALUE"""),1.0)</f>
        <v>1</v>
      </c>
      <c r="R665" s="36" t="str">
        <f>IFERROR(__xludf.DUMMYFUNCTION("""COMPUTED_VALUE"""),"SELECCIONADA")</f>
        <v>SELECCIONADA</v>
      </c>
      <c r="S665" s="37">
        <f>IFERROR(__xludf.DUMMYFUNCTION("""COMPUTED_VALUE"""),41863.0)</f>
        <v>41863</v>
      </c>
      <c r="T665" s="34"/>
      <c r="U665" t="str">
        <f>IFERROR(__xludf.DUMMYFUNCTION("""COMPUTED_VALUE"""),"NATALIA MEJIAS ROJAS")</f>
        <v>NATALIA MEJIAS ROJAS</v>
      </c>
      <c r="V665" t="str">
        <f>IFERROR(__xludf.DUMMYFUNCTION("""COMPUTED_VALUE"""),"17543051-2")</f>
        <v>17543051-2</v>
      </c>
      <c r="W665" t="str">
        <f>IFERROR(__xludf.DUMMYFUNCTION("""COMPUTED_VALUE"""),"SI")</f>
        <v>SI</v>
      </c>
      <c r="AA665" s="38">
        <f>IFERROR(__xludf.DUMMYFUNCTION("""COMPUTED_VALUE"""),41831.0)</f>
        <v>41831</v>
      </c>
      <c r="AB665" s="38">
        <f>IFERROR(__xludf.DUMMYFUNCTION("""COMPUTED_VALUE"""),41838.0)</f>
        <v>41838</v>
      </c>
      <c r="AF665" s="39"/>
      <c r="AG665" s="39"/>
      <c r="AH665" s="34" t="str">
        <f>IFERROR(__xludf.DUMMYFUNCTION("""COMPUTED_VALUE"""),"PROCESO DE SELECCIÓN")</f>
        <v>PROCESO DE SELECCIÓN</v>
      </c>
      <c r="AI665" s="34"/>
      <c r="AJ665" s="34"/>
      <c r="AK665" s="34" t="str">
        <f>IFERROR(__xludf.DUMMYFUNCTION("""COMPUTED_VALUE"""),"P")</f>
        <v>P</v>
      </c>
      <c r="AL665">
        <f>IFERROR(__xludf.DUMMYFUNCTION("""COMPUTED_VALUE"""),18.0)</f>
        <v>18</v>
      </c>
      <c r="AM665">
        <f>IFERROR(__xludf.DUMMYFUNCTION("""COMPUTED_VALUE"""),2014.0)</f>
        <v>2014</v>
      </c>
      <c r="AN665" t="str">
        <f t="shared" si="1"/>
        <v>17543051-2</v>
      </c>
    </row>
    <row r="666">
      <c r="A666" s="33">
        <f>IFERROR(__xludf.DUMMYFUNCTION("""COMPUTED_VALUE"""),1.5942362E7)</f>
        <v>15942362</v>
      </c>
      <c r="B666" s="33">
        <f>IFERROR(__xludf.DUMMYFUNCTION("""COMPUTED_VALUE"""),59.0)</f>
        <v>59</v>
      </c>
      <c r="C666" s="33"/>
      <c r="D666" s="34" t="str">
        <f>IFERROR(__xludf.DUMMYFUNCTION("""COMPUTED_VALUE"""),"FACULTAD DE INGENIERIA")</f>
        <v>FACULTAD DE INGENIERIA</v>
      </c>
      <c r="E666" s="34" t="str">
        <f>IFERROR(__xludf.DUMMYFUNCTION("""COMPUTED_VALUE"""),"FACULTAD DE INGENIERIA")</f>
        <v>FACULTAD DE INGENIERIA</v>
      </c>
      <c r="F666" s="34" t="str">
        <f>IFERROR(__xludf.DUMMYFUNCTION("""COMPUTED_VALUE"""),"Secretario A")</f>
        <v>Secretario A</v>
      </c>
      <c r="G666" s="33" t="str">
        <f>IFERROR(__xludf.DUMMYFUNCTION("""COMPUTED_VALUE"""),"SECRETARIA DE DECANO")</f>
        <v>SECRETARIA DE DECANO</v>
      </c>
      <c r="H666">
        <f>IFERROR(__xludf.DUMMYFUNCTION("""COMPUTED_VALUE"""),13.0)</f>
        <v>13</v>
      </c>
      <c r="I666" s="34"/>
      <c r="J666" s="33" t="str">
        <f>IFERROR(__xludf.DUMMYFUNCTION("""COMPUTED_VALUE"""),"A CONTRATA")</f>
        <v>A CONTRATA</v>
      </c>
      <c r="K666" s="33" t="str">
        <f>IFERROR(__xludf.DUMMYFUNCTION("""COMPUTED_VALUE"""),"ADMINISTRATIVO")</f>
        <v>ADMINISTRATIVO</v>
      </c>
      <c r="L666" s="34" t="str">
        <f>IFERROR(__xludf.DUMMYFUNCTION("""COMPUTED_VALUE"""),"INTERNO")</f>
        <v>INTERNO</v>
      </c>
      <c r="M666" s="34">
        <f>IFERROR(__xludf.DUMMYFUNCTION("""COMPUTED_VALUE"""),4.0)</f>
        <v>4</v>
      </c>
      <c r="N666" s="34" t="str">
        <f>IFERROR(__xludf.DUMMYFUNCTION("""COMPUTED_VALUE"""),"EXTERNO")</f>
        <v>EXTERNO</v>
      </c>
      <c r="O666">
        <f>IFERROR(__xludf.DUMMYFUNCTION("""COMPUTED_VALUE"""),26.0)</f>
        <v>26</v>
      </c>
      <c r="P666">
        <f>IFERROR(__xludf.DUMMYFUNCTION("""COMPUTED_VALUE"""),1.0)</f>
        <v>1</v>
      </c>
      <c r="Q666" s="35">
        <f>IFERROR(__xludf.DUMMYFUNCTION("""COMPUTED_VALUE"""),1.0)</f>
        <v>1</v>
      </c>
      <c r="R666" s="36" t="str">
        <f>IFERROR(__xludf.DUMMYFUNCTION("""COMPUTED_VALUE"""),"SELECCIONADA")</f>
        <v>SELECCIONADA</v>
      </c>
      <c r="S666" s="37">
        <f>IFERROR(__xludf.DUMMYFUNCTION("""COMPUTED_VALUE"""),41852.0)</f>
        <v>41852</v>
      </c>
      <c r="T666" s="34"/>
      <c r="U666" t="str">
        <f>IFERROR(__xludf.DUMMYFUNCTION("""COMPUTED_VALUE"""),"LEONOR CORDERO RIQUELME")</f>
        <v>LEONOR CORDERO RIQUELME</v>
      </c>
      <c r="V666" t="str">
        <f>IFERROR(__xludf.DUMMYFUNCTION("""COMPUTED_VALUE"""),"15942362-K")</f>
        <v>15942362-K</v>
      </c>
      <c r="AA666" s="38">
        <f>IFERROR(__xludf.DUMMYFUNCTION("""COMPUTED_VALUE"""),41746.0)</f>
        <v>41746</v>
      </c>
      <c r="AB666" s="38">
        <f>IFERROR(__xludf.DUMMYFUNCTION("""COMPUTED_VALUE"""),41844.0)</f>
        <v>41844</v>
      </c>
      <c r="AF666" s="39"/>
      <c r="AG666" s="39"/>
      <c r="AH666" s="34" t="str">
        <f>IFERROR(__xludf.DUMMYFUNCTION("""COMPUTED_VALUE"""),"PROCESO DE SELECCIÓN")</f>
        <v>PROCESO DE SELECCIÓN</v>
      </c>
      <c r="AI666" s="34"/>
      <c r="AJ666" s="34"/>
      <c r="AK666" s="34" t="str">
        <f>IFERROR(__xludf.DUMMYFUNCTION("""COMPUTED_VALUE"""),"P")</f>
        <v>P</v>
      </c>
      <c r="AL666">
        <f>IFERROR(__xludf.DUMMYFUNCTION("""COMPUTED_VALUE"""),7.0)</f>
        <v>7</v>
      </c>
      <c r="AM666">
        <f>IFERROR(__xludf.DUMMYFUNCTION("""COMPUTED_VALUE"""),2014.0)</f>
        <v>2014</v>
      </c>
      <c r="AN666" t="str">
        <f t="shared" si="1"/>
        <v>15942362-K</v>
      </c>
    </row>
    <row r="667">
      <c r="A667" s="33">
        <f>IFERROR(__xludf.DUMMYFUNCTION("""COMPUTED_VALUE"""),1.7190373E7)</f>
        <v>17190373</v>
      </c>
      <c r="B667" s="33">
        <f>IFERROR(__xludf.DUMMYFUNCTION("""COMPUTED_VALUE"""),60.0)</f>
        <v>60</v>
      </c>
      <c r="C667" s="33"/>
      <c r="D667" s="34" t="str">
        <f>IFERROR(__xludf.DUMMYFUNCTION("""COMPUTED_VALUE"""),"FACULTAD DE INGENIERIA")</f>
        <v>FACULTAD DE INGENIERIA</v>
      </c>
      <c r="E667" s="34" t="str">
        <f>IFERROR(__xludf.DUMMYFUNCTION("""COMPUTED_VALUE"""),"FACULTAD DE INGENIERIA")</f>
        <v>FACULTAD DE INGENIERIA</v>
      </c>
      <c r="F667" s="34" t="str">
        <f>IFERROR(__xludf.DUMMYFUNCTION("""COMPUTED_VALUE"""),"Secretario B")</f>
        <v>Secretario B</v>
      </c>
      <c r="G667" s="33" t="str">
        <f>IFERROR(__xludf.DUMMYFUNCTION("""COMPUTED_VALUE"""),"SECRETARIA DE SECRETARIO DE FACULTAD")</f>
        <v>SECRETARIA DE SECRETARIO DE FACULTAD</v>
      </c>
      <c r="H667">
        <f>IFERROR(__xludf.DUMMYFUNCTION("""COMPUTED_VALUE"""),17.0)</f>
        <v>17</v>
      </c>
      <c r="I667" s="34"/>
      <c r="J667" s="33" t="str">
        <f>IFERROR(__xludf.DUMMYFUNCTION("""COMPUTED_VALUE"""),"A CONTRATA")</f>
        <v>A CONTRATA</v>
      </c>
      <c r="K667" s="33" t="str">
        <f>IFERROR(__xludf.DUMMYFUNCTION("""COMPUTED_VALUE"""),"ADMINISTRATIVO")</f>
        <v>ADMINISTRATIVO</v>
      </c>
      <c r="L667" s="34" t="str">
        <f>IFERROR(__xludf.DUMMYFUNCTION("""COMPUTED_VALUE"""),"INTERNO")</f>
        <v>INTERNO</v>
      </c>
      <c r="M667" s="34">
        <f>IFERROR(__xludf.DUMMYFUNCTION("""COMPUTED_VALUE"""),1.0)</f>
        <v>1</v>
      </c>
      <c r="N667" s="34" t="str">
        <f>IFERROR(__xludf.DUMMYFUNCTION("""COMPUTED_VALUE"""),"EXTERNO")</f>
        <v>EXTERNO</v>
      </c>
      <c r="O667">
        <f>IFERROR(__xludf.DUMMYFUNCTION("""COMPUTED_VALUE"""),5.0)</f>
        <v>5</v>
      </c>
      <c r="P667">
        <f>IFERROR(__xludf.DUMMYFUNCTION("""COMPUTED_VALUE"""),1.0)</f>
        <v>1</v>
      </c>
      <c r="Q667" s="35">
        <f>IFERROR(__xludf.DUMMYFUNCTION("""COMPUTED_VALUE"""),1.0)</f>
        <v>1</v>
      </c>
      <c r="R667" s="36" t="str">
        <f>IFERROR(__xludf.DUMMYFUNCTION("""COMPUTED_VALUE"""),"SELECCIONADA")</f>
        <v>SELECCIONADA</v>
      </c>
      <c r="S667" s="37">
        <f>IFERROR(__xludf.DUMMYFUNCTION("""COMPUTED_VALUE"""),41852.0)</f>
        <v>41852</v>
      </c>
      <c r="T667" s="34"/>
      <c r="U667" t="str">
        <f>IFERROR(__xludf.DUMMYFUNCTION("""COMPUTED_VALUE"""),"ESTEFANI LEIVA GONZALEZ")</f>
        <v>ESTEFANI LEIVA GONZALEZ</v>
      </c>
      <c r="V667" t="str">
        <f>IFERROR(__xludf.DUMMYFUNCTION("""COMPUTED_VALUE"""),"17190373-4")</f>
        <v>17190373-4</v>
      </c>
      <c r="AA667" s="38">
        <f>IFERROR(__xludf.DUMMYFUNCTION("""COMPUTED_VALUE"""),41745.0)</f>
        <v>41745</v>
      </c>
      <c r="AB667" s="38">
        <f>IFERROR(__xludf.DUMMYFUNCTION("""COMPUTED_VALUE"""),41844.0)</f>
        <v>41844</v>
      </c>
      <c r="AF667" s="39"/>
      <c r="AG667" s="39"/>
      <c r="AH667" s="34" t="str">
        <f>IFERROR(__xludf.DUMMYFUNCTION("""COMPUTED_VALUE"""),"PROCESO DE SELECCIÓN")</f>
        <v>PROCESO DE SELECCIÓN</v>
      </c>
      <c r="AI667" s="34"/>
      <c r="AJ667" s="34"/>
      <c r="AK667" s="34" t="str">
        <f>IFERROR(__xludf.DUMMYFUNCTION("""COMPUTED_VALUE"""),"P")</f>
        <v>P</v>
      </c>
      <c r="AL667">
        <f>IFERROR(__xludf.DUMMYFUNCTION("""COMPUTED_VALUE"""),7.0)</f>
        <v>7</v>
      </c>
      <c r="AM667">
        <f>IFERROR(__xludf.DUMMYFUNCTION("""COMPUTED_VALUE"""),2014.0)</f>
        <v>2014</v>
      </c>
      <c r="AN667" t="str">
        <f t="shared" si="1"/>
        <v>17190373-4</v>
      </c>
    </row>
    <row r="668">
      <c r="A668" s="33">
        <f>IFERROR(__xludf.DUMMYFUNCTION("""COMPUTED_VALUE"""),8754079.0)</f>
        <v>8754079</v>
      </c>
      <c r="B668" s="33">
        <f>IFERROR(__xludf.DUMMYFUNCTION("""COMPUTED_VALUE"""),61.0)</f>
        <v>61</v>
      </c>
      <c r="C668" s="33"/>
      <c r="D668" s="34" t="str">
        <f>IFERROR(__xludf.DUMMYFUNCTION("""COMPUTED_VALUE"""),"FACULTAD DE INGENIERIA")</f>
        <v>FACULTAD DE INGENIERIA</v>
      </c>
      <c r="E668" s="34" t="str">
        <f>IFERROR(__xludf.DUMMYFUNCTION("""COMPUTED_VALUE"""),"FACULTAD DE INGENIERIA")</f>
        <v>FACULTAD DE INGENIERIA</v>
      </c>
      <c r="F668" s="34" t="str">
        <f>IFERROR(__xludf.DUMMYFUNCTION("""COMPUTED_VALUE"""),"Secretario B")</f>
        <v>Secretario B</v>
      </c>
      <c r="G668" s="33" t="str">
        <f>IFERROR(__xludf.DUMMYFUNCTION("""COMPUTED_VALUE"""),"SECRETARIA DE VICEDECANATO")</f>
        <v>SECRETARIA DE VICEDECANATO</v>
      </c>
      <c r="H668">
        <f>IFERROR(__xludf.DUMMYFUNCTION("""COMPUTED_VALUE"""),17.0)</f>
        <v>17</v>
      </c>
      <c r="I668" s="34"/>
      <c r="J668" s="33" t="str">
        <f>IFERROR(__xludf.DUMMYFUNCTION("""COMPUTED_VALUE"""),"A CONTRATA")</f>
        <v>A CONTRATA</v>
      </c>
      <c r="K668" s="33" t="str">
        <f>IFERROR(__xludf.DUMMYFUNCTION("""COMPUTED_VALUE"""),"ADMINISTRATIVO")</f>
        <v>ADMINISTRATIVO</v>
      </c>
      <c r="L668" s="34" t="str">
        <f>IFERROR(__xludf.DUMMYFUNCTION("""COMPUTED_VALUE"""),"INTERNO")</f>
        <v>INTERNO</v>
      </c>
      <c r="M668" s="34">
        <f>IFERROR(__xludf.DUMMYFUNCTION("""COMPUTED_VALUE"""),2.0)</f>
        <v>2</v>
      </c>
      <c r="N668" s="34" t="str">
        <f>IFERROR(__xludf.DUMMYFUNCTION("""COMPUTED_VALUE"""),"EXTERNO")</f>
        <v>EXTERNO</v>
      </c>
      <c r="O668">
        <f>IFERROR(__xludf.DUMMYFUNCTION("""COMPUTED_VALUE"""),5.0)</f>
        <v>5</v>
      </c>
      <c r="P668">
        <f>IFERROR(__xludf.DUMMYFUNCTION("""COMPUTED_VALUE"""),1.0)</f>
        <v>1</v>
      </c>
      <c r="Q668" s="35">
        <f>IFERROR(__xludf.DUMMYFUNCTION("""COMPUTED_VALUE"""),1.0)</f>
        <v>1</v>
      </c>
      <c r="R668" s="36" t="str">
        <f>IFERROR(__xludf.DUMMYFUNCTION("""COMPUTED_VALUE"""),"SELECCIONADA")</f>
        <v>SELECCIONADA</v>
      </c>
      <c r="S668" s="37">
        <f>IFERROR(__xludf.DUMMYFUNCTION("""COMPUTED_VALUE"""),41852.0)</f>
        <v>41852</v>
      </c>
      <c r="T668" s="34"/>
      <c r="U668" t="str">
        <f>IFERROR(__xludf.DUMMYFUNCTION("""COMPUTED_VALUE"""),"ALMA WILLSCHRE TAPIA")</f>
        <v>ALMA WILLSCHRE TAPIA</v>
      </c>
      <c r="V668" t="str">
        <f>IFERROR(__xludf.DUMMYFUNCTION("""COMPUTED_VALUE"""),"08754079-0")</f>
        <v>08754079-0</v>
      </c>
      <c r="AA668" s="38">
        <f>IFERROR(__xludf.DUMMYFUNCTION("""COMPUTED_VALUE"""),41745.0)</f>
        <v>41745</v>
      </c>
      <c r="AB668" s="38">
        <f>IFERROR(__xludf.DUMMYFUNCTION("""COMPUTED_VALUE"""),41844.0)</f>
        <v>41844</v>
      </c>
      <c r="AF668" s="39"/>
      <c r="AG668" s="39"/>
      <c r="AH668" s="34" t="str">
        <f>IFERROR(__xludf.DUMMYFUNCTION("""COMPUTED_VALUE"""),"PROCESO DE SELECCIÓN")</f>
        <v>PROCESO DE SELECCIÓN</v>
      </c>
      <c r="AI668" s="34"/>
      <c r="AJ668" s="34"/>
      <c r="AK668" s="34" t="str">
        <f>IFERROR(__xludf.DUMMYFUNCTION("""COMPUTED_VALUE"""),"P")</f>
        <v>P</v>
      </c>
      <c r="AL668">
        <f>IFERROR(__xludf.DUMMYFUNCTION("""COMPUTED_VALUE"""),7.0)</f>
        <v>7</v>
      </c>
      <c r="AM668">
        <f>IFERROR(__xludf.DUMMYFUNCTION("""COMPUTED_VALUE"""),2014.0)</f>
        <v>2014</v>
      </c>
      <c r="AN668" t="str">
        <f t="shared" si="1"/>
        <v>08754079-0</v>
      </c>
    </row>
    <row r="669">
      <c r="A669" s="33">
        <f>IFERROR(__xludf.DUMMYFUNCTION("""COMPUTED_VALUE"""),1.3680355E7)</f>
        <v>13680355</v>
      </c>
      <c r="B669" s="33">
        <f>IFERROR(__xludf.DUMMYFUNCTION("""COMPUTED_VALUE"""),78.0)</f>
        <v>78</v>
      </c>
      <c r="C669" s="33"/>
      <c r="D669" s="34" t="str">
        <f>IFERROR(__xludf.DUMMYFUNCTION("""COMPUTED_VALUE"""),"FACULTAD DE QUIMICA Y BIOLOGIA")</f>
        <v>FACULTAD DE QUIMICA Y BIOLOGIA</v>
      </c>
      <c r="E669" s="34" t="str">
        <f>IFERROR(__xludf.DUMMYFUNCTION("""COMPUTED_VALUE"""),"DEPARTAMENTO DE BIOLOGIA")</f>
        <v>DEPARTAMENTO DE BIOLOGIA</v>
      </c>
      <c r="F669" s="34" t="str">
        <f>IFERROR(__xludf.DUMMYFUNCTION("""COMPUTED_VALUE"""),"Secretario B")</f>
        <v>Secretario B</v>
      </c>
      <c r="G669" s="33" t="str">
        <f>IFERROR(__xludf.DUMMYFUNCTION("""COMPUTED_VALUE"""),"SECRETARIA DE DIRECCION")</f>
        <v>SECRETARIA DE DIRECCION</v>
      </c>
      <c r="H669">
        <f>IFERROR(__xludf.DUMMYFUNCTION("""COMPUTED_VALUE"""),17.0)</f>
        <v>17</v>
      </c>
      <c r="I669" s="34"/>
      <c r="J669" s="33" t="str">
        <f>IFERROR(__xludf.DUMMYFUNCTION("""COMPUTED_VALUE"""),"A CONTRATA")</f>
        <v>A CONTRATA</v>
      </c>
      <c r="K669" s="33" t="str">
        <f>IFERROR(__xludf.DUMMYFUNCTION("""COMPUTED_VALUE"""),"ADMINISTRATIVO")</f>
        <v>ADMINISTRATIVO</v>
      </c>
      <c r="L669" s="34" t="str">
        <f>IFERROR(__xludf.DUMMYFUNCTION("""COMPUTED_VALUE"""),"INTERNO")</f>
        <v>INTERNO</v>
      </c>
      <c r="M669" s="34">
        <f>IFERROR(__xludf.DUMMYFUNCTION("""COMPUTED_VALUE"""),0.0)</f>
        <v>0</v>
      </c>
      <c r="N669" s="34" t="str">
        <f>IFERROR(__xludf.DUMMYFUNCTION("""COMPUTED_VALUE"""),"EXTERNO")</f>
        <v>EXTERNO</v>
      </c>
      <c r="O669">
        <f>IFERROR(__xludf.DUMMYFUNCTION("""COMPUTED_VALUE"""),6.0)</f>
        <v>6</v>
      </c>
      <c r="P669">
        <f>IFERROR(__xludf.DUMMYFUNCTION("""COMPUTED_VALUE"""),1.0)</f>
        <v>1</v>
      </c>
      <c r="Q669" s="35">
        <f>IFERROR(__xludf.DUMMYFUNCTION("""COMPUTED_VALUE"""),1.0)</f>
        <v>1</v>
      </c>
      <c r="R669" s="36" t="str">
        <f>IFERROR(__xludf.DUMMYFUNCTION("""COMPUTED_VALUE"""),"SELECCIONADA")</f>
        <v>SELECCIONADA</v>
      </c>
      <c r="S669" s="37">
        <f>IFERROR(__xludf.DUMMYFUNCTION("""COMPUTED_VALUE"""),41883.0)</f>
        <v>41883</v>
      </c>
      <c r="T669" s="34"/>
      <c r="U669" t="str">
        <f>IFERROR(__xludf.DUMMYFUNCTION("""COMPUTED_VALUE"""),"MARIELA PILQUINIR RETAMAL")</f>
        <v>MARIELA PILQUINIR RETAMAL</v>
      </c>
      <c r="V669" t="str">
        <f>IFERROR(__xludf.DUMMYFUNCTION("""COMPUTED_VALUE"""),"13680355-7")</f>
        <v>13680355-7</v>
      </c>
      <c r="W669" t="str">
        <f>IFERROR(__xludf.DUMMYFUNCTION("""COMPUTED_VALUE"""),"SI")</f>
        <v>SI</v>
      </c>
      <c r="AA669" s="38">
        <f>IFERROR(__xludf.DUMMYFUNCTION("""COMPUTED_VALUE"""),41837.0)</f>
        <v>41837</v>
      </c>
      <c r="AB669" s="38">
        <f>IFERROR(__xludf.DUMMYFUNCTION("""COMPUTED_VALUE"""),41844.0)</f>
        <v>41844</v>
      </c>
      <c r="AF669" s="39"/>
      <c r="AG669" s="39"/>
      <c r="AH669" s="34" t="str">
        <f>IFERROR(__xludf.DUMMYFUNCTION("""COMPUTED_VALUE"""),"PROCESO DE SELECCIÓN")</f>
        <v>PROCESO DE SELECCIÓN</v>
      </c>
      <c r="AI669" s="34"/>
      <c r="AJ669" s="34"/>
      <c r="AK669" s="34" t="str">
        <f>IFERROR(__xludf.DUMMYFUNCTION("""COMPUTED_VALUE"""),"P")</f>
        <v>P</v>
      </c>
      <c r="AL669">
        <f>IFERROR(__xludf.DUMMYFUNCTION("""COMPUTED_VALUE"""),28.0)</f>
        <v>28</v>
      </c>
      <c r="AM669">
        <f>IFERROR(__xludf.DUMMYFUNCTION("""COMPUTED_VALUE"""),2014.0)</f>
        <v>2014</v>
      </c>
      <c r="AN669" t="str">
        <f t="shared" si="1"/>
        <v>13680355-7</v>
      </c>
    </row>
    <row r="670">
      <c r="A670" s="33">
        <f>IFERROR(__xludf.DUMMYFUNCTION("""COMPUTED_VALUE"""),1.1649015E7)</f>
        <v>11649015</v>
      </c>
      <c r="B670" s="33">
        <f>IFERROR(__xludf.DUMMYFUNCTION("""COMPUTED_VALUE"""),107.0)</f>
        <v>107</v>
      </c>
      <c r="C670" s="33"/>
      <c r="D670" s="34" t="str">
        <f>IFERROR(__xludf.DUMMYFUNCTION("""COMPUTED_VALUE"""),"VICERRECTORIA ACADEMICA")</f>
        <v>VICERRECTORIA ACADEMICA</v>
      </c>
      <c r="E670" s="34" t="str">
        <f>IFERROR(__xludf.DUMMYFUNCTION("""COMPUTED_VALUE"""),"DEPARTAMENTO DE REGISTRO ACADEMICO Y CURRICULAR")</f>
        <v>DEPARTAMENTO DE REGISTRO ACADEMICO Y CURRICULAR</v>
      </c>
      <c r="F670" s="34" t="str">
        <f>IFERROR(__xludf.DUMMYFUNCTION("""COMPUTED_VALUE"""),"Administrativo de Registro Académico")</f>
        <v>Administrativo de Registro Académico</v>
      </c>
      <c r="G670" s="33" t="str">
        <f>IFERROR(__xludf.DUMMYFUNCTION("""COMPUTED_VALUE"""),"ADMINISTRATIVO DE REGISTRO ACADEMICO")</f>
        <v>ADMINISTRATIVO DE REGISTRO ACADEMICO</v>
      </c>
      <c r="H670">
        <f>IFERROR(__xludf.DUMMYFUNCTION("""COMPUTED_VALUE"""),17.0)</f>
        <v>17</v>
      </c>
      <c r="I670" s="34"/>
      <c r="J670" s="33" t="str">
        <f>IFERROR(__xludf.DUMMYFUNCTION("""COMPUTED_VALUE"""),"A CONTRATA")</f>
        <v>A CONTRATA</v>
      </c>
      <c r="K670" s="33" t="str">
        <f>IFERROR(__xludf.DUMMYFUNCTION("""COMPUTED_VALUE"""),"ADMINISTRATIVO")</f>
        <v>ADMINISTRATIVO</v>
      </c>
      <c r="L670" s="34" t="str">
        <f>IFERROR(__xludf.DUMMYFUNCTION("""COMPUTED_VALUE"""),"INTERNO")</f>
        <v>INTERNO</v>
      </c>
      <c r="M670" s="34">
        <f>IFERROR(__xludf.DUMMYFUNCTION("""COMPUTED_VALUE"""),3.0)</f>
        <v>3</v>
      </c>
      <c r="N670" s="34" t="str">
        <f>IFERROR(__xludf.DUMMYFUNCTION("""COMPUTED_VALUE"""),"NO")</f>
        <v>NO</v>
      </c>
      <c r="P670">
        <f>IFERROR(__xludf.DUMMYFUNCTION("""COMPUTED_VALUE"""),2.0)</f>
        <v>2</v>
      </c>
      <c r="Q670" s="35"/>
      <c r="R670" s="36" t="str">
        <f>IFERROR(__xludf.DUMMYFUNCTION("""COMPUTED_VALUE"""),"SELECCIONADA")</f>
        <v>SELECCIONADA</v>
      </c>
      <c r="S670" s="37">
        <f>IFERROR(__xludf.DUMMYFUNCTION("""COMPUTED_VALUE"""),41883.0)</f>
        <v>41883</v>
      </c>
      <c r="T670" s="34" t="str">
        <f>IFERROR(__xludf.DUMMYFUNCTION("""COMPUTED_VALUE"""),"ANA MARIA LEIVA ORELLANA")</f>
        <v>ANA MARIA LEIVA ORELLANA</v>
      </c>
      <c r="V670" t="str">
        <f>IFERROR(__xludf.DUMMYFUNCTION("""COMPUTED_VALUE"""),"11649015-3")</f>
        <v>11649015-3</v>
      </c>
      <c r="W670" t="str">
        <f>IFERROR(__xludf.DUMMYFUNCTION("""COMPUTED_VALUE"""),"SI")</f>
        <v>SI</v>
      </c>
      <c r="X670" t="str">
        <f>IFERROR(__xludf.DUMMYFUNCTION("""COMPUTED_VALUE"""),"ORIENTACION A LOS RESULTADOS")</f>
        <v>ORIENTACION A LOS RESULTADOS</v>
      </c>
      <c r="AA670" s="38">
        <f>IFERROR(__xludf.DUMMYFUNCTION("""COMPUTED_VALUE"""),41837.0)</f>
        <v>41837</v>
      </c>
      <c r="AB670" s="38">
        <f>IFERROR(__xludf.DUMMYFUNCTION("""COMPUTED_VALUE"""),41844.0)</f>
        <v>41844</v>
      </c>
      <c r="AC670">
        <f>IFERROR(__xludf.DUMMYFUNCTION("""COMPUTED_VALUE"""),20.0)</f>
        <v>20</v>
      </c>
      <c r="AD670" t="str">
        <f>IFERROR(__xludf.DUMMYFUNCTION("""COMPUTED_VALUE"""),"ADMINISTRATIVO")</f>
        <v>ADMINISTRATIVO</v>
      </c>
      <c r="AF670" s="39" t="str">
        <f>IFERROR(__xludf.DUMMYFUNCTION("""COMPUTED_VALUE"""),"SECRETARIA GENERAL")</f>
        <v>SECRETARIA GENERAL</v>
      </c>
      <c r="AG670" s="39"/>
      <c r="AH670" s="34" t="str">
        <f>IFERROR(__xludf.DUMMYFUNCTION("""COMPUTED_VALUE"""),"PROCESO DE SELECCIÓN")</f>
        <v>PROCESO DE SELECCIÓN</v>
      </c>
      <c r="AI670" s="34"/>
      <c r="AJ670" s="34"/>
      <c r="AK670" s="34" t="str">
        <f>IFERROR(__xludf.DUMMYFUNCTION("""COMPUTED_VALUE"""),"C")</f>
        <v>C</v>
      </c>
      <c r="AL670">
        <f>IFERROR(__xludf.DUMMYFUNCTION("""COMPUTED_VALUE"""),28.0)</f>
        <v>28</v>
      </c>
      <c r="AM670">
        <f>IFERROR(__xludf.DUMMYFUNCTION("""COMPUTED_VALUE"""),2014.0)</f>
        <v>2014</v>
      </c>
      <c r="AN670" t="str">
        <f t="shared" si="1"/>
        <v>11649015-3</v>
      </c>
    </row>
    <row r="671">
      <c r="A671" s="33">
        <f>IFERROR(__xludf.DUMMYFUNCTION("""COMPUTED_VALUE"""),1.224042E7)</f>
        <v>12240420</v>
      </c>
      <c r="B671" s="33">
        <f>IFERROR(__xludf.DUMMYFUNCTION("""COMPUTED_VALUE"""),79.0)</f>
        <v>79</v>
      </c>
      <c r="C671" s="33"/>
      <c r="D671" s="34" t="str">
        <f>IFERROR(__xludf.DUMMYFUNCTION("""COMPUTED_VALUE"""),"FACULTAD DE QUIMICA Y BIOLOGIA")</f>
        <v>FACULTAD DE QUIMICA Y BIOLOGIA</v>
      </c>
      <c r="E671" s="34" t="str">
        <f>IFERROR(__xludf.DUMMYFUNCTION("""COMPUTED_VALUE"""),"FACULTAD DE QUIMICA Y BIOLOGIA")</f>
        <v>FACULTAD DE QUIMICA Y BIOLOGIA</v>
      </c>
      <c r="F671" s="34" t="str">
        <f>IFERROR(__xludf.DUMMYFUNCTION("""COMPUTED_VALUE"""),"Asistente de Mantención")</f>
        <v>Asistente de Mantención</v>
      </c>
      <c r="G671" s="33" t="str">
        <f>IFERROR(__xludf.DUMMYFUNCTION("""COMPUTED_VALUE"""),"ASISTENTE DE MANTENCION")</f>
        <v>ASISTENTE DE MANTENCION</v>
      </c>
      <c r="H671">
        <f>IFERROR(__xludf.DUMMYFUNCTION("""COMPUTED_VALUE"""),20.0)</f>
        <v>20</v>
      </c>
      <c r="I671" s="34"/>
      <c r="J671" s="33" t="str">
        <f>IFERROR(__xludf.DUMMYFUNCTION("""COMPUTED_VALUE"""),"A CONTRATA")</f>
        <v>A CONTRATA</v>
      </c>
      <c r="K671" s="33" t="str">
        <f>IFERROR(__xludf.DUMMYFUNCTION("""COMPUTED_VALUE"""),"TECNICO")</f>
        <v>TECNICO</v>
      </c>
      <c r="L671" s="34" t="str">
        <f>IFERROR(__xludf.DUMMYFUNCTION("""COMPUTED_VALUE"""),"INTERNO")</f>
        <v>INTERNO</v>
      </c>
      <c r="M671" s="34">
        <f>IFERROR(__xludf.DUMMYFUNCTION("""COMPUTED_VALUE"""),0.0)</f>
        <v>0</v>
      </c>
      <c r="N671" s="34" t="str">
        <f>IFERROR(__xludf.DUMMYFUNCTION("""COMPUTED_VALUE"""),"EXTERNO")</f>
        <v>EXTERNO</v>
      </c>
      <c r="O671">
        <f>IFERROR(__xludf.DUMMYFUNCTION("""COMPUTED_VALUE"""),2.0)</f>
        <v>2</v>
      </c>
      <c r="P671">
        <f>IFERROR(__xludf.DUMMYFUNCTION("""COMPUTED_VALUE"""),2.0)</f>
        <v>2</v>
      </c>
      <c r="Q671" s="35">
        <f>IFERROR(__xludf.DUMMYFUNCTION("""COMPUTED_VALUE"""),2.0)</f>
        <v>2</v>
      </c>
      <c r="R671" s="36" t="str">
        <f>IFERROR(__xludf.DUMMYFUNCTION("""COMPUTED_VALUE"""),"SELECCIONADO")</f>
        <v>SELECCIONADO</v>
      </c>
      <c r="S671" s="37">
        <f>IFERROR(__xludf.DUMMYFUNCTION("""COMPUTED_VALUE"""),41883.0)</f>
        <v>41883</v>
      </c>
      <c r="T671" s="34"/>
      <c r="U671" t="str">
        <f>IFERROR(__xludf.DUMMYFUNCTION("""COMPUTED_VALUE"""),"PABLO ARIAS SALAZAR")</f>
        <v>PABLO ARIAS SALAZAR</v>
      </c>
      <c r="V671" t="str">
        <f>IFERROR(__xludf.DUMMYFUNCTION("""COMPUTED_VALUE"""),"12240420-K")</f>
        <v>12240420-K</v>
      </c>
      <c r="W671" t="str">
        <f>IFERROR(__xludf.DUMMYFUNCTION("""COMPUTED_VALUE"""),"SI")</f>
        <v>SI</v>
      </c>
      <c r="AA671" s="38">
        <f>IFERROR(__xludf.DUMMYFUNCTION("""COMPUTED_VALUE"""),41843.0)</f>
        <v>41843</v>
      </c>
      <c r="AB671" s="38">
        <f>IFERROR(__xludf.DUMMYFUNCTION("""COMPUTED_VALUE"""),41850.0)</f>
        <v>41850</v>
      </c>
      <c r="AF671" s="39"/>
      <c r="AG671" s="39"/>
      <c r="AH671" s="34" t="str">
        <f>IFERROR(__xludf.DUMMYFUNCTION("""COMPUTED_VALUE"""),"PROCESO DE SELECCIÓN")</f>
        <v>PROCESO DE SELECCIÓN</v>
      </c>
      <c r="AI671" s="34"/>
      <c r="AJ671" s="34"/>
      <c r="AK671" s="34" t="str">
        <f>IFERROR(__xludf.DUMMYFUNCTION("""COMPUTED_VALUE"""),"C")</f>
        <v>C</v>
      </c>
      <c r="AL671">
        <f>IFERROR(__xludf.DUMMYFUNCTION("""COMPUTED_VALUE"""),24.0)</f>
        <v>24</v>
      </c>
      <c r="AM671">
        <f>IFERROR(__xludf.DUMMYFUNCTION("""COMPUTED_VALUE"""),2014.0)</f>
        <v>2014</v>
      </c>
      <c r="AN671" t="str">
        <f t="shared" si="1"/>
        <v>12240420-K</v>
      </c>
    </row>
    <row r="672">
      <c r="A672" s="33">
        <f>IFERROR(__xludf.DUMMYFUNCTION("""COMPUTED_VALUE"""),1.5539457E7)</f>
        <v>15539457</v>
      </c>
      <c r="B672" s="33"/>
      <c r="C672" s="33"/>
      <c r="D672" s="34" t="str">
        <f>IFERROR(__xludf.DUMMYFUNCTION("""COMPUTED_VALUE"""),"FACULTAD DE QUIMICA Y BIOLOGIA")</f>
        <v>FACULTAD DE QUIMICA Y BIOLOGIA</v>
      </c>
      <c r="E672" s="34" t="str">
        <f>IFERROR(__xludf.DUMMYFUNCTION("""COMPUTED_VALUE"""),"FACULTAD DE QUIMICA Y BIOLOGIA")</f>
        <v>FACULTAD DE QUIMICA Y BIOLOGIA</v>
      </c>
      <c r="F672" s="34" t="str">
        <f>IFERROR(__xludf.DUMMYFUNCTION("""COMPUTED_VALUE"""),"Asistente de Mantención")</f>
        <v>Asistente de Mantención</v>
      </c>
      <c r="G672" s="33" t="str">
        <f>IFERROR(__xludf.DUMMYFUNCTION("""COMPUTED_VALUE"""),"ASISTENTE DE MANTENCION")</f>
        <v>ASISTENTE DE MANTENCION</v>
      </c>
      <c r="H672">
        <f>IFERROR(__xludf.DUMMYFUNCTION("""COMPUTED_VALUE"""),20.0)</f>
        <v>20</v>
      </c>
      <c r="I672" s="34"/>
      <c r="J672" s="33" t="str">
        <f>IFERROR(__xludf.DUMMYFUNCTION("""COMPUTED_VALUE"""),"A CONTRATA")</f>
        <v>A CONTRATA</v>
      </c>
      <c r="K672" s="33" t="str">
        <f>IFERROR(__xludf.DUMMYFUNCTION("""COMPUTED_VALUE"""),"TECNICO")</f>
        <v>TECNICO</v>
      </c>
      <c r="L672" s="34" t="str">
        <f>IFERROR(__xludf.DUMMYFUNCTION("""COMPUTED_VALUE"""),"INTERNO")</f>
        <v>INTERNO</v>
      </c>
      <c r="M672" s="34">
        <f>IFERROR(__xludf.DUMMYFUNCTION("""COMPUTED_VALUE"""),0.0)</f>
        <v>0</v>
      </c>
      <c r="N672" s="34" t="str">
        <f>IFERROR(__xludf.DUMMYFUNCTION("""COMPUTED_VALUE"""),"EXTERNO")</f>
        <v>EXTERNO</v>
      </c>
      <c r="O672">
        <f>IFERROR(__xludf.DUMMYFUNCTION("""COMPUTED_VALUE"""),2.0)</f>
        <v>2</v>
      </c>
      <c r="P672">
        <f>IFERROR(__xludf.DUMMYFUNCTION("""COMPUTED_VALUE"""),2.0)</f>
        <v>2</v>
      </c>
      <c r="Q672" s="35">
        <f>IFERROR(__xludf.DUMMYFUNCTION("""COMPUTED_VALUE"""),2.0)</f>
        <v>2</v>
      </c>
      <c r="R672" s="36" t="str">
        <f>IFERROR(__xludf.DUMMYFUNCTION("""COMPUTED_VALUE"""),"SELECCIONADO")</f>
        <v>SELECCIONADO</v>
      </c>
      <c r="S672" s="37">
        <f>IFERROR(__xludf.DUMMYFUNCTION("""COMPUTED_VALUE"""),41883.0)</f>
        <v>41883</v>
      </c>
      <c r="T672" s="34"/>
      <c r="U672" t="str">
        <f>IFERROR(__xludf.DUMMYFUNCTION("""COMPUTED_VALUE"""),"CRISTIAN PENA GONZALEZ")</f>
        <v>CRISTIAN PENA GONZALEZ</v>
      </c>
      <c r="V672" t="str">
        <f>IFERROR(__xludf.DUMMYFUNCTION("""COMPUTED_VALUE"""),"15539457-9")</f>
        <v>15539457-9</v>
      </c>
      <c r="AA672" s="38">
        <f>IFERROR(__xludf.DUMMYFUNCTION("""COMPUTED_VALUE"""),41843.0)</f>
        <v>41843</v>
      </c>
      <c r="AB672" s="38">
        <f>IFERROR(__xludf.DUMMYFUNCTION("""COMPUTED_VALUE"""),41850.0)</f>
        <v>41850</v>
      </c>
      <c r="AF672" s="39"/>
      <c r="AG672" s="39"/>
      <c r="AH672" s="34" t="str">
        <f>IFERROR(__xludf.DUMMYFUNCTION("""COMPUTED_VALUE"""),"PROCESO DE SELECCIÓN")</f>
        <v>PROCESO DE SELECCIÓN</v>
      </c>
      <c r="AI672" s="34"/>
      <c r="AJ672" s="34"/>
      <c r="AK672" s="34" t="str">
        <f>IFERROR(__xludf.DUMMYFUNCTION("""COMPUTED_VALUE"""),"C")</f>
        <v>C</v>
      </c>
      <c r="AL672">
        <f>IFERROR(__xludf.DUMMYFUNCTION("""COMPUTED_VALUE"""),24.0)</f>
        <v>24</v>
      </c>
      <c r="AM672">
        <f>IFERROR(__xludf.DUMMYFUNCTION("""COMPUTED_VALUE"""),2014.0)</f>
        <v>2014</v>
      </c>
      <c r="AN672" t="str">
        <f t="shared" si="1"/>
        <v>15539457-9</v>
      </c>
    </row>
    <row r="673">
      <c r="A673" s="33">
        <f>IFERROR(__xludf.DUMMYFUNCTION("""COMPUTED_VALUE"""),1.2688602E7)</f>
        <v>12688602</v>
      </c>
      <c r="B673" s="33">
        <f>IFERROR(__xludf.DUMMYFUNCTION("""COMPUTED_VALUE"""),71.0)</f>
        <v>71</v>
      </c>
      <c r="C673" s="33"/>
      <c r="D673" s="34" t="str">
        <f>IFERROR(__xludf.DUMMYFUNCTION("""COMPUTED_VALUE"""),"FACULTAD DE CIENCIA")</f>
        <v>FACULTAD DE CIENCIA</v>
      </c>
      <c r="E673" s="34" t="str">
        <f>IFERROR(__xludf.DUMMYFUNCTION("""COMPUTED_VALUE"""),"DEPARTAMENTO DE FISICA")</f>
        <v>DEPARTAMENTO DE FISICA</v>
      </c>
      <c r="F673" s="34" t="str">
        <f>IFERROR(__xludf.DUMMYFUNCTION("""COMPUTED_VALUE"""),"Secretario B")</f>
        <v>Secretario B</v>
      </c>
      <c r="G673" s="33" t="str">
        <f>IFERROR(__xludf.DUMMYFUNCTION("""COMPUTED_VALUE"""),"SECRETARIA DE SUBDIRECCION DE DOCENCIA")</f>
        <v>SECRETARIA DE SUBDIRECCION DE DOCENCIA</v>
      </c>
      <c r="H673">
        <f>IFERROR(__xludf.DUMMYFUNCTION("""COMPUTED_VALUE"""),17.0)</f>
        <v>17</v>
      </c>
      <c r="I673" s="34"/>
      <c r="J673" s="33" t="str">
        <f>IFERROR(__xludf.DUMMYFUNCTION("""COMPUTED_VALUE"""),"A CONTRATA")</f>
        <v>A CONTRATA</v>
      </c>
      <c r="K673" s="33" t="str">
        <f>IFERROR(__xludf.DUMMYFUNCTION("""COMPUTED_VALUE"""),"ADMINISTRATIVO")</f>
        <v>ADMINISTRATIVO</v>
      </c>
      <c r="L673" s="34" t="str">
        <f>IFERROR(__xludf.DUMMYFUNCTION("""COMPUTED_VALUE"""),"INTERNO")</f>
        <v>INTERNO</v>
      </c>
      <c r="M673" s="34">
        <f>IFERROR(__xludf.DUMMYFUNCTION("""COMPUTED_VALUE"""),1.0)</f>
        <v>1</v>
      </c>
      <c r="N673" s="34" t="str">
        <f>IFERROR(__xludf.DUMMYFUNCTION("""COMPUTED_VALUE"""),"NO")</f>
        <v>NO</v>
      </c>
      <c r="P673">
        <f>IFERROR(__xludf.DUMMYFUNCTION("""COMPUTED_VALUE"""),1.0)</f>
        <v>1</v>
      </c>
      <c r="Q673" s="35"/>
      <c r="R673" s="36" t="str">
        <f>IFERROR(__xludf.DUMMYFUNCTION("""COMPUTED_VALUE"""),"SELECCIONADA")</f>
        <v>SELECCIONADA</v>
      </c>
      <c r="S673" s="37">
        <f>IFERROR(__xludf.DUMMYFUNCTION("""COMPUTED_VALUE"""),41869.0)</f>
        <v>41869</v>
      </c>
      <c r="T673" s="34" t="str">
        <f>IFERROR(__xludf.DUMMYFUNCTION("""COMPUTED_VALUE"""),"MAGALY SEPULVEDA SEPULVEDA")</f>
        <v>MAGALY SEPULVEDA SEPULVEDA</v>
      </c>
      <c r="V673" t="str">
        <f>IFERROR(__xludf.DUMMYFUNCTION("""COMPUTED_VALUE"""),"12688602-0")</f>
        <v>12688602-0</v>
      </c>
      <c r="AA673" s="38">
        <f>IFERROR(__xludf.DUMMYFUNCTION("""COMPUTED_VALUE"""),41848.0)</f>
        <v>41848</v>
      </c>
      <c r="AB673" s="38">
        <f>IFERROR(__xludf.DUMMYFUNCTION("""COMPUTED_VALUE"""),41851.0)</f>
        <v>41851</v>
      </c>
      <c r="AC673">
        <f>IFERROR(__xludf.DUMMYFUNCTION("""COMPUTED_VALUE"""),17.0)</f>
        <v>17</v>
      </c>
      <c r="AD673" t="str">
        <f>IFERROR(__xludf.DUMMYFUNCTION("""COMPUTED_VALUE"""),"ADMINISTRATIVO")</f>
        <v>ADMINISTRATIVO</v>
      </c>
      <c r="AF673" s="39" t="str">
        <f>IFERROR(__xludf.DUMMYFUNCTION("""COMPUTED_VALUE"""),"ESCUELA DE ARQUITECTURA")</f>
        <v>ESCUELA DE ARQUITECTURA</v>
      </c>
      <c r="AG673" s="39"/>
      <c r="AH673" s="34" t="str">
        <f>IFERROR(__xludf.DUMMYFUNCTION("""COMPUTED_VALUE"""),"PROCESO DE SELECCIÓN")</f>
        <v>PROCESO DE SELECCIÓN</v>
      </c>
      <c r="AI673" s="34"/>
      <c r="AJ673" s="34"/>
      <c r="AK673" s="34" t="str">
        <f>IFERROR(__xludf.DUMMYFUNCTION("""COMPUTED_VALUE"""),"P")</f>
        <v>P</v>
      </c>
      <c r="AL673">
        <f>IFERROR(__xludf.DUMMYFUNCTION("""COMPUTED_VALUE"""),13.0)</f>
        <v>13</v>
      </c>
      <c r="AM673">
        <f>IFERROR(__xludf.DUMMYFUNCTION("""COMPUTED_VALUE"""),2014.0)</f>
        <v>2014</v>
      </c>
      <c r="AN673" t="str">
        <f t="shared" si="1"/>
        <v>12688602-0</v>
      </c>
    </row>
    <row r="674">
      <c r="A674" s="33">
        <f>IFERROR(__xludf.DUMMYFUNCTION("""COMPUTED_VALUE"""),1.5636029E7)</f>
        <v>15636029</v>
      </c>
      <c r="B674" s="33">
        <f>IFERROR(__xludf.DUMMYFUNCTION("""COMPUTED_VALUE"""),88.0)</f>
        <v>88</v>
      </c>
      <c r="C674" s="33"/>
      <c r="D674" s="34" t="str">
        <f>IFERROR(__xludf.DUMMYFUNCTION("""COMPUTED_VALUE"""),"FACULTAD DE HUMANIDADES")</f>
        <v>FACULTAD DE HUMANIDADES</v>
      </c>
      <c r="E674" s="34" t="str">
        <f>IFERROR(__xludf.DUMMYFUNCTION("""COMPUTED_VALUE"""),"ESCUELA DE PERIODISMO")</f>
        <v>ESCUELA DE PERIODISMO</v>
      </c>
      <c r="F674" s="34" t="str">
        <f>IFERROR(__xludf.DUMMYFUNCTION("""COMPUTED_VALUE"""),"Encargado Técnico de Laboratorio")</f>
        <v>Encargado Técnico de Laboratorio</v>
      </c>
      <c r="G674" s="33" t="str">
        <f>IFERROR(__xludf.DUMMYFUNCTION("""COMPUTED_VALUE"""),"ENCARGADO TECNICO DE LABORATORIO")</f>
        <v>ENCARGADO TECNICO DE LABORATORIO</v>
      </c>
      <c r="H674">
        <f>IFERROR(__xludf.DUMMYFUNCTION("""COMPUTED_VALUE"""),14.0)</f>
        <v>14</v>
      </c>
      <c r="I674" s="34"/>
      <c r="J674" s="33" t="str">
        <f>IFERROR(__xludf.DUMMYFUNCTION("""COMPUTED_VALUE"""),"A CONTRATA")</f>
        <v>A CONTRATA</v>
      </c>
      <c r="K674" s="33" t="str">
        <f>IFERROR(__xludf.DUMMYFUNCTION("""COMPUTED_VALUE"""),"TECNICO")</f>
        <v>TECNICO</v>
      </c>
      <c r="L674" s="34" t="str">
        <f>IFERROR(__xludf.DUMMYFUNCTION("""COMPUTED_VALUE"""),"INTERNO")</f>
        <v>INTERNO</v>
      </c>
      <c r="M674" s="34">
        <f>IFERROR(__xludf.DUMMYFUNCTION("""COMPUTED_VALUE"""),2.0)</f>
        <v>2</v>
      </c>
      <c r="N674" s="34" t="str">
        <f>IFERROR(__xludf.DUMMYFUNCTION("""COMPUTED_VALUE"""),"EXTERNO")</f>
        <v>EXTERNO</v>
      </c>
      <c r="O674">
        <f>IFERROR(__xludf.DUMMYFUNCTION("""COMPUTED_VALUE"""),5.0)</f>
        <v>5</v>
      </c>
      <c r="P674">
        <f>IFERROR(__xludf.DUMMYFUNCTION("""COMPUTED_VALUE"""),1.0)</f>
        <v>1</v>
      </c>
      <c r="Q674" s="35">
        <f>IFERROR(__xludf.DUMMYFUNCTION("""COMPUTED_VALUE"""),3.0)</f>
        <v>3</v>
      </c>
      <c r="R674" s="36" t="str">
        <f>IFERROR(__xludf.DUMMYFUNCTION("""COMPUTED_VALUE"""),"SELECCIONADO")</f>
        <v>SELECCIONADO</v>
      </c>
      <c r="S674" s="37">
        <f>IFERROR(__xludf.DUMMYFUNCTION("""COMPUTED_VALUE"""),41927.0)</f>
        <v>41927</v>
      </c>
      <c r="T674" s="34"/>
      <c r="U674" t="str">
        <f>IFERROR(__xludf.DUMMYFUNCTION("""COMPUTED_VALUE"""),"DIEGO LLOPIS MEDINA")</f>
        <v>DIEGO LLOPIS MEDINA</v>
      </c>
      <c r="V674" t="str">
        <f>IFERROR(__xludf.DUMMYFUNCTION("""COMPUTED_VALUE"""),"15636029-5")</f>
        <v>15636029-5</v>
      </c>
      <c r="AA674" s="38">
        <f>IFERROR(__xludf.DUMMYFUNCTION("""COMPUTED_VALUE"""),41844.0)</f>
        <v>41844</v>
      </c>
      <c r="AB674" s="38">
        <f>IFERROR(__xludf.DUMMYFUNCTION("""COMPUTED_VALUE"""),41851.0)</f>
        <v>41851</v>
      </c>
      <c r="AF674" s="39"/>
      <c r="AG674" s="39"/>
      <c r="AH674" s="34" t="str">
        <f>IFERROR(__xludf.DUMMYFUNCTION("""COMPUTED_VALUE"""),"PROCESO DE SELECCIÓN")</f>
        <v>PROCESO DE SELECCIÓN</v>
      </c>
      <c r="AI674" s="34"/>
      <c r="AJ674" s="34"/>
      <c r="AK674" s="34" t="str">
        <f>IFERROR(__xludf.DUMMYFUNCTION("""COMPUTED_VALUE"""),"C")</f>
        <v>C</v>
      </c>
      <c r="AL674">
        <f>IFERROR(__xludf.DUMMYFUNCTION("""COMPUTED_VALUE"""),55.0)</f>
        <v>55</v>
      </c>
      <c r="AM674">
        <f>IFERROR(__xludf.DUMMYFUNCTION("""COMPUTED_VALUE"""),2014.0)</f>
        <v>2014</v>
      </c>
      <c r="AN674" t="str">
        <f t="shared" si="1"/>
        <v>15636029-5</v>
      </c>
    </row>
    <row r="675">
      <c r="A675" s="33">
        <f>IFERROR(__xludf.DUMMYFUNCTION("""COMPUTED_VALUE"""),1.9283391E7)</f>
        <v>19283391</v>
      </c>
      <c r="B675" s="33">
        <f>IFERROR(__xludf.DUMMYFUNCTION("""COMPUTED_VALUE"""),89.0)</f>
        <v>89</v>
      </c>
      <c r="C675" s="33"/>
      <c r="D675" s="34" t="str">
        <f>IFERROR(__xludf.DUMMYFUNCTION("""COMPUTED_VALUE"""),"SECRETARIA GENERAL")</f>
        <v>SECRETARIA GENERAL</v>
      </c>
      <c r="E675" s="34" t="str">
        <f>IFERROR(__xludf.DUMMYFUNCTION("""COMPUTED_VALUE"""),"SECRETARIA GENERAL")</f>
        <v>SECRETARIA GENERAL</v>
      </c>
      <c r="F675" s="34" t="str">
        <f>IFERROR(__xludf.DUMMYFUNCTION("""COMPUTED_VALUE"""),"Secretario B")</f>
        <v>Secretario B</v>
      </c>
      <c r="G675" s="33" t="str">
        <f>IFERROR(__xludf.DUMMYFUNCTION("""COMPUTED_VALUE"""),"SECRETARIA DE DEPARTAMENTO")</f>
        <v>SECRETARIA DE DEPARTAMENTO</v>
      </c>
      <c r="H675">
        <f>IFERROR(__xludf.DUMMYFUNCTION("""COMPUTED_VALUE"""),17.0)</f>
        <v>17</v>
      </c>
      <c r="I675" s="34"/>
      <c r="J675" s="33" t="str">
        <f>IFERROR(__xludf.DUMMYFUNCTION("""COMPUTED_VALUE"""),"A CONTRATA")</f>
        <v>A CONTRATA</v>
      </c>
      <c r="K675" s="33" t="str">
        <f>IFERROR(__xludf.DUMMYFUNCTION("""COMPUTED_VALUE"""),"ADMINISTRATIVO")</f>
        <v>ADMINISTRATIVO</v>
      </c>
      <c r="L675" s="34" t="str">
        <f>IFERROR(__xludf.DUMMYFUNCTION("""COMPUTED_VALUE"""),"INTERNO")</f>
        <v>INTERNO</v>
      </c>
      <c r="M675" s="34">
        <f>IFERROR(__xludf.DUMMYFUNCTION("""COMPUTED_VALUE"""),0.0)</f>
        <v>0</v>
      </c>
      <c r="N675" s="34" t="str">
        <f>IFERROR(__xludf.DUMMYFUNCTION("""COMPUTED_VALUE"""),"EXTERNO")</f>
        <v>EXTERNO</v>
      </c>
      <c r="O675">
        <f>IFERROR(__xludf.DUMMYFUNCTION("""COMPUTED_VALUE"""),18.0)</f>
        <v>18</v>
      </c>
      <c r="P675">
        <f>IFERROR(__xludf.DUMMYFUNCTION("""COMPUTED_VALUE"""),1.0)</f>
        <v>1</v>
      </c>
      <c r="Q675" s="35">
        <f>IFERROR(__xludf.DUMMYFUNCTION("""COMPUTED_VALUE"""),1.0)</f>
        <v>1</v>
      </c>
      <c r="R675" s="36" t="str">
        <f>IFERROR(__xludf.DUMMYFUNCTION("""COMPUTED_VALUE"""),"SELECCIONADA")</f>
        <v>SELECCIONADA</v>
      </c>
      <c r="S675" s="37">
        <f>IFERROR(__xludf.DUMMYFUNCTION("""COMPUTED_VALUE"""),41944.0)</f>
        <v>41944</v>
      </c>
      <c r="T675" s="34"/>
      <c r="U675" t="str">
        <f>IFERROR(__xludf.DUMMYFUNCTION("""COMPUTED_VALUE"""),"DANIELA ESTAY ZORRICUETA")</f>
        <v>DANIELA ESTAY ZORRICUETA</v>
      </c>
      <c r="V675" t="str">
        <f>IFERROR(__xludf.DUMMYFUNCTION("""COMPUTED_VALUE"""),"19283391-4")</f>
        <v>19283391-4</v>
      </c>
      <c r="W675" t="str">
        <f>IFERROR(__xludf.DUMMYFUNCTION("""COMPUTED_VALUE"""),"SI")</f>
        <v>SI</v>
      </c>
      <c r="AA675" s="38">
        <f>IFERROR(__xludf.DUMMYFUNCTION("""COMPUTED_VALUE"""),41858.0)</f>
        <v>41858</v>
      </c>
      <c r="AB675" s="38">
        <f>IFERROR(__xludf.DUMMYFUNCTION("""COMPUTED_VALUE"""),41865.0)</f>
        <v>41865</v>
      </c>
      <c r="AF675" s="39"/>
      <c r="AG675" s="39"/>
      <c r="AH675" s="34" t="str">
        <f>IFERROR(__xludf.DUMMYFUNCTION("""COMPUTED_VALUE"""),"PROCESO DE SELECCIÓN")</f>
        <v>PROCESO DE SELECCIÓN</v>
      </c>
      <c r="AI675" s="34"/>
      <c r="AJ675" s="34"/>
      <c r="AK675" s="34" t="str">
        <f>IFERROR(__xludf.DUMMYFUNCTION("""COMPUTED_VALUE"""),"P")</f>
        <v>P</v>
      </c>
      <c r="AL675">
        <f>IFERROR(__xludf.DUMMYFUNCTION("""COMPUTED_VALUE"""),57.0)</f>
        <v>57</v>
      </c>
      <c r="AM675">
        <f>IFERROR(__xludf.DUMMYFUNCTION("""COMPUTED_VALUE"""),2014.0)</f>
        <v>2014</v>
      </c>
      <c r="AN675" t="str">
        <f t="shared" si="1"/>
        <v>19283391-4</v>
      </c>
    </row>
    <row r="676">
      <c r="A676" s="33">
        <f>IFERROR(__xludf.DUMMYFUNCTION("""COMPUTED_VALUE"""),1.8463575E7)</f>
        <v>18463575</v>
      </c>
      <c r="B676" s="33">
        <f>IFERROR(__xludf.DUMMYFUNCTION("""COMPUTED_VALUE"""),80.0)</f>
        <v>80</v>
      </c>
      <c r="C676" s="33"/>
      <c r="D676" s="34" t="str">
        <f>IFERROR(__xludf.DUMMYFUNCTION("""COMPUTED_VALUE"""),"FACULTAD DE CIENCIA")</f>
        <v>FACULTAD DE CIENCIA</v>
      </c>
      <c r="E676" s="34" t="str">
        <f>IFERROR(__xludf.DUMMYFUNCTION("""COMPUTED_VALUE"""),"DEPARTAMENTO DE FISICA")</f>
        <v>DEPARTAMENTO DE FISICA</v>
      </c>
      <c r="F676" s="34" t="str">
        <f>IFERROR(__xludf.DUMMYFUNCTION("""COMPUTED_VALUE"""),"Estafeta")</f>
        <v>Estafeta</v>
      </c>
      <c r="G676" s="33" t="str">
        <f>IFERROR(__xludf.DUMMYFUNCTION("""COMPUTED_VALUE"""),"ESTAFETA")</f>
        <v>ESTAFETA</v>
      </c>
      <c r="H676">
        <f>IFERROR(__xludf.DUMMYFUNCTION("""COMPUTED_VALUE"""),23.0)</f>
        <v>23</v>
      </c>
      <c r="I676" s="34"/>
      <c r="J676" s="33" t="str">
        <f>IFERROR(__xludf.DUMMYFUNCTION("""COMPUTED_VALUE"""),"A CONTRATA")</f>
        <v>A CONTRATA</v>
      </c>
      <c r="K676" s="33" t="str">
        <f>IFERROR(__xludf.DUMMYFUNCTION("""COMPUTED_VALUE"""),"AUXILIAR")</f>
        <v>AUXILIAR</v>
      </c>
      <c r="L676" s="34" t="str">
        <f>IFERROR(__xludf.DUMMYFUNCTION("""COMPUTED_VALUE"""),"INTERNO")</f>
        <v>INTERNO</v>
      </c>
      <c r="M676" s="34">
        <f>IFERROR(__xludf.DUMMYFUNCTION("""COMPUTED_VALUE"""),0.0)</f>
        <v>0</v>
      </c>
      <c r="N676" s="34" t="str">
        <f>IFERROR(__xludf.DUMMYFUNCTION("""COMPUTED_VALUE"""),"EXTERNO")</f>
        <v>EXTERNO</v>
      </c>
      <c r="O676">
        <f>IFERROR(__xludf.DUMMYFUNCTION("""COMPUTED_VALUE"""),19.0)</f>
        <v>19</v>
      </c>
      <c r="P676">
        <f>IFERROR(__xludf.DUMMYFUNCTION("""COMPUTED_VALUE"""),3.0)</f>
        <v>3</v>
      </c>
      <c r="Q676" s="35">
        <f>IFERROR(__xludf.DUMMYFUNCTION("""COMPUTED_VALUE"""),1.0)</f>
        <v>1</v>
      </c>
      <c r="R676" s="36" t="str">
        <f>IFERROR(__xludf.DUMMYFUNCTION("""COMPUTED_VALUE"""),"SELECCIONADA")</f>
        <v>SELECCIONADA</v>
      </c>
      <c r="S676" s="37">
        <f>IFERROR(__xludf.DUMMYFUNCTION("""COMPUTED_VALUE"""),41907.0)</f>
        <v>41907</v>
      </c>
      <c r="T676" s="34"/>
      <c r="U676" t="str">
        <f>IFERROR(__xludf.DUMMYFUNCTION("""COMPUTED_VALUE"""),"PAMELA VEGA ESQUIVEL")</f>
        <v>PAMELA VEGA ESQUIVEL</v>
      </c>
      <c r="V676" t="str">
        <f>IFERROR(__xludf.DUMMYFUNCTION("""COMPUTED_VALUE"""),"18463575-5")</f>
        <v>18463575-5</v>
      </c>
      <c r="AA676" s="38">
        <f>IFERROR(__xludf.DUMMYFUNCTION("""COMPUTED_VALUE"""),41862.0)</f>
        <v>41862</v>
      </c>
      <c r="AB676" s="38">
        <f>IFERROR(__xludf.DUMMYFUNCTION("""COMPUTED_VALUE"""),41869.0)</f>
        <v>41869</v>
      </c>
      <c r="AF676" s="39"/>
      <c r="AG676" s="39"/>
      <c r="AH676" s="34" t="str">
        <f>IFERROR(__xludf.DUMMYFUNCTION("""COMPUTED_VALUE"""),"PROCESO DE SELECCIÓN")</f>
        <v>PROCESO DE SELECCIÓN</v>
      </c>
      <c r="AI676" s="34"/>
      <c r="AJ676" s="34"/>
      <c r="AK676" s="34" t="str">
        <f>IFERROR(__xludf.DUMMYFUNCTION("""COMPUTED_VALUE"""),"C")</f>
        <v>C</v>
      </c>
      <c r="AL676">
        <f>IFERROR(__xludf.DUMMYFUNCTION("""COMPUTED_VALUE"""),29.0)</f>
        <v>29</v>
      </c>
      <c r="AM676">
        <f>IFERROR(__xludf.DUMMYFUNCTION("""COMPUTED_VALUE"""),2014.0)</f>
        <v>2014</v>
      </c>
      <c r="AN676" t="str">
        <f t="shared" si="1"/>
        <v>18463575-5</v>
      </c>
    </row>
    <row r="677">
      <c r="A677" s="33">
        <f>IFERROR(__xludf.DUMMYFUNCTION("""COMPUTED_VALUE"""),1.2249498E7)</f>
        <v>12249498</v>
      </c>
      <c r="B677" s="33">
        <f>IFERROR(__xludf.DUMMYFUNCTION("""COMPUTED_VALUE"""),81.0)</f>
        <v>81</v>
      </c>
      <c r="C677" s="33"/>
      <c r="D677" s="34" t="str">
        <f>IFERROR(__xludf.DUMMYFUNCTION("""COMPUTED_VALUE"""),"VICERRECTORIA ACADEMICA")</f>
        <v>VICERRECTORIA ACADEMICA</v>
      </c>
      <c r="E677" s="34" t="str">
        <f>IFERROR(__xludf.DUMMYFUNCTION("""COMPUTED_VALUE"""),"UNIDAD DE REGISTRO ACADEMICO Y CURRICULAR")</f>
        <v>UNIDAD DE REGISTRO ACADEMICO Y CURRICULAR</v>
      </c>
      <c r="F677" s="34" t="str">
        <f>IFERROR(__xludf.DUMMYFUNCTION("""COMPUTED_VALUE"""),"Administrativo de Apoyo")</f>
        <v>Administrativo de Apoyo</v>
      </c>
      <c r="G677" s="33" t="str">
        <f>IFERROR(__xludf.DUMMYFUNCTION("""COMPUTED_VALUE"""),"ADMINISTRATIVO DE APOYO")</f>
        <v>ADMINISTRATIVO DE APOYO</v>
      </c>
      <c r="H677">
        <f>IFERROR(__xludf.DUMMYFUNCTION("""COMPUTED_VALUE"""),20.0)</f>
        <v>20</v>
      </c>
      <c r="I677" s="34"/>
      <c r="J677" s="33" t="str">
        <f>IFERROR(__xludf.DUMMYFUNCTION("""COMPUTED_VALUE"""),"A CONTRATA")</f>
        <v>A CONTRATA</v>
      </c>
      <c r="K677" s="33" t="str">
        <f>IFERROR(__xludf.DUMMYFUNCTION("""COMPUTED_VALUE"""),"ADMINISTRATIVO")</f>
        <v>ADMINISTRATIVO</v>
      </c>
      <c r="L677" s="34" t="str">
        <f>IFERROR(__xludf.DUMMYFUNCTION("""COMPUTED_VALUE"""),"INTERNO")</f>
        <v>INTERNO</v>
      </c>
      <c r="M677" s="34">
        <f>IFERROR(__xludf.DUMMYFUNCTION("""COMPUTED_VALUE"""),1.0)</f>
        <v>1</v>
      </c>
      <c r="N677" s="34" t="str">
        <f>IFERROR(__xludf.DUMMYFUNCTION("""COMPUTED_VALUE"""),"NO")</f>
        <v>NO</v>
      </c>
      <c r="P677">
        <f>IFERROR(__xludf.DUMMYFUNCTION("""COMPUTED_VALUE"""),1.0)</f>
        <v>1</v>
      </c>
      <c r="Q677" s="35">
        <f>IFERROR(__xludf.DUMMYFUNCTION("""COMPUTED_VALUE"""),0.0)</f>
        <v>0</v>
      </c>
      <c r="R677" s="36" t="str">
        <f>IFERROR(__xludf.DUMMYFUNCTION("""COMPUTED_VALUE"""),"SELECCIONADA")</f>
        <v>SELECCIONADA</v>
      </c>
      <c r="S677" s="37">
        <f>IFERROR(__xludf.DUMMYFUNCTION("""COMPUTED_VALUE"""),41905.0)</f>
        <v>41905</v>
      </c>
      <c r="T677" s="34" t="str">
        <f>IFERROR(__xludf.DUMMYFUNCTION("""COMPUTED_VALUE"""),"MONICA MUNOZ RIQUELME")</f>
        <v>MONICA MUNOZ RIQUELME</v>
      </c>
      <c r="V677" t="str">
        <f>IFERROR(__xludf.DUMMYFUNCTION("""COMPUTED_VALUE"""),"12249498-5")</f>
        <v>12249498-5</v>
      </c>
      <c r="W677" t="str">
        <f>IFERROR(__xludf.DUMMYFUNCTION("""COMPUTED_VALUE"""),"SI")</f>
        <v>SI</v>
      </c>
      <c r="Y677" t="str">
        <f>IFERROR(__xludf.DUMMYFUNCTION("""COMPUTED_VALUE"""),"TRABAJO EN EQUIPO")</f>
        <v>TRABAJO EN EQUIPO</v>
      </c>
      <c r="AA677" s="38">
        <f>IFERROR(__xludf.DUMMYFUNCTION("""COMPUTED_VALUE"""),41864.0)</f>
        <v>41864</v>
      </c>
      <c r="AB677" s="38">
        <f>IFERROR(__xludf.DUMMYFUNCTION("""COMPUTED_VALUE"""),41871.0)</f>
        <v>41871</v>
      </c>
      <c r="AC677">
        <f>IFERROR(__xludf.DUMMYFUNCTION("""COMPUTED_VALUE"""),21.0)</f>
        <v>21</v>
      </c>
      <c r="AD677" t="str">
        <f>IFERROR(__xludf.DUMMYFUNCTION("""COMPUTED_VALUE"""),"AUXILIAR")</f>
        <v>AUXILIAR</v>
      </c>
      <c r="AF677" s="39" t="str">
        <f>IFERROR(__xludf.DUMMYFUNCTION("""COMPUTED_VALUE"""),"VICERRECTORIA ACADEMICA")</f>
        <v>VICERRECTORIA ACADEMICA</v>
      </c>
      <c r="AG677" s="39"/>
      <c r="AH677" s="34" t="str">
        <f>IFERROR(__xludf.DUMMYFUNCTION("""COMPUTED_VALUE"""),"PROCESO DE SELECCIÓN")</f>
        <v>PROCESO DE SELECCIÓN</v>
      </c>
      <c r="AI677" s="34"/>
      <c r="AJ677" s="34"/>
      <c r="AK677" s="34" t="str">
        <f>IFERROR(__xludf.DUMMYFUNCTION("""COMPUTED_VALUE"""),"P")</f>
        <v>P</v>
      </c>
      <c r="AL677">
        <f>IFERROR(__xludf.DUMMYFUNCTION("""COMPUTED_VALUE"""),25.0)</f>
        <v>25</v>
      </c>
      <c r="AM677">
        <f>IFERROR(__xludf.DUMMYFUNCTION("""COMPUTED_VALUE"""),2014.0)</f>
        <v>2014</v>
      </c>
      <c r="AN677" t="str">
        <f t="shared" si="1"/>
        <v>12249498-5</v>
      </c>
    </row>
    <row r="678">
      <c r="A678" s="33">
        <f>IFERROR(__xludf.DUMMYFUNCTION("""COMPUTED_VALUE"""),1.7411947E7)</f>
        <v>17411947</v>
      </c>
      <c r="B678" s="33">
        <f>IFERROR(__xludf.DUMMYFUNCTION("""COMPUTED_VALUE"""),111.0)</f>
        <v>111</v>
      </c>
      <c r="C678" s="33"/>
      <c r="D678" s="34" t="str">
        <f>IFERROR(__xludf.DUMMYFUNCTION("""COMPUTED_VALUE"""),"FACULTAD DE INGENIERIA")</f>
        <v>FACULTAD DE INGENIERIA</v>
      </c>
      <c r="E678" s="34" t="str">
        <f>IFERROR(__xludf.DUMMYFUNCTION("""COMPUTED_VALUE"""),"DEPARTAMENTO DE INGENIERIA EN MINAS")</f>
        <v>DEPARTAMENTO DE INGENIERIA EN MINAS</v>
      </c>
      <c r="F678" s="34" t="str">
        <f>IFERROR(__xludf.DUMMYFUNCTION("""COMPUTED_VALUE"""),"Técnico de Soporte Básico en Computación")</f>
        <v>Técnico de Soporte Básico en Computación</v>
      </c>
      <c r="G678" s="33" t="str">
        <f>IFERROR(__xludf.DUMMYFUNCTION("""COMPUTED_VALUE"""),"TECNICO DE SOPORTE BASICO EN COMPUTACION")</f>
        <v>TECNICO DE SOPORTE BASICO EN COMPUTACION</v>
      </c>
      <c r="H678">
        <f>IFERROR(__xludf.DUMMYFUNCTION("""COMPUTED_VALUE"""),17.0)</f>
        <v>17</v>
      </c>
      <c r="I678" s="34"/>
      <c r="J678" s="33" t="str">
        <f>IFERROR(__xludf.DUMMYFUNCTION("""COMPUTED_VALUE"""),"A CONTRATA")</f>
        <v>A CONTRATA</v>
      </c>
      <c r="K678" s="33" t="str">
        <f>IFERROR(__xludf.DUMMYFUNCTION("""COMPUTED_VALUE"""),"TECNICO")</f>
        <v>TECNICO</v>
      </c>
      <c r="L678" s="34" t="str">
        <f>IFERROR(__xludf.DUMMYFUNCTION("""COMPUTED_VALUE"""),"INTERNO")</f>
        <v>INTERNO</v>
      </c>
      <c r="M678" s="34">
        <f>IFERROR(__xludf.DUMMYFUNCTION("""COMPUTED_VALUE"""),1.0)</f>
        <v>1</v>
      </c>
      <c r="N678" s="34" t="str">
        <f>IFERROR(__xludf.DUMMYFUNCTION("""COMPUTED_VALUE"""),"EXTERNO")</f>
        <v>EXTERNO</v>
      </c>
      <c r="O678">
        <f>IFERROR(__xludf.DUMMYFUNCTION("""COMPUTED_VALUE"""),4.0)</f>
        <v>4</v>
      </c>
      <c r="P678">
        <f>IFERROR(__xludf.DUMMYFUNCTION("""COMPUTED_VALUE"""),1.0)</f>
        <v>1</v>
      </c>
      <c r="Q678" s="35">
        <f>IFERROR(__xludf.DUMMYFUNCTION("""COMPUTED_VALUE"""),2.0)</f>
        <v>2</v>
      </c>
      <c r="R678" s="36" t="str">
        <f>IFERROR(__xludf.DUMMYFUNCTION("""COMPUTED_VALUE"""),"SELECCIONADO")</f>
        <v>SELECCIONADO</v>
      </c>
      <c r="S678" s="37">
        <f>IFERROR(__xludf.DUMMYFUNCTION("""COMPUTED_VALUE"""),41915.0)</f>
        <v>41915</v>
      </c>
      <c r="T678" s="34"/>
      <c r="U678" t="str">
        <f>IFERROR(__xludf.DUMMYFUNCTION("""COMPUTED_VALUE"""),"ROBERTO ORELLANA TAMAYO")</f>
        <v>ROBERTO ORELLANA TAMAYO</v>
      </c>
      <c r="V678" t="str">
        <f>IFERROR(__xludf.DUMMYFUNCTION("""COMPUTED_VALUE"""),"17411947-3")</f>
        <v>17411947-3</v>
      </c>
      <c r="W678" t="str">
        <f>IFERROR(__xludf.DUMMYFUNCTION("""COMPUTED_VALUE"""),"No")</f>
        <v>No</v>
      </c>
      <c r="AA678" s="38">
        <f>IFERROR(__xludf.DUMMYFUNCTION("""COMPUTED_VALUE"""),41869.0)</f>
        <v>41869</v>
      </c>
      <c r="AB678" s="38">
        <f>IFERROR(__xludf.DUMMYFUNCTION("""COMPUTED_VALUE"""),41876.0)</f>
        <v>41876</v>
      </c>
      <c r="AF678" s="39"/>
      <c r="AG678" s="39"/>
      <c r="AH678" s="34" t="str">
        <f>IFERROR(__xludf.DUMMYFUNCTION("""COMPUTED_VALUE"""),"PROCESO DE SELECCIÓN")</f>
        <v>PROCESO DE SELECCIÓN</v>
      </c>
      <c r="AI678" s="34"/>
      <c r="AJ678" s="34"/>
      <c r="AK678" s="34" t="str">
        <f>IFERROR(__xludf.DUMMYFUNCTION("""COMPUTED_VALUE"""),"E")</f>
        <v>E</v>
      </c>
      <c r="AL678">
        <f>IFERROR(__xludf.DUMMYFUNCTION("""COMPUTED_VALUE"""),30.0)</f>
        <v>30</v>
      </c>
      <c r="AM678">
        <f>IFERROR(__xludf.DUMMYFUNCTION("""COMPUTED_VALUE"""),2014.0)</f>
        <v>2014</v>
      </c>
      <c r="AN678" t="str">
        <f t="shared" si="1"/>
        <v>17411947-3</v>
      </c>
    </row>
    <row r="679">
      <c r="A679" s="33">
        <f>IFERROR(__xludf.DUMMYFUNCTION("""COMPUTED_VALUE"""),1.562301E7)</f>
        <v>15623010</v>
      </c>
      <c r="B679" s="33">
        <f>IFERROR(__xludf.DUMMYFUNCTION("""COMPUTED_VALUE"""),85.0)</f>
        <v>85</v>
      </c>
      <c r="C679" s="33"/>
      <c r="D679" s="34" t="str">
        <f>IFERROR(__xludf.DUMMYFUNCTION("""COMPUTED_VALUE"""),"SECRETARIA GENERAL")</f>
        <v>SECRETARIA GENERAL</v>
      </c>
      <c r="E679" s="34" t="str">
        <f>IFERROR(__xludf.DUMMYFUNCTION("""COMPUTED_VALUE"""),"SECRETARIA GENERAL")</f>
        <v>SECRETARIA GENERAL</v>
      </c>
      <c r="F679" s="34" t="str">
        <f>IFERROR(__xludf.DUMMYFUNCTION("""COMPUTED_VALUE"""),"Administrativo de Apoyo")</f>
        <v>Administrativo de Apoyo</v>
      </c>
      <c r="G679" s="33" t="str">
        <f>IFERROR(__xludf.DUMMYFUNCTION("""COMPUTED_VALUE"""),"ADMINISTRATIVO DE APOYO")</f>
        <v>ADMINISTRATIVO DE APOYO</v>
      </c>
      <c r="H679">
        <f>IFERROR(__xludf.DUMMYFUNCTION("""COMPUTED_VALUE"""),20.0)</f>
        <v>20</v>
      </c>
      <c r="I679" s="34"/>
      <c r="J679" s="33" t="str">
        <f>IFERROR(__xludf.DUMMYFUNCTION("""COMPUTED_VALUE"""),"A CONTRATA")</f>
        <v>A CONTRATA</v>
      </c>
      <c r="K679" s="33" t="str">
        <f>IFERROR(__xludf.DUMMYFUNCTION("""COMPUTED_VALUE"""),"ADMINISTRATIVO")</f>
        <v>ADMINISTRATIVO</v>
      </c>
      <c r="L679" s="34" t="str">
        <f>IFERROR(__xludf.DUMMYFUNCTION("""COMPUTED_VALUE"""),"INTERNO")</f>
        <v>INTERNO</v>
      </c>
      <c r="M679" s="34">
        <f>IFERROR(__xludf.DUMMYFUNCTION("""COMPUTED_VALUE"""),0.0)</f>
        <v>0</v>
      </c>
      <c r="N679" s="34" t="str">
        <f>IFERROR(__xludf.DUMMYFUNCTION("""COMPUTED_VALUE"""),"EXTERNO")</f>
        <v>EXTERNO</v>
      </c>
      <c r="O679">
        <f>IFERROR(__xludf.DUMMYFUNCTION("""COMPUTED_VALUE"""),29.0)</f>
        <v>29</v>
      </c>
      <c r="P679">
        <f>IFERROR(__xludf.DUMMYFUNCTION("""COMPUTED_VALUE"""),1.0)</f>
        <v>1</v>
      </c>
      <c r="Q679" s="35">
        <f>IFERROR(__xludf.DUMMYFUNCTION("""COMPUTED_VALUE"""),1.0)</f>
        <v>1</v>
      </c>
      <c r="R679" s="36" t="str">
        <f>IFERROR(__xludf.DUMMYFUNCTION("""COMPUTED_VALUE"""),"SELECCIONADO")</f>
        <v>SELECCIONADO</v>
      </c>
      <c r="S679" s="37">
        <f>IFERROR(__xludf.DUMMYFUNCTION("""COMPUTED_VALUE"""),41953.0)</f>
        <v>41953</v>
      </c>
      <c r="T679" s="34"/>
      <c r="U679" t="str">
        <f>IFERROR(__xludf.DUMMYFUNCTION("""COMPUTED_VALUE"""),"LUIS FRIAS SAAVEDRA")</f>
        <v>LUIS FRIAS SAAVEDRA</v>
      </c>
      <c r="V679" t="str">
        <f>IFERROR(__xludf.DUMMYFUNCTION("""COMPUTED_VALUE"""),"15623010-3")</f>
        <v>15623010-3</v>
      </c>
      <c r="W679" t="str">
        <f>IFERROR(__xludf.DUMMYFUNCTION("""COMPUTED_VALUE"""),"SI")</f>
        <v>SI</v>
      </c>
      <c r="X679" t="str">
        <f>IFERROR(__xludf.DUMMYFUNCTION("""COMPUTED_VALUE"""),"COMUNICACION")</f>
        <v>COMUNICACION</v>
      </c>
      <c r="AA679" s="38">
        <f>IFERROR(__xludf.DUMMYFUNCTION("""COMPUTED_VALUE"""),41870.0)</f>
        <v>41870</v>
      </c>
      <c r="AB679" s="38">
        <f>IFERROR(__xludf.DUMMYFUNCTION("""COMPUTED_VALUE"""),41877.0)</f>
        <v>41877</v>
      </c>
      <c r="AC679">
        <f>IFERROR(__xludf.DUMMYFUNCTION("""COMPUTED_VALUE"""),20.0)</f>
        <v>20</v>
      </c>
      <c r="AD679" t="str">
        <f>IFERROR(__xludf.DUMMYFUNCTION("""COMPUTED_VALUE"""),"ADMINISTRATIVO")</f>
        <v>ADMINISTRATIVO</v>
      </c>
      <c r="AF679" s="39"/>
      <c r="AG679" s="39"/>
      <c r="AH679" s="34" t="str">
        <f>IFERROR(__xludf.DUMMYFUNCTION("""COMPUTED_VALUE"""),"PROCESO DE SELECCIÓN")</f>
        <v>PROCESO DE SELECCIÓN</v>
      </c>
      <c r="AI679" s="34"/>
      <c r="AJ679" s="34"/>
      <c r="AK679" s="34" t="str">
        <f>IFERROR(__xludf.DUMMYFUNCTION("""COMPUTED_VALUE"""),"E")</f>
        <v>E</v>
      </c>
      <c r="AL679">
        <f>IFERROR(__xludf.DUMMYFUNCTION("""COMPUTED_VALUE"""),55.0)</f>
        <v>55</v>
      </c>
      <c r="AM679">
        <f>IFERROR(__xludf.DUMMYFUNCTION("""COMPUTED_VALUE"""),2014.0)</f>
        <v>2014</v>
      </c>
      <c r="AN679" t="str">
        <f t="shared" si="1"/>
        <v>15623010-3</v>
      </c>
    </row>
    <row r="680">
      <c r="A680" s="33">
        <f>IFERROR(__xludf.DUMMYFUNCTION("""COMPUTED_VALUE"""),1.3920637E7)</f>
        <v>13920637</v>
      </c>
      <c r="B680" s="33">
        <f>IFERROR(__xludf.DUMMYFUNCTION("""COMPUTED_VALUE"""),86.0)</f>
        <v>86</v>
      </c>
      <c r="C680" s="33"/>
      <c r="D680" s="34" t="str">
        <f>IFERROR(__xludf.DUMMYFUNCTION("""COMPUTED_VALUE"""),"PRORRECTORIA")</f>
        <v>PRORRECTORIA</v>
      </c>
      <c r="E680" s="34" t="str">
        <f>IFERROR(__xludf.DUMMYFUNCTION("""COMPUTED_VALUE"""),"UNIDAD DE BIENESTAR DEL PERSONAL")</f>
        <v>UNIDAD DE BIENESTAR DEL PERSONAL</v>
      </c>
      <c r="F680" s="34" t="str">
        <f>IFERROR(__xludf.DUMMYFUNCTION("""COMPUTED_VALUE"""),"Técnico en Atención de Párvulos")</f>
        <v>Técnico en Atención de Párvulos</v>
      </c>
      <c r="G680" s="33" t="str">
        <f>IFERROR(__xludf.DUMMYFUNCTION("""COMPUTED_VALUE"""),"TECNICO EN PARVULOS")</f>
        <v>TECNICO EN PARVULOS</v>
      </c>
      <c r="H680">
        <f>IFERROR(__xludf.DUMMYFUNCTION("""COMPUTED_VALUE"""),21.0)</f>
        <v>21</v>
      </c>
      <c r="I680" s="34"/>
      <c r="J680" s="33" t="str">
        <f>IFERROR(__xludf.DUMMYFUNCTION("""COMPUTED_VALUE"""),"A CONTRATA")</f>
        <v>A CONTRATA</v>
      </c>
      <c r="K680" s="33" t="str">
        <f>IFERROR(__xludf.DUMMYFUNCTION("""COMPUTED_VALUE"""),"TECNICO")</f>
        <v>TECNICO</v>
      </c>
      <c r="L680" s="34" t="str">
        <f>IFERROR(__xludf.DUMMYFUNCTION("""COMPUTED_VALUE"""),"INTERNO")</f>
        <v>INTERNO</v>
      </c>
      <c r="M680" s="34">
        <f>IFERROR(__xludf.DUMMYFUNCTION("""COMPUTED_VALUE"""),0.0)</f>
        <v>0</v>
      </c>
      <c r="N680" s="34" t="str">
        <f>IFERROR(__xludf.DUMMYFUNCTION("""COMPUTED_VALUE"""),"EXTERNO")</f>
        <v>EXTERNO</v>
      </c>
      <c r="O680">
        <f>IFERROR(__xludf.DUMMYFUNCTION("""COMPUTED_VALUE"""),16.0)</f>
        <v>16</v>
      </c>
      <c r="P680">
        <f>IFERROR(__xludf.DUMMYFUNCTION("""COMPUTED_VALUE"""),2.0)</f>
        <v>2</v>
      </c>
      <c r="Q680" s="35">
        <f>IFERROR(__xludf.DUMMYFUNCTION("""COMPUTED_VALUE"""),3.0)</f>
        <v>3</v>
      </c>
      <c r="R680" s="36" t="str">
        <f>IFERROR(__xludf.DUMMYFUNCTION("""COMPUTED_VALUE"""),"SELECCIONADA")</f>
        <v>SELECCIONADA</v>
      </c>
      <c r="S680" s="37">
        <f>IFERROR(__xludf.DUMMYFUNCTION("""COMPUTED_VALUE"""),41913.0)</f>
        <v>41913</v>
      </c>
      <c r="T680" s="34"/>
      <c r="U680" t="str">
        <f>IFERROR(__xludf.DUMMYFUNCTION("""COMPUTED_VALUE"""),"DANIELA IRIGOYEN INFANTE")</f>
        <v>DANIELA IRIGOYEN INFANTE</v>
      </c>
      <c r="V680" t="str">
        <f>IFERROR(__xludf.DUMMYFUNCTION("""COMPUTED_VALUE"""),"13920637-1")</f>
        <v>13920637-1</v>
      </c>
      <c r="W680" t="str">
        <f>IFERROR(__xludf.DUMMYFUNCTION("""COMPUTED_VALUE"""),"SI")</f>
        <v>SI</v>
      </c>
      <c r="X680" t="str">
        <f>IFERROR(__xludf.DUMMYFUNCTION("""COMPUTED_VALUE"""),"AUTOCONTROL")</f>
        <v>AUTOCONTROL</v>
      </c>
      <c r="AA680" s="38">
        <f>IFERROR(__xludf.DUMMYFUNCTION("""COMPUTED_VALUE"""),41870.0)</f>
        <v>41870</v>
      </c>
      <c r="AB680" s="38">
        <f>IFERROR(__xludf.DUMMYFUNCTION("""COMPUTED_VALUE"""),41877.0)</f>
        <v>41877</v>
      </c>
      <c r="AF680" s="39"/>
      <c r="AG680" s="39"/>
      <c r="AH680" s="34" t="str">
        <f>IFERROR(__xludf.DUMMYFUNCTION("""COMPUTED_VALUE"""),"PROCESO DE SELECCIÓN")</f>
        <v>PROCESO DE SELECCIÓN</v>
      </c>
      <c r="AI680" s="34"/>
      <c r="AJ680" s="34"/>
      <c r="AK680" s="34" t="str">
        <f>IFERROR(__xludf.DUMMYFUNCTION("""COMPUTED_VALUE"""),"C")</f>
        <v>C</v>
      </c>
      <c r="AL680">
        <f>IFERROR(__xludf.DUMMYFUNCTION("""COMPUTED_VALUE"""),27.0)</f>
        <v>27</v>
      </c>
      <c r="AM680">
        <f>IFERROR(__xludf.DUMMYFUNCTION("""COMPUTED_VALUE"""),2014.0)</f>
        <v>2014</v>
      </c>
      <c r="AN680" t="str">
        <f t="shared" si="1"/>
        <v>13920637-1</v>
      </c>
    </row>
    <row r="681">
      <c r="A681" s="33">
        <f>IFERROR(__xludf.DUMMYFUNCTION("""COMPUTED_VALUE"""),1.5585394E7)</f>
        <v>15585394</v>
      </c>
      <c r="B681" s="33">
        <f>IFERROR(__xludf.DUMMYFUNCTION("""COMPUTED_VALUE"""),83.0)</f>
        <v>83</v>
      </c>
      <c r="C681" s="33"/>
      <c r="D681" s="34" t="str">
        <f>IFERROR(__xludf.DUMMYFUNCTION("""COMPUTED_VALUE"""),"FACULTAD DE CIENCIAS MEDICAS")</f>
        <v>FACULTAD DE CIENCIAS MEDICAS</v>
      </c>
      <c r="E681" s="34" t="str">
        <f>IFERROR(__xludf.DUMMYFUNCTION("""COMPUTED_VALUE"""),"FACULTAD DE CIENCIAS MEDICAS")</f>
        <v>FACULTAD DE CIENCIAS MEDICAS</v>
      </c>
      <c r="F681" s="34" t="str">
        <f>IFERROR(__xludf.DUMMYFUNCTION("""COMPUTED_VALUE"""),"Administrativo de Registro Curricular")</f>
        <v>Administrativo de Registro Curricular</v>
      </c>
      <c r="G681" s="33" t="str">
        <f>IFERROR(__xludf.DUMMYFUNCTION("""COMPUTED_VALUE"""),"ADMINISTRATIVO DE REGISTRO CURRICULAR")</f>
        <v>ADMINISTRATIVO DE REGISTRO CURRICULAR</v>
      </c>
      <c r="H681">
        <f>IFERROR(__xludf.DUMMYFUNCTION("""COMPUTED_VALUE"""),17.0)</f>
        <v>17</v>
      </c>
      <c r="I681" s="34"/>
      <c r="J681" s="33" t="str">
        <f>IFERROR(__xludf.DUMMYFUNCTION("""COMPUTED_VALUE"""),"A CONTRATA")</f>
        <v>A CONTRATA</v>
      </c>
      <c r="K681" s="33" t="str">
        <f>IFERROR(__xludf.DUMMYFUNCTION("""COMPUTED_VALUE"""),"ADMINISTRATIVO")</f>
        <v>ADMINISTRATIVO</v>
      </c>
      <c r="L681" s="34" t="str">
        <f>IFERROR(__xludf.DUMMYFUNCTION("""COMPUTED_VALUE"""),"INTERNO")</f>
        <v>INTERNO</v>
      </c>
      <c r="M681" s="34">
        <f>IFERROR(__xludf.DUMMYFUNCTION("""COMPUTED_VALUE"""),1.0)</f>
        <v>1</v>
      </c>
      <c r="N681" s="34" t="str">
        <f>IFERROR(__xludf.DUMMYFUNCTION("""COMPUTED_VALUE"""),"EXTERNO")</f>
        <v>EXTERNO</v>
      </c>
      <c r="O681">
        <f>IFERROR(__xludf.DUMMYFUNCTION("""COMPUTED_VALUE"""),9.0)</f>
        <v>9</v>
      </c>
      <c r="P681">
        <f>IFERROR(__xludf.DUMMYFUNCTION("""COMPUTED_VALUE"""),1.0)</f>
        <v>1</v>
      </c>
      <c r="Q681" s="35">
        <f>IFERROR(__xludf.DUMMYFUNCTION("""COMPUTED_VALUE"""),1.0)</f>
        <v>1</v>
      </c>
      <c r="R681" s="36" t="str">
        <f>IFERROR(__xludf.DUMMYFUNCTION("""COMPUTED_VALUE"""),"SELECCIONADA")</f>
        <v>SELECCIONADA</v>
      </c>
      <c r="S681" s="37">
        <f>IFERROR(__xludf.DUMMYFUNCTION("""COMPUTED_VALUE"""),41944.0)</f>
        <v>41944</v>
      </c>
      <c r="T681" s="34"/>
      <c r="U681" t="str">
        <f>IFERROR(__xludf.DUMMYFUNCTION("""COMPUTED_VALUE"""),"ELIZABETH FUENTES ROJAS")</f>
        <v>ELIZABETH FUENTES ROJAS</v>
      </c>
      <c r="V681" t="str">
        <f>IFERROR(__xludf.DUMMYFUNCTION("""COMPUTED_VALUE"""),"15585394-8")</f>
        <v>15585394-8</v>
      </c>
      <c r="W681" t="str">
        <f>IFERROR(__xludf.DUMMYFUNCTION("""COMPUTED_VALUE"""),"No")</f>
        <v>No</v>
      </c>
      <c r="AA681" s="38">
        <f>IFERROR(__xludf.DUMMYFUNCTION("""COMPUTED_VALUE"""),41876.0)</f>
        <v>41876</v>
      </c>
      <c r="AB681" s="38">
        <f>IFERROR(__xludf.DUMMYFUNCTION("""COMPUTED_VALUE"""),41883.0)</f>
        <v>41883</v>
      </c>
      <c r="AF681" s="39"/>
      <c r="AG681" s="39"/>
      <c r="AH681" s="34" t="str">
        <f>IFERROR(__xludf.DUMMYFUNCTION("""COMPUTED_VALUE"""),"PROCESO DE SELECCIÓN")</f>
        <v>PROCESO DE SELECCIÓN</v>
      </c>
      <c r="AI681" s="34"/>
      <c r="AJ681" s="34"/>
      <c r="AK681" s="34" t="str">
        <f>IFERROR(__xludf.DUMMYFUNCTION("""COMPUTED_VALUE"""),"P")</f>
        <v>P</v>
      </c>
      <c r="AL681">
        <f>IFERROR(__xludf.DUMMYFUNCTION("""COMPUTED_VALUE"""),45.0)</f>
        <v>45</v>
      </c>
      <c r="AM681">
        <f>IFERROR(__xludf.DUMMYFUNCTION("""COMPUTED_VALUE"""),2014.0)</f>
        <v>2014</v>
      </c>
      <c r="AN681" t="str">
        <f t="shared" si="1"/>
        <v>15585394-8</v>
      </c>
    </row>
    <row r="682">
      <c r="A682" s="33">
        <f>IFERROR(__xludf.DUMMYFUNCTION("""COMPUTED_VALUE"""),1.8756734E7)</f>
        <v>18756734</v>
      </c>
      <c r="B682" s="33">
        <f>IFERROR(__xludf.DUMMYFUNCTION("""COMPUTED_VALUE"""),112.0)</f>
        <v>112</v>
      </c>
      <c r="C682" s="33"/>
      <c r="D682" s="34" t="str">
        <f>IFERROR(__xludf.DUMMYFUNCTION("""COMPUTED_VALUE"""),"FACULTAD DE INGENIERIA")</f>
        <v>FACULTAD DE INGENIERIA</v>
      </c>
      <c r="E682" s="34" t="str">
        <f>IFERROR(__xludf.DUMMYFUNCTION("""COMPUTED_VALUE"""),"FACULTAD DE INGENIERIA")</f>
        <v>FACULTAD DE INGENIERIA</v>
      </c>
      <c r="F682" s="34" t="str">
        <f>IFERROR(__xludf.DUMMYFUNCTION("""COMPUTED_VALUE"""),"Secretario C")</f>
        <v>Secretario C</v>
      </c>
      <c r="G682" s="33" t="str">
        <f>IFERROR(__xludf.DUMMYFUNCTION("""COMPUTED_VALUE"""),"SECRETARIA ADMINISTRATIVA")</f>
        <v>SECRETARIA ADMINISTRATIVA</v>
      </c>
      <c r="H682">
        <f>IFERROR(__xludf.DUMMYFUNCTION("""COMPUTED_VALUE"""),20.0)</f>
        <v>20</v>
      </c>
      <c r="I682" s="34"/>
      <c r="J682" s="33" t="str">
        <f>IFERROR(__xludf.DUMMYFUNCTION("""COMPUTED_VALUE"""),"A CONTRATA")</f>
        <v>A CONTRATA</v>
      </c>
      <c r="K682" s="33" t="str">
        <f>IFERROR(__xludf.DUMMYFUNCTION("""COMPUTED_VALUE"""),"ADMINISTRATIVO")</f>
        <v>ADMINISTRATIVO</v>
      </c>
      <c r="L682" s="34" t="str">
        <f>IFERROR(__xludf.DUMMYFUNCTION("""COMPUTED_VALUE"""),"INTERNO")</f>
        <v>INTERNO</v>
      </c>
      <c r="M682" s="34">
        <f>IFERROR(__xludf.DUMMYFUNCTION("""COMPUTED_VALUE"""),0.0)</f>
        <v>0</v>
      </c>
      <c r="N682" s="34" t="str">
        <f>IFERROR(__xludf.DUMMYFUNCTION("""COMPUTED_VALUE"""),"EXTERNO")</f>
        <v>EXTERNO</v>
      </c>
      <c r="O682">
        <f>IFERROR(__xludf.DUMMYFUNCTION("""COMPUTED_VALUE"""),5.0)</f>
        <v>5</v>
      </c>
      <c r="P682">
        <f>IFERROR(__xludf.DUMMYFUNCTION("""COMPUTED_VALUE"""),1.0)</f>
        <v>1</v>
      </c>
      <c r="Q682" s="35">
        <f>IFERROR(__xludf.DUMMYFUNCTION("""COMPUTED_VALUE"""),2.0)</f>
        <v>2</v>
      </c>
      <c r="R682" s="36" t="str">
        <f>IFERROR(__xludf.DUMMYFUNCTION("""COMPUTED_VALUE"""),"SELECCIONADA")</f>
        <v>SELECCIONADA</v>
      </c>
      <c r="S682" s="37">
        <f>IFERROR(__xludf.DUMMYFUNCTION("""COMPUTED_VALUE"""),41927.0)</f>
        <v>41927</v>
      </c>
      <c r="T682" s="34"/>
      <c r="U682" t="str">
        <f>IFERROR(__xludf.DUMMYFUNCTION("""COMPUTED_VALUE"""),"ROMINA ROJAS TREMOLAO")</f>
        <v>ROMINA ROJAS TREMOLAO</v>
      </c>
      <c r="V682" t="str">
        <f>IFERROR(__xludf.DUMMYFUNCTION("""COMPUTED_VALUE"""),"18756734-3")</f>
        <v>18756734-3</v>
      </c>
      <c r="W682" t="str">
        <f>IFERROR(__xludf.DUMMYFUNCTION("""COMPUTED_VALUE"""),"SI")</f>
        <v>SI</v>
      </c>
      <c r="X682" t="str">
        <f>IFERROR(__xludf.DUMMYFUNCTION("""COMPUTED_VALUE"""),"PREOCUPACION POR EL ORDEN Y LA CLARIDAD")</f>
        <v>PREOCUPACION POR EL ORDEN Y LA CLARIDAD</v>
      </c>
      <c r="AA682" s="38">
        <f>IFERROR(__xludf.DUMMYFUNCTION("""COMPUTED_VALUE"""),41878.0)</f>
        <v>41878</v>
      </c>
      <c r="AB682" s="38">
        <f>IFERROR(__xludf.DUMMYFUNCTION("""COMPUTED_VALUE"""),41885.0)</f>
        <v>41885</v>
      </c>
      <c r="AF682" s="39"/>
      <c r="AG682" s="39"/>
      <c r="AH682" s="34" t="str">
        <f>IFERROR(__xludf.DUMMYFUNCTION("""COMPUTED_VALUE"""),"PROCESO DE SELECCIÓN")</f>
        <v>PROCESO DE SELECCIÓN</v>
      </c>
      <c r="AI682" s="34"/>
      <c r="AJ682" s="34"/>
      <c r="AK682" s="34" t="str">
        <f>IFERROR(__xludf.DUMMYFUNCTION("""COMPUTED_VALUE"""),"P")</f>
        <v>P</v>
      </c>
      <c r="AL682">
        <f>IFERROR(__xludf.DUMMYFUNCTION("""COMPUTED_VALUE"""),31.0)</f>
        <v>31</v>
      </c>
      <c r="AM682">
        <f>IFERROR(__xludf.DUMMYFUNCTION("""COMPUTED_VALUE"""),2014.0)</f>
        <v>2014</v>
      </c>
      <c r="AN682" t="str">
        <f t="shared" si="1"/>
        <v>18756734-3</v>
      </c>
    </row>
    <row r="683">
      <c r="A683" s="33">
        <f>IFERROR(__xludf.DUMMYFUNCTION("""COMPUTED_VALUE"""),1.6747183E7)</f>
        <v>16747183</v>
      </c>
      <c r="B683" s="33">
        <f>IFERROR(__xludf.DUMMYFUNCTION("""COMPUTED_VALUE"""),125.0)</f>
        <v>125</v>
      </c>
      <c r="C683" s="33"/>
      <c r="D683" s="34" t="str">
        <f>IFERROR(__xludf.DUMMYFUNCTION("""COMPUTED_VALUE"""),"FACULTAD DE HUMANIDADES")</f>
        <v>FACULTAD DE HUMANIDADES</v>
      </c>
      <c r="E683" s="34" t="str">
        <f>IFERROR(__xludf.DUMMYFUNCTION("""COMPUTED_VALUE"""),"FACULTAD DE HUMANIDADES")</f>
        <v>FACULTAD DE HUMANIDADES</v>
      </c>
      <c r="F683" s="34" t="str">
        <f>IFERROR(__xludf.DUMMYFUNCTION("""COMPUTED_VALUE"""),"Analista de Gestión I")</f>
        <v>Analista de Gestión I</v>
      </c>
      <c r="G683" s="33" t="str">
        <f>IFERROR(__xludf.DUMMYFUNCTION("""COMPUTED_VALUE"""),"ANALISTA DE GESTION")</f>
        <v>ANALISTA DE GESTION</v>
      </c>
      <c r="H683">
        <f>IFERROR(__xludf.DUMMYFUNCTION("""COMPUTED_VALUE"""),10.0)</f>
        <v>10</v>
      </c>
      <c r="I683" s="34"/>
      <c r="J683" s="33" t="str">
        <f>IFERROR(__xludf.DUMMYFUNCTION("""COMPUTED_VALUE"""),"A CONTRATA")</f>
        <v>A CONTRATA</v>
      </c>
      <c r="K683" s="33" t="str">
        <f>IFERROR(__xludf.DUMMYFUNCTION("""COMPUTED_VALUE"""),"PROFESIONAL")</f>
        <v>PROFESIONAL</v>
      </c>
      <c r="L683" s="34" t="str">
        <f>IFERROR(__xludf.DUMMYFUNCTION("""COMPUTED_VALUE"""),"INTERNO")</f>
        <v>INTERNO</v>
      </c>
      <c r="M683" s="34">
        <f>IFERROR(__xludf.DUMMYFUNCTION("""COMPUTED_VALUE"""),11.0)</f>
        <v>11</v>
      </c>
      <c r="N683" s="34" t="str">
        <f>IFERROR(__xludf.DUMMYFUNCTION("""COMPUTED_VALUE"""),"NO")</f>
        <v>NO</v>
      </c>
      <c r="P683">
        <f>IFERROR(__xludf.DUMMYFUNCTION("""COMPUTED_VALUE"""),3.0)</f>
        <v>3</v>
      </c>
      <c r="Q683" s="35">
        <f>IFERROR(__xludf.DUMMYFUNCTION("""COMPUTED_VALUE"""),0.0)</f>
        <v>0</v>
      </c>
      <c r="R683" s="36" t="str">
        <f>IFERROR(__xludf.DUMMYFUNCTION("""COMPUTED_VALUE"""),"SELECCIONADO")</f>
        <v>SELECCIONADO</v>
      </c>
      <c r="S683" s="37">
        <f>IFERROR(__xludf.DUMMYFUNCTION("""COMPUTED_VALUE"""),41982.0)</f>
        <v>41982</v>
      </c>
      <c r="T683" s="34" t="str">
        <f>IFERROR(__xludf.DUMMYFUNCTION("""COMPUTED_VALUE"""),"HECTOR RIOS JARA")</f>
        <v>HECTOR RIOS JARA</v>
      </c>
      <c r="V683" t="str">
        <f>IFERROR(__xludf.DUMMYFUNCTION("""COMPUTED_VALUE"""),"16747183-8")</f>
        <v>16747183-8</v>
      </c>
      <c r="W683" t="str">
        <f>IFERROR(__xludf.DUMMYFUNCTION("""COMPUTED_VALUE"""),"SI")</f>
        <v>SI</v>
      </c>
      <c r="Y683" t="str">
        <f>IFERROR(__xludf.DUMMYFUNCTION("""COMPUTED_VALUE"""),"Orientacion a los Resultados")</f>
        <v>Orientacion a los Resultados</v>
      </c>
      <c r="Z683" t="str">
        <f>IFERROR(__xludf.DUMMYFUNCTION("""COMPUTED_VALUE"""),"TRABAJO EN EQUIPO")</f>
        <v>TRABAJO EN EQUIPO</v>
      </c>
      <c r="AA683" s="38">
        <f>IFERROR(__xludf.DUMMYFUNCTION("""COMPUTED_VALUE"""),41879.0)</f>
        <v>41879</v>
      </c>
      <c r="AB683" s="38">
        <f>IFERROR(__xludf.DUMMYFUNCTION("""COMPUTED_VALUE"""),41886.0)</f>
        <v>41886</v>
      </c>
      <c r="AD683" t="str">
        <f>IFERROR(__xludf.DUMMYFUNCTION("""COMPUTED_VALUE"""),"PROFESOR HRA")</f>
        <v>PROFESOR HRA</v>
      </c>
      <c r="AF683" s="39"/>
      <c r="AG683" s="39"/>
      <c r="AH683" s="34" t="str">
        <f>IFERROR(__xludf.DUMMYFUNCTION("""COMPUTED_VALUE"""),"PROCESO DE SELECCIÓN")</f>
        <v>PROCESO DE SELECCIÓN</v>
      </c>
      <c r="AI683" s="34" t="str">
        <f>IFERROR(__xludf.DUMMYFUNCTION("""COMPUTED_VALUE"""),"TAMARA WONG")</f>
        <v>TAMARA WONG</v>
      </c>
      <c r="AJ683" s="34"/>
      <c r="AK683" s="34" t="str">
        <f>IFERROR(__xludf.DUMMYFUNCTION("""COMPUTED_VALUE"""),"P")</f>
        <v>P</v>
      </c>
      <c r="AL683">
        <f>IFERROR(__xludf.DUMMYFUNCTION("""COMPUTED_VALUE"""),69.0)</f>
        <v>69</v>
      </c>
      <c r="AM683">
        <f>IFERROR(__xludf.DUMMYFUNCTION("""COMPUTED_VALUE"""),2014.0)</f>
        <v>2014</v>
      </c>
      <c r="AN683" t="str">
        <f t="shared" si="1"/>
        <v>16747183-8</v>
      </c>
    </row>
    <row r="684">
      <c r="A684" s="33">
        <f>IFERROR(__xludf.DUMMYFUNCTION("""COMPUTED_VALUE"""),1.3549917E7)</f>
        <v>13549917</v>
      </c>
      <c r="B684" s="33">
        <f>IFERROR(__xludf.DUMMYFUNCTION("""COMPUTED_VALUE"""),120.0)</f>
        <v>120</v>
      </c>
      <c r="C684" s="33"/>
      <c r="D684" s="34" t="str">
        <f>IFERROR(__xludf.DUMMYFUNCTION("""COMPUTED_VALUE"""),"VICERRECTORIA DE INVESTIGACION, DESARROLLO E INNOVACION")</f>
        <v>VICERRECTORIA DE INVESTIGACION, DESARROLLO E INNOVACION</v>
      </c>
      <c r="E684" s="34" t="str">
        <f>IFERROR(__xludf.DUMMYFUNCTION("""COMPUTED_VALUE"""),"CEUS-LLANQUIHUE")</f>
        <v>CEUS-LLANQUIHUE</v>
      </c>
      <c r="F684" s="34" t="str">
        <f>IFERROR(__xludf.DUMMYFUNCTION("""COMPUTED_VALUE"""),"Encargado de Laboratorio")</f>
        <v>Encargado de Laboratorio</v>
      </c>
      <c r="G684" s="33" t="str">
        <f>IFERROR(__xludf.DUMMYFUNCTION("""COMPUTED_VALUE"""),"ENCARGADO DE LABORATORIO")</f>
        <v>ENCARGADO DE LABORATORIO</v>
      </c>
      <c r="H684">
        <f>IFERROR(__xludf.DUMMYFUNCTION("""COMPUTED_VALUE"""),13.0)</f>
        <v>13</v>
      </c>
      <c r="I684" s="34"/>
      <c r="J684" s="33" t="str">
        <f>IFERROR(__xludf.DUMMYFUNCTION("""COMPUTED_VALUE"""),"A CONTRATA")</f>
        <v>A CONTRATA</v>
      </c>
      <c r="K684" s="33" t="str">
        <f>IFERROR(__xludf.DUMMYFUNCTION("""COMPUTED_VALUE"""),"PROFESIONAL")</f>
        <v>PROFESIONAL</v>
      </c>
      <c r="L684" s="34"/>
      <c r="M684" s="34"/>
      <c r="N684" s="34"/>
      <c r="P684">
        <f>IFERROR(__xludf.DUMMYFUNCTION("""COMPUTED_VALUE"""),2.0)</f>
        <v>2</v>
      </c>
      <c r="Q684" s="35">
        <f>IFERROR(__xludf.DUMMYFUNCTION("""COMPUTED_VALUE"""),0.0)</f>
        <v>0</v>
      </c>
      <c r="R684" s="36" t="str">
        <f>IFERROR(__xludf.DUMMYFUNCTION("""COMPUTED_VALUE"""),"SELECCIONADO")</f>
        <v>SELECCIONADO</v>
      </c>
      <c r="S684" s="37">
        <f>IFERROR(__xludf.DUMMYFUNCTION("""COMPUTED_VALUE"""),41918.0)</f>
        <v>41918</v>
      </c>
      <c r="T684" s="34"/>
      <c r="U684" t="str">
        <f>IFERROR(__xludf.DUMMYFUNCTION("""COMPUTED_VALUE"""),"CESAR LOPEZ RIVEROS")</f>
        <v>CESAR LOPEZ RIVEROS</v>
      </c>
      <c r="V684" t="str">
        <f>IFERROR(__xludf.DUMMYFUNCTION("""COMPUTED_VALUE"""),"13549917-K")</f>
        <v>13549917-K</v>
      </c>
      <c r="W684" t="str">
        <f>IFERROR(__xludf.DUMMYFUNCTION("""COMPUTED_VALUE"""),"SI")</f>
        <v>SI</v>
      </c>
      <c r="X684" t="str">
        <f>IFERROR(__xludf.DUMMYFUNCTION("""COMPUTED_VALUE"""),"Capacidad de Planificacion y Organizacion")</f>
        <v>Capacidad de Planificacion y Organizacion</v>
      </c>
      <c r="Y684" t="str">
        <f>IFERROR(__xludf.DUMMYFUNCTION("""COMPUTED_VALUE"""),"CONCIENCIA ORGANIZACIONAL")</f>
        <v>CONCIENCIA ORGANIZACIONAL</v>
      </c>
      <c r="AA684" s="38"/>
      <c r="AB684" s="38">
        <f>IFERROR(__xludf.DUMMYFUNCTION("""COMPUTED_VALUE"""),41890.0)</f>
        <v>41890</v>
      </c>
      <c r="AF684" s="39"/>
      <c r="AG684" s="39"/>
      <c r="AH684" s="34" t="str">
        <f>IFERROR(__xludf.DUMMYFUNCTION("""COMPUTED_VALUE"""),"PROCESO DE SELECCIÓN")</f>
        <v>PROCESO DE SELECCIÓN</v>
      </c>
      <c r="AI684" s="34"/>
      <c r="AJ684" s="34"/>
      <c r="AK684" s="34"/>
      <c r="AL684">
        <f>IFERROR(__xludf.DUMMYFUNCTION("""COMPUTED_VALUE"""),21.0)</f>
        <v>21</v>
      </c>
      <c r="AM684">
        <f>IFERROR(__xludf.DUMMYFUNCTION("""COMPUTED_VALUE"""),2014.0)</f>
        <v>2014</v>
      </c>
      <c r="AN684" t="str">
        <f t="shared" si="1"/>
        <v>13549917-K</v>
      </c>
    </row>
    <row r="685">
      <c r="A685" s="33">
        <f>IFERROR(__xludf.DUMMYFUNCTION("""COMPUTED_VALUE"""),8666537.0)</f>
        <v>8666537</v>
      </c>
      <c r="B685" s="33">
        <f>IFERROR(__xludf.DUMMYFUNCTION("""COMPUTED_VALUE"""),90.0)</f>
        <v>90</v>
      </c>
      <c r="C685" s="33"/>
      <c r="D685" s="34" t="str">
        <f>IFERROR(__xludf.DUMMYFUNCTION("""COMPUTED_VALUE"""),"RECTORIA")</f>
        <v>RECTORIA</v>
      </c>
      <c r="E685" s="34" t="str">
        <f>IFERROR(__xludf.DUMMYFUNCTION("""COMPUTED_VALUE"""),"RECTORIA")</f>
        <v>RECTORIA</v>
      </c>
      <c r="F685" s="34" t="str">
        <f>IFERROR(__xludf.DUMMYFUNCTION("""COMPUTED_VALUE"""),"Mayordomo")</f>
        <v>Mayordomo</v>
      </c>
      <c r="G685" s="33" t="str">
        <f>IFERROR(__xludf.DUMMYFUNCTION("""COMPUTED_VALUE"""),"MAYORDOMO")</f>
        <v>MAYORDOMO</v>
      </c>
      <c r="H685">
        <f>IFERROR(__xludf.DUMMYFUNCTION("""COMPUTED_VALUE"""),21.0)</f>
        <v>21</v>
      </c>
      <c r="I685" s="34"/>
      <c r="J685" s="33" t="str">
        <f>IFERROR(__xludf.DUMMYFUNCTION("""COMPUTED_VALUE"""),"A CONTRATA")</f>
        <v>A CONTRATA</v>
      </c>
      <c r="K685" s="33" t="str">
        <f>IFERROR(__xludf.DUMMYFUNCTION("""COMPUTED_VALUE"""),"AUXILIAR")</f>
        <v>AUXILIAR</v>
      </c>
      <c r="L685" s="34" t="str">
        <f>IFERROR(__xludf.DUMMYFUNCTION("""COMPUTED_VALUE"""),"INTERNO")</f>
        <v>INTERNO</v>
      </c>
      <c r="M685" s="34">
        <f>IFERROR(__xludf.DUMMYFUNCTION("""COMPUTED_VALUE"""),0.0)</f>
        <v>0</v>
      </c>
      <c r="N685" s="34" t="str">
        <f>IFERROR(__xludf.DUMMYFUNCTION("""COMPUTED_VALUE"""),"EXTERNO")</f>
        <v>EXTERNO</v>
      </c>
      <c r="O685">
        <f>IFERROR(__xludf.DUMMYFUNCTION("""COMPUTED_VALUE"""),2.0)</f>
        <v>2</v>
      </c>
      <c r="P685">
        <f>IFERROR(__xludf.DUMMYFUNCTION("""COMPUTED_VALUE"""),1.0)</f>
        <v>1</v>
      </c>
      <c r="Q685" s="35">
        <f>IFERROR(__xludf.DUMMYFUNCTION("""COMPUTED_VALUE"""),2.0)</f>
        <v>2</v>
      </c>
      <c r="R685" s="36" t="str">
        <f>IFERROR(__xludf.DUMMYFUNCTION("""COMPUTED_VALUE"""),"SELECCIONADO")</f>
        <v>SELECCIONADO</v>
      </c>
      <c r="S685" s="37">
        <f>IFERROR(__xludf.DUMMYFUNCTION("""COMPUTED_VALUE"""),41946.0)</f>
        <v>41946</v>
      </c>
      <c r="T685" s="34"/>
      <c r="U685" t="str">
        <f>IFERROR(__xludf.DUMMYFUNCTION("""COMPUTED_VALUE"""),"JUAN TOBAR CASTILLO")</f>
        <v>JUAN TOBAR CASTILLO</v>
      </c>
      <c r="V685" t="str">
        <f>IFERROR(__xludf.DUMMYFUNCTION("""COMPUTED_VALUE"""),"08666537-9")</f>
        <v>08666537-9</v>
      </c>
      <c r="W685" t="str">
        <f>IFERROR(__xludf.DUMMYFUNCTION("""COMPUTED_VALUE"""),"No")</f>
        <v>No</v>
      </c>
      <c r="AA685" s="38">
        <f>IFERROR(__xludf.DUMMYFUNCTION("""COMPUTED_VALUE"""),41885.0)</f>
        <v>41885</v>
      </c>
      <c r="AB685" s="38">
        <f>IFERROR(__xludf.DUMMYFUNCTION("""COMPUTED_VALUE"""),41892.0)</f>
        <v>41892</v>
      </c>
      <c r="AF685" s="39"/>
      <c r="AG685" s="39"/>
      <c r="AH685" s="34" t="str">
        <f>IFERROR(__xludf.DUMMYFUNCTION("""COMPUTED_VALUE"""),"PROCESO DE SELECCIÓN")</f>
        <v>PROCESO DE SELECCIÓN</v>
      </c>
      <c r="AI685" s="34"/>
      <c r="AJ685" s="34"/>
      <c r="AK685" s="34" t="str">
        <f>IFERROR(__xludf.DUMMYFUNCTION("""COMPUTED_VALUE"""),"C")</f>
        <v>C</v>
      </c>
      <c r="AL685">
        <f>IFERROR(__xludf.DUMMYFUNCTION("""COMPUTED_VALUE"""),39.0)</f>
        <v>39</v>
      </c>
      <c r="AM685">
        <f>IFERROR(__xludf.DUMMYFUNCTION("""COMPUTED_VALUE"""),2014.0)</f>
        <v>2014</v>
      </c>
      <c r="AN685" t="str">
        <f t="shared" si="1"/>
        <v>08666537-9</v>
      </c>
    </row>
    <row r="686">
      <c r="A686" s="33">
        <f>IFERROR(__xludf.DUMMYFUNCTION("""COMPUTED_VALUE"""),1.5654866E7)</f>
        <v>15654866</v>
      </c>
      <c r="B686" s="33">
        <f>IFERROR(__xludf.DUMMYFUNCTION("""COMPUTED_VALUE"""),100.0)</f>
        <v>100</v>
      </c>
      <c r="C686" s="33"/>
      <c r="D686" s="34" t="str">
        <f>IFERROR(__xludf.DUMMYFUNCTION("""COMPUTED_VALUE"""),"VICERRECTORIA DE APOYO AL ESTUDIANTE")</f>
        <v>VICERRECTORIA DE APOYO AL ESTUDIANTE</v>
      </c>
      <c r="E686" s="34" t="str">
        <f>IFERROR(__xludf.DUMMYFUNCTION("""COMPUTED_VALUE"""),"DEPARTAMENTO DE BENEFICIOS ESTUDIANTILES")</f>
        <v>DEPARTAMENTO DE BENEFICIOS ESTUDIANTILES</v>
      </c>
      <c r="F686" s="34" t="str">
        <f>IFERROR(__xludf.DUMMYFUNCTION("""COMPUTED_VALUE"""),"Analista de Gestión II")</f>
        <v>Analista de Gestión II</v>
      </c>
      <c r="G686" s="33" t="str">
        <f>IFERROR(__xludf.DUMMYFUNCTION("""COMPUTED_VALUE"""),"ANALISTA II")</f>
        <v>ANALISTA II</v>
      </c>
      <c r="H686">
        <f>IFERROR(__xludf.DUMMYFUNCTION("""COMPUTED_VALUE"""),11.0)</f>
        <v>11</v>
      </c>
      <c r="I686" s="34"/>
      <c r="J686" s="33" t="str">
        <f>IFERROR(__xludf.DUMMYFUNCTION("""COMPUTED_VALUE"""),"A CONTRATA")</f>
        <v>A CONTRATA</v>
      </c>
      <c r="K686" s="33" t="str">
        <f>IFERROR(__xludf.DUMMYFUNCTION("""COMPUTED_VALUE"""),"PROFESIONAL")</f>
        <v>PROFESIONAL</v>
      </c>
      <c r="L686" s="34" t="str">
        <f>IFERROR(__xludf.DUMMYFUNCTION("""COMPUTED_VALUE"""),"INTERNO")</f>
        <v>INTERNO</v>
      </c>
      <c r="M686" s="34">
        <f>IFERROR(__xludf.DUMMYFUNCTION("""COMPUTED_VALUE"""),3.0)</f>
        <v>3</v>
      </c>
      <c r="N686" s="34" t="str">
        <f>IFERROR(__xludf.DUMMYFUNCTION("""COMPUTED_VALUE"""),"EXTERNO")</f>
        <v>EXTERNO</v>
      </c>
      <c r="O686">
        <f>IFERROR(__xludf.DUMMYFUNCTION("""COMPUTED_VALUE"""),2.0)</f>
        <v>2</v>
      </c>
      <c r="P686">
        <f>IFERROR(__xludf.DUMMYFUNCTION("""COMPUTED_VALUE"""),2.0)</f>
        <v>2</v>
      </c>
      <c r="Q686" s="35"/>
      <c r="R686" s="36" t="str">
        <f>IFERROR(__xludf.DUMMYFUNCTION("""COMPUTED_VALUE"""),"SELECCIONADO")</f>
        <v>SELECCIONADO</v>
      </c>
      <c r="S686" s="37">
        <f>IFERROR(__xludf.DUMMYFUNCTION("""COMPUTED_VALUE"""),41953.0)</f>
        <v>41953</v>
      </c>
      <c r="T686" s="34"/>
      <c r="U686" t="str">
        <f>IFERROR(__xludf.DUMMYFUNCTION("""COMPUTED_VALUE"""),"JOSE GUTIERREZ YANEZ")</f>
        <v>JOSE GUTIERREZ YANEZ</v>
      </c>
      <c r="V686" t="str">
        <f>IFERROR(__xludf.DUMMYFUNCTION("""COMPUTED_VALUE"""),"15654866-9")</f>
        <v>15654866-9</v>
      </c>
      <c r="W686" t="str">
        <f>IFERROR(__xludf.DUMMYFUNCTION("""COMPUTED_VALUE"""),"SI")</f>
        <v>SI</v>
      </c>
      <c r="X686" t="str">
        <f>IFERROR(__xludf.DUMMYFUNCTION("""COMPUTED_VALUE"""),"COMUNICACION")</f>
        <v>COMUNICACION</v>
      </c>
      <c r="AA686" s="38">
        <f>IFERROR(__xludf.DUMMYFUNCTION("""COMPUTED_VALUE"""),41885.0)</f>
        <v>41885</v>
      </c>
      <c r="AB686" s="38">
        <f>IFERROR(__xludf.DUMMYFUNCTION("""COMPUTED_VALUE"""),41892.0)</f>
        <v>41892</v>
      </c>
      <c r="AC686">
        <f>IFERROR(__xludf.DUMMYFUNCTION("""COMPUTED_VALUE"""),11.0)</f>
        <v>11</v>
      </c>
      <c r="AD686" t="str">
        <f>IFERROR(__xludf.DUMMYFUNCTION("""COMPUTED_VALUE"""),"PROFESIONAL")</f>
        <v>PROFESIONAL</v>
      </c>
      <c r="AF686" s="39"/>
      <c r="AG686" s="39"/>
      <c r="AH686" s="34" t="str">
        <f>IFERROR(__xludf.DUMMYFUNCTION("""COMPUTED_VALUE"""),"PROCESO DE SELECCIÓN")</f>
        <v>PROCESO DE SELECCIÓN</v>
      </c>
      <c r="AI686" s="34"/>
      <c r="AJ686" s="34"/>
      <c r="AK686" s="34" t="str">
        <f>IFERROR(__xludf.DUMMYFUNCTION("""COMPUTED_VALUE"""),"C")</f>
        <v>C</v>
      </c>
      <c r="AL686">
        <f>IFERROR(__xludf.DUMMYFUNCTION("""COMPUTED_VALUE"""),44.0)</f>
        <v>44</v>
      </c>
      <c r="AM686">
        <f>IFERROR(__xludf.DUMMYFUNCTION("""COMPUTED_VALUE"""),2014.0)</f>
        <v>2014</v>
      </c>
      <c r="AN686" t="str">
        <f t="shared" si="1"/>
        <v>15654866-9</v>
      </c>
    </row>
    <row r="687">
      <c r="A687" s="33">
        <f>IFERROR(__xludf.DUMMYFUNCTION("""COMPUTED_VALUE"""),1.6639337E7)</f>
        <v>16639337</v>
      </c>
      <c r="B687" s="33">
        <f>IFERROR(__xludf.DUMMYFUNCTION("""COMPUTED_VALUE"""),87.0)</f>
        <v>87</v>
      </c>
      <c r="C687" s="33"/>
      <c r="D687" s="34" t="str">
        <f>IFERROR(__xludf.DUMMYFUNCTION("""COMPUTED_VALUE"""),"VICERRECTORIA ACADEMICA")</f>
        <v>VICERRECTORIA ACADEMICA</v>
      </c>
      <c r="E687" s="34" t="str">
        <f>IFERROR(__xludf.DUMMYFUNCTION("""COMPUTED_VALUE"""),"PROGRAMA BACHILLERATO")</f>
        <v>PROGRAMA BACHILLERATO</v>
      </c>
      <c r="F687" s="34" t="str">
        <f>IFERROR(__xludf.DUMMYFUNCTION("""COMPUTED_VALUE"""),"Administrativo de Registro Curricular")</f>
        <v>Administrativo de Registro Curricular</v>
      </c>
      <c r="G687" s="33" t="str">
        <f>IFERROR(__xludf.DUMMYFUNCTION("""COMPUTED_VALUE"""),"ADMINISTRATIVO DE REGISTRO CURRICULAR")</f>
        <v>ADMINISTRATIVO DE REGISTRO CURRICULAR</v>
      </c>
      <c r="H687">
        <f>IFERROR(__xludf.DUMMYFUNCTION("""COMPUTED_VALUE"""),17.0)</f>
        <v>17</v>
      </c>
      <c r="I687" s="34"/>
      <c r="J687" s="33" t="str">
        <f>IFERROR(__xludf.DUMMYFUNCTION("""COMPUTED_VALUE"""),"A CONTRATA")</f>
        <v>A CONTRATA</v>
      </c>
      <c r="K687" s="33" t="str">
        <f>IFERROR(__xludf.DUMMYFUNCTION("""COMPUTED_VALUE"""),"ADMINISTRATIVO")</f>
        <v>ADMINISTRATIVO</v>
      </c>
      <c r="L687" s="34" t="str">
        <f>IFERROR(__xludf.DUMMYFUNCTION("""COMPUTED_VALUE"""),"INTERNO")</f>
        <v>INTERNO</v>
      </c>
      <c r="M687" s="34">
        <f>IFERROR(__xludf.DUMMYFUNCTION("""COMPUTED_VALUE"""),1.0)</f>
        <v>1</v>
      </c>
      <c r="N687" s="34" t="str">
        <f>IFERROR(__xludf.DUMMYFUNCTION("""COMPUTED_VALUE"""),"EXTERNO")</f>
        <v>EXTERNO</v>
      </c>
      <c r="O687">
        <f>IFERROR(__xludf.DUMMYFUNCTION("""COMPUTED_VALUE"""),5.0)</f>
        <v>5</v>
      </c>
      <c r="P687">
        <f>IFERROR(__xludf.DUMMYFUNCTION("""COMPUTED_VALUE"""),1.0)</f>
        <v>1</v>
      </c>
      <c r="Q687" s="35">
        <f>IFERROR(__xludf.DUMMYFUNCTION("""COMPUTED_VALUE"""),2.0)</f>
        <v>2</v>
      </c>
      <c r="R687" s="36" t="str">
        <f>IFERROR(__xludf.DUMMYFUNCTION("""COMPUTED_VALUE"""),"SELECCIONADO")</f>
        <v>SELECCIONADO</v>
      </c>
      <c r="S687" s="37">
        <f>IFERROR(__xludf.DUMMYFUNCTION("""COMPUTED_VALUE"""),41925.0)</f>
        <v>41925</v>
      </c>
      <c r="T687" s="34"/>
      <c r="U687" t="str">
        <f>IFERROR(__xludf.DUMMYFUNCTION("""COMPUTED_VALUE"""),"CRISTIAN PILQUIMAN ARANDA")</f>
        <v>CRISTIAN PILQUIMAN ARANDA</v>
      </c>
      <c r="V687" t="str">
        <f>IFERROR(__xludf.DUMMYFUNCTION("""COMPUTED_VALUE"""),"16639337-K")</f>
        <v>16639337-K</v>
      </c>
      <c r="W687" t="str">
        <f>IFERROR(__xludf.DUMMYFUNCTION("""COMPUTED_VALUE"""),"SI")</f>
        <v>SI</v>
      </c>
      <c r="AA687" s="38">
        <f>IFERROR(__xludf.DUMMYFUNCTION("""COMPUTED_VALUE"""),41893.0)</f>
        <v>41893</v>
      </c>
      <c r="AB687" s="38">
        <f>IFERROR(__xludf.DUMMYFUNCTION("""COMPUTED_VALUE"""),41904.0)</f>
        <v>41904</v>
      </c>
      <c r="AF687" s="39"/>
      <c r="AG687" s="39"/>
      <c r="AH687" s="34" t="str">
        <f>IFERROR(__xludf.DUMMYFUNCTION("""COMPUTED_VALUE"""),"PROCESO DE SELECCIÓN")</f>
        <v>PROCESO DE SELECCIÓN</v>
      </c>
      <c r="AI687" s="34"/>
      <c r="AJ687" s="34"/>
      <c r="AK687" s="34" t="str">
        <f>IFERROR(__xludf.DUMMYFUNCTION("""COMPUTED_VALUE"""),"C")</f>
        <v>C</v>
      </c>
      <c r="AL687">
        <f>IFERROR(__xludf.DUMMYFUNCTION("""COMPUTED_VALUE"""),16.0)</f>
        <v>16</v>
      </c>
      <c r="AM687">
        <f>IFERROR(__xludf.DUMMYFUNCTION("""COMPUTED_VALUE"""),2014.0)</f>
        <v>2014</v>
      </c>
      <c r="AN687" t="str">
        <f t="shared" si="1"/>
        <v>16639337-K</v>
      </c>
    </row>
    <row r="688">
      <c r="A688" s="33">
        <f>IFERROR(__xludf.DUMMYFUNCTION("""COMPUTED_VALUE"""),1.3688765E7)</f>
        <v>13688765</v>
      </c>
      <c r="B688" s="33">
        <f>IFERROR(__xludf.DUMMYFUNCTION("""COMPUTED_VALUE"""),99.0)</f>
        <v>99</v>
      </c>
      <c r="C688" s="33"/>
      <c r="D688" s="34" t="str">
        <f>IFERROR(__xludf.DUMMYFUNCTION("""COMPUTED_VALUE"""),"SECRETARIA GENERAL")</f>
        <v>SECRETARIA GENERAL</v>
      </c>
      <c r="E688" s="34" t="str">
        <f>IFERROR(__xludf.DUMMYFUNCTION("""COMPUTED_VALUE"""),"SECRETARIA GENERAL")</f>
        <v>SECRETARIA GENERAL</v>
      </c>
      <c r="F688" s="34" t="str">
        <f>IFERROR(__xludf.DUMMYFUNCTION("""COMPUTED_VALUE"""),"Analista de Gestión II")</f>
        <v>Analista de Gestión II</v>
      </c>
      <c r="G688" s="33" t="str">
        <f>IFERROR(__xludf.DUMMYFUNCTION("""COMPUTED_VALUE"""),"ANALISTA II")</f>
        <v>ANALISTA II</v>
      </c>
      <c r="H688">
        <f>IFERROR(__xludf.DUMMYFUNCTION("""COMPUTED_VALUE"""),13.0)</f>
        <v>13</v>
      </c>
      <c r="I688" s="34"/>
      <c r="J688" s="33" t="str">
        <f>IFERROR(__xludf.DUMMYFUNCTION("""COMPUTED_VALUE"""),"A CONTRATA")</f>
        <v>A CONTRATA</v>
      </c>
      <c r="K688" s="33" t="str">
        <f>IFERROR(__xludf.DUMMYFUNCTION("""COMPUTED_VALUE"""),"PROFESIONAL")</f>
        <v>PROFESIONAL</v>
      </c>
      <c r="L688" s="34" t="str">
        <f>IFERROR(__xludf.DUMMYFUNCTION("""COMPUTED_VALUE"""),"INTERNO")</f>
        <v>INTERNO</v>
      </c>
      <c r="M688" s="34">
        <f>IFERROR(__xludf.DUMMYFUNCTION("""COMPUTED_VALUE"""),3.0)</f>
        <v>3</v>
      </c>
      <c r="N688" s="34" t="str">
        <f>IFERROR(__xludf.DUMMYFUNCTION("""COMPUTED_VALUE"""),"EXTERNO")</f>
        <v>EXTERNO</v>
      </c>
      <c r="P688">
        <f>IFERROR(__xludf.DUMMYFUNCTION("""COMPUTED_VALUE"""),1.0)</f>
        <v>1</v>
      </c>
      <c r="Q688" s="35">
        <f>IFERROR(__xludf.DUMMYFUNCTION("""COMPUTED_VALUE"""),1.0)</f>
        <v>1</v>
      </c>
      <c r="R688" s="36" t="str">
        <f>IFERROR(__xludf.DUMMYFUNCTION("""COMPUTED_VALUE"""),"SELECCIONADA")</f>
        <v>SELECCIONADA</v>
      </c>
      <c r="S688" s="37">
        <f>IFERROR(__xludf.DUMMYFUNCTION("""COMPUTED_VALUE"""),41974.0)</f>
        <v>41974</v>
      </c>
      <c r="T688" s="34" t="str">
        <f>IFERROR(__xludf.DUMMYFUNCTION("""COMPUTED_VALUE"""),"EVELYN SANZANA PROBOSTE ")</f>
        <v>EVELYN SANZANA PROBOSTE </v>
      </c>
      <c r="V688" t="str">
        <f>IFERROR(__xludf.DUMMYFUNCTION("""COMPUTED_VALUE"""),"13688765-3")</f>
        <v>13688765-3</v>
      </c>
      <c r="W688" t="str">
        <f>IFERROR(__xludf.DUMMYFUNCTION("""COMPUTED_VALUE"""),"SI")</f>
        <v>SI</v>
      </c>
      <c r="X688" t="str">
        <f>IFERROR(__xludf.DUMMYFUNCTION("""COMPUTED_VALUE"""),"Capacidad de Planificacion y Organizacion")</f>
        <v>Capacidad de Planificacion y Organizacion</v>
      </c>
      <c r="Y688" t="str">
        <f>IFERROR(__xludf.DUMMYFUNCTION("""COMPUTED_VALUE"""),"Busqueda de Informacion")</f>
        <v>Busqueda de Informacion</v>
      </c>
      <c r="AA688" s="38">
        <f>IFERROR(__xludf.DUMMYFUNCTION("""COMPUTED_VALUE"""),41893.0)</f>
        <v>41893</v>
      </c>
      <c r="AB688" s="38">
        <f>IFERROR(__xludf.DUMMYFUNCTION("""COMPUTED_VALUE"""),41908.0)</f>
        <v>41908</v>
      </c>
      <c r="AC688">
        <f>IFERROR(__xludf.DUMMYFUNCTION("""COMPUTED_VALUE"""),13.0)</f>
        <v>13</v>
      </c>
      <c r="AD688" t="str">
        <f>IFERROR(__xludf.DUMMYFUNCTION("""COMPUTED_VALUE"""),"PROFESIONAL")</f>
        <v>PROFESIONAL</v>
      </c>
      <c r="AF688" s="39" t="str">
        <f>IFERROR(__xludf.DUMMYFUNCTION("""COMPUTED_VALUE"""),"DEPARTAMENTO DE FINANZAS Y TESORERIA ")</f>
        <v>DEPARTAMENTO DE FINANZAS Y TESORERIA </v>
      </c>
      <c r="AG688" s="39"/>
      <c r="AH688" s="34" t="str">
        <f>IFERROR(__xludf.DUMMYFUNCTION("""COMPUTED_VALUE"""),"PROCESO DE SELECCIÓN")</f>
        <v>PROCESO DE SELECCIÓN</v>
      </c>
      <c r="AI688" s="34"/>
      <c r="AJ688" s="34"/>
      <c r="AK688" s="34" t="str">
        <f>IFERROR(__xludf.DUMMYFUNCTION("""COMPUTED_VALUE"""),"C")</f>
        <v>C</v>
      </c>
      <c r="AL688">
        <f>IFERROR(__xludf.DUMMYFUNCTION("""COMPUTED_VALUE"""),47.0)</f>
        <v>47</v>
      </c>
      <c r="AM688">
        <f>IFERROR(__xludf.DUMMYFUNCTION("""COMPUTED_VALUE"""),2014.0)</f>
        <v>2014</v>
      </c>
      <c r="AN688" t="str">
        <f t="shared" si="1"/>
        <v>13688765-3</v>
      </c>
    </row>
    <row r="689">
      <c r="A689" s="33">
        <f>IFERROR(__xludf.DUMMYFUNCTION("""COMPUTED_VALUE"""),1.1873105E7)</f>
        <v>11873105</v>
      </c>
      <c r="B689" s="33">
        <f>IFERROR(__xludf.DUMMYFUNCTION("""COMPUTED_VALUE"""),101.0)</f>
        <v>101</v>
      </c>
      <c r="C689" s="33"/>
      <c r="D689" s="34" t="str">
        <f>IFERROR(__xludf.DUMMYFUNCTION("""COMPUTED_VALUE"""),"FACULTAD DE QUIMICA Y BIOLOGIA")</f>
        <v>FACULTAD DE QUIMICA Y BIOLOGIA</v>
      </c>
      <c r="E689" s="34" t="str">
        <f>IFERROR(__xludf.DUMMYFUNCTION("""COMPUTED_VALUE"""),"FACULTAD DE QUIMICA Y BIOLOGIA")</f>
        <v>FACULTAD DE QUIMICA Y BIOLOGIA</v>
      </c>
      <c r="F689" s="34" t="str">
        <f>IFERROR(__xludf.DUMMYFUNCTION("""COMPUTED_VALUE"""),"Secretario de Apoyo Docente")</f>
        <v>Secretario de Apoyo Docente</v>
      </c>
      <c r="G689" s="33" t="str">
        <f>IFERROR(__xludf.DUMMYFUNCTION("""COMPUTED_VALUE"""),"SECRETARIA DE APOYO DOCENTE")</f>
        <v>SECRETARIA DE APOYO DOCENTE</v>
      </c>
      <c r="H689">
        <f>IFERROR(__xludf.DUMMYFUNCTION("""COMPUTED_VALUE"""),17.0)</f>
        <v>17</v>
      </c>
      <c r="I689" s="34"/>
      <c r="J689" s="33" t="str">
        <f>IFERROR(__xludf.DUMMYFUNCTION("""COMPUTED_VALUE"""),"A CONTRATA")</f>
        <v>A CONTRATA</v>
      </c>
      <c r="K689" s="33" t="str">
        <f>IFERROR(__xludf.DUMMYFUNCTION("""COMPUTED_VALUE"""),"ADMINISTRATIVO")</f>
        <v>ADMINISTRATIVO</v>
      </c>
      <c r="L689" s="34" t="str">
        <f>IFERROR(__xludf.DUMMYFUNCTION("""COMPUTED_VALUE"""),"INTERNO")</f>
        <v>INTERNO</v>
      </c>
      <c r="M689" s="34">
        <f>IFERROR(__xludf.DUMMYFUNCTION("""COMPUTED_VALUE"""),0.0)</f>
        <v>0</v>
      </c>
      <c r="N689" s="34" t="str">
        <f>IFERROR(__xludf.DUMMYFUNCTION("""COMPUTED_VALUE"""),"EXTERNO")</f>
        <v>EXTERNO</v>
      </c>
      <c r="O689">
        <f>IFERROR(__xludf.DUMMYFUNCTION("""COMPUTED_VALUE"""),4.0)</f>
        <v>4</v>
      </c>
      <c r="P689">
        <f>IFERROR(__xludf.DUMMYFUNCTION("""COMPUTED_VALUE"""),1.0)</f>
        <v>1</v>
      </c>
      <c r="Q689" s="35">
        <f>IFERROR(__xludf.DUMMYFUNCTION("""COMPUTED_VALUE"""),1.0)</f>
        <v>1</v>
      </c>
      <c r="R689" s="36" t="str">
        <f>IFERROR(__xludf.DUMMYFUNCTION("""COMPUTED_VALUE"""),"SELECCIONADA")</f>
        <v>SELECCIONADA</v>
      </c>
      <c r="S689" s="37">
        <f>IFERROR(__xludf.DUMMYFUNCTION("""COMPUTED_VALUE"""),41950.0)</f>
        <v>41950</v>
      </c>
      <c r="T689" s="34"/>
      <c r="U689" t="str">
        <f>IFERROR(__xludf.DUMMYFUNCTION("""COMPUTED_VALUE"""),"PATRICIA JARA AREVALO")</f>
        <v>PATRICIA JARA AREVALO</v>
      </c>
      <c r="V689" t="str">
        <f>IFERROR(__xludf.DUMMYFUNCTION("""COMPUTED_VALUE"""),"11873105-0")</f>
        <v>11873105-0</v>
      </c>
      <c r="W689" t="str">
        <f>IFERROR(__xludf.DUMMYFUNCTION("""COMPUTED_VALUE"""),"No")</f>
        <v>No</v>
      </c>
      <c r="AA689" s="38">
        <f>IFERROR(__xludf.DUMMYFUNCTION("""COMPUTED_VALUE"""),41911.0)</f>
        <v>41911</v>
      </c>
      <c r="AB689" s="38">
        <f>IFERROR(__xludf.DUMMYFUNCTION("""COMPUTED_VALUE"""),41919.0)</f>
        <v>41919</v>
      </c>
      <c r="AF689" s="39"/>
      <c r="AG689" s="39"/>
      <c r="AH689" s="34" t="str">
        <f>IFERROR(__xludf.DUMMYFUNCTION("""COMPUTED_VALUE"""),"PROCESO DE SELECCIÓN")</f>
        <v>PROCESO DE SELECCIÓN</v>
      </c>
      <c r="AI689" s="34"/>
      <c r="AJ689" s="34"/>
      <c r="AK689" s="34" t="str">
        <f>IFERROR(__xludf.DUMMYFUNCTION("""COMPUTED_VALUE"""),"P")</f>
        <v>P</v>
      </c>
      <c r="AL689">
        <f>IFERROR(__xludf.DUMMYFUNCTION("""COMPUTED_VALUE"""),24.0)</f>
        <v>24</v>
      </c>
      <c r="AM689">
        <f>IFERROR(__xludf.DUMMYFUNCTION("""COMPUTED_VALUE"""),2014.0)</f>
        <v>2014</v>
      </c>
      <c r="AN689" t="str">
        <f t="shared" si="1"/>
        <v>11873105-0</v>
      </c>
    </row>
    <row r="690">
      <c r="A690" s="33">
        <f>IFERROR(__xludf.DUMMYFUNCTION("""COMPUTED_VALUE"""),1.827761E7)</f>
        <v>18277610</v>
      </c>
      <c r="B690" s="33">
        <f>IFERROR(__xludf.DUMMYFUNCTION("""COMPUTED_VALUE"""),102.0)</f>
        <v>102</v>
      </c>
      <c r="C690" s="33"/>
      <c r="D690" s="34" t="str">
        <f>IFERROR(__xludf.DUMMYFUNCTION("""COMPUTED_VALUE"""),"FACULTAD DE QUIMICA Y BIOLOGIA")</f>
        <v>FACULTAD DE QUIMICA Y BIOLOGIA</v>
      </c>
      <c r="E690" s="34" t="str">
        <f>IFERROR(__xludf.DUMMYFUNCTION("""COMPUTED_VALUE"""),"DEPARTAMENTO DE CIENCIAS DEL AMBIENTE")</f>
        <v>DEPARTAMENTO DE CIENCIAS DEL AMBIENTE</v>
      </c>
      <c r="F690" s="34" t="str">
        <f>IFERROR(__xludf.DUMMYFUNCTION("""COMPUTED_VALUE"""),"Técnico de Laboratorio")</f>
        <v>Técnico de Laboratorio</v>
      </c>
      <c r="G690" s="33" t="str">
        <f>IFERROR(__xludf.DUMMYFUNCTION("""COMPUTED_VALUE"""),"TECNICO DE LABORATORIO")</f>
        <v>TECNICO DE LABORATORIO</v>
      </c>
      <c r="H690">
        <f>IFERROR(__xludf.DUMMYFUNCTION("""COMPUTED_VALUE"""),17.0)</f>
        <v>17</v>
      </c>
      <c r="I690" s="34"/>
      <c r="J690" s="33" t="str">
        <f>IFERROR(__xludf.DUMMYFUNCTION("""COMPUTED_VALUE"""),"A CONTRATA")</f>
        <v>A CONTRATA</v>
      </c>
      <c r="K690" s="33" t="str">
        <f>IFERROR(__xludf.DUMMYFUNCTION("""COMPUTED_VALUE"""),"TECNICO")</f>
        <v>TECNICO</v>
      </c>
      <c r="L690" s="34" t="str">
        <f>IFERROR(__xludf.DUMMYFUNCTION("""COMPUTED_VALUE"""),"INTERNO")</f>
        <v>INTERNO</v>
      </c>
      <c r="M690" s="34">
        <f>IFERROR(__xludf.DUMMYFUNCTION("""COMPUTED_VALUE"""),0.0)</f>
        <v>0</v>
      </c>
      <c r="N690" s="34" t="str">
        <f>IFERROR(__xludf.DUMMYFUNCTION("""COMPUTED_VALUE"""),"EXTERNO")</f>
        <v>EXTERNO</v>
      </c>
      <c r="O690">
        <f>IFERROR(__xludf.DUMMYFUNCTION("""COMPUTED_VALUE"""),7.0)</f>
        <v>7</v>
      </c>
      <c r="P690">
        <f>IFERROR(__xludf.DUMMYFUNCTION("""COMPUTED_VALUE"""),1.0)</f>
        <v>1</v>
      </c>
      <c r="Q690" s="35">
        <f>IFERROR(__xludf.DUMMYFUNCTION("""COMPUTED_VALUE"""),1.0)</f>
        <v>1</v>
      </c>
      <c r="R690" s="36" t="str">
        <f>IFERROR(__xludf.DUMMYFUNCTION("""COMPUTED_VALUE"""),"SELECCIONADA")</f>
        <v>SELECCIONADA</v>
      </c>
      <c r="S690" s="37">
        <f>IFERROR(__xludf.DUMMYFUNCTION("""COMPUTED_VALUE"""),41950.0)</f>
        <v>41950</v>
      </c>
      <c r="T690" s="34"/>
      <c r="U690" t="str">
        <f>IFERROR(__xludf.DUMMYFUNCTION("""COMPUTED_VALUE"""),"EVELYN LARENAS MERA")</f>
        <v>EVELYN LARENAS MERA</v>
      </c>
      <c r="V690" t="str">
        <f>IFERROR(__xludf.DUMMYFUNCTION("""COMPUTED_VALUE"""),"18277610-6")</f>
        <v>18277610-6</v>
      </c>
      <c r="W690" t="str">
        <f>IFERROR(__xludf.DUMMYFUNCTION("""COMPUTED_VALUE"""),"SI")</f>
        <v>SI</v>
      </c>
      <c r="X690" t="str">
        <f>IFERROR(__xludf.DUMMYFUNCTION("""COMPUTED_VALUE"""),"Capacidad de Planificacion y Organizacion")</f>
        <v>Capacidad de Planificacion y Organizacion</v>
      </c>
      <c r="Y690" t="str">
        <f>IFERROR(__xludf.DUMMYFUNCTION("""COMPUTED_VALUE"""),"INICIATIVA")</f>
        <v>INICIATIVA</v>
      </c>
      <c r="AA690" s="38">
        <f>IFERROR(__xludf.DUMMYFUNCTION("""COMPUTED_VALUE"""),41911.0)</f>
        <v>41911</v>
      </c>
      <c r="AB690" s="38">
        <f>IFERROR(__xludf.DUMMYFUNCTION("""COMPUTED_VALUE"""),41919.0)</f>
        <v>41919</v>
      </c>
      <c r="AF690" s="39"/>
      <c r="AG690" s="39"/>
      <c r="AH690" s="34" t="str">
        <f>IFERROR(__xludf.DUMMYFUNCTION("""COMPUTED_VALUE"""),"PROCESO DE SELECCIÓN")</f>
        <v>PROCESO DE SELECCIÓN</v>
      </c>
      <c r="AI690" s="34"/>
      <c r="AJ690" s="34"/>
      <c r="AK690" s="34" t="str">
        <f>IFERROR(__xludf.DUMMYFUNCTION("""COMPUTED_VALUE"""),"P")</f>
        <v>P</v>
      </c>
      <c r="AL690">
        <f>IFERROR(__xludf.DUMMYFUNCTION("""COMPUTED_VALUE"""),24.0)</f>
        <v>24</v>
      </c>
      <c r="AM690">
        <f>IFERROR(__xludf.DUMMYFUNCTION("""COMPUTED_VALUE"""),2014.0)</f>
        <v>2014</v>
      </c>
      <c r="AN690" t="str">
        <f t="shared" si="1"/>
        <v>18277610-6</v>
      </c>
    </row>
    <row r="691">
      <c r="A691" s="33">
        <f>IFERROR(__xludf.DUMMYFUNCTION("""COMPUTED_VALUE"""),1.2575053E7)</f>
        <v>12575053</v>
      </c>
      <c r="B691" s="33">
        <f>IFERROR(__xludf.DUMMYFUNCTION("""COMPUTED_VALUE"""),104.0)</f>
        <v>104</v>
      </c>
      <c r="C691" s="33"/>
      <c r="D691" s="34" t="str">
        <f>IFERROR(__xludf.DUMMYFUNCTION("""COMPUTED_VALUE"""),"FACULTAD DE HUMANIDADES")</f>
        <v>FACULTAD DE HUMANIDADES</v>
      </c>
      <c r="E691" s="34" t="str">
        <f>IFERROR(__xludf.DUMMYFUNCTION("""COMPUTED_VALUE"""),"ESCUELA DE PERIODISMO")</f>
        <v>ESCUELA DE PERIODISMO</v>
      </c>
      <c r="F691" s="34" t="str">
        <f>IFERROR(__xludf.DUMMYFUNCTION("""COMPUTED_VALUE"""),"Técnico de Laboratorio")</f>
        <v>Técnico de Laboratorio</v>
      </c>
      <c r="G691" s="33" t="str">
        <f>IFERROR(__xludf.DUMMYFUNCTION("""COMPUTED_VALUE"""),"TECNICO DE LABORATORIO")</f>
        <v>TECNICO DE LABORATORIO</v>
      </c>
      <c r="H691">
        <f>IFERROR(__xludf.DUMMYFUNCTION("""COMPUTED_VALUE"""),17.0)</f>
        <v>17</v>
      </c>
      <c r="I691" s="34"/>
      <c r="J691" s="33" t="str">
        <f>IFERROR(__xludf.DUMMYFUNCTION("""COMPUTED_VALUE"""),"A CONTRATA")</f>
        <v>A CONTRATA</v>
      </c>
      <c r="K691" s="33" t="str">
        <f>IFERROR(__xludf.DUMMYFUNCTION("""COMPUTED_VALUE"""),"TECNICO")</f>
        <v>TECNICO</v>
      </c>
      <c r="L691" s="34" t="str">
        <f>IFERROR(__xludf.DUMMYFUNCTION("""COMPUTED_VALUE"""),"INTERNO")</f>
        <v>INTERNO</v>
      </c>
      <c r="M691" s="34">
        <f>IFERROR(__xludf.DUMMYFUNCTION("""COMPUTED_VALUE"""),0.0)</f>
        <v>0</v>
      </c>
      <c r="N691" s="34" t="str">
        <f>IFERROR(__xludf.DUMMYFUNCTION("""COMPUTED_VALUE"""),"EXTERNO")</f>
        <v>EXTERNO</v>
      </c>
      <c r="O691">
        <f>IFERROR(__xludf.DUMMYFUNCTION("""COMPUTED_VALUE"""),16.0)</f>
        <v>16</v>
      </c>
      <c r="P691">
        <f>IFERROR(__xludf.DUMMYFUNCTION("""COMPUTED_VALUE"""),3.0)</f>
        <v>3</v>
      </c>
      <c r="Q691" s="35">
        <f>IFERROR(__xludf.DUMMYFUNCTION("""COMPUTED_VALUE"""),5.0)</f>
        <v>5</v>
      </c>
      <c r="R691" s="36" t="str">
        <f>IFERROR(__xludf.DUMMYFUNCTION("""COMPUTED_VALUE"""),"SELECCIONADO")</f>
        <v>SELECCIONADO</v>
      </c>
      <c r="S691" s="37">
        <f>IFERROR(__xludf.DUMMYFUNCTION("""COMPUTED_VALUE"""),41988.0)</f>
        <v>41988</v>
      </c>
      <c r="T691" s="34"/>
      <c r="U691" t="str">
        <f>IFERROR(__xludf.DUMMYFUNCTION("""COMPUTED_VALUE"""),"JOSE CARRIZO CRAIG")</f>
        <v>JOSE CARRIZO CRAIG</v>
      </c>
      <c r="V691" t="str">
        <f>IFERROR(__xludf.DUMMYFUNCTION("""COMPUTED_VALUE"""),"12575053-2")</f>
        <v>12575053-2</v>
      </c>
      <c r="W691" t="str">
        <f>IFERROR(__xludf.DUMMYFUNCTION("""COMPUTED_VALUE"""),"No")</f>
        <v>No</v>
      </c>
      <c r="AA691" s="38">
        <f>IFERROR(__xludf.DUMMYFUNCTION("""COMPUTED_VALUE"""),41922.0)</f>
        <v>41922</v>
      </c>
      <c r="AB691" s="38">
        <f>IFERROR(__xludf.DUMMYFUNCTION("""COMPUTED_VALUE"""),41929.0)</f>
        <v>41929</v>
      </c>
      <c r="AF691" s="39"/>
      <c r="AG691" s="39"/>
      <c r="AH691" s="34" t="str">
        <f>IFERROR(__xludf.DUMMYFUNCTION("""COMPUTED_VALUE"""),"PROCESO DE SELECCIÓN")</f>
        <v>PROCESO DE SELECCIÓN</v>
      </c>
      <c r="AI691" s="34"/>
      <c r="AJ691" s="34"/>
      <c r="AK691" s="34" t="str">
        <f>IFERROR(__xludf.DUMMYFUNCTION("""COMPUTED_VALUE"""),"C")</f>
        <v>C</v>
      </c>
      <c r="AL691">
        <f>IFERROR(__xludf.DUMMYFUNCTION("""COMPUTED_VALUE"""),42.0)</f>
        <v>42</v>
      </c>
      <c r="AM691">
        <f>IFERROR(__xludf.DUMMYFUNCTION("""COMPUTED_VALUE"""),2014.0)</f>
        <v>2014</v>
      </c>
      <c r="AN691" t="str">
        <f t="shared" si="1"/>
        <v>12575053-2</v>
      </c>
    </row>
    <row r="692">
      <c r="A692" s="33">
        <f>IFERROR(__xludf.DUMMYFUNCTION("""COMPUTED_VALUE"""),1.6126204E7)</f>
        <v>16126204</v>
      </c>
      <c r="B692" s="33">
        <f>IFERROR(__xludf.DUMMYFUNCTION("""COMPUTED_VALUE"""),105.0)</f>
        <v>105</v>
      </c>
      <c r="C692" s="33"/>
      <c r="D692" s="34" t="str">
        <f>IFERROR(__xludf.DUMMYFUNCTION("""COMPUTED_VALUE"""),"FACULTAD DE HUMANIDADES")</f>
        <v>FACULTAD DE HUMANIDADES</v>
      </c>
      <c r="E692" s="34" t="str">
        <f>IFERROR(__xludf.DUMMYFUNCTION("""COMPUTED_VALUE"""),"ESCUELA DE PERIODISMO")</f>
        <v>ESCUELA DE PERIODISMO</v>
      </c>
      <c r="F692" s="34" t="str">
        <f>IFERROR(__xludf.DUMMYFUNCTION("""COMPUTED_VALUE"""),"Encargado de Laboratorio")</f>
        <v>Encargado de Laboratorio</v>
      </c>
      <c r="G692" s="33" t="str">
        <f>IFERROR(__xludf.DUMMYFUNCTION("""COMPUTED_VALUE"""),"ENCARGADO DE LABORATRORIO")</f>
        <v>ENCARGADO DE LABORATRORIO</v>
      </c>
      <c r="H692">
        <f>IFERROR(__xludf.DUMMYFUNCTION("""COMPUTED_VALUE"""),13.0)</f>
        <v>13</v>
      </c>
      <c r="I692" s="34"/>
      <c r="J692" s="33" t="str">
        <f>IFERROR(__xludf.DUMMYFUNCTION("""COMPUTED_VALUE"""),"A CONTRATA")</f>
        <v>A CONTRATA</v>
      </c>
      <c r="K692" s="33" t="str">
        <f>IFERROR(__xludf.DUMMYFUNCTION("""COMPUTED_VALUE"""),"PROFESIONAL")</f>
        <v>PROFESIONAL</v>
      </c>
      <c r="L692" s="34" t="str">
        <f>IFERROR(__xludf.DUMMYFUNCTION("""COMPUTED_VALUE"""),"INTERNO")</f>
        <v>INTERNO</v>
      </c>
      <c r="M692" s="34">
        <f>IFERROR(__xludf.DUMMYFUNCTION("""COMPUTED_VALUE"""),2.0)</f>
        <v>2</v>
      </c>
      <c r="N692" s="34" t="str">
        <f>IFERROR(__xludf.DUMMYFUNCTION("""COMPUTED_VALUE"""),"EXTERNO")</f>
        <v>EXTERNO</v>
      </c>
      <c r="O692">
        <f>IFERROR(__xludf.DUMMYFUNCTION("""COMPUTED_VALUE"""),11.0)</f>
        <v>11</v>
      </c>
      <c r="P692">
        <f>IFERROR(__xludf.DUMMYFUNCTION("""COMPUTED_VALUE"""),1.0)</f>
        <v>1</v>
      </c>
      <c r="Q692" s="35">
        <f>IFERROR(__xludf.DUMMYFUNCTION("""COMPUTED_VALUE"""),3.0)</f>
        <v>3</v>
      </c>
      <c r="R692" s="36" t="str">
        <f>IFERROR(__xludf.DUMMYFUNCTION("""COMPUTED_VALUE"""),"SELECCIONADO")</f>
        <v>SELECCIONADO</v>
      </c>
      <c r="S692" s="37">
        <f>IFERROR(__xludf.DUMMYFUNCTION("""COMPUTED_VALUE"""),41995.0)</f>
        <v>41995</v>
      </c>
      <c r="T692" s="34"/>
      <c r="U692" t="str">
        <f>IFERROR(__xludf.DUMMYFUNCTION("""COMPUTED_VALUE"""),"RODRIGO ROBLEDO MATURANA")</f>
        <v>RODRIGO ROBLEDO MATURANA</v>
      </c>
      <c r="V692" t="str">
        <f>IFERROR(__xludf.DUMMYFUNCTION("""COMPUTED_VALUE"""),"16126204-8")</f>
        <v>16126204-8</v>
      </c>
      <c r="W692" t="str">
        <f>IFERROR(__xludf.DUMMYFUNCTION("""COMPUTED_VALUE"""),"SI")</f>
        <v>SI</v>
      </c>
      <c r="X692" t="str">
        <f>IFERROR(__xludf.DUMMYFUNCTION("""COMPUTED_VALUE"""),"ADAPTABILIDAD AL CAMBIO")</f>
        <v>ADAPTABILIDAD AL CAMBIO</v>
      </c>
      <c r="AA692" s="38">
        <f>IFERROR(__xludf.DUMMYFUNCTION("""COMPUTED_VALUE"""),41921.0)</f>
        <v>41921</v>
      </c>
      <c r="AB692" s="38">
        <f>IFERROR(__xludf.DUMMYFUNCTION("""COMPUTED_VALUE"""),41932.0)</f>
        <v>41932</v>
      </c>
      <c r="AF692" s="39"/>
      <c r="AG692" s="39"/>
      <c r="AH692" s="34" t="str">
        <f>IFERROR(__xludf.DUMMYFUNCTION("""COMPUTED_VALUE"""),"PROCESO DE SELECCIÓN")</f>
        <v>PROCESO DE SELECCIÓN</v>
      </c>
      <c r="AI692" s="34"/>
      <c r="AJ692" s="34"/>
      <c r="AK692" s="34" t="str">
        <f>IFERROR(__xludf.DUMMYFUNCTION("""COMPUTED_VALUE"""),"E")</f>
        <v>E</v>
      </c>
      <c r="AL692">
        <f>IFERROR(__xludf.DUMMYFUNCTION("""COMPUTED_VALUE"""),46.0)</f>
        <v>46</v>
      </c>
      <c r="AM692">
        <f>IFERROR(__xludf.DUMMYFUNCTION("""COMPUTED_VALUE"""),2014.0)</f>
        <v>2014</v>
      </c>
      <c r="AN692" t="str">
        <f t="shared" si="1"/>
        <v>16126204-8</v>
      </c>
    </row>
    <row r="693">
      <c r="A693" s="33">
        <f>IFERROR(__xludf.DUMMYFUNCTION("""COMPUTED_VALUE"""),1.6964645E7)</f>
        <v>16964645</v>
      </c>
      <c r="B693" s="33">
        <f>IFERROR(__xludf.DUMMYFUNCTION("""COMPUTED_VALUE"""),92.0)</f>
        <v>92</v>
      </c>
      <c r="C693" s="33"/>
      <c r="D693" s="34" t="str">
        <f>IFERROR(__xludf.DUMMYFUNCTION("""COMPUTED_VALUE"""),"VICERRECTORIA DE APOYO AL ESTUDIANTE")</f>
        <v>VICERRECTORIA DE APOYO AL ESTUDIANTE</v>
      </c>
      <c r="E693" s="34" t="str">
        <f>IFERROR(__xludf.DUMMYFUNCTION("""COMPUTED_VALUE"""),"DEPARTAMETO DE ASIGNACION DE BENEFICIOS ESTUDIANTILES")</f>
        <v>DEPARTAMETO DE ASIGNACION DE BENEFICIOS ESTUDIANTILES</v>
      </c>
      <c r="F693" s="34" t="str">
        <f>IFERROR(__xludf.DUMMYFUNCTION("""COMPUTED_VALUE"""),"Asistente Social Estudiantil")</f>
        <v>Asistente Social Estudiantil</v>
      </c>
      <c r="G693" s="33" t="str">
        <f>IFERROR(__xludf.DUMMYFUNCTION("""COMPUTED_VALUE"""),"ASISTENTE SOCIAL")</f>
        <v>ASISTENTE SOCIAL</v>
      </c>
      <c r="H693">
        <f>IFERROR(__xludf.DUMMYFUNCTION("""COMPUTED_VALUE"""),13.0)</f>
        <v>13</v>
      </c>
      <c r="I693" s="34"/>
      <c r="J693" s="33" t="str">
        <f>IFERROR(__xludf.DUMMYFUNCTION("""COMPUTED_VALUE"""),"A CONTRATA")</f>
        <v>A CONTRATA</v>
      </c>
      <c r="K693" s="33" t="str">
        <f>IFERROR(__xludf.DUMMYFUNCTION("""COMPUTED_VALUE"""),"PROFESIONAL")</f>
        <v>PROFESIONAL</v>
      </c>
      <c r="L693" s="34" t="str">
        <f>IFERROR(__xludf.DUMMYFUNCTION("""COMPUTED_VALUE"""),"INTERNO")</f>
        <v>INTERNO</v>
      </c>
      <c r="M693" s="34">
        <f>IFERROR(__xludf.DUMMYFUNCTION("""COMPUTED_VALUE"""),4.0)</f>
        <v>4</v>
      </c>
      <c r="N693" s="34" t="str">
        <f>IFERROR(__xludf.DUMMYFUNCTION("""COMPUTED_VALUE"""),"EXTERNO")</f>
        <v>EXTERNO</v>
      </c>
      <c r="O693">
        <f>IFERROR(__xludf.DUMMYFUNCTION("""COMPUTED_VALUE"""),17.0)</f>
        <v>17</v>
      </c>
      <c r="P693">
        <f>IFERROR(__xludf.DUMMYFUNCTION("""COMPUTED_VALUE"""),5.0)</f>
        <v>5</v>
      </c>
      <c r="Q693" s="35">
        <f>IFERROR(__xludf.DUMMYFUNCTION("""COMPUTED_VALUE"""),1.0)</f>
        <v>1</v>
      </c>
      <c r="R693" s="36" t="str">
        <f>IFERROR(__xludf.DUMMYFUNCTION("""COMPUTED_VALUE"""),"SELECCIONADA")</f>
        <v>SELECCIONADA</v>
      </c>
      <c r="S693" s="37">
        <f>IFERROR(__xludf.DUMMYFUNCTION("""COMPUTED_VALUE"""),41960.0)</f>
        <v>41960</v>
      </c>
      <c r="T693" s="34"/>
      <c r="U693" t="str">
        <f>IFERROR(__xludf.DUMMYFUNCTION("""COMPUTED_VALUE"""),"FERNANDA MUNOZ VIDAL")</f>
        <v>FERNANDA MUNOZ VIDAL</v>
      </c>
      <c r="V693" t="str">
        <f>IFERROR(__xludf.DUMMYFUNCTION("""COMPUTED_VALUE"""),"16964645-7")</f>
        <v>16964645-7</v>
      </c>
      <c r="W693" t="str">
        <f>IFERROR(__xludf.DUMMYFUNCTION("""COMPUTED_VALUE"""),"No")</f>
        <v>No</v>
      </c>
      <c r="AA693" s="38">
        <f>IFERROR(__xludf.DUMMYFUNCTION("""COMPUTED_VALUE"""),41927.0)</f>
        <v>41927</v>
      </c>
      <c r="AB693" s="38">
        <f>IFERROR(__xludf.DUMMYFUNCTION("""COMPUTED_VALUE"""),41934.0)</f>
        <v>41934</v>
      </c>
      <c r="AC693">
        <f>IFERROR(__xludf.DUMMYFUNCTION("""COMPUTED_VALUE"""),13.0)</f>
        <v>13</v>
      </c>
      <c r="AD693" t="str">
        <f>IFERROR(__xludf.DUMMYFUNCTION("""COMPUTED_VALUE"""),"PROFESIONAL")</f>
        <v>PROFESIONAL</v>
      </c>
      <c r="AF693" s="39"/>
      <c r="AG693" s="39"/>
      <c r="AH693" s="34" t="str">
        <f>IFERROR(__xludf.DUMMYFUNCTION("""COMPUTED_VALUE"""),"PROCESO DE SELECCIÓN")</f>
        <v>PROCESO DE SELECCIÓN</v>
      </c>
      <c r="AI693" s="34"/>
      <c r="AJ693" s="34"/>
      <c r="AK693" s="34" t="str">
        <f>IFERROR(__xludf.DUMMYFUNCTION("""COMPUTED_VALUE"""),"C")</f>
        <v>C</v>
      </c>
      <c r="AL693">
        <f>IFERROR(__xludf.DUMMYFUNCTION("""COMPUTED_VALUE"""),19.0)</f>
        <v>19</v>
      </c>
      <c r="AM693">
        <f>IFERROR(__xludf.DUMMYFUNCTION("""COMPUTED_VALUE"""),2014.0)</f>
        <v>2014</v>
      </c>
      <c r="AN693" t="str">
        <f t="shared" si="1"/>
        <v>16964645-7</v>
      </c>
    </row>
    <row r="694">
      <c r="A694" s="33">
        <f>IFERROR(__xludf.DUMMYFUNCTION("""COMPUTED_VALUE"""),1.2859252E7)</f>
        <v>12859252</v>
      </c>
      <c r="B694" s="33">
        <f>IFERROR(__xludf.DUMMYFUNCTION("""COMPUTED_VALUE"""),84.0)</f>
        <v>84</v>
      </c>
      <c r="C694" s="33"/>
      <c r="D694" s="34" t="str">
        <f>IFERROR(__xludf.DUMMYFUNCTION("""COMPUTED_VALUE"""),"FACULTAD DE CIENCIAS MEDICAS")</f>
        <v>FACULTAD DE CIENCIAS MEDICAS</v>
      </c>
      <c r="E694" s="34" t="str">
        <f>IFERROR(__xludf.DUMMYFUNCTION("""COMPUTED_VALUE"""),"FACULTAD DE CIENCIAS MEDICAS")</f>
        <v>FACULTAD DE CIENCIAS MEDICAS</v>
      </c>
      <c r="F694" s="34" t="str">
        <f>IFERROR(__xludf.DUMMYFUNCTION("""COMPUTED_VALUE"""),"Secretario C")</f>
        <v>Secretario C</v>
      </c>
      <c r="G694" s="33" t="str">
        <f>IFERROR(__xludf.DUMMYFUNCTION("""COMPUTED_VALUE"""),"SECRETARIA ADMINISTRATIVA")</f>
        <v>SECRETARIA ADMINISTRATIVA</v>
      </c>
      <c r="H694">
        <f>IFERROR(__xludf.DUMMYFUNCTION("""COMPUTED_VALUE"""),20.0)</f>
        <v>20</v>
      </c>
      <c r="I694" s="34"/>
      <c r="J694" s="33" t="str">
        <f>IFERROR(__xludf.DUMMYFUNCTION("""COMPUTED_VALUE"""),"A CONTRATA")</f>
        <v>A CONTRATA</v>
      </c>
      <c r="K694" s="33" t="str">
        <f>IFERROR(__xludf.DUMMYFUNCTION("""COMPUTED_VALUE"""),"ADMINISTRATIVO")</f>
        <v>ADMINISTRATIVO</v>
      </c>
      <c r="L694" s="34" t="str">
        <f>IFERROR(__xludf.DUMMYFUNCTION("""COMPUTED_VALUE"""),"INTERNO")</f>
        <v>INTERNO</v>
      </c>
      <c r="M694" s="34">
        <f>IFERROR(__xludf.DUMMYFUNCTION("""COMPUTED_VALUE"""),0.0)</f>
        <v>0</v>
      </c>
      <c r="N694" s="34" t="str">
        <f>IFERROR(__xludf.DUMMYFUNCTION("""COMPUTED_VALUE"""),"EXTERNO")</f>
        <v>EXTERNO</v>
      </c>
      <c r="O694">
        <f>IFERROR(__xludf.DUMMYFUNCTION("""COMPUTED_VALUE"""),2.0)</f>
        <v>2</v>
      </c>
      <c r="P694">
        <f>IFERROR(__xludf.DUMMYFUNCTION("""COMPUTED_VALUE"""),1.0)</f>
        <v>1</v>
      </c>
      <c r="Q694" s="35">
        <f>IFERROR(__xludf.DUMMYFUNCTION("""COMPUTED_VALUE"""),1.0)</f>
        <v>1</v>
      </c>
      <c r="R694" s="36" t="str">
        <f>IFERROR(__xludf.DUMMYFUNCTION("""COMPUTED_VALUE"""),"SELECCIONADA")</f>
        <v>SELECCIONADA</v>
      </c>
      <c r="S694" s="37">
        <f>IFERROR(__xludf.DUMMYFUNCTION("""COMPUTED_VALUE"""),41960.0)</f>
        <v>41960</v>
      </c>
      <c r="T694" s="34"/>
      <c r="U694" t="str">
        <f>IFERROR(__xludf.DUMMYFUNCTION("""COMPUTED_VALUE"""),"PAMELA GALAZ LOYOLA")</f>
        <v>PAMELA GALAZ LOYOLA</v>
      </c>
      <c r="V694" t="str">
        <f>IFERROR(__xludf.DUMMYFUNCTION("""COMPUTED_VALUE"""),"12859252-0")</f>
        <v>12859252-0</v>
      </c>
      <c r="W694" t="str">
        <f>IFERROR(__xludf.DUMMYFUNCTION("""COMPUTED_VALUE"""),"SI")</f>
        <v>SI</v>
      </c>
      <c r="Y694" t="str">
        <f>IFERROR(__xludf.DUMMYFUNCTION("""COMPUTED_VALUE"""),"INICIATIVA")</f>
        <v>INICIATIVA</v>
      </c>
      <c r="AA694" s="38">
        <f>IFERROR(__xludf.DUMMYFUNCTION("""COMPUTED_VALUE"""),41928.0)</f>
        <v>41928</v>
      </c>
      <c r="AB694" s="38">
        <f>IFERROR(__xludf.DUMMYFUNCTION("""COMPUTED_VALUE"""),41935.0)</f>
        <v>41935</v>
      </c>
      <c r="AF694" s="39"/>
      <c r="AG694" s="39"/>
      <c r="AH694" s="34" t="str">
        <f>IFERROR(__xludf.DUMMYFUNCTION("""COMPUTED_VALUE"""),"PROCESO DE SELECCIÓN")</f>
        <v>PROCESO DE SELECCIÓN</v>
      </c>
      <c r="AI694" s="34"/>
      <c r="AJ694" s="34"/>
      <c r="AK694" s="34" t="str">
        <f>IFERROR(__xludf.DUMMYFUNCTION("""COMPUTED_VALUE"""),"C")</f>
        <v>C</v>
      </c>
      <c r="AL694">
        <f>IFERROR(__xludf.DUMMYFUNCTION("""COMPUTED_VALUE"""),18.0)</f>
        <v>18</v>
      </c>
      <c r="AM694">
        <f>IFERROR(__xludf.DUMMYFUNCTION("""COMPUTED_VALUE"""),2014.0)</f>
        <v>2014</v>
      </c>
      <c r="AN694" t="str">
        <f t="shared" si="1"/>
        <v>12859252-0</v>
      </c>
    </row>
    <row r="695">
      <c r="A695" s="33">
        <f>IFERROR(__xludf.DUMMYFUNCTION("""COMPUTED_VALUE"""),1.7672745E7)</f>
        <v>17672745</v>
      </c>
      <c r="B695" s="33">
        <f>IFERROR(__xludf.DUMMYFUNCTION("""COMPUTED_VALUE"""),130.0)</f>
        <v>130</v>
      </c>
      <c r="C695" s="33"/>
      <c r="D695" s="34" t="str">
        <f>IFERROR(__xludf.DUMMYFUNCTION("""COMPUTED_VALUE"""),"VICERRECTORIA ACADEMICA")</f>
        <v>VICERRECTORIA ACADEMICA</v>
      </c>
      <c r="E695" s="34" t="str">
        <f>IFERROR(__xludf.DUMMYFUNCTION("""COMPUTED_VALUE"""),"VICERRECTORIA ACADEMICA")</f>
        <v>VICERRECTORIA ACADEMICA</v>
      </c>
      <c r="F695" s="34" t="str">
        <f>IFERROR(__xludf.DUMMYFUNCTION("""COMPUTED_VALUE"""),"Estafeta")</f>
        <v>Estafeta</v>
      </c>
      <c r="G695" s="33" t="str">
        <f>IFERROR(__xludf.DUMMYFUNCTION("""COMPUTED_VALUE"""),"ESTAFETA")</f>
        <v>ESTAFETA</v>
      </c>
      <c r="H695">
        <f>IFERROR(__xludf.DUMMYFUNCTION("""COMPUTED_VALUE"""),23.0)</f>
        <v>23</v>
      </c>
      <c r="I695" s="34"/>
      <c r="J695" s="33" t="str">
        <f>IFERROR(__xludf.DUMMYFUNCTION("""COMPUTED_VALUE"""),"A CONTRATA")</f>
        <v>A CONTRATA</v>
      </c>
      <c r="K695" s="33" t="str">
        <f>IFERROR(__xludf.DUMMYFUNCTION("""COMPUTED_VALUE"""),"AUXILIAR")</f>
        <v>AUXILIAR</v>
      </c>
      <c r="L695" s="34" t="str">
        <f>IFERROR(__xludf.DUMMYFUNCTION("""COMPUTED_VALUE"""),"INTERNO")</f>
        <v>INTERNO</v>
      </c>
      <c r="M695" s="34">
        <f>IFERROR(__xludf.DUMMYFUNCTION("""COMPUTED_VALUE"""),0.0)</f>
        <v>0</v>
      </c>
      <c r="N695" s="34" t="str">
        <f>IFERROR(__xludf.DUMMYFUNCTION("""COMPUTED_VALUE"""),"EXTERNO")</f>
        <v>EXTERNO</v>
      </c>
      <c r="O695">
        <f>IFERROR(__xludf.DUMMYFUNCTION("""COMPUTED_VALUE"""),3.0)</f>
        <v>3</v>
      </c>
      <c r="P695">
        <f>IFERROR(__xludf.DUMMYFUNCTION("""COMPUTED_VALUE"""),2.0)</f>
        <v>2</v>
      </c>
      <c r="Q695" s="35">
        <f>IFERROR(__xludf.DUMMYFUNCTION("""COMPUTED_VALUE"""),1.0)</f>
        <v>1</v>
      </c>
      <c r="R695" s="36" t="str">
        <f>IFERROR(__xludf.DUMMYFUNCTION("""COMPUTED_VALUE"""),"SELECCIONADO")</f>
        <v>SELECCIONADO</v>
      </c>
      <c r="S695" s="37">
        <f>IFERROR(__xludf.DUMMYFUNCTION("""COMPUTED_VALUE"""),41953.0)</f>
        <v>41953</v>
      </c>
      <c r="T695" s="34"/>
      <c r="U695" t="str">
        <f>IFERROR(__xludf.DUMMYFUNCTION("""COMPUTED_VALUE"""),"JORGE PENA BASCUR")</f>
        <v>JORGE PENA BASCUR</v>
      </c>
      <c r="V695" t="str">
        <f>IFERROR(__xludf.DUMMYFUNCTION("""COMPUTED_VALUE"""),"17672745-4")</f>
        <v>17672745-4</v>
      </c>
      <c r="W695" t="str">
        <f>IFERROR(__xludf.DUMMYFUNCTION("""COMPUTED_VALUE"""),"No")</f>
        <v>No</v>
      </c>
      <c r="AA695" s="38">
        <f>IFERROR(__xludf.DUMMYFUNCTION("""COMPUTED_VALUE"""),41929.0)</f>
        <v>41929</v>
      </c>
      <c r="AB695" s="38">
        <f>IFERROR(__xludf.DUMMYFUNCTION("""COMPUTED_VALUE"""),41936.0)</f>
        <v>41936</v>
      </c>
      <c r="AF695" s="39"/>
      <c r="AG695" s="39"/>
      <c r="AH695" s="34" t="str">
        <f>IFERROR(__xludf.DUMMYFUNCTION("""COMPUTED_VALUE"""),"PROCESO DE SELECCIÓN")</f>
        <v>PROCESO DE SELECCIÓN</v>
      </c>
      <c r="AI695" s="34" t="str">
        <f>IFERROR(__xludf.DUMMYFUNCTION("""COMPUTED_VALUE"""),"MONICA MUÑOZ RIQUELME")</f>
        <v>MONICA MUÑOZ RIQUELME</v>
      </c>
      <c r="AJ695" s="34"/>
      <c r="AK695" s="34" t="str">
        <f>IFERROR(__xludf.DUMMYFUNCTION("""COMPUTED_VALUE"""),"C")</f>
        <v>C</v>
      </c>
      <c r="AL695">
        <f>IFERROR(__xludf.DUMMYFUNCTION("""COMPUTED_VALUE"""),12.0)</f>
        <v>12</v>
      </c>
      <c r="AM695">
        <f>IFERROR(__xludf.DUMMYFUNCTION("""COMPUTED_VALUE"""),2014.0)</f>
        <v>2014</v>
      </c>
      <c r="AN695" t="str">
        <f t="shared" si="1"/>
        <v>17672745-4</v>
      </c>
    </row>
    <row r="696">
      <c r="A696" s="33">
        <f>IFERROR(__xludf.DUMMYFUNCTION("""COMPUTED_VALUE"""),1.4178355E7)</f>
        <v>14178355</v>
      </c>
      <c r="B696" s="33">
        <f>IFERROR(__xludf.DUMMYFUNCTION("""COMPUTED_VALUE"""),120.0)</f>
        <v>120</v>
      </c>
      <c r="C696" s="33"/>
      <c r="D696" s="34" t="str">
        <f>IFERROR(__xludf.DUMMYFUNCTION("""COMPUTED_VALUE"""),"VICERRECTORIA ACADEMICA")</f>
        <v>VICERRECTORIA ACADEMICA</v>
      </c>
      <c r="E696" s="34" t="str">
        <f>IFERROR(__xludf.DUMMYFUNCTION("""COMPUTED_VALUE"""),"ESCUELA DE ARQUITECTURA")</f>
        <v>ESCUELA DE ARQUITECTURA</v>
      </c>
      <c r="F696" s="34" t="str">
        <f>IFERROR(__xludf.DUMMYFUNCTION("""COMPUTED_VALUE"""),"Registrador Curricular")</f>
        <v>Registrador Curricular</v>
      </c>
      <c r="G696" s="33" t="str">
        <f>IFERROR(__xludf.DUMMYFUNCTION("""COMPUTED_VALUE"""),"REGISTRADOR CURRICULAR")</f>
        <v>REGISTRADOR CURRICULAR</v>
      </c>
      <c r="H696">
        <f>IFERROR(__xludf.DUMMYFUNCTION("""COMPUTED_VALUE"""),10.0)</f>
        <v>10</v>
      </c>
      <c r="I696" s="34"/>
      <c r="J696" s="33" t="str">
        <f>IFERROR(__xludf.DUMMYFUNCTION("""COMPUTED_VALUE"""),"A CONTRATA")</f>
        <v>A CONTRATA</v>
      </c>
      <c r="K696" s="33" t="str">
        <f>IFERROR(__xludf.DUMMYFUNCTION("""COMPUTED_VALUE"""),"PROFESIONAL")</f>
        <v>PROFESIONAL</v>
      </c>
      <c r="L696" s="34" t="str">
        <f>IFERROR(__xludf.DUMMYFUNCTION("""COMPUTED_VALUE"""),"INTERNO")</f>
        <v>INTERNO</v>
      </c>
      <c r="M696" s="34">
        <f>IFERROR(__xludf.DUMMYFUNCTION("""COMPUTED_VALUE"""),12.0)</f>
        <v>12</v>
      </c>
      <c r="N696" s="34" t="str">
        <f>IFERROR(__xludf.DUMMYFUNCTION("""COMPUTED_VALUE"""),"NO")</f>
        <v>NO</v>
      </c>
      <c r="P696">
        <f>IFERROR(__xludf.DUMMYFUNCTION("""COMPUTED_VALUE"""),3.0)</f>
        <v>3</v>
      </c>
      <c r="Q696" s="35">
        <f>IFERROR(__xludf.DUMMYFUNCTION("""COMPUTED_VALUE"""),0.0)</f>
        <v>0</v>
      </c>
      <c r="R696" s="36" t="str">
        <f>IFERROR(__xludf.DUMMYFUNCTION("""COMPUTED_VALUE"""),"SELECCIONADA")</f>
        <v>SELECCIONADA</v>
      </c>
      <c r="S696" s="37">
        <f>IFERROR(__xludf.DUMMYFUNCTION("""COMPUTED_VALUE"""),42023.0)</f>
        <v>42023</v>
      </c>
      <c r="T696" s="34" t="str">
        <f>IFERROR(__xludf.DUMMYFUNCTION("""COMPUTED_VALUE"""),"MARICEL CEA PINO")</f>
        <v>MARICEL CEA PINO</v>
      </c>
      <c r="V696" t="str">
        <f>IFERROR(__xludf.DUMMYFUNCTION("""COMPUTED_VALUE"""),"14178355-6")</f>
        <v>14178355-6</v>
      </c>
      <c r="W696" t="str">
        <f>IFERROR(__xludf.DUMMYFUNCTION("""COMPUTED_VALUE"""),"No")</f>
        <v>No</v>
      </c>
      <c r="AA696" s="38">
        <f>IFERROR(__xludf.DUMMYFUNCTION("""COMPUTED_VALUE"""),41933.0)</f>
        <v>41933</v>
      </c>
      <c r="AB696" s="38">
        <f>IFERROR(__xludf.DUMMYFUNCTION("""COMPUTED_VALUE"""),41940.0)</f>
        <v>41940</v>
      </c>
      <c r="AC696">
        <f>IFERROR(__xludf.DUMMYFUNCTION("""COMPUTED_VALUE"""),17.0)</f>
        <v>17</v>
      </c>
      <c r="AD696" t="str">
        <f>IFERROR(__xludf.DUMMYFUNCTION("""COMPUTED_VALUE"""),"ADMINISTRATIVO")</f>
        <v>ADMINISTRATIVO</v>
      </c>
      <c r="AF696" s="39" t="str">
        <f>IFERROR(__xludf.DUMMYFUNCTION("""COMPUTED_VALUE"""),"FACULTAD DE HUMANIDADES")</f>
        <v>FACULTAD DE HUMANIDADES</v>
      </c>
      <c r="AG696" s="39"/>
      <c r="AH696" s="34" t="str">
        <f>IFERROR(__xludf.DUMMYFUNCTION("""COMPUTED_VALUE"""),"PROCESO DE SELECCIÓN")</f>
        <v>PROCESO DE SELECCIÓN</v>
      </c>
      <c r="AI696" s="34"/>
      <c r="AJ696" s="34"/>
      <c r="AK696" s="34" t="str">
        <f>IFERROR(__xludf.DUMMYFUNCTION("""COMPUTED_VALUE"""),"C")</f>
        <v>C</v>
      </c>
      <c r="AL696">
        <f>IFERROR(__xludf.DUMMYFUNCTION("""COMPUTED_VALUE"""),60.0)</f>
        <v>60</v>
      </c>
      <c r="AM696">
        <f>IFERROR(__xludf.DUMMYFUNCTION("""COMPUTED_VALUE"""),2014.0)</f>
        <v>2014</v>
      </c>
      <c r="AN696" t="str">
        <f t="shared" si="1"/>
        <v>14178355-6</v>
      </c>
    </row>
    <row r="697">
      <c r="A697" s="33">
        <f>IFERROR(__xludf.DUMMYFUNCTION("""COMPUTED_VALUE"""),1.5851883E7)</f>
        <v>15851883</v>
      </c>
      <c r="B697" s="33">
        <f>IFERROR(__xludf.DUMMYFUNCTION("""COMPUTED_VALUE"""),96.0)</f>
        <v>96</v>
      </c>
      <c r="C697" s="33"/>
      <c r="D697" s="34" t="str">
        <f>IFERROR(__xludf.DUMMYFUNCTION("""COMPUTED_VALUE"""),"PRORRECTORIA")</f>
        <v>PRORRECTORIA</v>
      </c>
      <c r="E697" s="34" t="str">
        <f>IFERROR(__xludf.DUMMYFUNCTION("""COMPUTED_VALUE"""),"DEPARTAMENTO DE FINANZAS Y TESORERIA")</f>
        <v>DEPARTAMENTO DE FINANZAS Y TESORERIA</v>
      </c>
      <c r="F697" s="34" t="str">
        <f>IFERROR(__xludf.DUMMYFUNCTION("""COMPUTED_VALUE"""),"Jefe de Sección")</f>
        <v>Jefe de Sección</v>
      </c>
      <c r="G697" s="33" t="str">
        <f>IFERROR(__xludf.DUMMYFUNCTION("""COMPUTED_VALUE"""),"JEFE DE OPERACIONES Y CONTABILIZACIONES")</f>
        <v>JEFE DE OPERACIONES Y CONTABILIZACIONES</v>
      </c>
      <c r="H697">
        <f>IFERROR(__xludf.DUMMYFUNCTION("""COMPUTED_VALUE"""),10.0)</f>
        <v>10</v>
      </c>
      <c r="I697" s="34"/>
      <c r="J697" s="33" t="str">
        <f>IFERROR(__xludf.DUMMYFUNCTION("""COMPUTED_VALUE"""),"A CONTRATA")</f>
        <v>A CONTRATA</v>
      </c>
      <c r="K697" s="33" t="str">
        <f>IFERROR(__xludf.DUMMYFUNCTION("""COMPUTED_VALUE"""),"PROFESIONAL")</f>
        <v>PROFESIONAL</v>
      </c>
      <c r="L697" s="34" t="str">
        <f>IFERROR(__xludf.DUMMYFUNCTION("""COMPUTED_VALUE"""),"INTERNO")</f>
        <v>INTERNO</v>
      </c>
      <c r="M697" s="34">
        <f>IFERROR(__xludf.DUMMYFUNCTION("""COMPUTED_VALUE"""),0.0)</f>
        <v>0</v>
      </c>
      <c r="N697" s="34" t="str">
        <f>IFERROR(__xludf.DUMMYFUNCTION("""COMPUTED_VALUE"""),"EXTERNO")</f>
        <v>EXTERNO</v>
      </c>
      <c r="O697">
        <f>IFERROR(__xludf.DUMMYFUNCTION("""COMPUTED_VALUE"""),2.0)</f>
        <v>2</v>
      </c>
      <c r="P697">
        <f>IFERROR(__xludf.DUMMYFUNCTION("""COMPUTED_VALUE"""),2.0)</f>
        <v>2</v>
      </c>
      <c r="Q697" s="35">
        <f>IFERROR(__xludf.DUMMYFUNCTION("""COMPUTED_VALUE"""),1.0)</f>
        <v>1</v>
      </c>
      <c r="R697" s="36" t="str">
        <f>IFERROR(__xludf.DUMMYFUNCTION("""COMPUTED_VALUE"""),"SELECCIONADO")</f>
        <v>SELECCIONADO</v>
      </c>
      <c r="S697" s="37">
        <f>IFERROR(__xludf.DUMMYFUNCTION("""COMPUTED_VALUE"""),42009.0)</f>
        <v>42009</v>
      </c>
      <c r="T697" s="34"/>
      <c r="U697" t="str">
        <f>IFERROR(__xludf.DUMMYFUNCTION("""COMPUTED_VALUE"""),"FRANCISCO MORENO SOTO")</f>
        <v>FRANCISCO MORENO SOTO</v>
      </c>
      <c r="V697" t="str">
        <f>IFERROR(__xludf.DUMMYFUNCTION("""COMPUTED_VALUE"""),"15851883-K")</f>
        <v>15851883-K</v>
      </c>
      <c r="W697" t="str">
        <f>IFERROR(__xludf.DUMMYFUNCTION("""COMPUTED_VALUE"""),"SI")</f>
        <v>SI</v>
      </c>
      <c r="X697" t="str">
        <f>IFERROR(__xludf.DUMMYFUNCTION("""COMPUTED_VALUE"""),"Capacidad de Planificacion y Organizacion")</f>
        <v>Capacidad de Planificacion y Organizacion</v>
      </c>
      <c r="AA697" s="38">
        <f>IFERROR(__xludf.DUMMYFUNCTION("""COMPUTED_VALUE"""),41939.0)</f>
        <v>41939</v>
      </c>
      <c r="AB697" s="38">
        <f>IFERROR(__xludf.DUMMYFUNCTION("""COMPUTED_VALUE"""),41946.0)</f>
        <v>41946</v>
      </c>
      <c r="AC697">
        <f>IFERROR(__xludf.DUMMYFUNCTION("""COMPUTED_VALUE"""),10.0)</f>
        <v>10</v>
      </c>
      <c r="AD697" t="str">
        <f>IFERROR(__xludf.DUMMYFUNCTION("""COMPUTED_VALUE"""),"PROFESIONAL")</f>
        <v>PROFESIONAL</v>
      </c>
      <c r="AF697" s="39"/>
      <c r="AG697" s="39"/>
      <c r="AH697" s="34" t="str">
        <f>IFERROR(__xludf.DUMMYFUNCTION("""COMPUTED_VALUE"""),"PROCESO DE SELECCIÓN")</f>
        <v>PROCESO DE SELECCIÓN</v>
      </c>
      <c r="AI697" s="34"/>
      <c r="AJ697" s="34"/>
      <c r="AK697" s="34" t="str">
        <f>IFERROR(__xludf.DUMMYFUNCTION("""COMPUTED_VALUE"""),"C")</f>
        <v>C</v>
      </c>
      <c r="AL697">
        <f>IFERROR(__xludf.DUMMYFUNCTION("""COMPUTED_VALUE"""),46.0)</f>
        <v>46</v>
      </c>
      <c r="AM697">
        <f>IFERROR(__xludf.DUMMYFUNCTION("""COMPUTED_VALUE"""),2014.0)</f>
        <v>2014</v>
      </c>
      <c r="AN697" t="str">
        <f t="shared" si="1"/>
        <v>15851883-K</v>
      </c>
    </row>
    <row r="698">
      <c r="A698" s="33">
        <f>IFERROR(__xludf.DUMMYFUNCTION("""COMPUTED_VALUE"""),1.246877E7)</f>
        <v>12468770</v>
      </c>
      <c r="B698" s="33">
        <f>IFERROR(__xludf.DUMMYFUNCTION("""COMPUTED_VALUE"""),103.0)</f>
        <v>103</v>
      </c>
      <c r="C698" s="33"/>
      <c r="D698" s="34" t="str">
        <f>IFERROR(__xludf.DUMMYFUNCTION("""COMPUTED_VALUE"""),"FACULTAD DE INGENIERIA")</f>
        <v>FACULTAD DE INGENIERIA</v>
      </c>
      <c r="E698" s="34" t="str">
        <f>IFERROR(__xludf.DUMMYFUNCTION("""COMPUTED_VALUE"""),"DEPARTAMENTO DE INGENIERIA QUIMICA")</f>
        <v>DEPARTAMENTO DE INGENIERIA QUIMICA</v>
      </c>
      <c r="F698" s="34" t="str">
        <f>IFERROR(__xludf.DUMMYFUNCTION("""COMPUTED_VALUE"""),"Mayordomo")</f>
        <v>Mayordomo</v>
      </c>
      <c r="G698" s="33" t="str">
        <f>IFERROR(__xludf.DUMMYFUNCTION("""COMPUTED_VALUE"""),"MAYORDOMO")</f>
        <v>MAYORDOMO</v>
      </c>
      <c r="H698">
        <f>IFERROR(__xludf.DUMMYFUNCTION("""COMPUTED_VALUE"""),21.0)</f>
        <v>21</v>
      </c>
      <c r="I698" s="34"/>
      <c r="J698" s="33" t="str">
        <f>IFERROR(__xludf.DUMMYFUNCTION("""COMPUTED_VALUE"""),"A CONTRATA")</f>
        <v>A CONTRATA</v>
      </c>
      <c r="K698" s="33" t="str">
        <f>IFERROR(__xludf.DUMMYFUNCTION("""COMPUTED_VALUE"""),"AUXILIAR")</f>
        <v>AUXILIAR</v>
      </c>
      <c r="L698" s="34" t="str">
        <f>IFERROR(__xludf.DUMMYFUNCTION("""COMPUTED_VALUE"""),"INTERNO")</f>
        <v>INTERNO</v>
      </c>
      <c r="M698" s="34">
        <f>IFERROR(__xludf.DUMMYFUNCTION("""COMPUTED_VALUE"""),0.0)</f>
        <v>0</v>
      </c>
      <c r="N698" s="34" t="str">
        <f>IFERROR(__xludf.DUMMYFUNCTION("""COMPUTED_VALUE"""),"EXTERNO")</f>
        <v>EXTERNO</v>
      </c>
      <c r="O698">
        <f>IFERROR(__xludf.DUMMYFUNCTION("""COMPUTED_VALUE"""),4.0)</f>
        <v>4</v>
      </c>
      <c r="P698">
        <f>IFERROR(__xludf.DUMMYFUNCTION("""COMPUTED_VALUE"""),3.0)</f>
        <v>3</v>
      </c>
      <c r="Q698" s="35">
        <f>IFERROR(__xludf.DUMMYFUNCTION("""COMPUTED_VALUE"""),1.0)</f>
        <v>1</v>
      </c>
      <c r="R698" s="36" t="str">
        <f>IFERROR(__xludf.DUMMYFUNCTION("""COMPUTED_VALUE"""),"SELECCIONADO")</f>
        <v>SELECCIONADO</v>
      </c>
      <c r="S698" s="37">
        <f>IFERROR(__xludf.DUMMYFUNCTION("""COMPUTED_VALUE"""),42009.0)</f>
        <v>42009</v>
      </c>
      <c r="T698" s="34"/>
      <c r="U698" t="str">
        <f>IFERROR(__xludf.DUMMYFUNCTION("""COMPUTED_VALUE"""),"RENE VILLARROEL RAMIREZ")</f>
        <v>RENE VILLARROEL RAMIREZ</v>
      </c>
      <c r="V698" t="str">
        <f>IFERROR(__xludf.DUMMYFUNCTION("""COMPUTED_VALUE"""),"12468770-5")</f>
        <v>12468770-5</v>
      </c>
      <c r="W698" t="str">
        <f>IFERROR(__xludf.DUMMYFUNCTION("""COMPUTED_VALUE"""),"SI")</f>
        <v>SI</v>
      </c>
      <c r="AA698" s="38">
        <f>IFERROR(__xludf.DUMMYFUNCTION("""COMPUTED_VALUE"""),41942.0)</f>
        <v>41942</v>
      </c>
      <c r="AB698" s="38">
        <f>IFERROR(__xludf.DUMMYFUNCTION("""COMPUTED_VALUE"""),41949.0)</f>
        <v>41949</v>
      </c>
      <c r="AF698" s="39"/>
      <c r="AG698" s="39"/>
      <c r="AH698" s="34" t="str">
        <f>IFERROR(__xludf.DUMMYFUNCTION("""COMPUTED_VALUE"""),"PROCESO DE SELECCIÓN")</f>
        <v>PROCESO DE SELECCIÓN</v>
      </c>
      <c r="AI698" s="34" t="str">
        <f>IFERROR(__xludf.DUMMYFUNCTION("""COMPUTED_VALUE"""),"VICTOR ROMERO")</f>
        <v>VICTOR ROMERO</v>
      </c>
      <c r="AJ698" s="34"/>
      <c r="AK698" s="34" t="str">
        <f>IFERROR(__xludf.DUMMYFUNCTION("""COMPUTED_VALUE"""),"C")</f>
        <v>C</v>
      </c>
      <c r="AL698">
        <f>IFERROR(__xludf.DUMMYFUNCTION("""COMPUTED_VALUE"""),43.0)</f>
        <v>43</v>
      </c>
      <c r="AM698">
        <f>IFERROR(__xludf.DUMMYFUNCTION("""COMPUTED_VALUE"""),2014.0)</f>
        <v>2014</v>
      </c>
      <c r="AN698" t="str">
        <f t="shared" si="1"/>
        <v>12468770-5</v>
      </c>
    </row>
    <row r="699">
      <c r="A699" s="33">
        <f>IFERROR(__xludf.DUMMYFUNCTION("""COMPUTED_VALUE"""),1.534286E7)</f>
        <v>15342860</v>
      </c>
      <c r="B699" s="33">
        <f>IFERROR(__xludf.DUMMYFUNCTION("""COMPUTED_VALUE"""),123.0)</f>
        <v>123</v>
      </c>
      <c r="C699" s="33"/>
      <c r="D699" s="34" t="str">
        <f>IFERROR(__xludf.DUMMYFUNCTION("""COMPUTED_VALUE"""),"VICERRECTORIA DE APOYO AL ESTUDIANTE")</f>
        <v>VICERRECTORIA DE APOYO AL ESTUDIANTE</v>
      </c>
      <c r="E699" s="34" t="str">
        <f>IFERROR(__xludf.DUMMYFUNCTION("""COMPUTED_VALUE"""),"UNIDAD DE ADMINISTRACION DE SERVICIOS ALIMENTARIOS")</f>
        <v>UNIDAD DE ADMINISTRACION DE SERVICIOS ALIMENTARIOS</v>
      </c>
      <c r="F699" s="34" t="str">
        <f>IFERROR(__xludf.DUMMYFUNCTION("""COMPUTED_VALUE"""),"Maestro de Cocina")</f>
        <v>Maestro de Cocina</v>
      </c>
      <c r="G699" s="33" t="str">
        <f>IFERROR(__xludf.DUMMYFUNCTION("""COMPUTED_VALUE"""),"MAESTRO DE COCINA")</f>
        <v>MAESTRO DE COCINA</v>
      </c>
      <c r="H699">
        <f>IFERROR(__xludf.DUMMYFUNCTION("""COMPUTED_VALUE"""),18.0)</f>
        <v>18</v>
      </c>
      <c r="I699" s="34"/>
      <c r="J699" s="33" t="str">
        <f>IFERROR(__xludf.DUMMYFUNCTION("""COMPUTED_VALUE"""),"A CONTRATA")</f>
        <v>A CONTRATA</v>
      </c>
      <c r="K699" s="33" t="str">
        <f>IFERROR(__xludf.DUMMYFUNCTION("""COMPUTED_VALUE"""),"TECNICO")</f>
        <v>TECNICO</v>
      </c>
      <c r="L699" s="34" t="str">
        <f>IFERROR(__xludf.DUMMYFUNCTION("""COMPUTED_VALUE"""),"INTERNO")</f>
        <v>INTERNO</v>
      </c>
      <c r="M699" s="34"/>
      <c r="N699" s="34" t="str">
        <f>IFERROR(__xludf.DUMMYFUNCTION("""COMPUTED_VALUE"""),"EXTERNO")</f>
        <v>EXTERNO</v>
      </c>
      <c r="Q699" s="35">
        <f>IFERROR(__xludf.DUMMYFUNCTION("""COMPUTED_VALUE"""),9.0)</f>
        <v>9</v>
      </c>
      <c r="R699" s="36" t="str">
        <f>IFERROR(__xludf.DUMMYFUNCTION("""COMPUTED_VALUE"""),"SELECCIONADO")</f>
        <v>SELECCIONADO</v>
      </c>
      <c r="S699" s="37">
        <f>IFERROR(__xludf.DUMMYFUNCTION("""COMPUTED_VALUE"""),42065.0)</f>
        <v>42065</v>
      </c>
      <c r="T699" s="34"/>
      <c r="U699" t="str">
        <f>IFERROR(__xludf.DUMMYFUNCTION("""COMPUTED_VALUE"""),"EDUARDO OYARCE AGUIRRE")</f>
        <v>EDUARDO OYARCE AGUIRRE</v>
      </c>
      <c r="V699" t="str">
        <f>IFERROR(__xludf.DUMMYFUNCTION("""COMPUTED_VALUE"""),"15342860-3")</f>
        <v>15342860-3</v>
      </c>
      <c r="AA699" s="38">
        <f>IFERROR(__xludf.DUMMYFUNCTION("""COMPUTED_VALUE"""),41946.0)</f>
        <v>41946</v>
      </c>
      <c r="AB699" s="38">
        <f>IFERROR(__xludf.DUMMYFUNCTION("""COMPUTED_VALUE"""),41953.0)</f>
        <v>41953</v>
      </c>
      <c r="AF699" s="39"/>
      <c r="AG699" s="39"/>
      <c r="AH699" s="34" t="str">
        <f>IFERROR(__xludf.DUMMYFUNCTION("""COMPUTED_VALUE"""),"PROCESO DE SELECCIÓN")</f>
        <v>PROCESO DE SELECCIÓN</v>
      </c>
      <c r="AI699" s="34" t="str">
        <f>IFERROR(__xludf.DUMMYFUNCTION("""COMPUTED_VALUE"""),"JUAN MARTINEZ OLAVE")</f>
        <v>JUAN MARTINEZ OLAVE</v>
      </c>
      <c r="AJ699" s="34"/>
      <c r="AK699" s="34" t="str">
        <f>IFERROR(__xludf.DUMMYFUNCTION("""COMPUTED_VALUE"""),"C")</f>
        <v>C</v>
      </c>
      <c r="AL699">
        <f>IFERROR(__xludf.DUMMYFUNCTION("""COMPUTED_VALUE"""),81.0)</f>
        <v>81</v>
      </c>
      <c r="AM699">
        <f>IFERROR(__xludf.DUMMYFUNCTION("""COMPUTED_VALUE"""),2014.0)</f>
        <v>2014</v>
      </c>
      <c r="AN699" t="str">
        <f t="shared" si="1"/>
        <v>15342860-3</v>
      </c>
    </row>
    <row r="700">
      <c r="A700" s="33">
        <f>IFERROR(__xludf.DUMMYFUNCTION("""COMPUTED_VALUE"""),1.906192E7)</f>
        <v>19061920</v>
      </c>
      <c r="B700" s="33">
        <f>IFERROR(__xludf.DUMMYFUNCTION("""COMPUTED_VALUE"""),94.0)</f>
        <v>94</v>
      </c>
      <c r="C700" s="33"/>
      <c r="D700" s="34" t="str">
        <f>IFERROR(__xludf.DUMMYFUNCTION("""COMPUTED_VALUE"""),"VICERRECTORIA ACADEMICA")</f>
        <v>VICERRECTORIA ACADEMICA</v>
      </c>
      <c r="E700" s="34" t="str">
        <f>IFERROR(__xludf.DUMMYFUNCTION("""COMPUTED_VALUE"""),"ESCUELA DE ARQUITECTURA")</f>
        <v>ESCUELA DE ARQUITECTURA</v>
      </c>
      <c r="F700" s="34" t="str">
        <f>IFERROR(__xludf.DUMMYFUNCTION("""COMPUTED_VALUE"""),"Administrativo de Registro Curricular")</f>
        <v>Administrativo de Registro Curricular</v>
      </c>
      <c r="G700" s="33" t="str">
        <f>IFERROR(__xludf.DUMMYFUNCTION("""COMPUTED_VALUE"""),"ADMINISTRATIVO DE REGISTRO CURRICULAR")</f>
        <v>ADMINISTRATIVO DE REGISTRO CURRICULAR</v>
      </c>
      <c r="H700">
        <f>IFERROR(__xludf.DUMMYFUNCTION("""COMPUTED_VALUE"""),17.0)</f>
        <v>17</v>
      </c>
      <c r="I700" s="34"/>
      <c r="J700" s="33" t="str">
        <f>IFERROR(__xludf.DUMMYFUNCTION("""COMPUTED_VALUE"""),"A CONTRATA")</f>
        <v>A CONTRATA</v>
      </c>
      <c r="K700" s="33" t="str">
        <f>IFERROR(__xludf.DUMMYFUNCTION("""COMPUTED_VALUE"""),"ADMINISTRATIVO")</f>
        <v>ADMINISTRATIVO</v>
      </c>
      <c r="L700" s="34" t="str">
        <f>IFERROR(__xludf.DUMMYFUNCTION("""COMPUTED_VALUE"""),"INTERNO")</f>
        <v>INTERNO</v>
      </c>
      <c r="M700" s="34">
        <f>IFERROR(__xludf.DUMMYFUNCTION("""COMPUTED_VALUE"""),0.0)</f>
        <v>0</v>
      </c>
      <c r="N700" s="34" t="str">
        <f>IFERROR(__xludf.DUMMYFUNCTION("""COMPUTED_VALUE"""),"EXTERNO")</f>
        <v>EXTERNO</v>
      </c>
      <c r="O700">
        <f>IFERROR(__xludf.DUMMYFUNCTION("""COMPUTED_VALUE"""),4.0)</f>
        <v>4</v>
      </c>
      <c r="P700">
        <f>IFERROR(__xludf.DUMMYFUNCTION("""COMPUTED_VALUE"""),3.0)</f>
        <v>3</v>
      </c>
      <c r="Q700" s="35">
        <f>IFERROR(__xludf.DUMMYFUNCTION("""COMPUTED_VALUE"""),1.0)</f>
        <v>1</v>
      </c>
      <c r="R700" s="36" t="str">
        <f>IFERROR(__xludf.DUMMYFUNCTION("""COMPUTED_VALUE"""),"SELECCIONADA")</f>
        <v>SELECCIONADA</v>
      </c>
      <c r="S700" s="37">
        <f>IFERROR(__xludf.DUMMYFUNCTION("""COMPUTED_VALUE"""),42005.0)</f>
        <v>42005</v>
      </c>
      <c r="T700" s="34"/>
      <c r="U700" t="str">
        <f>IFERROR(__xludf.DUMMYFUNCTION("""COMPUTED_VALUE"""),"DAMARIS MUNOZ FLORES")</f>
        <v>DAMARIS MUNOZ FLORES</v>
      </c>
      <c r="V700" t="str">
        <f>IFERROR(__xludf.DUMMYFUNCTION("""COMPUTED_VALUE"""),"19061920-6")</f>
        <v>19061920-6</v>
      </c>
      <c r="W700" t="str">
        <f>IFERROR(__xludf.DUMMYFUNCTION("""COMPUTED_VALUE"""),"SI")</f>
        <v>SI</v>
      </c>
      <c r="X700" t="str">
        <f>IFERROR(__xludf.DUMMYFUNCTION("""COMPUTED_VALUE"""),"TRABAJO EN EQUIPO")</f>
        <v>TRABAJO EN EQUIPO</v>
      </c>
      <c r="Y700" t="str">
        <f>IFERROR(__xludf.DUMMYFUNCTION("""COMPUTED_VALUE"""),"CONCIENCIA ORGANIZACIONAL")</f>
        <v>CONCIENCIA ORGANIZACIONAL</v>
      </c>
      <c r="AA700" s="38">
        <f>IFERROR(__xludf.DUMMYFUNCTION("""COMPUTED_VALUE"""),41947.0)</f>
        <v>41947</v>
      </c>
      <c r="AB700" s="38">
        <f>IFERROR(__xludf.DUMMYFUNCTION("""COMPUTED_VALUE"""),41954.0)</f>
        <v>41954</v>
      </c>
      <c r="AC700">
        <f>IFERROR(__xludf.DUMMYFUNCTION("""COMPUTED_VALUE"""),17.0)</f>
        <v>17</v>
      </c>
      <c r="AD700" t="str">
        <f>IFERROR(__xludf.DUMMYFUNCTION("""COMPUTED_VALUE"""),"ADMINISTRATIVO")</f>
        <v>ADMINISTRATIVO</v>
      </c>
      <c r="AF700" s="39"/>
      <c r="AG700" s="39"/>
      <c r="AH700" s="34" t="str">
        <f>IFERROR(__xludf.DUMMYFUNCTION("""COMPUTED_VALUE"""),"PROCESO DE SELECCIÓN")</f>
        <v>PROCESO DE SELECCIÓN</v>
      </c>
      <c r="AI700" s="34"/>
      <c r="AJ700" s="34"/>
      <c r="AK700" s="34" t="str">
        <f>IFERROR(__xludf.DUMMYFUNCTION("""COMPUTED_VALUE"""),"P")</f>
        <v>P</v>
      </c>
      <c r="AL700">
        <f>IFERROR(__xludf.DUMMYFUNCTION("""COMPUTED_VALUE"""),38.0)</f>
        <v>38</v>
      </c>
      <c r="AM700">
        <f>IFERROR(__xludf.DUMMYFUNCTION("""COMPUTED_VALUE"""),2014.0)</f>
        <v>2014</v>
      </c>
      <c r="AN700" t="str">
        <f t="shared" si="1"/>
        <v>19061920-6</v>
      </c>
    </row>
    <row r="701">
      <c r="A701" s="33">
        <f>IFERROR(__xludf.DUMMYFUNCTION("""COMPUTED_VALUE"""),1.6660732E7)</f>
        <v>16660732</v>
      </c>
      <c r="B701" s="33">
        <f>IFERROR(__xludf.DUMMYFUNCTION("""COMPUTED_VALUE"""),134.0)</f>
        <v>134</v>
      </c>
      <c r="C701" s="33"/>
      <c r="D701" s="34" t="str">
        <f>IFERROR(__xludf.DUMMYFUNCTION("""COMPUTED_VALUE"""),"PRORRECTORIA")</f>
        <v>PRORRECTORIA</v>
      </c>
      <c r="E701" s="34" t="str">
        <f>IFERROR(__xludf.DUMMYFUNCTION("""COMPUTED_VALUE"""),"DEPARTAMENTO DE CALIDAD Y ACREDITACION")</f>
        <v>DEPARTAMENTO DE CALIDAD Y ACREDITACION</v>
      </c>
      <c r="F701" s="34" t="str">
        <f>IFERROR(__xludf.DUMMYFUNCTION("""COMPUTED_VALUE"""),"Analista de Acreditación")</f>
        <v>Analista de Acreditación</v>
      </c>
      <c r="G701" s="33" t="str">
        <f>IFERROR(__xludf.DUMMYFUNCTION("""COMPUTED_VALUE"""),"ANALISTA DE ACREDITACION DE CARRERAS Y PROGRAMAS")</f>
        <v>ANALISTA DE ACREDITACION DE CARRERAS Y PROGRAMAS</v>
      </c>
      <c r="H701">
        <f>IFERROR(__xludf.DUMMYFUNCTION("""COMPUTED_VALUE"""),8.0)</f>
        <v>8</v>
      </c>
      <c r="I701" s="34"/>
      <c r="J701" s="33" t="str">
        <f>IFERROR(__xludf.DUMMYFUNCTION("""COMPUTED_VALUE"""),"A CONTRATA")</f>
        <v>A CONTRATA</v>
      </c>
      <c r="K701" s="33" t="str">
        <f>IFERROR(__xludf.DUMMYFUNCTION("""COMPUTED_VALUE"""),"PROFESIONAL")</f>
        <v>PROFESIONAL</v>
      </c>
      <c r="L701" s="34" t="str">
        <f>IFERROR(__xludf.DUMMYFUNCTION("""COMPUTED_VALUE"""),"INTERNO")</f>
        <v>INTERNO</v>
      </c>
      <c r="M701" s="34">
        <f>IFERROR(__xludf.DUMMYFUNCTION("""COMPUTED_VALUE"""),7.0)</f>
        <v>7</v>
      </c>
      <c r="N701" s="34" t="str">
        <f>IFERROR(__xludf.DUMMYFUNCTION("""COMPUTED_VALUE"""),"EXTERNO")</f>
        <v>EXTERNO</v>
      </c>
      <c r="O701">
        <f>IFERROR(__xludf.DUMMYFUNCTION("""COMPUTED_VALUE"""),28.0)</f>
        <v>28</v>
      </c>
      <c r="P701">
        <f>IFERROR(__xludf.DUMMYFUNCTION("""COMPUTED_VALUE"""),4.0)</f>
        <v>4</v>
      </c>
      <c r="Q701" s="35">
        <f>IFERROR(__xludf.DUMMYFUNCTION("""COMPUTED_VALUE"""),1.0)</f>
        <v>1</v>
      </c>
      <c r="R701" s="36" t="str">
        <f>IFERROR(__xludf.DUMMYFUNCTION("""COMPUTED_VALUE"""),"SELECCIONADO")</f>
        <v>SELECCIONADO</v>
      </c>
      <c r="S701" s="37">
        <f>IFERROR(__xludf.DUMMYFUNCTION("""COMPUTED_VALUE"""),42065.0)</f>
        <v>42065</v>
      </c>
      <c r="T701" s="34"/>
      <c r="U701" t="str">
        <f>IFERROR(__xludf.DUMMYFUNCTION("""COMPUTED_VALUE"""),"JOSE MIGUEL SANHUEZA DE LA CRUZ")</f>
        <v>JOSE MIGUEL SANHUEZA DE LA CRUZ</v>
      </c>
      <c r="V701" t="str">
        <f>IFERROR(__xludf.DUMMYFUNCTION("""COMPUTED_VALUE"""),"16660732-9")</f>
        <v>16660732-9</v>
      </c>
      <c r="W701" t="str">
        <f>IFERROR(__xludf.DUMMYFUNCTION("""COMPUTED_VALUE"""),"No")</f>
        <v>No</v>
      </c>
      <c r="AA701" s="38">
        <f>IFERROR(__xludf.DUMMYFUNCTION("""COMPUTED_VALUE"""),41954.0)</f>
        <v>41954</v>
      </c>
      <c r="AB701" s="38">
        <f>IFERROR(__xludf.DUMMYFUNCTION("""COMPUTED_VALUE"""),41961.0)</f>
        <v>41961</v>
      </c>
      <c r="AF701" s="39"/>
      <c r="AG701" s="39"/>
      <c r="AH701" s="34" t="str">
        <f>IFERROR(__xludf.DUMMYFUNCTION("""COMPUTED_VALUE"""),"PROCESO DE SELECCIÓN")</f>
        <v>PROCESO DE SELECCIÓN</v>
      </c>
      <c r="AI701" s="34"/>
      <c r="AJ701" s="34"/>
      <c r="AK701" s="34" t="str">
        <f>IFERROR(__xludf.DUMMYFUNCTION("""COMPUTED_VALUE"""),"P")</f>
        <v>P</v>
      </c>
      <c r="AL701">
        <f>IFERROR(__xludf.DUMMYFUNCTION("""COMPUTED_VALUE"""),75.0)</f>
        <v>75</v>
      </c>
      <c r="AM701">
        <f>IFERROR(__xludf.DUMMYFUNCTION("""COMPUTED_VALUE"""),2014.0)</f>
        <v>2014</v>
      </c>
      <c r="AN701" t="str">
        <f t="shared" si="1"/>
        <v>16660732-9</v>
      </c>
    </row>
    <row r="702">
      <c r="A702" s="33">
        <f>IFERROR(__xludf.DUMMYFUNCTION("""COMPUTED_VALUE"""),1.6921111E7)</f>
        <v>16921111</v>
      </c>
      <c r="B702" s="33">
        <f>IFERROR(__xludf.DUMMYFUNCTION("""COMPUTED_VALUE"""),134.0)</f>
        <v>134</v>
      </c>
      <c r="C702" s="33"/>
      <c r="D702" s="34" t="str">
        <f>IFERROR(__xludf.DUMMYFUNCTION("""COMPUTED_VALUE"""),"PRORRECTORIA")</f>
        <v>PRORRECTORIA</v>
      </c>
      <c r="E702" s="34" t="str">
        <f>IFERROR(__xludf.DUMMYFUNCTION("""COMPUTED_VALUE"""),"DEPARTAMENTO DE CALIDAD Y ACREDITACION")</f>
        <v>DEPARTAMENTO DE CALIDAD Y ACREDITACION</v>
      </c>
      <c r="F702" s="34" t="str">
        <f>IFERROR(__xludf.DUMMYFUNCTION("""COMPUTED_VALUE"""),"Analista de Acreditación")</f>
        <v>Analista de Acreditación</v>
      </c>
      <c r="G702" s="33" t="str">
        <f>IFERROR(__xludf.DUMMYFUNCTION("""COMPUTED_VALUE"""),"ANALISTA DE ACREDITACION DE CARRERAS Y PROGRAMAS")</f>
        <v>ANALISTA DE ACREDITACION DE CARRERAS Y PROGRAMAS</v>
      </c>
      <c r="H702">
        <f>IFERROR(__xludf.DUMMYFUNCTION("""COMPUTED_VALUE"""),8.0)</f>
        <v>8</v>
      </c>
      <c r="I702" s="34"/>
      <c r="J702" s="33" t="str">
        <f>IFERROR(__xludf.DUMMYFUNCTION("""COMPUTED_VALUE"""),"A CONTRATA")</f>
        <v>A CONTRATA</v>
      </c>
      <c r="K702" s="33" t="str">
        <f>IFERROR(__xludf.DUMMYFUNCTION("""COMPUTED_VALUE"""),"PROFESIONAL")</f>
        <v>PROFESIONAL</v>
      </c>
      <c r="L702" s="34" t="str">
        <f>IFERROR(__xludf.DUMMYFUNCTION("""COMPUTED_VALUE"""),"INTERNO")</f>
        <v>INTERNO</v>
      </c>
      <c r="M702" s="34">
        <f>IFERROR(__xludf.DUMMYFUNCTION("""COMPUTED_VALUE"""),7.0)</f>
        <v>7</v>
      </c>
      <c r="N702" s="34" t="str">
        <f>IFERROR(__xludf.DUMMYFUNCTION("""COMPUTED_VALUE"""),"EXTERNO")</f>
        <v>EXTERNO</v>
      </c>
      <c r="O702">
        <f>IFERROR(__xludf.DUMMYFUNCTION("""COMPUTED_VALUE"""),28.0)</f>
        <v>28</v>
      </c>
      <c r="P702">
        <f>IFERROR(__xludf.DUMMYFUNCTION("""COMPUTED_VALUE"""),4.0)</f>
        <v>4</v>
      </c>
      <c r="Q702" s="35">
        <f>IFERROR(__xludf.DUMMYFUNCTION("""COMPUTED_VALUE"""),1.0)</f>
        <v>1</v>
      </c>
      <c r="R702" s="36" t="str">
        <f>IFERROR(__xludf.DUMMYFUNCTION("""COMPUTED_VALUE"""),"SELECCIONADO")</f>
        <v>SELECCIONADO</v>
      </c>
      <c r="S702" s="37">
        <f>IFERROR(__xludf.DUMMYFUNCTION("""COMPUTED_VALUE"""),42065.0)</f>
        <v>42065</v>
      </c>
      <c r="T702" s="34"/>
      <c r="U702" t="str">
        <f>IFERROR(__xludf.DUMMYFUNCTION("""COMPUTED_VALUE"""),"JOSE MIGUEL SANHUEZA DE LA CRUZ")</f>
        <v>JOSE MIGUEL SANHUEZA DE LA CRUZ</v>
      </c>
      <c r="V702" t="str">
        <f>IFERROR(__xludf.DUMMYFUNCTION("""COMPUTED_VALUE"""),"16921111-6")</f>
        <v>16921111-6</v>
      </c>
      <c r="W702" t="str">
        <f>IFERROR(__xludf.DUMMYFUNCTION("""COMPUTED_VALUE"""),"No")</f>
        <v>No</v>
      </c>
      <c r="AA702" s="38">
        <f>IFERROR(__xludf.DUMMYFUNCTION("""COMPUTED_VALUE"""),41954.0)</f>
        <v>41954</v>
      </c>
      <c r="AB702" s="38">
        <f>IFERROR(__xludf.DUMMYFUNCTION("""COMPUTED_VALUE"""),41961.0)</f>
        <v>41961</v>
      </c>
      <c r="AF702" s="39"/>
      <c r="AG702" s="39"/>
      <c r="AH702" s="34" t="str">
        <f>IFERROR(__xludf.DUMMYFUNCTION("""COMPUTED_VALUE"""),"PROCESO DE SELECCIÓN")</f>
        <v>PROCESO DE SELECCIÓN</v>
      </c>
      <c r="AI702" s="34"/>
      <c r="AJ702" s="34"/>
      <c r="AK702" s="34" t="str">
        <f>IFERROR(__xludf.DUMMYFUNCTION("""COMPUTED_VALUE"""),"P")</f>
        <v>P</v>
      </c>
      <c r="AL702">
        <f>IFERROR(__xludf.DUMMYFUNCTION("""COMPUTED_VALUE"""),75.0)</f>
        <v>75</v>
      </c>
      <c r="AM702">
        <f>IFERROR(__xludf.DUMMYFUNCTION("""COMPUTED_VALUE"""),2014.0)</f>
        <v>2014</v>
      </c>
      <c r="AN702" t="str">
        <f t="shared" si="1"/>
        <v>16921111-6</v>
      </c>
    </row>
    <row r="703">
      <c r="A703" s="33">
        <f>IFERROR(__xludf.DUMMYFUNCTION("""COMPUTED_VALUE"""),1.6921111E7)</f>
        <v>16921111</v>
      </c>
      <c r="B703" s="33"/>
      <c r="C703" s="33"/>
      <c r="D703" s="34" t="str">
        <f>IFERROR(__xludf.DUMMYFUNCTION("""COMPUTED_VALUE"""),"PRORRECTORIA")</f>
        <v>PRORRECTORIA</v>
      </c>
      <c r="E703" s="34" t="str">
        <f>IFERROR(__xludf.DUMMYFUNCTION("""COMPUTED_VALUE"""),"DEPARTAMENTO DE CALIDAD Y ACREDITACION")</f>
        <v>DEPARTAMENTO DE CALIDAD Y ACREDITACION</v>
      </c>
      <c r="F703" s="34" t="str">
        <f>IFERROR(__xludf.DUMMYFUNCTION("""COMPUTED_VALUE"""),"Analista de Acreditación")</f>
        <v>Analista de Acreditación</v>
      </c>
      <c r="G703" s="33" t="str">
        <f>IFERROR(__xludf.DUMMYFUNCTION("""COMPUTED_VALUE"""),"ANALISTA DE ACREDITACION DE CARRERAS Y PROGRAMAS")</f>
        <v>ANALISTA DE ACREDITACION DE CARRERAS Y PROGRAMAS</v>
      </c>
      <c r="H703">
        <f>IFERROR(__xludf.DUMMYFUNCTION("""COMPUTED_VALUE"""),8.0)</f>
        <v>8</v>
      </c>
      <c r="I703" s="34"/>
      <c r="J703" s="33" t="str">
        <f>IFERROR(__xludf.DUMMYFUNCTION("""COMPUTED_VALUE"""),"A CONTRATA")</f>
        <v>A CONTRATA</v>
      </c>
      <c r="K703" s="33" t="str">
        <f>IFERROR(__xludf.DUMMYFUNCTION("""COMPUTED_VALUE"""),"PROFESIONAL")</f>
        <v>PROFESIONAL</v>
      </c>
      <c r="L703" s="34" t="str">
        <f>IFERROR(__xludf.DUMMYFUNCTION("""COMPUTED_VALUE"""),"INTERNO")</f>
        <v>INTERNO</v>
      </c>
      <c r="M703" s="34">
        <f>IFERROR(__xludf.DUMMYFUNCTION("""COMPUTED_VALUE"""),7.0)</f>
        <v>7</v>
      </c>
      <c r="N703" s="34" t="str">
        <f>IFERROR(__xludf.DUMMYFUNCTION("""COMPUTED_VALUE"""),"EXTERNO")</f>
        <v>EXTERNO</v>
      </c>
      <c r="O703">
        <f>IFERROR(__xludf.DUMMYFUNCTION("""COMPUTED_VALUE"""),28.0)</f>
        <v>28</v>
      </c>
      <c r="P703">
        <f>IFERROR(__xludf.DUMMYFUNCTION("""COMPUTED_VALUE"""),4.0)</f>
        <v>4</v>
      </c>
      <c r="Q703" s="35">
        <f>IFERROR(__xludf.DUMMYFUNCTION("""COMPUTED_VALUE"""),1.0)</f>
        <v>1</v>
      </c>
      <c r="R703" s="36" t="str">
        <f>IFERROR(__xludf.DUMMYFUNCTION("""COMPUTED_VALUE"""),"SELECCIONADA")</f>
        <v>SELECCIONADA</v>
      </c>
      <c r="S703" s="37">
        <f>IFERROR(__xludf.DUMMYFUNCTION("""COMPUTED_VALUE"""),42065.0)</f>
        <v>42065</v>
      </c>
      <c r="T703" s="34"/>
      <c r="U703" t="str">
        <f>IFERROR(__xludf.DUMMYFUNCTION("""COMPUTED_VALUE"""),"JENIFER CELIS MENDEZ")</f>
        <v>JENIFER CELIS MENDEZ</v>
      </c>
      <c r="V703" t="str">
        <f>IFERROR(__xludf.DUMMYFUNCTION("""COMPUTED_VALUE"""),"16921111-6")</f>
        <v>16921111-6</v>
      </c>
      <c r="X703" t="str">
        <f>IFERROR(__xludf.DUMMYFUNCTION("""COMPUTED_VALUE"""),"Capacidad de Planificacion y Organizacion")</f>
        <v>Capacidad de Planificacion y Organizacion</v>
      </c>
      <c r="Y703" t="str">
        <f>IFERROR(__xludf.DUMMYFUNCTION("""COMPUTED_VALUE"""),"TRABAJO EN EQUIPO")</f>
        <v>TRABAJO EN EQUIPO</v>
      </c>
      <c r="Z703" t="str">
        <f>IFERROR(__xludf.DUMMYFUNCTION("""COMPUTED_VALUE"""),"PENSAMIENTO ANALITICO")</f>
        <v>PENSAMIENTO ANALITICO</v>
      </c>
      <c r="AA703" s="38">
        <f>IFERROR(__xludf.DUMMYFUNCTION("""COMPUTED_VALUE"""),41954.0)</f>
        <v>41954</v>
      </c>
      <c r="AB703" s="38">
        <f>IFERROR(__xludf.DUMMYFUNCTION("""COMPUTED_VALUE"""),41961.0)</f>
        <v>41961</v>
      </c>
      <c r="AF703" s="39"/>
      <c r="AG703" s="39"/>
      <c r="AH703" s="34" t="str">
        <f>IFERROR(__xludf.DUMMYFUNCTION("""COMPUTED_VALUE"""),"PROCESO DE SELECCIÓN")</f>
        <v>PROCESO DE SELECCIÓN</v>
      </c>
      <c r="AI703" s="34"/>
      <c r="AJ703" s="34"/>
      <c r="AK703" s="34" t="str">
        <f>IFERROR(__xludf.DUMMYFUNCTION("""COMPUTED_VALUE"""),"P")</f>
        <v>P</v>
      </c>
      <c r="AL703">
        <f>IFERROR(__xludf.DUMMYFUNCTION("""COMPUTED_VALUE"""),75.0)</f>
        <v>75</v>
      </c>
      <c r="AM703">
        <f>IFERROR(__xludf.DUMMYFUNCTION("""COMPUTED_VALUE"""),2014.0)</f>
        <v>2014</v>
      </c>
      <c r="AN703" t="str">
        <f t="shared" si="1"/>
        <v>16921111-6</v>
      </c>
    </row>
    <row r="704">
      <c r="A704" s="33">
        <f>IFERROR(__xludf.DUMMYFUNCTION("""COMPUTED_VALUE"""),1.6912242E7)</f>
        <v>16912242</v>
      </c>
      <c r="B704" s="33">
        <f>IFERROR(__xludf.DUMMYFUNCTION("""COMPUTED_VALUE"""),95.0)</f>
        <v>95</v>
      </c>
      <c r="C704" s="33"/>
      <c r="D704" s="34" t="str">
        <f>IFERROR(__xludf.DUMMYFUNCTION("""COMPUTED_VALUE"""),"PRORRECTORIA")</f>
        <v>PRORRECTORIA</v>
      </c>
      <c r="E704" s="34" t="str">
        <f>IFERROR(__xludf.DUMMYFUNCTION("""COMPUTED_VALUE"""),"UNIDAD DE BIENESTAR DEL PERSONAL")</f>
        <v>UNIDAD DE BIENESTAR DEL PERSONAL</v>
      </c>
      <c r="F704" s="34" t="str">
        <f>IFERROR(__xludf.DUMMYFUNCTION("""COMPUTED_VALUE"""),"Nutricionista")</f>
        <v>Nutricionista</v>
      </c>
      <c r="G704" s="33" t="str">
        <f>IFERROR(__xludf.DUMMYFUNCTION("""COMPUTED_VALUE"""),"NUTRICIONISTA")</f>
        <v>NUTRICIONISTA</v>
      </c>
      <c r="H704">
        <f>IFERROR(__xludf.DUMMYFUNCTION("""COMPUTED_VALUE"""),13.0)</f>
        <v>13</v>
      </c>
      <c r="I704" s="34"/>
      <c r="J704" s="33" t="str">
        <f>IFERROR(__xludf.DUMMYFUNCTION("""COMPUTED_VALUE"""),"A CONTRATA")</f>
        <v>A CONTRATA</v>
      </c>
      <c r="K704" s="33" t="str">
        <f>IFERROR(__xludf.DUMMYFUNCTION("""COMPUTED_VALUE"""),"PROFESIONAL")</f>
        <v>PROFESIONAL</v>
      </c>
      <c r="L704" s="34" t="str">
        <f>IFERROR(__xludf.DUMMYFUNCTION("""COMPUTED_VALUE"""),"INTERNO")</f>
        <v>INTERNO</v>
      </c>
      <c r="M704" s="34">
        <f>IFERROR(__xludf.DUMMYFUNCTION("""COMPUTED_VALUE"""),0.0)</f>
        <v>0</v>
      </c>
      <c r="N704" s="34" t="str">
        <f>IFERROR(__xludf.DUMMYFUNCTION("""COMPUTED_VALUE"""),"EXTERNO")</f>
        <v>EXTERNO</v>
      </c>
      <c r="O704">
        <f>IFERROR(__xludf.DUMMYFUNCTION("""COMPUTED_VALUE"""),13.0)</f>
        <v>13</v>
      </c>
      <c r="P704">
        <f>IFERROR(__xludf.DUMMYFUNCTION("""COMPUTED_VALUE"""),5.0)</f>
        <v>5</v>
      </c>
      <c r="Q704" s="35">
        <f>IFERROR(__xludf.DUMMYFUNCTION("""COMPUTED_VALUE"""),1.0)</f>
        <v>1</v>
      </c>
      <c r="R704" s="36" t="str">
        <f>IFERROR(__xludf.DUMMYFUNCTION("""COMPUTED_VALUE"""),"SELECCIONADA")</f>
        <v>SELECCIONADA</v>
      </c>
      <c r="S704" s="37">
        <f>IFERROR(__xludf.DUMMYFUNCTION("""COMPUTED_VALUE"""),41988.0)</f>
        <v>41988</v>
      </c>
      <c r="T704" s="34"/>
      <c r="U704" t="str">
        <f>IFERROR(__xludf.DUMMYFUNCTION("""COMPUTED_VALUE"""),"MARIA BARRIGA FIGUEROA")</f>
        <v>MARIA BARRIGA FIGUEROA</v>
      </c>
      <c r="V704" t="str">
        <f>IFERROR(__xludf.DUMMYFUNCTION("""COMPUTED_VALUE"""),"16912242-3")</f>
        <v>16912242-3</v>
      </c>
      <c r="W704" t="str">
        <f>IFERROR(__xludf.DUMMYFUNCTION("""COMPUTED_VALUE"""),"NO")</f>
        <v>NO</v>
      </c>
      <c r="AA704" s="38">
        <f>IFERROR(__xludf.DUMMYFUNCTION("""COMPUTED_VALUE"""),41954.0)</f>
        <v>41954</v>
      </c>
      <c r="AB704" s="38">
        <f>IFERROR(__xludf.DUMMYFUNCTION("""COMPUTED_VALUE"""),41961.0)</f>
        <v>41961</v>
      </c>
      <c r="AC704">
        <f>IFERROR(__xludf.DUMMYFUNCTION("""COMPUTED_VALUE"""),13.0)</f>
        <v>13</v>
      </c>
      <c r="AD704" t="str">
        <f>IFERROR(__xludf.DUMMYFUNCTION("""COMPUTED_VALUE"""),"PROFESIONAL")</f>
        <v>PROFESIONAL</v>
      </c>
      <c r="AF704" s="39"/>
      <c r="AG704" s="39"/>
      <c r="AH704" s="34" t="str">
        <f>IFERROR(__xludf.DUMMYFUNCTION("""COMPUTED_VALUE"""),"PROCESO DE SELECCIÓN")</f>
        <v>PROCESO DE SELECCIÓN</v>
      </c>
      <c r="AI704" s="34"/>
      <c r="AJ704" s="34"/>
      <c r="AK704" s="34" t="str">
        <f>IFERROR(__xludf.DUMMYFUNCTION("""COMPUTED_VALUE"""),"C")</f>
        <v>C</v>
      </c>
      <c r="AL704">
        <f>IFERROR(__xludf.DUMMYFUNCTION("""COMPUTED_VALUE"""),20.0)</f>
        <v>20</v>
      </c>
      <c r="AM704">
        <f>IFERROR(__xludf.DUMMYFUNCTION("""COMPUTED_VALUE"""),2014.0)</f>
        <v>2014</v>
      </c>
      <c r="AN704" t="str">
        <f t="shared" si="1"/>
        <v>16912242-3</v>
      </c>
    </row>
    <row r="705">
      <c r="A705" s="33">
        <f>IFERROR(__xludf.DUMMYFUNCTION("""COMPUTED_VALUE"""),1.7670586E7)</f>
        <v>17670586</v>
      </c>
      <c r="B705" s="33">
        <f>IFERROR(__xludf.DUMMYFUNCTION("""COMPUTED_VALUE"""),117.0)</f>
        <v>117</v>
      </c>
      <c r="C705" s="33"/>
      <c r="D705" s="34" t="str">
        <f>IFERROR(__xludf.DUMMYFUNCTION("""COMPUTED_VALUE"""),"FACULTAD DE QUIMICA Y BIOLOGIA")</f>
        <v>FACULTAD DE QUIMICA Y BIOLOGIA</v>
      </c>
      <c r="E705" s="34" t="str">
        <f>IFERROR(__xludf.DUMMYFUNCTION("""COMPUTED_VALUE"""),"DEPARTAMENTO DE QUIMICA DE LOS MATERIALES")</f>
        <v>DEPARTAMENTO DE QUIMICA DE LOS MATERIALES</v>
      </c>
      <c r="F705" s="34" t="str">
        <f>IFERROR(__xludf.DUMMYFUNCTION("""COMPUTED_VALUE"""),"Técnico de Laboratorio")</f>
        <v>Técnico de Laboratorio</v>
      </c>
      <c r="G705" s="33" t="str">
        <f>IFERROR(__xludf.DUMMYFUNCTION("""COMPUTED_VALUE"""),"TECNICO DE LABORATORIO")</f>
        <v>TECNICO DE LABORATORIO</v>
      </c>
      <c r="H705">
        <f>IFERROR(__xludf.DUMMYFUNCTION("""COMPUTED_VALUE"""),17.0)</f>
        <v>17</v>
      </c>
      <c r="I705" s="34"/>
      <c r="J705" s="33" t="str">
        <f>IFERROR(__xludf.DUMMYFUNCTION("""COMPUTED_VALUE"""),"A CONTRATA")</f>
        <v>A CONTRATA</v>
      </c>
      <c r="K705" s="33" t="str">
        <f>IFERROR(__xludf.DUMMYFUNCTION("""COMPUTED_VALUE"""),"TECNICO")</f>
        <v>TECNICO</v>
      </c>
      <c r="L705" s="34" t="str">
        <f>IFERROR(__xludf.DUMMYFUNCTION("""COMPUTED_VALUE"""),"INTERNO")</f>
        <v>INTERNO</v>
      </c>
      <c r="M705" s="34">
        <f>IFERROR(__xludf.DUMMYFUNCTION("""COMPUTED_VALUE"""),0.0)</f>
        <v>0</v>
      </c>
      <c r="N705" s="34" t="str">
        <f>IFERROR(__xludf.DUMMYFUNCTION("""COMPUTED_VALUE"""),"EXTERNO")</f>
        <v>EXTERNO</v>
      </c>
      <c r="O705">
        <f>IFERROR(__xludf.DUMMYFUNCTION("""COMPUTED_VALUE"""),10.0)</f>
        <v>10</v>
      </c>
      <c r="P705">
        <f>IFERROR(__xludf.DUMMYFUNCTION("""COMPUTED_VALUE"""),1.0)</f>
        <v>1</v>
      </c>
      <c r="Q705" s="35">
        <f>IFERROR(__xludf.DUMMYFUNCTION("""COMPUTED_VALUE"""),1.0)</f>
        <v>1</v>
      </c>
      <c r="R705" s="36" t="str">
        <f>IFERROR(__xludf.DUMMYFUNCTION("""COMPUTED_VALUE"""),"SELECCIONADO")</f>
        <v>SELECCIONADO</v>
      </c>
      <c r="S705" s="37">
        <f>IFERROR(__xludf.DUMMYFUNCTION("""COMPUTED_VALUE"""),42065.0)</f>
        <v>42065</v>
      </c>
      <c r="T705" s="34"/>
      <c r="U705" t="str">
        <f>IFERROR(__xludf.DUMMYFUNCTION("""COMPUTED_VALUE"""),"CAMILO BRAVO HIDALGO")</f>
        <v>CAMILO BRAVO HIDALGO</v>
      </c>
      <c r="V705" t="str">
        <f>IFERROR(__xludf.DUMMYFUNCTION("""COMPUTED_VALUE"""),"17670586-8")</f>
        <v>17670586-8</v>
      </c>
      <c r="W705" t="str">
        <f>IFERROR(__xludf.DUMMYFUNCTION("""COMPUTED_VALUE"""),"No")</f>
        <v>No</v>
      </c>
      <c r="AA705" s="38">
        <f>IFERROR(__xludf.DUMMYFUNCTION("""COMPUTED_VALUE"""),41954.0)</f>
        <v>41954</v>
      </c>
      <c r="AB705" s="38">
        <f>IFERROR(__xludf.DUMMYFUNCTION("""COMPUTED_VALUE"""),41961.0)</f>
        <v>41961</v>
      </c>
      <c r="AF705" s="39"/>
      <c r="AG705" s="39"/>
      <c r="AH705" s="34" t="str">
        <f>IFERROR(__xludf.DUMMYFUNCTION("""COMPUTED_VALUE"""),"PROCESO DE SELECCIÓN")</f>
        <v>PROCESO DE SELECCIÓN</v>
      </c>
      <c r="AI705" s="34" t="str">
        <f>IFERROR(__xludf.DUMMYFUNCTION("""COMPUTED_VALUE"""),"SERGIA DEL VALLE (1/2 J)")</f>
        <v>SERGIA DEL VALLE (1/2 J)</v>
      </c>
      <c r="AJ705" s="34"/>
      <c r="AK705" s="34" t="str">
        <f>IFERROR(__xludf.DUMMYFUNCTION("""COMPUTED_VALUE"""),"E")</f>
        <v>E</v>
      </c>
      <c r="AL705">
        <f>IFERROR(__xludf.DUMMYFUNCTION("""COMPUTED_VALUE"""),75.0)</f>
        <v>75</v>
      </c>
      <c r="AM705">
        <f>IFERROR(__xludf.DUMMYFUNCTION("""COMPUTED_VALUE"""),2014.0)</f>
        <v>2014</v>
      </c>
      <c r="AN705" t="str">
        <f t="shared" si="1"/>
        <v>17670586-8</v>
      </c>
    </row>
    <row r="706">
      <c r="A706" s="33">
        <f>IFERROR(__xludf.DUMMYFUNCTION("""COMPUTED_VALUE"""),1.5563432E7)</f>
        <v>15563432</v>
      </c>
      <c r="B706" s="33">
        <f>IFERROR(__xludf.DUMMYFUNCTION("""COMPUTED_VALUE"""),97.0)</f>
        <v>97</v>
      </c>
      <c r="C706" s="33"/>
      <c r="D706" s="34" t="str">
        <f>IFERROR(__xludf.DUMMYFUNCTION("""COMPUTED_VALUE"""),"PRORRECTORIA")</f>
        <v>PRORRECTORIA</v>
      </c>
      <c r="E706" s="34" t="str">
        <f>IFERROR(__xludf.DUMMYFUNCTION("""COMPUTED_VALUE"""),"DEPARTAMENTO DE FINANZAS Y TESORERIA")</f>
        <v>DEPARTAMENTO DE FINANZAS Y TESORERIA</v>
      </c>
      <c r="F706" s="34" t="str">
        <f>IFERROR(__xludf.DUMMYFUNCTION("""COMPUTED_VALUE"""),"Administrativo de Apoyo")</f>
        <v>Administrativo de Apoyo</v>
      </c>
      <c r="G706" s="33" t="str">
        <f>IFERROR(__xludf.DUMMYFUNCTION("""COMPUTED_VALUE"""),"ADMINISTRATIVO DE APOYO")</f>
        <v>ADMINISTRATIVO DE APOYO</v>
      </c>
      <c r="H706">
        <f>IFERROR(__xludf.DUMMYFUNCTION("""COMPUTED_VALUE"""),20.0)</f>
        <v>20</v>
      </c>
      <c r="I706" s="34"/>
      <c r="J706" s="33" t="str">
        <f>IFERROR(__xludf.DUMMYFUNCTION("""COMPUTED_VALUE"""),"A CONTRATA")</f>
        <v>A CONTRATA</v>
      </c>
      <c r="K706" s="33" t="str">
        <f>IFERROR(__xludf.DUMMYFUNCTION("""COMPUTED_VALUE"""),"ADMINISTRATIVO")</f>
        <v>ADMINISTRATIVO</v>
      </c>
      <c r="L706" s="34" t="str">
        <f>IFERROR(__xludf.DUMMYFUNCTION("""COMPUTED_VALUE"""),"INTERNO")</f>
        <v>INTERNO</v>
      </c>
      <c r="M706" s="34">
        <f>IFERROR(__xludf.DUMMYFUNCTION("""COMPUTED_VALUE"""),0.0)</f>
        <v>0</v>
      </c>
      <c r="N706" s="34" t="str">
        <f>IFERROR(__xludf.DUMMYFUNCTION("""COMPUTED_VALUE"""),"EXTERNO")</f>
        <v>EXTERNO</v>
      </c>
      <c r="O706">
        <f>IFERROR(__xludf.DUMMYFUNCTION("""COMPUTED_VALUE"""),4.0)</f>
        <v>4</v>
      </c>
      <c r="P706">
        <f>IFERROR(__xludf.DUMMYFUNCTION("""COMPUTED_VALUE"""),3.0)</f>
        <v>3</v>
      </c>
      <c r="Q706" s="35">
        <f>IFERROR(__xludf.DUMMYFUNCTION("""COMPUTED_VALUE"""),1.0)</f>
        <v>1</v>
      </c>
      <c r="R706" s="36" t="str">
        <f>IFERROR(__xludf.DUMMYFUNCTION("""COMPUTED_VALUE"""),"SELECCIONADA")</f>
        <v>SELECCIONADA</v>
      </c>
      <c r="S706" s="37">
        <f>IFERROR(__xludf.DUMMYFUNCTION("""COMPUTED_VALUE"""),41995.0)</f>
        <v>41995</v>
      </c>
      <c r="T706" s="34"/>
      <c r="U706" t="str">
        <f>IFERROR(__xludf.DUMMYFUNCTION("""COMPUTED_VALUE"""),"ELIZABETH ALARCON MORA")</f>
        <v>ELIZABETH ALARCON MORA</v>
      </c>
      <c r="V706" t="str">
        <f>IFERROR(__xludf.DUMMYFUNCTION("""COMPUTED_VALUE"""),"15563432-4")</f>
        <v>15563432-4</v>
      </c>
      <c r="W706" t="str">
        <f>IFERROR(__xludf.DUMMYFUNCTION("""COMPUTED_VALUE"""),"NO")</f>
        <v>NO</v>
      </c>
      <c r="AA706" s="38">
        <f>IFERROR(__xludf.DUMMYFUNCTION("""COMPUTED_VALUE"""),41955.0)</f>
        <v>41955</v>
      </c>
      <c r="AB706" s="38">
        <f>IFERROR(__xludf.DUMMYFUNCTION("""COMPUTED_VALUE"""),41962.0)</f>
        <v>41962</v>
      </c>
      <c r="AC706">
        <f>IFERROR(__xludf.DUMMYFUNCTION("""COMPUTED_VALUE"""),20.0)</f>
        <v>20</v>
      </c>
      <c r="AD706" t="str">
        <f>IFERROR(__xludf.DUMMYFUNCTION("""COMPUTED_VALUE"""),"ADMINISTRATIVO")</f>
        <v>ADMINISTRATIVO</v>
      </c>
      <c r="AF706" s="39"/>
      <c r="AG706" s="39"/>
      <c r="AH706" s="34" t="str">
        <f>IFERROR(__xludf.DUMMYFUNCTION("""COMPUTED_VALUE"""),"PROCESO DE SELECCIÓN")</f>
        <v>PROCESO DE SELECCIÓN</v>
      </c>
      <c r="AI706" s="34"/>
      <c r="AJ706" s="34"/>
      <c r="AK706" s="34" t="str">
        <f>IFERROR(__xludf.DUMMYFUNCTION("""COMPUTED_VALUE"""),"C")</f>
        <v>C</v>
      </c>
      <c r="AL706">
        <f>IFERROR(__xludf.DUMMYFUNCTION("""COMPUTED_VALUE"""),24.0)</f>
        <v>24</v>
      </c>
      <c r="AM706">
        <f>IFERROR(__xludf.DUMMYFUNCTION("""COMPUTED_VALUE"""),2014.0)</f>
        <v>2014</v>
      </c>
      <c r="AN706" t="str">
        <f t="shared" si="1"/>
        <v>15563432-4</v>
      </c>
    </row>
    <row r="707">
      <c r="A707" s="33">
        <f>IFERROR(__xludf.DUMMYFUNCTION("""COMPUTED_VALUE"""),1.5639128E7)</f>
        <v>15639128</v>
      </c>
      <c r="B707" s="33">
        <f>IFERROR(__xludf.DUMMYFUNCTION("""COMPUTED_VALUE"""),98.0)</f>
        <v>98</v>
      </c>
      <c r="C707" s="33"/>
      <c r="D707" s="34" t="str">
        <f>IFERROR(__xludf.DUMMYFUNCTION("""COMPUTED_VALUE"""),"PRORRECTORIA")</f>
        <v>PRORRECTORIA</v>
      </c>
      <c r="E707" s="34" t="str">
        <f>IFERROR(__xludf.DUMMYFUNCTION("""COMPUTED_VALUE"""),"DEPARTAMENTO DE FINANZAS Y TESORERIA")</f>
        <v>DEPARTAMENTO DE FINANZAS Y TESORERIA</v>
      </c>
      <c r="F707" s="34" t="str">
        <f>IFERROR(__xludf.DUMMYFUNCTION("""COMPUTED_VALUE"""),"Administrativo Contable")</f>
        <v>Administrativo Contable</v>
      </c>
      <c r="G707" s="33" t="str">
        <f>IFERROR(__xludf.DUMMYFUNCTION("""COMPUTED_VALUE"""),"ADMINISTRATIVO CONTABLE")</f>
        <v>ADMINISTRATIVO CONTABLE</v>
      </c>
      <c r="H707">
        <f>IFERROR(__xludf.DUMMYFUNCTION("""COMPUTED_VALUE"""),17.0)</f>
        <v>17</v>
      </c>
      <c r="I707" s="34"/>
      <c r="J707" s="33" t="str">
        <f>IFERROR(__xludf.DUMMYFUNCTION("""COMPUTED_VALUE"""),"A CONTRATA")</f>
        <v>A CONTRATA</v>
      </c>
      <c r="K707" s="33" t="str">
        <f>IFERROR(__xludf.DUMMYFUNCTION("""COMPUTED_VALUE"""),"TECNICO")</f>
        <v>TECNICO</v>
      </c>
      <c r="L707" s="34" t="str">
        <f>IFERROR(__xludf.DUMMYFUNCTION("""COMPUTED_VALUE"""),"INTERNO")</f>
        <v>INTERNO</v>
      </c>
      <c r="M707" s="34">
        <f>IFERROR(__xludf.DUMMYFUNCTION("""COMPUTED_VALUE"""),0.0)</f>
        <v>0</v>
      </c>
      <c r="N707" s="34" t="str">
        <f>IFERROR(__xludf.DUMMYFUNCTION("""COMPUTED_VALUE"""),"EXTERNO")</f>
        <v>EXTERNO</v>
      </c>
      <c r="O707">
        <f>IFERROR(__xludf.DUMMYFUNCTION("""COMPUTED_VALUE"""),5.0)</f>
        <v>5</v>
      </c>
      <c r="P707">
        <f>IFERROR(__xludf.DUMMYFUNCTION("""COMPUTED_VALUE"""),3.0)</f>
        <v>3</v>
      </c>
      <c r="Q707" s="35">
        <f>IFERROR(__xludf.DUMMYFUNCTION("""COMPUTED_VALUE"""),1.0)</f>
        <v>1</v>
      </c>
      <c r="R707" s="36" t="str">
        <f>IFERROR(__xludf.DUMMYFUNCTION("""COMPUTED_VALUE"""),"SELECCIONADA")</f>
        <v>SELECCIONADA</v>
      </c>
      <c r="S707" s="37">
        <f>IFERROR(__xludf.DUMMYFUNCTION("""COMPUTED_VALUE"""),42006.0)</f>
        <v>42006</v>
      </c>
      <c r="T707" s="34"/>
      <c r="U707" t="str">
        <f>IFERROR(__xludf.DUMMYFUNCTION("""COMPUTED_VALUE"""),"MYRTHA MIRANDA MIRANDA")</f>
        <v>MYRTHA MIRANDA MIRANDA</v>
      </c>
      <c r="V707" t="str">
        <f>IFERROR(__xludf.DUMMYFUNCTION("""COMPUTED_VALUE"""),"15639128-K")</f>
        <v>15639128-K</v>
      </c>
      <c r="W707" t="str">
        <f>IFERROR(__xludf.DUMMYFUNCTION("""COMPUTED_VALUE"""),"NO")</f>
        <v>NO</v>
      </c>
      <c r="AA707" s="38">
        <f>IFERROR(__xludf.DUMMYFUNCTION("""COMPUTED_VALUE"""),41955.0)</f>
        <v>41955</v>
      </c>
      <c r="AB707" s="38">
        <f>IFERROR(__xludf.DUMMYFUNCTION("""COMPUTED_VALUE"""),41962.0)</f>
        <v>41962</v>
      </c>
      <c r="AC707">
        <f>IFERROR(__xludf.DUMMYFUNCTION("""COMPUTED_VALUE"""),17.0)</f>
        <v>17</v>
      </c>
      <c r="AD707" t="str">
        <f>IFERROR(__xludf.DUMMYFUNCTION("""COMPUTED_VALUE"""),"TECNICO")</f>
        <v>TECNICO</v>
      </c>
      <c r="AF707" s="39"/>
      <c r="AG707" s="39"/>
      <c r="AH707" s="34" t="str">
        <f>IFERROR(__xludf.DUMMYFUNCTION("""COMPUTED_VALUE"""),"PROCESO DE SELECCIÓN")</f>
        <v>PROCESO DE SELECCIÓN</v>
      </c>
      <c r="AI707" s="34"/>
      <c r="AJ707" s="34"/>
      <c r="AK707" s="34" t="str">
        <f>IFERROR(__xludf.DUMMYFUNCTION("""COMPUTED_VALUE"""),"P")</f>
        <v>P</v>
      </c>
      <c r="AL707">
        <f>IFERROR(__xludf.DUMMYFUNCTION("""COMPUTED_VALUE"""),33.0)</f>
        <v>33</v>
      </c>
      <c r="AM707">
        <f>IFERROR(__xludf.DUMMYFUNCTION("""COMPUTED_VALUE"""),2014.0)</f>
        <v>2014</v>
      </c>
      <c r="AN707" t="str">
        <f t="shared" si="1"/>
        <v>15639128-K</v>
      </c>
    </row>
    <row r="708">
      <c r="A708" s="33">
        <f>IFERROR(__xludf.DUMMYFUNCTION("""COMPUTED_VALUE"""),1.9183281E7)</f>
        <v>19183281</v>
      </c>
      <c r="B708" s="33">
        <f>IFERROR(__xludf.DUMMYFUNCTION("""COMPUTED_VALUE"""),122.0)</f>
        <v>122</v>
      </c>
      <c r="C708" s="33"/>
      <c r="D708" s="34" t="str">
        <f>IFERROR(__xludf.DUMMYFUNCTION("""COMPUTED_VALUE"""),"SECRETARIA GENERAL")</f>
        <v>SECRETARIA GENERAL</v>
      </c>
      <c r="E708" s="34" t="str">
        <f>IFERROR(__xludf.DUMMYFUNCTION("""COMPUTED_VALUE"""),"SECRETARIA GENERAL")</f>
        <v>SECRETARIA GENERAL</v>
      </c>
      <c r="F708" s="34" t="str">
        <f>IFERROR(__xludf.DUMMYFUNCTION("""COMPUTED_VALUE"""),"Administrativo de Apoyo")</f>
        <v>Administrativo de Apoyo</v>
      </c>
      <c r="G708" s="33" t="str">
        <f>IFERROR(__xludf.DUMMYFUNCTION("""COMPUTED_VALUE"""),"ADMINISTRATIVO DE APOYO")</f>
        <v>ADMINISTRATIVO DE APOYO</v>
      </c>
      <c r="H708">
        <f>IFERROR(__xludf.DUMMYFUNCTION("""COMPUTED_VALUE"""),20.0)</f>
        <v>20</v>
      </c>
      <c r="I708" s="34"/>
      <c r="J708" s="33" t="str">
        <f>IFERROR(__xludf.DUMMYFUNCTION("""COMPUTED_VALUE"""),"A CONTRATA")</f>
        <v>A CONTRATA</v>
      </c>
      <c r="K708" s="33" t="str">
        <f>IFERROR(__xludf.DUMMYFUNCTION("""COMPUTED_VALUE"""),"ADMINISTRATIVO")</f>
        <v>ADMINISTRATIVO</v>
      </c>
      <c r="L708" s="34" t="str">
        <f>IFERROR(__xludf.DUMMYFUNCTION("""COMPUTED_VALUE"""),"INTERNO")</f>
        <v>INTERNO</v>
      </c>
      <c r="M708" s="34">
        <f>IFERROR(__xludf.DUMMYFUNCTION("""COMPUTED_VALUE"""),1.0)</f>
        <v>1</v>
      </c>
      <c r="N708" s="34" t="str">
        <f>IFERROR(__xludf.DUMMYFUNCTION("""COMPUTED_VALUE"""),"EXTERNO")</f>
        <v>EXTERNO</v>
      </c>
      <c r="O708">
        <f>IFERROR(__xludf.DUMMYFUNCTION("""COMPUTED_VALUE"""),6.0)</f>
        <v>6</v>
      </c>
      <c r="P708">
        <f>IFERROR(__xludf.DUMMYFUNCTION("""COMPUTED_VALUE"""),2.0)</f>
        <v>2</v>
      </c>
      <c r="Q708" s="35">
        <f>IFERROR(__xludf.DUMMYFUNCTION("""COMPUTED_VALUE"""),1.0)</f>
        <v>1</v>
      </c>
      <c r="R708" s="36" t="str">
        <f>IFERROR(__xludf.DUMMYFUNCTION("""COMPUTED_VALUE"""),"SELECCIONADA")</f>
        <v>SELECCIONADA</v>
      </c>
      <c r="S708" s="37">
        <f>IFERROR(__xludf.DUMMYFUNCTION("""COMPUTED_VALUE"""),42095.0)</f>
        <v>42095</v>
      </c>
      <c r="T708" s="34"/>
      <c r="U708" t="str">
        <f>IFERROR(__xludf.DUMMYFUNCTION("""COMPUTED_VALUE"""),"FRANCISCA RODRIGUEZ MARTINEZ")</f>
        <v>FRANCISCA RODRIGUEZ MARTINEZ</v>
      </c>
      <c r="V708" t="str">
        <f>IFERROR(__xludf.DUMMYFUNCTION("""COMPUTED_VALUE"""),"19183281-7")</f>
        <v>19183281-7</v>
      </c>
      <c r="W708" t="str">
        <f>IFERROR(__xludf.DUMMYFUNCTION("""COMPUTED_VALUE"""),"SI")</f>
        <v>SI</v>
      </c>
      <c r="X708" t="str">
        <f>IFERROR(__xludf.DUMMYFUNCTION("""COMPUTED_VALUE"""),"COMUNICACION")</f>
        <v>COMUNICACION</v>
      </c>
      <c r="AA708" s="38">
        <f>IFERROR(__xludf.DUMMYFUNCTION("""COMPUTED_VALUE"""),41956.0)</f>
        <v>41956</v>
      </c>
      <c r="AB708" s="38">
        <f>IFERROR(__xludf.DUMMYFUNCTION("""COMPUTED_VALUE"""),41963.0)</f>
        <v>41963</v>
      </c>
      <c r="AF708" s="39"/>
      <c r="AG708" s="39"/>
      <c r="AH708" s="34" t="str">
        <f>IFERROR(__xludf.DUMMYFUNCTION("""COMPUTED_VALUE"""),"PROCESO DE SELECCIÓN")</f>
        <v>PROCESO DE SELECCIÓN</v>
      </c>
      <c r="AI708" s="34"/>
      <c r="AJ708" s="34"/>
      <c r="AK708" s="34" t="str">
        <f>IFERROR(__xludf.DUMMYFUNCTION("""COMPUTED_VALUE"""),"P")</f>
        <v>P</v>
      </c>
      <c r="AL708">
        <f>IFERROR(__xludf.DUMMYFUNCTION("""COMPUTED_VALUE"""),95.0)</f>
        <v>95</v>
      </c>
      <c r="AM708">
        <f>IFERROR(__xludf.DUMMYFUNCTION("""COMPUTED_VALUE"""),2014.0)</f>
        <v>2014</v>
      </c>
      <c r="AN708" t="str">
        <f t="shared" si="1"/>
        <v>19183281-7</v>
      </c>
    </row>
    <row r="709">
      <c r="A709" s="33">
        <f>IFERROR(__xludf.DUMMYFUNCTION("""COMPUTED_VALUE"""),9703334.0)</f>
        <v>9703334</v>
      </c>
      <c r="B709" s="33">
        <f>IFERROR(__xludf.DUMMYFUNCTION("""COMPUTED_VALUE"""),93.0)</f>
        <v>93</v>
      </c>
      <c r="C709" s="33"/>
      <c r="D709" s="34" t="str">
        <f>IFERROR(__xludf.DUMMYFUNCTION("""COMPUTED_VALUE"""),"VICERRECTORIA ACADEMICA")</f>
        <v>VICERRECTORIA ACADEMICA</v>
      </c>
      <c r="E709" s="34" t="str">
        <f>IFERROR(__xludf.DUMMYFUNCTION("""COMPUTED_VALUE"""),"UNIDAD DE REGISTRO ACADEMICO Y CURRICULAR")</f>
        <v>UNIDAD DE REGISTRO ACADEMICO Y CURRICULAR</v>
      </c>
      <c r="F709" s="34" t="str">
        <f>IFERROR(__xludf.DUMMYFUNCTION("""COMPUTED_VALUE"""),"Jefe de Sección")</f>
        <v>Jefe de Sección</v>
      </c>
      <c r="G709" s="33" t="str">
        <f>IFERROR(__xludf.DUMMYFUNCTION("""COMPUTED_VALUE"""),"JEFE DE SECCION DE TITULOS Y GRADOS")</f>
        <v>JEFE DE SECCION DE TITULOS Y GRADOS</v>
      </c>
      <c r="H709">
        <f>IFERROR(__xludf.DUMMYFUNCTION("""COMPUTED_VALUE"""),10.0)</f>
        <v>10</v>
      </c>
      <c r="I709" s="34"/>
      <c r="J709" s="33" t="str">
        <f>IFERROR(__xludf.DUMMYFUNCTION("""COMPUTED_VALUE"""),"A CONTRATA")</f>
        <v>A CONTRATA</v>
      </c>
      <c r="K709" s="33" t="str">
        <f>IFERROR(__xludf.DUMMYFUNCTION("""COMPUTED_VALUE"""),"PROFESIONAL")</f>
        <v>PROFESIONAL</v>
      </c>
      <c r="L709" s="34" t="str">
        <f>IFERROR(__xludf.DUMMYFUNCTION("""COMPUTED_VALUE"""),"INTERNO")</f>
        <v>INTERNO</v>
      </c>
      <c r="M709" s="34">
        <f>IFERROR(__xludf.DUMMYFUNCTION("""COMPUTED_VALUE"""),9.0)</f>
        <v>9</v>
      </c>
      <c r="N709" s="34" t="str">
        <f>IFERROR(__xludf.DUMMYFUNCTION("""COMPUTED_VALUE"""),"NO")</f>
        <v>NO</v>
      </c>
      <c r="P709">
        <f>IFERROR(__xludf.DUMMYFUNCTION("""COMPUTED_VALUE"""),1.0)</f>
        <v>1</v>
      </c>
      <c r="Q709" s="35">
        <f>IFERROR(__xludf.DUMMYFUNCTION("""COMPUTED_VALUE"""),0.0)</f>
        <v>0</v>
      </c>
      <c r="R709" s="36" t="str">
        <f>IFERROR(__xludf.DUMMYFUNCTION("""COMPUTED_VALUE"""),"SELECCIONADO")</f>
        <v>SELECCIONADO</v>
      </c>
      <c r="S709" s="37">
        <f>IFERROR(__xludf.DUMMYFUNCTION("""COMPUTED_VALUE"""),41995.0)</f>
        <v>41995</v>
      </c>
      <c r="T709" s="34" t="str">
        <f>IFERROR(__xludf.DUMMYFUNCTION("""COMPUTED_VALUE"""),"JOSE HUENUQUEO MALLEO")</f>
        <v>JOSE HUENUQUEO MALLEO</v>
      </c>
      <c r="V709" t="str">
        <f>IFERROR(__xludf.DUMMYFUNCTION("""COMPUTED_VALUE"""),"09703334-K")</f>
        <v>09703334-K</v>
      </c>
      <c r="W709" t="str">
        <f>IFERROR(__xludf.DUMMYFUNCTION("""COMPUTED_VALUE"""),"SI")</f>
        <v>SI</v>
      </c>
      <c r="X709" t="str">
        <f>IFERROR(__xludf.DUMMYFUNCTION("""COMPUTED_VALUE"""),"Capacidad de Planificacion y Organizacion")</f>
        <v>Capacidad de Planificacion y Organizacion</v>
      </c>
      <c r="Y709" t="str">
        <f>IFERROR(__xludf.DUMMYFUNCTION("""COMPUTED_VALUE"""),"INICIATIVA")</f>
        <v>INICIATIVA</v>
      </c>
      <c r="AA709" s="38">
        <f>IFERROR(__xludf.DUMMYFUNCTION("""COMPUTED_VALUE"""),41969.0)</f>
        <v>41969</v>
      </c>
      <c r="AB709" s="38">
        <f>IFERROR(__xludf.DUMMYFUNCTION("""COMPUTED_VALUE"""),41976.0)</f>
        <v>41976</v>
      </c>
      <c r="AC709">
        <f>IFERROR(__xludf.DUMMYFUNCTION("""COMPUTED_VALUE"""),14.0)</f>
        <v>14</v>
      </c>
      <c r="AD709" t="str">
        <f>IFERROR(__xludf.DUMMYFUNCTION("""COMPUTED_VALUE"""),"PROFESIONAL")</f>
        <v>PROFESIONAL</v>
      </c>
      <c r="AF709" s="39" t="str">
        <f>IFERROR(__xludf.DUMMYFUNCTION("""COMPUTED_VALUE"""),"UNIDAD DE REGISTRO ACADEMICO Y CURRICULAR")</f>
        <v>UNIDAD DE REGISTRO ACADEMICO Y CURRICULAR</v>
      </c>
      <c r="AG709" s="39"/>
      <c r="AH709" s="34" t="str">
        <f>IFERROR(__xludf.DUMMYFUNCTION("""COMPUTED_VALUE"""),"PROCESO DE SELECCIÓN")</f>
        <v>PROCESO DE SELECCIÓN</v>
      </c>
      <c r="AI709" s="34"/>
      <c r="AJ709" s="34"/>
      <c r="AK709" s="34" t="str">
        <f>IFERROR(__xludf.DUMMYFUNCTION("""COMPUTED_VALUE"""),"C")</f>
        <v>C</v>
      </c>
      <c r="AL709">
        <f>IFERROR(__xludf.DUMMYFUNCTION("""COMPUTED_VALUE"""),14.0)</f>
        <v>14</v>
      </c>
      <c r="AM709">
        <f>IFERROR(__xludf.DUMMYFUNCTION("""COMPUTED_VALUE"""),2014.0)</f>
        <v>2014</v>
      </c>
      <c r="AN709" t="str">
        <f t="shared" si="1"/>
        <v>09703334-K</v>
      </c>
    </row>
    <row r="710">
      <c r="A710" s="33">
        <f>IFERROR(__xludf.DUMMYFUNCTION("""COMPUTED_VALUE"""),1.6143854E7)</f>
        <v>16143854</v>
      </c>
      <c r="B710" s="33">
        <f>IFERROR(__xludf.DUMMYFUNCTION("""COMPUTED_VALUE"""),91.0)</f>
        <v>91</v>
      </c>
      <c r="C710" s="33"/>
      <c r="D710" s="34" t="str">
        <f>IFERROR(__xludf.DUMMYFUNCTION("""COMPUTED_VALUE"""),"PRORRECTORIA")</f>
        <v>PRORRECTORIA</v>
      </c>
      <c r="E710" s="34" t="str">
        <f>IFERROR(__xludf.DUMMYFUNCTION("""COMPUTED_VALUE"""),"UNIDAD DE BIENESTAR DEL PERSONAL")</f>
        <v>UNIDAD DE BIENESTAR DEL PERSONAL</v>
      </c>
      <c r="F710" s="34" t="str">
        <f>IFERROR(__xludf.DUMMYFUNCTION("""COMPUTED_VALUE"""),"Cajero B 1º categoría")</f>
        <v>Cajero B 1º categoría</v>
      </c>
      <c r="G710" s="33" t="str">
        <f>IFERROR(__xludf.DUMMYFUNCTION("""COMPUTED_VALUE"""),"CAJERO")</f>
        <v>CAJERO</v>
      </c>
      <c r="H710">
        <f>IFERROR(__xludf.DUMMYFUNCTION("""COMPUTED_VALUE"""),17.0)</f>
        <v>17</v>
      </c>
      <c r="I710" s="34"/>
      <c r="J710" s="33" t="str">
        <f>IFERROR(__xludf.DUMMYFUNCTION("""COMPUTED_VALUE"""),"A CONTRATA")</f>
        <v>A CONTRATA</v>
      </c>
      <c r="K710" s="33" t="str">
        <f>IFERROR(__xludf.DUMMYFUNCTION("""COMPUTED_VALUE"""),"TECNICO")</f>
        <v>TECNICO</v>
      </c>
      <c r="L710" s="34" t="str">
        <f>IFERROR(__xludf.DUMMYFUNCTION("""COMPUTED_VALUE"""),"INTERNO")</f>
        <v>INTERNO</v>
      </c>
      <c r="M710" s="34">
        <f>IFERROR(__xludf.DUMMYFUNCTION("""COMPUTED_VALUE"""),0.0)</f>
        <v>0</v>
      </c>
      <c r="N710" s="34" t="str">
        <f>IFERROR(__xludf.DUMMYFUNCTION("""COMPUTED_VALUE"""),"EXTERNO")</f>
        <v>EXTERNO</v>
      </c>
      <c r="O710">
        <f>IFERROR(__xludf.DUMMYFUNCTION("""COMPUTED_VALUE"""),5.0)</f>
        <v>5</v>
      </c>
      <c r="P710">
        <f>IFERROR(__xludf.DUMMYFUNCTION("""COMPUTED_VALUE"""),2.0)</f>
        <v>2</v>
      </c>
      <c r="Q710" s="35">
        <f>IFERROR(__xludf.DUMMYFUNCTION("""COMPUTED_VALUE"""),1.0)</f>
        <v>1</v>
      </c>
      <c r="R710" s="36" t="str">
        <f>IFERROR(__xludf.DUMMYFUNCTION("""COMPUTED_VALUE"""),"SELECCIONADA")</f>
        <v>SELECCIONADA</v>
      </c>
      <c r="S710" s="37">
        <f>IFERROR(__xludf.DUMMYFUNCTION("""COMPUTED_VALUE"""),41989.0)</f>
        <v>41989</v>
      </c>
      <c r="T710" s="34"/>
      <c r="U710" t="str">
        <f>IFERROR(__xludf.DUMMYFUNCTION("""COMPUTED_VALUE"""),"FABIOLA SILVA GUZMAN")</f>
        <v>FABIOLA SILVA GUZMAN</v>
      </c>
      <c r="V710" t="str">
        <f>IFERROR(__xludf.DUMMYFUNCTION("""COMPUTED_VALUE"""),"16143854-5")</f>
        <v>16143854-5</v>
      </c>
      <c r="W710" t="str">
        <f>IFERROR(__xludf.DUMMYFUNCTION("""COMPUTED_VALUE"""),"No")</f>
        <v>No</v>
      </c>
      <c r="AA710" s="38">
        <f>IFERROR(__xludf.DUMMYFUNCTION("""COMPUTED_VALUE"""),41971.0)</f>
        <v>41971</v>
      </c>
      <c r="AB710" s="38">
        <f>IFERROR(__xludf.DUMMYFUNCTION("""COMPUTED_VALUE"""),41978.0)</f>
        <v>41978</v>
      </c>
      <c r="AF710" s="39"/>
      <c r="AG710" s="39"/>
      <c r="AH710" s="34" t="str">
        <f>IFERROR(__xludf.DUMMYFUNCTION("""COMPUTED_VALUE"""),"PROCESO DE SELECCIÓN")</f>
        <v>PROCESO DE SELECCIÓN</v>
      </c>
      <c r="AI710" s="34"/>
      <c r="AJ710" s="34"/>
      <c r="AK710" s="34" t="str">
        <f>IFERROR(__xludf.DUMMYFUNCTION("""COMPUTED_VALUE"""),"C")</f>
        <v>C</v>
      </c>
      <c r="AL710">
        <f>IFERROR(__xludf.DUMMYFUNCTION("""COMPUTED_VALUE"""),8.0)</f>
        <v>8</v>
      </c>
      <c r="AM710">
        <f>IFERROR(__xludf.DUMMYFUNCTION("""COMPUTED_VALUE"""),2014.0)</f>
        <v>2014</v>
      </c>
      <c r="AN710" t="str">
        <f t="shared" si="1"/>
        <v>16143854-5</v>
      </c>
    </row>
    <row r="711">
      <c r="A711" s="33">
        <f>IFERROR(__xludf.DUMMYFUNCTION("""COMPUTED_VALUE"""),1.1751199E7)</f>
        <v>11751199</v>
      </c>
      <c r="B711" s="33">
        <f>IFERROR(__xludf.DUMMYFUNCTION("""COMPUTED_VALUE"""),128.0)</f>
        <v>128</v>
      </c>
      <c r="C711" s="33"/>
      <c r="D711" s="34" t="str">
        <f>IFERROR(__xludf.DUMMYFUNCTION("""COMPUTED_VALUE"""),"PRORRECTORIA")</f>
        <v>PRORRECTORIA</v>
      </c>
      <c r="E711" s="34" t="str">
        <f>IFERROR(__xludf.DUMMYFUNCTION("""COMPUTED_VALUE"""),"UNIDAD DE COORDINACION INSTITUCIONAL")</f>
        <v>UNIDAD DE COORDINACION INSTITUCIONAL</v>
      </c>
      <c r="F711" s="34" t="str">
        <f>IFERROR(__xludf.DUMMYFUNCTION("""COMPUTED_VALUE"""),"Administrativo de Apoyo")</f>
        <v>Administrativo de Apoyo</v>
      </c>
      <c r="G711" s="33" t="str">
        <f>IFERROR(__xludf.DUMMYFUNCTION("""COMPUTED_VALUE"""),"ADMINISTRATIVO DE APOYO")</f>
        <v>ADMINISTRATIVO DE APOYO</v>
      </c>
      <c r="H711">
        <f>IFERROR(__xludf.DUMMYFUNCTION("""COMPUTED_VALUE"""),20.0)</f>
        <v>20</v>
      </c>
      <c r="I711" s="34"/>
      <c r="J711" s="33" t="str">
        <f>IFERROR(__xludf.DUMMYFUNCTION("""COMPUTED_VALUE"""),"A CONTRATA")</f>
        <v>A CONTRATA</v>
      </c>
      <c r="K711" s="33" t="str">
        <f>IFERROR(__xludf.DUMMYFUNCTION("""COMPUTED_VALUE"""),"ADMINISTRATIVO")</f>
        <v>ADMINISTRATIVO</v>
      </c>
      <c r="L711" s="34" t="str">
        <f>IFERROR(__xludf.DUMMYFUNCTION("""COMPUTED_VALUE"""),"INTERNO")</f>
        <v>INTERNO</v>
      </c>
      <c r="M711" s="34">
        <f>IFERROR(__xludf.DUMMYFUNCTION("""COMPUTED_VALUE"""),2.0)</f>
        <v>2</v>
      </c>
      <c r="N711" s="34" t="str">
        <f>IFERROR(__xludf.DUMMYFUNCTION("""COMPUTED_VALUE"""),"NO")</f>
        <v>NO</v>
      </c>
      <c r="P711">
        <f>IFERROR(__xludf.DUMMYFUNCTION("""COMPUTED_VALUE"""),1.0)</f>
        <v>1</v>
      </c>
      <c r="Q711" s="35">
        <f>IFERROR(__xludf.DUMMYFUNCTION("""COMPUTED_VALUE"""),0.0)</f>
        <v>0</v>
      </c>
      <c r="R711" s="36" t="str">
        <f>IFERROR(__xludf.DUMMYFUNCTION("""COMPUTED_VALUE"""),"SELECCIONADA")</f>
        <v>SELECCIONADA</v>
      </c>
      <c r="S711" s="37">
        <f>IFERROR(__xludf.DUMMYFUNCTION("""COMPUTED_VALUE"""),42107.0)</f>
        <v>42107</v>
      </c>
      <c r="T711" s="34" t="str">
        <f>IFERROR(__xludf.DUMMYFUNCTION("""COMPUTED_VALUE"""),"CLAUDIA MORALES ROZAS")</f>
        <v>CLAUDIA MORALES ROZAS</v>
      </c>
      <c r="V711" t="str">
        <f>IFERROR(__xludf.DUMMYFUNCTION("""COMPUTED_VALUE"""),"11751199-5")</f>
        <v>11751199-5</v>
      </c>
      <c r="W711" t="str">
        <f>IFERROR(__xludf.DUMMYFUNCTION("""COMPUTED_VALUE"""),"No")</f>
        <v>No</v>
      </c>
      <c r="AA711" s="38">
        <f>IFERROR(__xludf.DUMMYFUNCTION("""COMPUTED_VALUE"""),41974.0)</f>
        <v>41974</v>
      </c>
      <c r="AB711" s="38">
        <f>IFERROR(__xludf.DUMMYFUNCTION("""COMPUTED_VALUE"""),41981.0)</f>
        <v>41981</v>
      </c>
      <c r="AC711">
        <f>IFERROR(__xludf.DUMMYFUNCTION("""COMPUTED_VALUE"""),22.0)</f>
        <v>22</v>
      </c>
      <c r="AD711" t="str">
        <f>IFERROR(__xludf.DUMMYFUNCTION("""COMPUTED_VALUE"""),"AUXILIAR")</f>
        <v>AUXILIAR</v>
      </c>
      <c r="AF711" s="39" t="str">
        <f>IFERROR(__xludf.DUMMYFUNCTION("""COMPUTED_VALUE"""),"PRORRECTORIA")</f>
        <v>PRORRECTORIA</v>
      </c>
      <c r="AG711" s="39"/>
      <c r="AH711" s="34" t="str">
        <f>IFERROR(__xludf.DUMMYFUNCTION("""COMPUTED_VALUE"""),"PROCESO DE SELECCIÓN")</f>
        <v>PROCESO DE SELECCIÓN</v>
      </c>
      <c r="AI711" s="34"/>
      <c r="AJ711" s="34"/>
      <c r="AK711" s="34" t="str">
        <f>IFERROR(__xludf.DUMMYFUNCTION("""COMPUTED_VALUE"""),"P")</f>
        <v>P</v>
      </c>
      <c r="AL711">
        <f>IFERROR(__xludf.DUMMYFUNCTION("""COMPUTED_VALUE"""),91.0)</f>
        <v>91</v>
      </c>
      <c r="AM711">
        <f>IFERROR(__xludf.DUMMYFUNCTION("""COMPUTED_VALUE"""),2014.0)</f>
        <v>2014</v>
      </c>
      <c r="AN711" t="str">
        <f t="shared" si="1"/>
        <v>11751199-5</v>
      </c>
    </row>
    <row r="712">
      <c r="A712" s="33">
        <f>IFERROR(__xludf.DUMMYFUNCTION("""COMPUTED_VALUE"""),1.0678201E7)</f>
        <v>10678201</v>
      </c>
      <c r="B712" s="33">
        <f>IFERROR(__xludf.DUMMYFUNCTION("""COMPUTED_VALUE"""),132.0)</f>
        <v>132</v>
      </c>
      <c r="C712" s="33"/>
      <c r="D712" s="34" t="str">
        <f>IFERROR(__xludf.DUMMYFUNCTION("""COMPUTED_VALUE"""),"PRORRECTORIA")</f>
        <v>PRORRECTORIA</v>
      </c>
      <c r="E712" s="34" t="str">
        <f>IFERROR(__xludf.DUMMYFUNCTION("""COMPUTED_VALUE"""),"UNIDAD DE GESTION DEL CAMPUS")</f>
        <v>UNIDAD DE GESTION DEL CAMPUS</v>
      </c>
      <c r="F712" s="34" t="str">
        <f>IFERROR(__xludf.DUMMYFUNCTION("""COMPUTED_VALUE"""),"Administrativo de Apoyo")</f>
        <v>Administrativo de Apoyo</v>
      </c>
      <c r="G712" s="33" t="str">
        <f>IFERROR(__xludf.DUMMYFUNCTION("""COMPUTED_VALUE"""),"OPERADOR TELEFONICO")</f>
        <v>OPERADOR TELEFONICO</v>
      </c>
      <c r="H712">
        <f>IFERROR(__xludf.DUMMYFUNCTION("""COMPUTED_VALUE"""),20.0)</f>
        <v>20</v>
      </c>
      <c r="I712" s="34"/>
      <c r="J712" s="33" t="str">
        <f>IFERROR(__xludf.DUMMYFUNCTION("""COMPUTED_VALUE"""),"A CONTRATA")</f>
        <v>A CONTRATA</v>
      </c>
      <c r="K712" s="33" t="str">
        <f>IFERROR(__xludf.DUMMYFUNCTION("""COMPUTED_VALUE"""),"ADMINISTRATIVO")</f>
        <v>ADMINISTRATIVO</v>
      </c>
      <c r="L712" s="34" t="str">
        <f>IFERROR(__xludf.DUMMYFUNCTION("""COMPUTED_VALUE"""),"INTERNO")</f>
        <v>INTERNO</v>
      </c>
      <c r="M712" s="34">
        <f>IFERROR(__xludf.DUMMYFUNCTION("""COMPUTED_VALUE"""),1.0)</f>
        <v>1</v>
      </c>
      <c r="N712" s="34" t="str">
        <f>IFERROR(__xludf.DUMMYFUNCTION("""COMPUTED_VALUE"""),"NO")</f>
        <v>NO</v>
      </c>
      <c r="P712">
        <f>IFERROR(__xludf.DUMMYFUNCTION("""COMPUTED_VALUE"""),1.0)</f>
        <v>1</v>
      </c>
      <c r="Q712" s="35">
        <f>IFERROR(__xludf.DUMMYFUNCTION("""COMPUTED_VALUE"""),0.0)</f>
        <v>0</v>
      </c>
      <c r="R712" s="36" t="str">
        <f>IFERROR(__xludf.DUMMYFUNCTION("""COMPUTED_VALUE"""),"SELECCIONADA")</f>
        <v>SELECCIONADA</v>
      </c>
      <c r="S712" s="37">
        <f>IFERROR(__xludf.DUMMYFUNCTION("""COMPUTED_VALUE"""),42095.0)</f>
        <v>42095</v>
      </c>
      <c r="T712" s="34" t="str">
        <f>IFERROR(__xludf.DUMMYFUNCTION("""COMPUTED_VALUE"""),"FANNY FARIAS MARTINEZ")</f>
        <v>FANNY FARIAS MARTINEZ</v>
      </c>
      <c r="V712" t="str">
        <f>IFERROR(__xludf.DUMMYFUNCTION("""COMPUTED_VALUE"""),"10678201-6")</f>
        <v>10678201-6</v>
      </c>
      <c r="W712" t="str">
        <f>IFERROR(__xludf.DUMMYFUNCTION("""COMPUTED_VALUE"""),"SI")</f>
        <v>SI</v>
      </c>
      <c r="X712" t="str">
        <f>IFERROR(__xludf.DUMMYFUNCTION("""COMPUTED_VALUE"""),"COMUNICACION")</f>
        <v>COMUNICACION</v>
      </c>
      <c r="Y712" t="str">
        <f>IFERROR(__xludf.DUMMYFUNCTION("""COMPUTED_VALUE"""),"CONCIENCIA ORGANIZACIONAL")</f>
        <v>CONCIENCIA ORGANIZACIONAL</v>
      </c>
      <c r="AA712" s="38">
        <f>IFERROR(__xludf.DUMMYFUNCTION("""COMPUTED_VALUE"""),41974.0)</f>
        <v>41974</v>
      </c>
      <c r="AB712" s="38">
        <f>IFERROR(__xludf.DUMMYFUNCTION("""COMPUTED_VALUE"""),41981.0)</f>
        <v>41981</v>
      </c>
      <c r="AC712">
        <f>IFERROR(__xludf.DUMMYFUNCTION("""COMPUTED_VALUE"""),22.0)</f>
        <v>22</v>
      </c>
      <c r="AD712" t="str">
        <f>IFERROR(__xludf.DUMMYFUNCTION("""COMPUTED_VALUE"""),"ADMINISTRATIVO")</f>
        <v>ADMINISTRATIVO</v>
      </c>
      <c r="AF712" s="39" t="str">
        <f>IFERROR(__xludf.DUMMYFUNCTION("""COMPUTED_VALUE"""),"UNIDAD DE ATENCION DE SALUD")</f>
        <v>UNIDAD DE ATENCION DE SALUD</v>
      </c>
      <c r="AG712" s="39"/>
      <c r="AH712" s="34" t="str">
        <f>IFERROR(__xludf.DUMMYFUNCTION("""COMPUTED_VALUE"""),"PROCESO DE SELECCIÓN")</f>
        <v>PROCESO DE SELECCIÓN</v>
      </c>
      <c r="AI712" s="34" t="str">
        <f>IFERROR(__xludf.DUMMYFUNCTION("""COMPUTED_VALUE"""),"ZULEMA LAVIN")</f>
        <v>ZULEMA LAVIN</v>
      </c>
      <c r="AJ712" s="34"/>
      <c r="AK712" s="34" t="str">
        <f>IFERROR(__xludf.DUMMYFUNCTION("""COMPUTED_VALUE"""),"C")</f>
        <v>C</v>
      </c>
      <c r="AL712">
        <f>IFERROR(__xludf.DUMMYFUNCTION("""COMPUTED_VALUE"""),83.0)</f>
        <v>83</v>
      </c>
      <c r="AM712">
        <f>IFERROR(__xludf.DUMMYFUNCTION("""COMPUTED_VALUE"""),2014.0)</f>
        <v>2014</v>
      </c>
      <c r="AN712" t="str">
        <f t="shared" si="1"/>
        <v>10678201-6</v>
      </c>
    </row>
    <row r="713">
      <c r="A713" s="33">
        <f>IFERROR(__xludf.DUMMYFUNCTION("""COMPUTED_VALUE"""),4436770.0)</f>
        <v>4436770</v>
      </c>
      <c r="B713" s="33">
        <f>IFERROR(__xludf.DUMMYFUNCTION("""COMPUTED_VALUE"""),133.0)</f>
        <v>133</v>
      </c>
      <c r="C713" s="33"/>
      <c r="D713" s="34" t="str">
        <f>IFERROR(__xludf.DUMMYFUNCTION("""COMPUTED_VALUE"""),"PRORRECTORIA")</f>
        <v>PRORRECTORIA</v>
      </c>
      <c r="E713" s="34" t="str">
        <f>IFERROR(__xludf.DUMMYFUNCTION("""COMPUTED_VALUE"""),"UNIDAD DE GESTION DEL CAMPUS")</f>
        <v>UNIDAD DE GESTION DEL CAMPUS</v>
      </c>
      <c r="F713" s="34" t="str">
        <f>IFERROR(__xludf.DUMMYFUNCTION("""COMPUTED_VALUE"""),"Constructor Civil")</f>
        <v>Constructor Civil</v>
      </c>
      <c r="G713" s="33" t="str">
        <f>IFERROR(__xludf.DUMMYFUNCTION("""COMPUTED_VALUE"""),"CONSTRUCTOR CIVIL")</f>
        <v>CONSTRUCTOR CIVIL</v>
      </c>
      <c r="H713">
        <f>IFERROR(__xludf.DUMMYFUNCTION("""COMPUTED_VALUE"""),7.0)</f>
        <v>7</v>
      </c>
      <c r="I713" s="34"/>
      <c r="J713" s="33" t="str">
        <f>IFERROR(__xludf.DUMMYFUNCTION("""COMPUTED_VALUE"""),"A CONTRATA")</f>
        <v>A CONTRATA</v>
      </c>
      <c r="K713" s="33" t="str">
        <f>IFERROR(__xludf.DUMMYFUNCTION("""COMPUTED_VALUE"""),"PROFESIONAL")</f>
        <v>PROFESIONAL</v>
      </c>
      <c r="L713" s="34" t="str">
        <f>IFERROR(__xludf.DUMMYFUNCTION("""COMPUTED_VALUE"""),"INTERNO")</f>
        <v>INTERNO</v>
      </c>
      <c r="M713" s="34">
        <f>IFERROR(__xludf.DUMMYFUNCTION("""COMPUTED_VALUE"""),1.0)</f>
        <v>1</v>
      </c>
      <c r="N713" s="34" t="str">
        <f>IFERROR(__xludf.DUMMYFUNCTION("""COMPUTED_VALUE"""),"NO")</f>
        <v>NO</v>
      </c>
      <c r="P713">
        <f>IFERROR(__xludf.DUMMYFUNCTION("""COMPUTED_VALUE"""),1.0)</f>
        <v>1</v>
      </c>
      <c r="Q713" s="35">
        <f>IFERROR(__xludf.DUMMYFUNCTION("""COMPUTED_VALUE"""),0.0)</f>
        <v>0</v>
      </c>
      <c r="R713" s="36" t="str">
        <f>IFERROR(__xludf.DUMMYFUNCTION("""COMPUTED_VALUE"""),"SELECCIONADO")</f>
        <v>SELECCIONADO</v>
      </c>
      <c r="S713" s="37">
        <f>IFERROR(__xludf.DUMMYFUNCTION("""COMPUTED_VALUE"""),42016.0)</f>
        <v>42016</v>
      </c>
      <c r="T713" s="34" t="str">
        <f>IFERROR(__xludf.DUMMYFUNCTION("""COMPUTED_VALUE"""),"JORGE ESCOBAR MORALES")</f>
        <v>JORGE ESCOBAR MORALES</v>
      </c>
      <c r="V713" t="str">
        <f>IFERROR(__xludf.DUMMYFUNCTION("""COMPUTED_VALUE"""),"04436770-K")</f>
        <v>04436770-K</v>
      </c>
      <c r="W713" t="str">
        <f>IFERROR(__xludf.DUMMYFUNCTION("""COMPUTED_VALUE"""),"No")</f>
        <v>No</v>
      </c>
      <c r="AA713" s="38">
        <f>IFERROR(__xludf.DUMMYFUNCTION("""COMPUTED_VALUE"""),41984.0)</f>
        <v>41984</v>
      </c>
      <c r="AB713" s="38">
        <f>IFERROR(__xludf.DUMMYFUNCTION("""COMPUTED_VALUE"""),41995.0)</f>
        <v>41995</v>
      </c>
      <c r="AD713" t="str">
        <f>IFERROR(__xludf.DUMMYFUNCTION("""COMPUTED_VALUE"""),"PROFESIONAL")</f>
        <v>PROFESIONAL</v>
      </c>
      <c r="AF713" s="39" t="str">
        <f>IFERROR(__xludf.DUMMYFUNCTION("""COMPUTED_VALUE"""),"UNIDAD DE GESTION DEL CAMPUS")</f>
        <v>UNIDAD DE GESTION DEL CAMPUS</v>
      </c>
      <c r="AG713" s="39"/>
      <c r="AH713" s="34" t="str">
        <f>IFERROR(__xludf.DUMMYFUNCTION("""COMPUTED_VALUE"""),"PROCESO DE SELECCIÓN")</f>
        <v>PROCESO DE SELECCIÓN</v>
      </c>
      <c r="AI713" s="34"/>
      <c r="AJ713" s="34"/>
      <c r="AK713" s="34" t="str">
        <f>IFERROR(__xludf.DUMMYFUNCTION("""COMPUTED_VALUE"""),"P")</f>
        <v>P</v>
      </c>
      <c r="AL713">
        <f>IFERROR(__xludf.DUMMYFUNCTION("""COMPUTED_VALUE"""),16.0)</f>
        <v>16</v>
      </c>
      <c r="AM713">
        <f>IFERROR(__xludf.DUMMYFUNCTION("""COMPUTED_VALUE"""),2014.0)</f>
        <v>2014</v>
      </c>
      <c r="AN713" t="str">
        <f t="shared" si="1"/>
        <v>04436770-K</v>
      </c>
    </row>
    <row r="714">
      <c r="A714" s="33">
        <f>IFERROR(__xludf.DUMMYFUNCTION("""COMPUTED_VALUE"""),1.3078261E7)</f>
        <v>13078261</v>
      </c>
      <c r="B714" s="33">
        <f>IFERROR(__xludf.DUMMYFUNCTION("""COMPUTED_VALUE"""),131.0)</f>
        <v>131</v>
      </c>
      <c r="C714" s="33"/>
      <c r="D714" s="34" t="str">
        <f>IFERROR(__xludf.DUMMYFUNCTION("""COMPUTED_VALUE"""),"VICERRECTORIA DE VINCULACION CON EL MEDIO")</f>
        <v>VICERRECTORIA DE VINCULACION CON EL MEDIO</v>
      </c>
      <c r="E714" s="34" t="str">
        <f>IFERROR(__xludf.DUMMYFUNCTION("""COMPUTED_VALUE"""),"DEPARTAMENTO DE EDUCACION CONTINUA")</f>
        <v>DEPARTAMENTO DE EDUCACION CONTINUA</v>
      </c>
      <c r="F714" s="34" t="str">
        <f>IFERROR(__xludf.DUMMYFUNCTION("""COMPUTED_VALUE"""),"Analista de Gestión II")</f>
        <v>Analista de Gestión II</v>
      </c>
      <c r="G714" s="33" t="str">
        <f>IFERROR(__xludf.DUMMYFUNCTION("""COMPUTED_VALUE"""),"ANALISTA II")</f>
        <v>ANALISTA II</v>
      </c>
      <c r="H714">
        <f>IFERROR(__xludf.DUMMYFUNCTION("""COMPUTED_VALUE"""),13.0)</f>
        <v>13</v>
      </c>
      <c r="I714" s="34"/>
      <c r="J714" s="33" t="str">
        <f>IFERROR(__xludf.DUMMYFUNCTION("""COMPUTED_VALUE"""),"A CONTRATA")</f>
        <v>A CONTRATA</v>
      </c>
      <c r="K714" s="33" t="str">
        <f>IFERROR(__xludf.DUMMYFUNCTION("""COMPUTED_VALUE"""),"PROFESIONAL")</f>
        <v>PROFESIONAL</v>
      </c>
      <c r="L714" s="34" t="str">
        <f>IFERROR(__xludf.DUMMYFUNCTION("""COMPUTED_VALUE"""),"INTERNO")</f>
        <v>INTERNO</v>
      </c>
      <c r="M714" s="34">
        <f>IFERROR(__xludf.DUMMYFUNCTION("""COMPUTED_VALUE"""),2.0)</f>
        <v>2</v>
      </c>
      <c r="N714" s="34" t="str">
        <f>IFERROR(__xludf.DUMMYFUNCTION("""COMPUTED_VALUE"""),"NO")</f>
        <v>NO</v>
      </c>
      <c r="P714">
        <f>IFERROR(__xludf.DUMMYFUNCTION("""COMPUTED_VALUE"""),2.0)</f>
        <v>2</v>
      </c>
      <c r="Q714" s="35">
        <f>IFERROR(__xludf.DUMMYFUNCTION("""COMPUTED_VALUE"""),0.0)</f>
        <v>0</v>
      </c>
      <c r="R714" s="36" t="str">
        <f>IFERROR(__xludf.DUMMYFUNCTION("""COMPUTED_VALUE"""),"SELECCIONADA")</f>
        <v>SELECCIONADA</v>
      </c>
      <c r="S714" s="37">
        <f>IFERROR(__xludf.DUMMYFUNCTION("""COMPUTED_VALUE"""),42072.0)</f>
        <v>42072</v>
      </c>
      <c r="T714" s="34" t="str">
        <f>IFERROR(__xludf.DUMMYFUNCTION("""COMPUTED_VALUE"""),"DANIELA VALLEJOS BELMAR")</f>
        <v>DANIELA VALLEJOS BELMAR</v>
      </c>
      <c r="V714" t="str">
        <f>IFERROR(__xludf.DUMMYFUNCTION("""COMPUTED_VALUE"""),"13078261-2")</f>
        <v>13078261-2</v>
      </c>
      <c r="W714" t="str">
        <f>IFERROR(__xludf.DUMMYFUNCTION("""COMPUTED_VALUE"""),"SI")</f>
        <v>SI</v>
      </c>
      <c r="AA714" s="38">
        <f>IFERROR(__xludf.DUMMYFUNCTION("""COMPUTED_VALUE"""),41995.0)</f>
        <v>41995</v>
      </c>
      <c r="AB714" s="38">
        <f>IFERROR(__xludf.DUMMYFUNCTION("""COMPUTED_VALUE"""),42002.0)</f>
        <v>42002</v>
      </c>
      <c r="AC714">
        <f>IFERROR(__xludf.DUMMYFUNCTION("""COMPUTED_VALUE"""),10.0)</f>
        <v>10</v>
      </c>
      <c r="AD714" t="str">
        <f>IFERROR(__xludf.DUMMYFUNCTION("""COMPUTED_VALUE"""),"ADMINISTRATIVO")</f>
        <v>ADMINISTRATIVO</v>
      </c>
      <c r="AF714" s="39" t="str">
        <f>IFERROR(__xludf.DUMMYFUNCTION("""COMPUTED_VALUE"""),"FACULTAD TECNOLOGICA")</f>
        <v>FACULTAD TECNOLOGICA</v>
      </c>
      <c r="AG714" s="39"/>
      <c r="AH714" s="34" t="str">
        <f>IFERROR(__xludf.DUMMYFUNCTION("""COMPUTED_VALUE"""),"PROCESO DE SELECCIÓN")</f>
        <v>PROCESO DE SELECCIÓN</v>
      </c>
      <c r="AI714" s="34"/>
      <c r="AJ714" s="34"/>
      <c r="AK714" s="34" t="str">
        <f>IFERROR(__xludf.DUMMYFUNCTION("""COMPUTED_VALUE"""),"P")</f>
        <v>P</v>
      </c>
      <c r="AL714">
        <f>IFERROR(__xludf.DUMMYFUNCTION("""COMPUTED_VALUE"""),51.0)</f>
        <v>51</v>
      </c>
      <c r="AM714">
        <f>IFERROR(__xludf.DUMMYFUNCTION("""COMPUTED_VALUE"""),2014.0)</f>
        <v>2014</v>
      </c>
      <c r="AN714" t="str">
        <f t="shared" si="1"/>
        <v>13078261-2</v>
      </c>
    </row>
    <row r="715">
      <c r="A715" s="33">
        <f>IFERROR(__xludf.DUMMYFUNCTION("""COMPUTED_VALUE"""),1.6909766E7)</f>
        <v>16909766</v>
      </c>
      <c r="B715" s="33">
        <f>IFERROR(__xludf.DUMMYFUNCTION("""COMPUTED_VALUE"""),114.0)</f>
        <v>114</v>
      </c>
      <c r="C715" s="33"/>
      <c r="D715" s="34" t="str">
        <f>IFERROR(__xludf.DUMMYFUNCTION("""COMPUTED_VALUE"""),"PRORRECTORIA")</f>
        <v>PRORRECTORIA</v>
      </c>
      <c r="E715" s="34" t="str">
        <f>IFERROR(__xludf.DUMMYFUNCTION("""COMPUTED_VALUE"""),"DEPARTAMENTO DE FINANZAS Y TESORERIA")</f>
        <v>DEPARTAMENTO DE FINANZAS Y TESORERIA</v>
      </c>
      <c r="F715" s="34" t="str">
        <f>IFERROR(__xludf.DUMMYFUNCTION("""COMPUTED_VALUE"""),"Jefe de Sección")</f>
        <v>Jefe de Sección</v>
      </c>
      <c r="G715" s="33" t="str">
        <f>IFERROR(__xludf.DUMMYFUNCTION("""COMPUTED_VALUE"""),"JEFE DE SECCION ACTIVO FIJO")</f>
        <v>JEFE DE SECCION ACTIVO FIJO</v>
      </c>
      <c r="H715">
        <f>IFERROR(__xludf.DUMMYFUNCTION("""COMPUTED_VALUE"""),10.0)</f>
        <v>10</v>
      </c>
      <c r="I715" s="34"/>
      <c r="J715" s="33" t="str">
        <f>IFERROR(__xludf.DUMMYFUNCTION("""COMPUTED_VALUE"""),"A CONTRATA")</f>
        <v>A CONTRATA</v>
      </c>
      <c r="K715" s="33" t="str">
        <f>IFERROR(__xludf.DUMMYFUNCTION("""COMPUTED_VALUE"""),"PROFESIONAL")</f>
        <v>PROFESIONAL</v>
      </c>
      <c r="L715" s="34" t="str">
        <f>IFERROR(__xludf.DUMMYFUNCTION("""COMPUTED_VALUE"""),"INTERNO")</f>
        <v>INTERNO</v>
      </c>
      <c r="M715" s="34">
        <f>IFERROR(__xludf.DUMMYFUNCTION("""COMPUTED_VALUE"""),6.0)</f>
        <v>6</v>
      </c>
      <c r="N715" s="34" t="str">
        <f>IFERROR(__xludf.DUMMYFUNCTION("""COMPUTED_VALUE"""),"EXTERNO")</f>
        <v>EXTERNO</v>
      </c>
      <c r="O715">
        <f>IFERROR(__xludf.DUMMYFUNCTION("""COMPUTED_VALUE"""),6.0)</f>
        <v>6</v>
      </c>
      <c r="P715">
        <f>IFERROR(__xludf.DUMMYFUNCTION("""COMPUTED_VALUE"""),2.0)</f>
        <v>2</v>
      </c>
      <c r="Q715" s="35">
        <f>IFERROR(__xludf.DUMMYFUNCTION("""COMPUTED_VALUE"""),1.0)</f>
        <v>1</v>
      </c>
      <c r="R715" s="36" t="str">
        <f>IFERROR(__xludf.DUMMYFUNCTION("""COMPUTED_VALUE"""),"SELECCIONADA")</f>
        <v>SELECCIONADA</v>
      </c>
      <c r="S715" s="37">
        <f>IFERROR(__xludf.DUMMYFUNCTION("""COMPUTED_VALUE"""),42027.0)</f>
        <v>42027</v>
      </c>
      <c r="T715" s="34"/>
      <c r="U715" t="str">
        <f>IFERROR(__xludf.DUMMYFUNCTION("""COMPUTED_VALUE"""),"JESSICA MALDONADO HERMOSILLA")</f>
        <v>JESSICA MALDONADO HERMOSILLA</v>
      </c>
      <c r="V715" t="str">
        <f>IFERROR(__xludf.DUMMYFUNCTION("""COMPUTED_VALUE"""),"16909766-6")</f>
        <v>16909766-6</v>
      </c>
      <c r="W715" t="str">
        <f>IFERROR(__xludf.DUMMYFUNCTION("""COMPUTED_VALUE"""),"SI")</f>
        <v>SI</v>
      </c>
      <c r="Z715" t="str">
        <f>IFERROR(__xludf.DUMMYFUNCTION("""COMPUTED_VALUE"""),"ORIENTACION A LOS RESULTADOS")</f>
        <v>ORIENTACION A LOS RESULTADOS</v>
      </c>
      <c r="AA715" s="38">
        <f>IFERROR(__xludf.DUMMYFUNCTION("""COMPUTED_VALUE"""),41694.0)</f>
        <v>41694</v>
      </c>
      <c r="AB715" s="38">
        <f>IFERROR(__xludf.DUMMYFUNCTION("""COMPUTED_VALUE"""),42009.0)</f>
        <v>42009</v>
      </c>
      <c r="AF715" s="39"/>
      <c r="AG715" s="39"/>
      <c r="AH715" s="34" t="str">
        <f>IFERROR(__xludf.DUMMYFUNCTION("""COMPUTED_VALUE"""),"PROCESO DE SELECCIÓN")</f>
        <v>PROCESO DE SELECCIÓN</v>
      </c>
      <c r="AI715" s="34" t="str">
        <f>IFERROR(__xludf.DUMMYFUNCTION("""COMPUTED_VALUE"""),"JOSE HERNANDEZ KAISER")</f>
        <v>JOSE HERNANDEZ KAISER</v>
      </c>
      <c r="AJ715" s="34"/>
      <c r="AK715" s="34" t="str">
        <f>IFERROR(__xludf.DUMMYFUNCTION("""COMPUTED_VALUE"""),"C")</f>
        <v>C</v>
      </c>
      <c r="AL715">
        <f>IFERROR(__xludf.DUMMYFUNCTION("""COMPUTED_VALUE"""),15.0)</f>
        <v>15</v>
      </c>
      <c r="AM715">
        <f>IFERROR(__xludf.DUMMYFUNCTION("""COMPUTED_VALUE"""),2014.0)</f>
        <v>2014</v>
      </c>
      <c r="AN715" t="str">
        <f t="shared" si="1"/>
        <v>16909766-6</v>
      </c>
    </row>
    <row r="716">
      <c r="A716" s="33">
        <f>IFERROR(__xludf.DUMMYFUNCTION("""COMPUTED_VALUE"""),1.5415839E7)</f>
        <v>15415839</v>
      </c>
      <c r="B716" s="33">
        <f>IFERROR(__xludf.DUMMYFUNCTION("""COMPUTED_VALUE"""),116.0)</f>
        <v>116</v>
      </c>
      <c r="C716" s="33"/>
      <c r="D716" s="34" t="str">
        <f>IFERROR(__xludf.DUMMYFUNCTION("""COMPUTED_VALUE"""),"VICERRECTORIA ACADEMICA")</f>
        <v>VICERRECTORIA ACADEMICA</v>
      </c>
      <c r="E716" s="34" t="str">
        <f>IFERROR(__xludf.DUMMYFUNCTION("""COMPUTED_VALUE"""),"UNIDAD DE BIBLIOTECAS")</f>
        <v>UNIDAD DE BIBLIOTECAS</v>
      </c>
      <c r="F716" s="34" t="str">
        <f>IFERROR(__xludf.DUMMYFUNCTION("""COMPUTED_VALUE"""),"Asistente de Biblioteca")</f>
        <v>Asistente de Biblioteca</v>
      </c>
      <c r="G716" s="33" t="str">
        <f>IFERROR(__xludf.DUMMYFUNCTION("""COMPUTED_VALUE"""),"ASISTENTE DE BIBLIOTECA")</f>
        <v>ASISTENTE DE BIBLIOTECA</v>
      </c>
      <c r="H716">
        <f>IFERROR(__xludf.DUMMYFUNCTION("""COMPUTED_VALUE"""),20.0)</f>
        <v>20</v>
      </c>
      <c r="I716" s="34"/>
      <c r="J716" s="33" t="str">
        <f>IFERROR(__xludf.DUMMYFUNCTION("""COMPUTED_VALUE"""),"A CONTRATA")</f>
        <v>A CONTRATA</v>
      </c>
      <c r="K716" s="33" t="str">
        <f>IFERROR(__xludf.DUMMYFUNCTION("""COMPUTED_VALUE"""),"ADMINISTRATIVO")</f>
        <v>ADMINISTRATIVO</v>
      </c>
      <c r="L716" s="34" t="str">
        <f>IFERROR(__xludf.DUMMYFUNCTION("""COMPUTED_VALUE"""),"INTERNO")</f>
        <v>INTERNO</v>
      </c>
      <c r="M716" s="34">
        <f>IFERROR(__xludf.DUMMYFUNCTION("""COMPUTED_VALUE"""),1.0)</f>
        <v>1</v>
      </c>
      <c r="N716" s="34" t="str">
        <f>IFERROR(__xludf.DUMMYFUNCTION("""COMPUTED_VALUE"""),"NO")</f>
        <v>NO</v>
      </c>
      <c r="P716">
        <f>IFERROR(__xludf.DUMMYFUNCTION("""COMPUTED_VALUE"""),1.0)</f>
        <v>1</v>
      </c>
      <c r="Q716" s="35"/>
      <c r="R716" s="36" t="str">
        <f>IFERROR(__xludf.DUMMYFUNCTION("""COMPUTED_VALUE"""),"SELECCIONADA")</f>
        <v>SELECCIONADA</v>
      </c>
      <c r="S716" s="37">
        <f>IFERROR(__xludf.DUMMYFUNCTION("""COMPUTED_VALUE"""),42065.0)</f>
        <v>42065</v>
      </c>
      <c r="T716" s="34" t="str">
        <f>IFERROR(__xludf.DUMMYFUNCTION("""COMPUTED_VALUE"""),"KATHERINE VALLEJOS BARRIENTOS")</f>
        <v>KATHERINE VALLEJOS BARRIENTOS</v>
      </c>
      <c r="V716" t="str">
        <f>IFERROR(__xludf.DUMMYFUNCTION("""COMPUTED_VALUE"""),"15415839-1")</f>
        <v>15415839-1</v>
      </c>
      <c r="W716" t="str">
        <f>IFERROR(__xludf.DUMMYFUNCTION("""COMPUTED_VALUE"""),"No")</f>
        <v>No</v>
      </c>
      <c r="AA716" s="38">
        <f>IFERROR(__xludf.DUMMYFUNCTION("""COMPUTED_VALUE"""),41997.0)</f>
        <v>41997</v>
      </c>
      <c r="AB716" s="38">
        <f>IFERROR(__xludf.DUMMYFUNCTION("""COMPUTED_VALUE"""),42009.0)</f>
        <v>42009</v>
      </c>
      <c r="AC716">
        <f>IFERROR(__xludf.DUMMYFUNCTION("""COMPUTED_VALUE"""),21.0)</f>
        <v>21</v>
      </c>
      <c r="AD716" t="str">
        <f>IFERROR(__xludf.DUMMYFUNCTION("""COMPUTED_VALUE"""),"AUXILIAR")</f>
        <v>AUXILIAR</v>
      </c>
      <c r="AF716" s="39" t="str">
        <f>IFERROR(__xludf.DUMMYFUNCTION("""COMPUTED_VALUE"""),"UNIDAD DE BIBLIOTECAS")</f>
        <v>UNIDAD DE BIBLIOTECAS</v>
      </c>
      <c r="AG716" s="39"/>
      <c r="AH716" s="34" t="str">
        <f>IFERROR(__xludf.DUMMYFUNCTION("""COMPUTED_VALUE"""),"PROCESO DE SELECCIÓN")</f>
        <v>PROCESO DE SELECCIÓN</v>
      </c>
      <c r="AI716" s="34"/>
      <c r="AJ716" s="34"/>
      <c r="AK716" s="34" t="str">
        <f>IFERROR(__xludf.DUMMYFUNCTION("""COMPUTED_VALUE"""),"P")</f>
        <v>P</v>
      </c>
      <c r="AL716">
        <f>IFERROR(__xludf.DUMMYFUNCTION("""COMPUTED_VALUE"""),41.0)</f>
        <v>41</v>
      </c>
      <c r="AM716">
        <f>IFERROR(__xludf.DUMMYFUNCTION("""COMPUTED_VALUE"""),2014.0)</f>
        <v>2014</v>
      </c>
      <c r="AN716" t="str">
        <f t="shared" si="1"/>
        <v>15415839-1</v>
      </c>
    </row>
    <row r="717">
      <c r="A717" s="33">
        <f>IFERROR(__xludf.DUMMYFUNCTION("""COMPUTED_VALUE"""),1.4318501E7)</f>
        <v>14318501</v>
      </c>
      <c r="B717" s="33">
        <f>IFERROR(__xludf.DUMMYFUNCTION("""COMPUTED_VALUE"""),119.0)</f>
        <v>119</v>
      </c>
      <c r="C717" s="33"/>
      <c r="D717" s="34" t="str">
        <f>IFERROR(__xludf.DUMMYFUNCTION("""COMPUTED_VALUE"""),"FACULTAD DE CIENCIAS MEDICAS")</f>
        <v>FACULTAD DE CIENCIAS MEDICAS</v>
      </c>
      <c r="E717" s="34" t="str">
        <f>IFERROR(__xludf.DUMMYFUNCTION("""COMPUTED_VALUE"""),"FACULTAD DE CIENCIAS MEDICAS")</f>
        <v>FACULTAD DE CIENCIAS MEDICAS</v>
      </c>
      <c r="F717" s="34" t="str">
        <f>IFERROR(__xludf.DUMMYFUNCTION("""COMPUTED_VALUE"""),"Registrador Curricular")</f>
        <v>Registrador Curricular</v>
      </c>
      <c r="G717" s="33" t="str">
        <f>IFERROR(__xludf.DUMMYFUNCTION("""COMPUTED_VALUE"""),"REGISTRADOR CURRICULAR")</f>
        <v>REGISTRADOR CURRICULAR</v>
      </c>
      <c r="H717">
        <f>IFERROR(__xludf.DUMMYFUNCTION("""COMPUTED_VALUE"""),10.0)</f>
        <v>10</v>
      </c>
      <c r="I717" s="34"/>
      <c r="J717" s="33" t="str">
        <f>IFERROR(__xludf.DUMMYFUNCTION("""COMPUTED_VALUE"""),"A CONTRATA")</f>
        <v>A CONTRATA</v>
      </c>
      <c r="K717" s="33" t="str">
        <f>IFERROR(__xludf.DUMMYFUNCTION("""COMPUTED_VALUE"""),"PROFESIONAL")</f>
        <v>PROFESIONAL</v>
      </c>
      <c r="L717" s="34" t="str">
        <f>IFERROR(__xludf.DUMMYFUNCTION("""COMPUTED_VALUE"""),"INTERNO")</f>
        <v>INTERNO</v>
      </c>
      <c r="M717" s="34">
        <f>IFERROR(__xludf.DUMMYFUNCTION("""COMPUTED_VALUE"""),6.0)</f>
        <v>6</v>
      </c>
      <c r="N717" s="34" t="str">
        <f>IFERROR(__xludf.DUMMYFUNCTION("""COMPUTED_VALUE"""),"NO")</f>
        <v>NO</v>
      </c>
      <c r="P717">
        <f>IFERROR(__xludf.DUMMYFUNCTION("""COMPUTED_VALUE"""),3.0)</f>
        <v>3</v>
      </c>
      <c r="Q717" s="35">
        <f>IFERROR(__xludf.DUMMYFUNCTION("""COMPUTED_VALUE"""),0.0)</f>
        <v>0</v>
      </c>
      <c r="R717" s="36" t="str">
        <f>IFERROR(__xludf.DUMMYFUNCTION("""COMPUTED_VALUE"""),"SELECCIONADA")</f>
        <v>SELECCIONADA</v>
      </c>
      <c r="S717" s="37">
        <f>IFERROR(__xludf.DUMMYFUNCTION("""COMPUTED_VALUE"""),42086.0)</f>
        <v>42086</v>
      </c>
      <c r="T717" s="34" t="str">
        <f>IFERROR(__xludf.DUMMYFUNCTION("""COMPUTED_VALUE"""),"SILVIA ESTOLAZA NUNEZ")</f>
        <v>SILVIA ESTOLAZA NUNEZ</v>
      </c>
      <c r="V717" t="str">
        <f>IFERROR(__xludf.DUMMYFUNCTION("""COMPUTED_VALUE"""),"14318501-K")</f>
        <v>14318501-K</v>
      </c>
      <c r="W717" t="str">
        <f>IFERROR(__xludf.DUMMYFUNCTION("""COMPUTED_VALUE"""),"SI")</f>
        <v>SI</v>
      </c>
      <c r="X717" t="str">
        <f>IFERROR(__xludf.DUMMYFUNCTION("""COMPUTED_VALUE"""),"Capacidad de Planificacion y Organizacion")</f>
        <v>Capacidad de Planificacion y Organizacion</v>
      </c>
      <c r="AA717" s="38">
        <f>IFERROR(__xludf.DUMMYFUNCTION("""COMPUTED_VALUE"""),41997.0)</f>
        <v>41997</v>
      </c>
      <c r="AB717" s="38">
        <f>IFERROR(__xludf.DUMMYFUNCTION("""COMPUTED_VALUE"""),42009.0)</f>
        <v>42009</v>
      </c>
      <c r="AC717">
        <f>IFERROR(__xludf.DUMMYFUNCTION("""COMPUTED_VALUE"""),17.0)</f>
        <v>17</v>
      </c>
      <c r="AD717" t="str">
        <f>IFERROR(__xludf.DUMMYFUNCTION("""COMPUTED_VALUE"""),"ADMINISTRATIVO")</f>
        <v>ADMINISTRATIVO</v>
      </c>
      <c r="AF717" s="39" t="str">
        <f>IFERROR(__xludf.DUMMYFUNCTION("""COMPUTED_VALUE"""),"FACULTAD DE CIENCIAS MEDICAS")</f>
        <v>FACULTAD DE CIENCIAS MEDICAS</v>
      </c>
      <c r="AG717" s="39"/>
      <c r="AH717" s="34" t="str">
        <f>IFERROR(__xludf.DUMMYFUNCTION("""COMPUTED_VALUE"""),"PROCESO DE SELECCIÓN")</f>
        <v>PROCESO DE SELECCIÓN</v>
      </c>
      <c r="AI717" s="34"/>
      <c r="AJ717" s="34"/>
      <c r="AK717" s="34" t="str">
        <f>IFERROR(__xludf.DUMMYFUNCTION("""COMPUTED_VALUE"""),"P")</f>
        <v>P</v>
      </c>
      <c r="AL717">
        <f>IFERROR(__xludf.DUMMYFUNCTION("""COMPUTED_VALUE"""),56.0)</f>
        <v>56</v>
      </c>
      <c r="AM717">
        <f>IFERROR(__xludf.DUMMYFUNCTION("""COMPUTED_VALUE"""),2014.0)</f>
        <v>2014</v>
      </c>
      <c r="AN717" t="str">
        <f t="shared" si="1"/>
        <v>14318501-K</v>
      </c>
    </row>
    <row r="718">
      <c r="A718" s="33">
        <f>IFERROR(__xludf.DUMMYFUNCTION("""COMPUTED_VALUE"""),1.5585855E7)</f>
        <v>15585855</v>
      </c>
      <c r="B718" s="33">
        <f>IFERROR(__xludf.DUMMYFUNCTION("""COMPUTED_VALUE"""),115.0)</f>
        <v>115</v>
      </c>
      <c r="C718" s="33"/>
      <c r="D718" s="34" t="str">
        <f>IFERROR(__xludf.DUMMYFUNCTION("""COMPUTED_VALUE"""),"PRORRECTORIA")</f>
        <v>PRORRECTORIA</v>
      </c>
      <c r="E718" s="34" t="str">
        <f>IFERROR(__xludf.DUMMYFUNCTION("""COMPUTED_VALUE"""),"DEPARTAMENTO DE FINANZAS Y TESORERIA")</f>
        <v>DEPARTAMENTO DE FINANZAS Y TESORERIA</v>
      </c>
      <c r="F718" s="34" t="str">
        <f>IFERROR(__xludf.DUMMYFUNCTION("""COMPUTED_VALUE"""),"Administrativo Contable")</f>
        <v>Administrativo Contable</v>
      </c>
      <c r="G718" s="33" t="str">
        <f>IFERROR(__xludf.DUMMYFUNCTION("""COMPUTED_VALUE"""),"ADMINISTRATIVO CONTABLE")</f>
        <v>ADMINISTRATIVO CONTABLE</v>
      </c>
      <c r="H718">
        <f>IFERROR(__xludf.DUMMYFUNCTION("""COMPUTED_VALUE"""),17.0)</f>
        <v>17</v>
      </c>
      <c r="I718" s="34"/>
      <c r="J718" s="33" t="str">
        <f>IFERROR(__xludf.DUMMYFUNCTION("""COMPUTED_VALUE"""),"A CONTRATA")</f>
        <v>A CONTRATA</v>
      </c>
      <c r="K718" s="33" t="str">
        <f>IFERROR(__xludf.DUMMYFUNCTION("""COMPUTED_VALUE"""),"TECNICO")</f>
        <v>TECNICO</v>
      </c>
      <c r="L718" s="34" t="str">
        <f>IFERROR(__xludf.DUMMYFUNCTION("""COMPUTED_VALUE"""),"INTERNO")</f>
        <v>INTERNO</v>
      </c>
      <c r="M718" s="34">
        <f>IFERROR(__xludf.DUMMYFUNCTION("""COMPUTED_VALUE"""),0.0)</f>
        <v>0</v>
      </c>
      <c r="N718" s="34" t="str">
        <f>IFERROR(__xludf.DUMMYFUNCTION("""COMPUTED_VALUE"""),"EXTERNO")</f>
        <v>EXTERNO</v>
      </c>
      <c r="O718">
        <f>IFERROR(__xludf.DUMMYFUNCTION("""COMPUTED_VALUE"""),6.0)</f>
        <v>6</v>
      </c>
      <c r="P718">
        <f>IFERROR(__xludf.DUMMYFUNCTION("""COMPUTED_VALUE"""),2.0)</f>
        <v>2</v>
      </c>
      <c r="Q718" s="35">
        <f>IFERROR(__xludf.DUMMYFUNCTION("""COMPUTED_VALUE"""),1.0)</f>
        <v>1</v>
      </c>
      <c r="R718" s="36" t="str">
        <f>IFERROR(__xludf.DUMMYFUNCTION("""COMPUTED_VALUE"""),"SELECCIONADO")</f>
        <v>SELECCIONADO</v>
      </c>
      <c r="S718" s="37">
        <f>IFERROR(__xludf.DUMMYFUNCTION("""COMPUTED_VALUE"""),42037.0)</f>
        <v>42037</v>
      </c>
      <c r="T718" s="34"/>
      <c r="U718" t="str">
        <f>IFERROR(__xludf.DUMMYFUNCTION("""COMPUTED_VALUE"""),"JORGE VEGA QUINTANILLA")</f>
        <v>JORGE VEGA QUINTANILLA</v>
      </c>
      <c r="V718" t="str">
        <f>IFERROR(__xludf.DUMMYFUNCTION("""COMPUTED_VALUE"""),"15585855-9")</f>
        <v>15585855-9</v>
      </c>
      <c r="W718" t="str">
        <f>IFERROR(__xludf.DUMMYFUNCTION("""COMPUTED_VALUE"""),"No")</f>
        <v>No</v>
      </c>
      <c r="AA718" s="38">
        <f>IFERROR(__xludf.DUMMYFUNCTION("""COMPUTED_VALUE"""),42010.0)</f>
        <v>42010</v>
      </c>
      <c r="AB718" s="38">
        <f>IFERROR(__xludf.DUMMYFUNCTION("""COMPUTED_VALUE"""),42013.0)</f>
        <v>42013</v>
      </c>
      <c r="AF718" s="39"/>
      <c r="AG718" s="39"/>
      <c r="AH718" s="34" t="str">
        <f>IFERROR(__xludf.DUMMYFUNCTION("""COMPUTED_VALUE"""),"PROCESO DE SELECCIÓN")</f>
        <v>PROCESO DE SELECCIÓN</v>
      </c>
      <c r="AI718" s="34" t="str">
        <f>IFERROR(__xludf.DUMMYFUNCTION("""COMPUTED_VALUE"""),"SAMUEL BECERRA")</f>
        <v>SAMUEL BECERRA</v>
      </c>
      <c r="AJ718" s="34"/>
      <c r="AK718" s="34"/>
      <c r="AL718">
        <f>IFERROR(__xludf.DUMMYFUNCTION("""COMPUTED_VALUE"""),17.0)</f>
        <v>17</v>
      </c>
      <c r="AM718">
        <f>IFERROR(__xludf.DUMMYFUNCTION("""COMPUTED_VALUE"""),2014.0)</f>
        <v>2014</v>
      </c>
      <c r="AN718" t="str">
        <f t="shared" si="1"/>
        <v>15585855-9</v>
      </c>
    </row>
    <row r="719">
      <c r="A719" s="33">
        <f>IFERROR(__xludf.DUMMYFUNCTION("""COMPUTED_VALUE"""),1.5921217E7)</f>
        <v>15921217</v>
      </c>
      <c r="B719" s="33">
        <f>IFERROR(__xludf.DUMMYFUNCTION("""COMPUTED_VALUE"""),113.0)</f>
        <v>113</v>
      </c>
      <c r="C719" s="33"/>
      <c r="D719" s="34" t="str">
        <f>IFERROR(__xludf.DUMMYFUNCTION("""COMPUTED_VALUE"""),"VICERRECTORIA DE VINCULACION CON EL MEDIO")</f>
        <v>VICERRECTORIA DE VINCULACION CON EL MEDIO</v>
      </c>
      <c r="E719" s="34" t="str">
        <f>IFERROR(__xludf.DUMMYFUNCTION("""COMPUTED_VALUE"""),"PROGRAMA DE RESPONSABILIDAD SOCIAL UNIVERSITARIA")</f>
        <v>PROGRAMA DE RESPONSABILIDAD SOCIAL UNIVERSITARIA</v>
      </c>
      <c r="F719" s="34" t="str">
        <f>IFERROR(__xludf.DUMMYFUNCTION("""COMPUTED_VALUE"""),"Jefe de Área")</f>
        <v>Jefe de Área</v>
      </c>
      <c r="G719" s="33" t="str">
        <f>IFERROR(__xludf.DUMMYFUNCTION("""COMPUTED_VALUE"""),"JEFE DE AREA")</f>
        <v>JEFE DE AREA</v>
      </c>
      <c r="H719">
        <f>IFERROR(__xludf.DUMMYFUNCTION("""COMPUTED_VALUE"""),6.0)</f>
        <v>6</v>
      </c>
      <c r="I719" s="34"/>
      <c r="J719" s="33" t="str">
        <f>IFERROR(__xludf.DUMMYFUNCTION("""COMPUTED_VALUE"""),"A CONTRATA")</f>
        <v>A CONTRATA</v>
      </c>
      <c r="K719" s="33" t="str">
        <f>IFERROR(__xludf.DUMMYFUNCTION("""COMPUTED_VALUE"""),"PROFESIONAL")</f>
        <v>PROFESIONAL</v>
      </c>
      <c r="L719" s="34" t="str">
        <f>IFERROR(__xludf.DUMMYFUNCTION("""COMPUTED_VALUE"""),"INTERNO")</f>
        <v>INTERNO</v>
      </c>
      <c r="M719" s="34">
        <f>IFERROR(__xludf.DUMMYFUNCTION("""COMPUTED_VALUE"""),5.0)</f>
        <v>5</v>
      </c>
      <c r="N719" s="34" t="str">
        <f>IFERROR(__xludf.DUMMYFUNCTION("""COMPUTED_VALUE"""),"NO")</f>
        <v>NO</v>
      </c>
      <c r="P719">
        <f>IFERROR(__xludf.DUMMYFUNCTION("""COMPUTED_VALUE"""),2.0)</f>
        <v>2</v>
      </c>
      <c r="Q719" s="35">
        <f>IFERROR(__xludf.DUMMYFUNCTION("""COMPUTED_VALUE"""),0.0)</f>
        <v>0</v>
      </c>
      <c r="R719" s="36" t="str">
        <f>IFERROR(__xludf.DUMMYFUNCTION("""COMPUTED_VALUE"""),"SELECCIONADA")</f>
        <v>SELECCIONADA</v>
      </c>
      <c r="S719" s="37">
        <f>IFERROR(__xludf.DUMMYFUNCTION("""COMPUTED_VALUE"""),42072.0)</f>
        <v>42072</v>
      </c>
      <c r="T719" s="34" t="str">
        <f>IFERROR(__xludf.DUMMYFUNCTION("""COMPUTED_VALUE"""),"ANA CAROLINA ORTIZ LANDAETA")</f>
        <v>ANA CAROLINA ORTIZ LANDAETA</v>
      </c>
      <c r="V719" t="str">
        <f>IFERROR(__xludf.DUMMYFUNCTION("""COMPUTED_VALUE"""),"15921217-3")</f>
        <v>15921217-3</v>
      </c>
      <c r="W719" t="str">
        <f>IFERROR(__xludf.DUMMYFUNCTION("""COMPUTED_VALUE"""),"No")</f>
        <v>No</v>
      </c>
      <c r="AA719" s="38">
        <f>IFERROR(__xludf.DUMMYFUNCTION("""COMPUTED_VALUE"""),42003.0)</f>
        <v>42003</v>
      </c>
      <c r="AB719" s="38">
        <f>IFERROR(__xludf.DUMMYFUNCTION("""COMPUTED_VALUE"""),42013.0)</f>
        <v>42013</v>
      </c>
      <c r="AC719">
        <f>IFERROR(__xludf.DUMMYFUNCTION("""COMPUTED_VALUE"""),8.0)</f>
        <v>8</v>
      </c>
      <c r="AD719" t="str">
        <f>IFERROR(__xludf.DUMMYFUNCTION("""COMPUTED_VALUE"""),"PROFESIONAL")</f>
        <v>PROFESIONAL</v>
      </c>
      <c r="AF719" s="39" t="str">
        <f>IFERROR(__xludf.DUMMYFUNCTION("""COMPUTED_VALUE"""),"PRORRECTORIA")</f>
        <v>PRORRECTORIA</v>
      </c>
      <c r="AG719" s="39"/>
      <c r="AH719" s="34" t="str">
        <f>IFERROR(__xludf.DUMMYFUNCTION("""COMPUTED_VALUE"""),"PROCESO DE SELECCIÓN")</f>
        <v>PROCESO DE SELECCIÓN</v>
      </c>
      <c r="AI719" s="34"/>
      <c r="AJ719" s="34"/>
      <c r="AK719" s="34" t="str">
        <f>IFERROR(__xludf.DUMMYFUNCTION("""COMPUTED_VALUE"""),"P")</f>
        <v>P</v>
      </c>
      <c r="AL719">
        <f>IFERROR(__xludf.DUMMYFUNCTION("""COMPUTED_VALUE"""),42.0)</f>
        <v>42</v>
      </c>
      <c r="AM719">
        <f>IFERROR(__xludf.DUMMYFUNCTION("""COMPUTED_VALUE"""),2014.0)</f>
        <v>2014</v>
      </c>
      <c r="AN719" t="str">
        <f t="shared" si="1"/>
        <v>15921217-3</v>
      </c>
    </row>
    <row r="720">
      <c r="A720" s="33">
        <f>IFERROR(__xludf.DUMMYFUNCTION("""COMPUTED_VALUE"""),9765223.0)</f>
        <v>9765223</v>
      </c>
      <c r="B720" s="33">
        <f>IFERROR(__xludf.DUMMYFUNCTION("""COMPUTED_VALUE"""),126.0)</f>
        <v>126</v>
      </c>
      <c r="C720" s="33"/>
      <c r="D720" s="34" t="str">
        <f>IFERROR(__xludf.DUMMYFUNCTION("""COMPUTED_VALUE"""),"PRORRECTORIA")</f>
        <v>PRORRECTORIA</v>
      </c>
      <c r="E720" s="34" t="str">
        <f>IFERROR(__xludf.DUMMYFUNCTION("""COMPUTED_VALUE"""),"DEPARTAMENTO DE RECURSOS HUMANOS")</f>
        <v>DEPARTAMENTO DE RECURSOS HUMANOS</v>
      </c>
      <c r="F720" s="34" t="str">
        <f>IFERROR(__xludf.DUMMYFUNCTION("""COMPUTED_VALUE"""),"Estafeta")</f>
        <v>Estafeta</v>
      </c>
      <c r="G720" s="33" t="str">
        <f>IFERROR(__xludf.DUMMYFUNCTION("""COMPUTED_VALUE"""),"ESTAFETA")</f>
        <v>ESTAFETA</v>
      </c>
      <c r="H720">
        <f>IFERROR(__xludf.DUMMYFUNCTION("""COMPUTED_VALUE"""),23.0)</f>
        <v>23</v>
      </c>
      <c r="I720" s="34"/>
      <c r="J720" s="33" t="str">
        <f>IFERROR(__xludf.DUMMYFUNCTION("""COMPUTED_VALUE"""),"A CONTRATA")</f>
        <v>A CONTRATA</v>
      </c>
      <c r="K720" s="33" t="str">
        <f>IFERROR(__xludf.DUMMYFUNCTION("""COMPUTED_VALUE"""),"AUXILIAR")</f>
        <v>AUXILIAR</v>
      </c>
      <c r="L720" s="34" t="str">
        <f>IFERROR(__xludf.DUMMYFUNCTION("""COMPUTED_VALUE"""),"INTERNO")</f>
        <v>INTERNO</v>
      </c>
      <c r="M720" s="34">
        <f>IFERROR(__xludf.DUMMYFUNCTION("""COMPUTED_VALUE"""),0.0)</f>
        <v>0</v>
      </c>
      <c r="N720" s="34" t="str">
        <f>IFERROR(__xludf.DUMMYFUNCTION("""COMPUTED_VALUE"""),"EXTERNO")</f>
        <v>EXTERNO</v>
      </c>
      <c r="O720">
        <f>IFERROR(__xludf.DUMMYFUNCTION("""COMPUTED_VALUE"""),15.0)</f>
        <v>15</v>
      </c>
      <c r="P720">
        <f>IFERROR(__xludf.DUMMYFUNCTION("""COMPUTED_VALUE"""),2.0)</f>
        <v>2</v>
      </c>
      <c r="Q720" s="35">
        <f>IFERROR(__xludf.DUMMYFUNCTION("""COMPUTED_VALUE"""),1.0)</f>
        <v>1</v>
      </c>
      <c r="R720" s="36" t="str">
        <f>IFERROR(__xludf.DUMMYFUNCTION("""COMPUTED_VALUE"""),"SELECCIONADO")</f>
        <v>SELECCIONADO</v>
      </c>
      <c r="S720" s="37">
        <f>IFERROR(__xludf.DUMMYFUNCTION("""COMPUTED_VALUE"""),42069.0)</f>
        <v>42069</v>
      </c>
      <c r="T720" s="34"/>
      <c r="U720" t="str">
        <f>IFERROR(__xludf.DUMMYFUNCTION("""COMPUTED_VALUE"""),"GEORGE RIQUELME CABRERA")</f>
        <v>GEORGE RIQUELME CABRERA</v>
      </c>
      <c r="V720" t="str">
        <f>IFERROR(__xludf.DUMMYFUNCTION("""COMPUTED_VALUE"""),"09765223-6")</f>
        <v>09765223-6</v>
      </c>
      <c r="W720" t="str">
        <f>IFERROR(__xludf.DUMMYFUNCTION("""COMPUTED_VALUE"""),"NO")</f>
        <v>NO</v>
      </c>
      <c r="AA720" s="38">
        <f>IFERROR(__xludf.DUMMYFUNCTION("""COMPUTED_VALUE"""),42018.0)</f>
        <v>42018</v>
      </c>
      <c r="AB720" s="38">
        <f>IFERROR(__xludf.DUMMYFUNCTION("""COMPUTED_VALUE"""),42023.0)</f>
        <v>42023</v>
      </c>
      <c r="AF720" s="39"/>
      <c r="AG720" s="39"/>
      <c r="AH720" s="34" t="str">
        <f>IFERROR(__xludf.DUMMYFUNCTION("""COMPUTED_VALUE"""),"PROCESO DE SELECCIÓN")</f>
        <v>PROCESO DE SELECCIÓN</v>
      </c>
      <c r="AI720" s="34" t="str">
        <f>IFERROR(__xludf.DUMMYFUNCTION("""COMPUTED_VALUE"""),"ROSALINDO ROJAS")</f>
        <v>ROSALINDO ROJAS</v>
      </c>
      <c r="AJ720" s="34"/>
      <c r="AK720" s="34" t="str">
        <f>IFERROR(__xludf.DUMMYFUNCTION("""COMPUTED_VALUE"""),"C")</f>
        <v>C</v>
      </c>
      <c r="AL720">
        <f>IFERROR(__xludf.DUMMYFUNCTION("""COMPUTED_VALUE"""),35.0)</f>
        <v>35</v>
      </c>
      <c r="AM720">
        <f>IFERROR(__xludf.DUMMYFUNCTION("""COMPUTED_VALUE"""),2014.0)</f>
        <v>2014</v>
      </c>
      <c r="AN720" t="str">
        <f t="shared" si="1"/>
        <v>09765223-6</v>
      </c>
    </row>
    <row r="721">
      <c r="A721" s="33">
        <f>IFERROR(__xludf.DUMMYFUNCTION("""COMPUTED_VALUE"""),1.5422866E7)</f>
        <v>15422866</v>
      </c>
      <c r="B721" s="33">
        <f>IFERROR(__xludf.DUMMYFUNCTION("""COMPUTED_VALUE"""),127.0)</f>
        <v>127</v>
      </c>
      <c r="C721" s="33"/>
      <c r="D721" s="34" t="str">
        <f>IFERROR(__xludf.DUMMYFUNCTION("""COMPUTED_VALUE"""),"FACULTAD DE INGENIERIA")</f>
        <v>FACULTAD DE INGENIERIA</v>
      </c>
      <c r="E721" s="34" t="str">
        <f>IFERROR(__xludf.DUMMYFUNCTION("""COMPUTED_VALUE"""),"DEPARTAMENTO DE INGENIERIA ELECTRICA")</f>
        <v>DEPARTAMENTO DE INGENIERIA ELECTRICA</v>
      </c>
      <c r="F721" s="34" t="str">
        <f>IFERROR(__xludf.DUMMYFUNCTION("""COMPUTED_VALUE"""),"Jefe de Laboratorio")</f>
        <v>Jefe de Laboratorio</v>
      </c>
      <c r="G721" s="33" t="str">
        <f>IFERROR(__xludf.DUMMYFUNCTION("""COMPUTED_VALUE"""),"JEFE DE LABORATORIO")</f>
        <v>JEFE DE LABORATORIO</v>
      </c>
      <c r="H721">
        <f>IFERROR(__xludf.DUMMYFUNCTION("""COMPUTED_VALUE"""),12.0)</f>
        <v>12</v>
      </c>
      <c r="I721" s="34"/>
      <c r="J721" s="33" t="str">
        <f>IFERROR(__xludf.DUMMYFUNCTION("""COMPUTED_VALUE"""),"A CONTRATA")</f>
        <v>A CONTRATA</v>
      </c>
      <c r="K721" s="33" t="str">
        <f>IFERROR(__xludf.DUMMYFUNCTION("""COMPUTED_VALUE"""),"PROFESIONAL")</f>
        <v>PROFESIONAL</v>
      </c>
      <c r="L721" s="34" t="str">
        <f>IFERROR(__xludf.DUMMYFUNCTION("""COMPUTED_VALUE"""),"INTERNO")</f>
        <v>INTERNO</v>
      </c>
      <c r="M721" s="34">
        <f>IFERROR(__xludf.DUMMYFUNCTION("""COMPUTED_VALUE"""),0.0)</f>
        <v>0</v>
      </c>
      <c r="N721" s="34" t="str">
        <f>IFERROR(__xludf.DUMMYFUNCTION("""COMPUTED_VALUE"""),"EXTERNO")</f>
        <v>EXTERNO</v>
      </c>
      <c r="O721">
        <f>IFERROR(__xludf.DUMMYFUNCTION("""COMPUTED_VALUE"""),1.0)</f>
        <v>1</v>
      </c>
      <c r="P721">
        <f>IFERROR(__xludf.DUMMYFUNCTION("""COMPUTED_VALUE"""),1.0)</f>
        <v>1</v>
      </c>
      <c r="Q721" s="35">
        <f>IFERROR(__xludf.DUMMYFUNCTION("""COMPUTED_VALUE"""),1.0)</f>
        <v>1</v>
      </c>
      <c r="R721" s="36" t="str">
        <f>IFERROR(__xludf.DUMMYFUNCTION("""COMPUTED_VALUE"""),"SELECCIONADO")</f>
        <v>SELECCIONADO</v>
      </c>
      <c r="S721" s="37">
        <f>IFERROR(__xludf.DUMMYFUNCTION("""COMPUTED_VALUE"""),42095.0)</f>
        <v>42095</v>
      </c>
      <c r="T721" s="34"/>
      <c r="U721" t="str">
        <f>IFERROR(__xludf.DUMMYFUNCTION("""COMPUTED_VALUE"""),"TOMAS CASTILLO CASTILLO")</f>
        <v>TOMAS CASTILLO CASTILLO</v>
      </c>
      <c r="V721" t="str">
        <f>IFERROR(__xludf.DUMMYFUNCTION("""COMPUTED_VALUE"""),"15422866-7")</f>
        <v>15422866-7</v>
      </c>
      <c r="W721" t="str">
        <f>IFERROR(__xludf.DUMMYFUNCTION("""COMPUTED_VALUE"""),"SI")</f>
        <v>SI</v>
      </c>
      <c r="X721" t="str">
        <f>IFERROR(__xludf.DUMMYFUNCTION("""COMPUTED_VALUE"""),"TRABAJO EN EQUIPO")</f>
        <v>TRABAJO EN EQUIPO</v>
      </c>
      <c r="Y721" t="str">
        <f>IFERROR(__xludf.DUMMYFUNCTION("""COMPUTED_VALUE"""),"CAPACIDAD DE PLANIFICACION Y ORGANIZACION")</f>
        <v>CAPACIDAD DE PLANIFICACION Y ORGANIZACION</v>
      </c>
      <c r="AA721" s="38">
        <f>IFERROR(__xludf.DUMMYFUNCTION("""COMPUTED_VALUE"""),42019.0)</f>
        <v>42019</v>
      </c>
      <c r="AB721" s="38">
        <f>IFERROR(__xludf.DUMMYFUNCTION("""COMPUTED_VALUE"""),42023.0)</f>
        <v>42023</v>
      </c>
      <c r="AF721" s="39"/>
      <c r="AG721" s="39"/>
      <c r="AH721" s="34" t="str">
        <f>IFERROR(__xludf.DUMMYFUNCTION("""COMPUTED_VALUE"""),"PROCESO DE SELECCIÓN")</f>
        <v>PROCESO DE SELECCIÓN</v>
      </c>
      <c r="AI721" s="34"/>
      <c r="AJ721" s="34"/>
      <c r="AK721" s="34" t="str">
        <f>IFERROR(__xludf.DUMMYFUNCTION("""COMPUTED_VALUE"""),"P")</f>
        <v>P</v>
      </c>
      <c r="AL721">
        <f>IFERROR(__xludf.DUMMYFUNCTION("""COMPUTED_VALUE"""),53.0)</f>
        <v>53</v>
      </c>
      <c r="AM721">
        <f>IFERROR(__xludf.DUMMYFUNCTION("""COMPUTED_VALUE"""),2014.0)</f>
        <v>2014</v>
      </c>
      <c r="AN721" t="str">
        <f t="shared" si="1"/>
        <v>15422866-7</v>
      </c>
    </row>
    <row r="722">
      <c r="A722" s="33">
        <f>IFERROR(__xludf.DUMMYFUNCTION("""COMPUTED_VALUE"""),1.3687608E7)</f>
        <v>13687608</v>
      </c>
      <c r="B722" s="33">
        <f>IFERROR(__xludf.DUMMYFUNCTION("""COMPUTED_VALUE"""),129.0)</f>
        <v>129</v>
      </c>
      <c r="C722" s="33"/>
      <c r="D722" s="34" t="str">
        <f>IFERROR(__xludf.DUMMYFUNCTION("""COMPUTED_VALUE"""),"PRORRECTORIA")</f>
        <v>PRORRECTORIA</v>
      </c>
      <c r="E722" s="34" t="str">
        <f>IFERROR(__xludf.DUMMYFUNCTION("""COMPUTED_VALUE"""),"UNIDAD DE GESTION DEL CAMPUS")</f>
        <v>UNIDAD DE GESTION DEL CAMPUS</v>
      </c>
      <c r="F722" s="34" t="str">
        <f>IFERROR(__xludf.DUMMYFUNCTION("""COMPUTED_VALUE"""),"Constructor Civil")</f>
        <v>Constructor Civil</v>
      </c>
      <c r="G722" s="33" t="str">
        <f>IFERROR(__xludf.DUMMYFUNCTION("""COMPUTED_VALUE"""),"CONSTRUCTOR CIVIL")</f>
        <v>CONSTRUCTOR CIVIL</v>
      </c>
      <c r="H722">
        <f>IFERROR(__xludf.DUMMYFUNCTION("""COMPUTED_VALUE"""),7.0)</f>
        <v>7</v>
      </c>
      <c r="I722" s="34"/>
      <c r="J722" s="33" t="str">
        <f>IFERROR(__xludf.DUMMYFUNCTION("""COMPUTED_VALUE"""),"A CONTRATA")</f>
        <v>A CONTRATA</v>
      </c>
      <c r="K722" s="33" t="str">
        <f>IFERROR(__xludf.DUMMYFUNCTION("""COMPUTED_VALUE"""),"PROFESIONAL")</f>
        <v>PROFESIONAL</v>
      </c>
      <c r="L722" s="34" t="str">
        <f>IFERROR(__xludf.DUMMYFUNCTION("""COMPUTED_VALUE"""),"NO")</f>
        <v>NO</v>
      </c>
      <c r="M722" s="34"/>
      <c r="N722" s="34" t="str">
        <f>IFERROR(__xludf.DUMMYFUNCTION("""COMPUTED_VALUE"""),"EXTERNO")</f>
        <v>EXTERNO</v>
      </c>
      <c r="O722">
        <f>IFERROR(__xludf.DUMMYFUNCTION("""COMPUTED_VALUE"""),5.0)</f>
        <v>5</v>
      </c>
      <c r="P722">
        <f>IFERROR(__xludf.DUMMYFUNCTION("""COMPUTED_VALUE"""),2.0)</f>
        <v>2</v>
      </c>
      <c r="Q722" s="35">
        <f>IFERROR(__xludf.DUMMYFUNCTION("""COMPUTED_VALUE"""),1.0)</f>
        <v>1</v>
      </c>
      <c r="R722" s="36" t="str">
        <f>IFERROR(__xludf.DUMMYFUNCTION("""COMPUTED_VALUE"""),"SELECCIONADO")</f>
        <v>SELECCIONADO</v>
      </c>
      <c r="S722" s="37">
        <f>IFERROR(__xludf.DUMMYFUNCTION("""COMPUTED_VALUE"""),42107.0)</f>
        <v>42107</v>
      </c>
      <c r="T722" s="34"/>
      <c r="U722" t="str">
        <f>IFERROR(__xludf.DUMMYFUNCTION("""COMPUTED_VALUE"""),"ROBERTO MORALES OJEDA")</f>
        <v>ROBERTO MORALES OJEDA</v>
      </c>
      <c r="V722" t="str">
        <f>IFERROR(__xludf.DUMMYFUNCTION("""COMPUTED_VALUE"""),"13687608-2")</f>
        <v>13687608-2</v>
      </c>
      <c r="W722" t="str">
        <f>IFERROR(__xludf.DUMMYFUNCTION("""COMPUTED_VALUE"""),"No")</f>
        <v>No</v>
      </c>
      <c r="AA722" s="38">
        <f>IFERROR(__xludf.DUMMYFUNCTION("""COMPUTED_VALUE"""),42019.0)</f>
        <v>42019</v>
      </c>
      <c r="AB722" s="38">
        <f>IFERROR(__xludf.DUMMYFUNCTION("""COMPUTED_VALUE"""),42023.0)</f>
        <v>42023</v>
      </c>
      <c r="AF722" s="39"/>
      <c r="AG722" s="39"/>
      <c r="AH722" s="34" t="str">
        <f>IFERROR(__xludf.DUMMYFUNCTION("""COMPUTED_VALUE"""),"PROCESO DE SELECCIÓN")</f>
        <v>PROCESO DE SELECCIÓN</v>
      </c>
      <c r="AI722" s="34"/>
      <c r="AJ722" s="34"/>
      <c r="AK722" s="34" t="str">
        <f>IFERROR(__xludf.DUMMYFUNCTION("""COMPUTED_VALUE"""),"E")</f>
        <v>E</v>
      </c>
      <c r="AL722">
        <f>IFERROR(__xludf.DUMMYFUNCTION("""COMPUTED_VALUE"""),61.0)</f>
        <v>61</v>
      </c>
      <c r="AM722">
        <f>IFERROR(__xludf.DUMMYFUNCTION("""COMPUTED_VALUE"""),2014.0)</f>
        <v>2014</v>
      </c>
      <c r="AN722" t="str">
        <f t="shared" si="1"/>
        <v>13687608-2</v>
      </c>
    </row>
    <row r="723">
      <c r="A723" s="33">
        <f>IFERROR(__xludf.DUMMYFUNCTION("""COMPUTED_VALUE"""),1.5314756E7)</f>
        <v>15314756</v>
      </c>
      <c r="B723" s="33">
        <f>IFERROR(__xludf.DUMMYFUNCTION("""COMPUTED_VALUE"""),118.0)</f>
        <v>118</v>
      </c>
      <c r="C723" s="33"/>
      <c r="D723" s="34" t="str">
        <f>IFERROR(__xludf.DUMMYFUNCTION("""COMPUTED_VALUE"""),"VICERRECTORIA DE VINCULACION CON EL MEDIO")</f>
        <v>VICERRECTORIA DE VINCULACION CON EL MEDIO</v>
      </c>
      <c r="E723" s="34" t="str">
        <f>IFERROR(__xludf.DUMMYFUNCTION("""COMPUTED_VALUE"""),"ARCHIVO DE DOCUMENTACION GRAFICA Y AUDIOVISUAL")</f>
        <v>ARCHIVO DE DOCUMENTACION GRAFICA Y AUDIOVISUAL</v>
      </c>
      <c r="F723" s="34" t="str">
        <f>IFERROR(__xludf.DUMMYFUNCTION("""COMPUTED_VALUE"""),"Encargado de Laboratorio")</f>
        <v>Encargado de Laboratorio</v>
      </c>
      <c r="G723" s="33" t="str">
        <f>IFERROR(__xludf.DUMMYFUNCTION("""COMPUTED_VALUE"""),"ENCARGADO DE LABORATORIO (DE DISEÑO)")</f>
        <v>ENCARGADO DE LABORATORIO (DE DISEÑO)</v>
      </c>
      <c r="H723">
        <f>IFERROR(__xludf.DUMMYFUNCTION("""COMPUTED_VALUE"""),13.0)</f>
        <v>13</v>
      </c>
      <c r="I723" s="34"/>
      <c r="J723" s="33" t="str">
        <f>IFERROR(__xludf.DUMMYFUNCTION("""COMPUTED_VALUE"""),"A CONTRATA")</f>
        <v>A CONTRATA</v>
      </c>
      <c r="K723" s="33" t="str">
        <f>IFERROR(__xludf.DUMMYFUNCTION("""COMPUTED_VALUE"""),"PROFESIONAL")</f>
        <v>PROFESIONAL</v>
      </c>
      <c r="L723" s="34" t="str">
        <f>IFERROR(__xludf.DUMMYFUNCTION("""COMPUTED_VALUE"""),"INTERNO")</f>
        <v>INTERNO</v>
      </c>
      <c r="M723" s="34">
        <f>IFERROR(__xludf.DUMMYFUNCTION("""COMPUTED_VALUE"""),1.0)</f>
        <v>1</v>
      </c>
      <c r="N723" s="34" t="str">
        <f>IFERROR(__xludf.DUMMYFUNCTION("""COMPUTED_VALUE"""),"EXTERNO")</f>
        <v>EXTERNO</v>
      </c>
      <c r="O723">
        <f>IFERROR(__xludf.DUMMYFUNCTION("""COMPUTED_VALUE"""),2.0)</f>
        <v>2</v>
      </c>
      <c r="P723">
        <f>IFERROR(__xludf.DUMMYFUNCTION("""COMPUTED_VALUE"""),1.0)</f>
        <v>1</v>
      </c>
      <c r="Q723" s="35">
        <f>IFERROR(__xludf.DUMMYFUNCTION("""COMPUTED_VALUE"""),1.0)</f>
        <v>1</v>
      </c>
      <c r="R723" s="36" t="str">
        <f>IFERROR(__xludf.DUMMYFUNCTION("""COMPUTED_VALUE"""),"SELECCIONADA")</f>
        <v>SELECCIONADA</v>
      </c>
      <c r="S723" s="37">
        <f>IFERROR(__xludf.DUMMYFUNCTION("""COMPUTED_VALUE"""),42066.0)</f>
        <v>42066</v>
      </c>
      <c r="T723" s="34"/>
      <c r="U723" t="str">
        <f>IFERROR(__xludf.DUMMYFUNCTION("""COMPUTED_VALUE"""),"MACARENA CASTILLO PUMARINO")</f>
        <v>MACARENA CASTILLO PUMARINO</v>
      </c>
      <c r="V723" t="str">
        <f>IFERROR(__xludf.DUMMYFUNCTION("""COMPUTED_VALUE"""),"15314756-6")</f>
        <v>15314756-6</v>
      </c>
      <c r="W723" t="str">
        <f>IFERROR(__xludf.DUMMYFUNCTION("""COMPUTED_VALUE"""),"SI")</f>
        <v>SI</v>
      </c>
      <c r="Z723" t="str">
        <f>IFERROR(__xludf.DUMMYFUNCTION("""COMPUTED_VALUE"""),"TRABAJO EN EQUIPO")</f>
        <v>TRABAJO EN EQUIPO</v>
      </c>
      <c r="AA723" s="38">
        <f>IFERROR(__xludf.DUMMYFUNCTION("""COMPUTED_VALUE"""),42019.0)</f>
        <v>42019</v>
      </c>
      <c r="AB723" s="38">
        <f>IFERROR(__xludf.DUMMYFUNCTION("""COMPUTED_VALUE"""),42023.0)</f>
        <v>42023</v>
      </c>
      <c r="AF723" s="39"/>
      <c r="AG723" s="39"/>
      <c r="AH723" s="34" t="str">
        <f>IFERROR(__xludf.DUMMYFUNCTION("""COMPUTED_VALUE"""),"PROCESO DE SELECCIÓN")</f>
        <v>PROCESO DE SELECCIÓN</v>
      </c>
      <c r="AI723" s="34"/>
      <c r="AJ723" s="34"/>
      <c r="AK723" s="34" t="str">
        <f>IFERROR(__xludf.DUMMYFUNCTION("""COMPUTED_VALUE"""),"P")</f>
        <v>P</v>
      </c>
      <c r="AL723">
        <f>IFERROR(__xludf.DUMMYFUNCTION("""COMPUTED_VALUE"""),32.0)</f>
        <v>32</v>
      </c>
      <c r="AM723">
        <f>IFERROR(__xludf.DUMMYFUNCTION("""COMPUTED_VALUE"""),2014.0)</f>
        <v>2014</v>
      </c>
      <c r="AN723" t="str">
        <f t="shared" si="1"/>
        <v>15314756-6</v>
      </c>
    </row>
    <row r="724">
      <c r="A724" s="33">
        <f>IFERROR(__xludf.DUMMYFUNCTION("""COMPUTED_VALUE"""),1.1684269E7)</f>
        <v>11684269</v>
      </c>
      <c r="B724" s="33">
        <f>IFERROR(__xludf.DUMMYFUNCTION("""COMPUTED_VALUE"""),121.0)</f>
        <v>121</v>
      </c>
      <c r="C724" s="33"/>
      <c r="D724" s="34" t="str">
        <f>IFERROR(__xludf.DUMMYFUNCTION("""COMPUTED_VALUE"""),"FACULTAD DE HUMANIDADES")</f>
        <v>FACULTAD DE HUMANIDADES</v>
      </c>
      <c r="E724" s="34" t="str">
        <f>IFERROR(__xludf.DUMMYFUNCTION("""COMPUTED_VALUE"""),"DEPARTAMENTO DE LINGÜISTICA Y LITERATURA")</f>
        <v>DEPARTAMENTO DE LINGÜISTICA Y LITERATURA</v>
      </c>
      <c r="F724" s="34" t="str">
        <f>IFERROR(__xludf.DUMMYFUNCTION("""COMPUTED_VALUE"""),"Encargado Administrativo de Unidad Académica")</f>
        <v>Encargado Administrativo de Unidad Académica</v>
      </c>
      <c r="G724" s="33" t="str">
        <f>IFERROR(__xludf.DUMMYFUNCTION("""COMPUTED_VALUE"""),"ENCARGADO ADMINISTRATIVO")</f>
        <v>ENCARGADO ADMINISTRATIVO</v>
      </c>
      <c r="H724">
        <f>IFERROR(__xludf.DUMMYFUNCTION("""COMPUTED_VALUE"""),10.0)</f>
        <v>10</v>
      </c>
      <c r="I724" s="34"/>
      <c r="J724" s="33" t="str">
        <f>IFERROR(__xludf.DUMMYFUNCTION("""COMPUTED_VALUE"""),"A CONTRATA")</f>
        <v>A CONTRATA</v>
      </c>
      <c r="K724" s="33" t="str">
        <f>IFERROR(__xludf.DUMMYFUNCTION("""COMPUTED_VALUE"""),"ADMINISTRATIVO")</f>
        <v>ADMINISTRATIVO</v>
      </c>
      <c r="L724" s="34" t="str">
        <f>IFERROR(__xludf.DUMMYFUNCTION("""COMPUTED_VALUE"""),"INTERNO")</f>
        <v>INTERNO</v>
      </c>
      <c r="M724" s="34">
        <f>IFERROR(__xludf.DUMMYFUNCTION("""COMPUTED_VALUE"""),13.0)</f>
        <v>13</v>
      </c>
      <c r="N724" s="34" t="str">
        <f>IFERROR(__xludf.DUMMYFUNCTION("""COMPUTED_VALUE"""),"NO")</f>
        <v>NO</v>
      </c>
      <c r="P724">
        <f>IFERROR(__xludf.DUMMYFUNCTION("""COMPUTED_VALUE"""),7.0)</f>
        <v>7</v>
      </c>
      <c r="Q724" s="35"/>
      <c r="R724" s="36" t="str">
        <f>IFERROR(__xludf.DUMMYFUNCTION("""COMPUTED_VALUE"""),"SELECCIONADA")</f>
        <v>SELECCIONADA</v>
      </c>
      <c r="S724" s="37">
        <f>IFERROR(__xludf.DUMMYFUNCTION("""COMPUTED_VALUE"""),42079.0)</f>
        <v>42079</v>
      </c>
      <c r="T724" s="34" t="str">
        <f>IFERROR(__xludf.DUMMYFUNCTION("""COMPUTED_VALUE"""),"MARCIA ZENTENO VILLAGRAN")</f>
        <v>MARCIA ZENTENO VILLAGRAN</v>
      </c>
      <c r="V724" t="str">
        <f>IFERROR(__xludf.DUMMYFUNCTION("""COMPUTED_VALUE"""),"11684269-6")</f>
        <v>11684269-6</v>
      </c>
      <c r="W724" t="str">
        <f>IFERROR(__xludf.DUMMYFUNCTION("""COMPUTED_VALUE"""),"SI")</f>
        <v>SI</v>
      </c>
      <c r="X724" t="str">
        <f>IFERROR(__xludf.DUMMYFUNCTION("""COMPUTED_VALUE"""),"TRABAJO EN EQUIPO")</f>
        <v>TRABAJO EN EQUIPO</v>
      </c>
      <c r="AA724" s="38">
        <f>IFERROR(__xludf.DUMMYFUNCTION("""COMPUTED_VALUE"""),42018.0)</f>
        <v>42018</v>
      </c>
      <c r="AB724" s="38">
        <f>IFERROR(__xludf.DUMMYFUNCTION("""COMPUTED_VALUE"""),42023.0)</f>
        <v>42023</v>
      </c>
      <c r="AC724">
        <f>IFERROR(__xludf.DUMMYFUNCTION("""COMPUTED_VALUE"""),17.0)</f>
        <v>17</v>
      </c>
      <c r="AD724" t="str">
        <f>IFERROR(__xludf.DUMMYFUNCTION("""COMPUTED_VALUE"""),"ADMINISTRATIVO")</f>
        <v>ADMINISTRATIVO</v>
      </c>
      <c r="AF724" s="39" t="str">
        <f>IFERROR(__xludf.DUMMYFUNCTION("""COMPUTED_VALUE"""),"DEPARTAMENTO DE RECURSOS HUMANOS")</f>
        <v>DEPARTAMENTO DE RECURSOS HUMANOS</v>
      </c>
      <c r="AG724" s="39"/>
      <c r="AH724" s="34" t="str">
        <f>IFERROR(__xludf.DUMMYFUNCTION("""COMPUTED_VALUE"""),"PROCESO DE SELECCIÓN")</f>
        <v>PROCESO DE SELECCIÓN</v>
      </c>
      <c r="AI724" s="34" t="str">
        <f>IFERROR(__xludf.DUMMYFUNCTION("""COMPUTED_VALUE"""),"RAUL OSSES")</f>
        <v>RAUL OSSES</v>
      </c>
      <c r="AJ724" s="34"/>
      <c r="AK724" s="34" t="str">
        <f>IFERROR(__xludf.DUMMYFUNCTION("""COMPUTED_VALUE"""),"C")</f>
        <v>C</v>
      </c>
      <c r="AL724">
        <f>IFERROR(__xludf.DUMMYFUNCTION("""COMPUTED_VALUE"""),41.0)</f>
        <v>41</v>
      </c>
      <c r="AM724">
        <f>IFERROR(__xludf.DUMMYFUNCTION("""COMPUTED_VALUE"""),2014.0)</f>
        <v>2014</v>
      </c>
      <c r="AN724" t="str">
        <f t="shared" si="1"/>
        <v>11684269-6</v>
      </c>
    </row>
    <row r="725">
      <c r="A725" s="33">
        <f>IFERROR(__xludf.DUMMYFUNCTION("""COMPUTED_VALUE"""),1.1575535E7)</f>
        <v>11575535</v>
      </c>
      <c r="B725" s="33">
        <f>IFERROR(__xludf.DUMMYFUNCTION("""COMPUTED_VALUE"""),124.0)</f>
        <v>124</v>
      </c>
      <c r="C725" s="33"/>
      <c r="D725" s="34" t="str">
        <f>IFERROR(__xludf.DUMMYFUNCTION("""COMPUTED_VALUE"""),"VICERRECTORIA DE APOYO AL ESTUDIANTE")</f>
        <v>VICERRECTORIA DE APOYO AL ESTUDIANTE</v>
      </c>
      <c r="E725" s="34" t="str">
        <f>IFERROR(__xludf.DUMMYFUNCTION("""COMPUTED_VALUE"""),"UNIDAD DE ATENCION DE SALUD")</f>
        <v>UNIDAD DE ATENCION DE SALUD</v>
      </c>
      <c r="F725" s="34" t="str">
        <f>IFERROR(__xludf.DUMMYFUNCTION("""COMPUTED_VALUE"""),"Auxiliar de Servicios")</f>
        <v>Auxiliar de Servicios</v>
      </c>
      <c r="G725" s="33" t="str">
        <f>IFERROR(__xludf.DUMMYFUNCTION("""COMPUTED_VALUE"""),"AUXILIAR DE SERVICIOS")</f>
        <v>AUXILIAR DE SERVICIOS</v>
      </c>
      <c r="H725">
        <f>IFERROR(__xludf.DUMMYFUNCTION("""COMPUTED_VALUE"""),23.0)</f>
        <v>23</v>
      </c>
      <c r="I725" s="34"/>
      <c r="J725" s="33" t="str">
        <f>IFERROR(__xludf.DUMMYFUNCTION("""COMPUTED_VALUE"""),"A CONTRATA")</f>
        <v>A CONTRATA</v>
      </c>
      <c r="K725" s="33" t="str">
        <f>IFERROR(__xludf.DUMMYFUNCTION("""COMPUTED_VALUE"""),"AUXILIAR")</f>
        <v>AUXILIAR</v>
      </c>
      <c r="L725" s="34" t="str">
        <f>IFERROR(__xludf.DUMMYFUNCTION("""COMPUTED_VALUE"""),"INTERNO")</f>
        <v>INTERNO</v>
      </c>
      <c r="M725" s="34">
        <f>IFERROR(__xludf.DUMMYFUNCTION("""COMPUTED_VALUE"""),0.0)</f>
        <v>0</v>
      </c>
      <c r="N725" s="34" t="str">
        <f>IFERROR(__xludf.DUMMYFUNCTION("""COMPUTED_VALUE"""),"EXTERNO")</f>
        <v>EXTERNO</v>
      </c>
      <c r="O725">
        <f>IFERROR(__xludf.DUMMYFUNCTION("""COMPUTED_VALUE"""),10.0)</f>
        <v>10</v>
      </c>
      <c r="P725">
        <f>IFERROR(__xludf.DUMMYFUNCTION("""COMPUTED_VALUE"""),1.0)</f>
        <v>1</v>
      </c>
      <c r="Q725" s="35">
        <f>IFERROR(__xludf.DUMMYFUNCTION("""COMPUTED_VALUE"""),1.0)</f>
        <v>1</v>
      </c>
      <c r="R725" s="36" t="str">
        <f>IFERROR(__xludf.DUMMYFUNCTION("""COMPUTED_VALUE"""),"SELECCIONADA")</f>
        <v>SELECCIONADA</v>
      </c>
      <c r="S725" s="37">
        <f>IFERROR(__xludf.DUMMYFUNCTION("""COMPUTED_VALUE"""),42095.0)</f>
        <v>42095</v>
      </c>
      <c r="T725" s="34"/>
      <c r="U725" t="str">
        <f>IFERROR(__xludf.DUMMYFUNCTION("""COMPUTED_VALUE"""),"MARISOL RIQUELME RIQUELME")</f>
        <v>MARISOL RIQUELME RIQUELME</v>
      </c>
      <c r="V725" t="str">
        <f>IFERROR(__xludf.DUMMYFUNCTION("""COMPUTED_VALUE"""),"11575535-8")</f>
        <v>11575535-8</v>
      </c>
      <c r="W725" t="str">
        <f>IFERROR(__xludf.DUMMYFUNCTION("""COMPUTED_VALUE"""),"No")</f>
        <v>No</v>
      </c>
      <c r="AA725" s="38">
        <f>IFERROR(__xludf.DUMMYFUNCTION("""COMPUTED_VALUE"""),42019.0)</f>
        <v>42019</v>
      </c>
      <c r="AB725" s="38">
        <f>IFERROR(__xludf.DUMMYFUNCTION("""COMPUTED_VALUE"""),42024.0)</f>
        <v>42024</v>
      </c>
      <c r="AF725" s="39"/>
      <c r="AG725" s="39"/>
      <c r="AH725" s="34" t="str">
        <f>IFERROR(__xludf.DUMMYFUNCTION("""COMPUTED_VALUE"""),"PROCESO DE SELECCIÓN")</f>
        <v>PROCESO DE SELECCIÓN</v>
      </c>
      <c r="AI725" s="34" t="str">
        <f>IFERROR(__xludf.DUMMYFUNCTION("""COMPUTED_VALUE"""),"FANNY FARIAS MARTINEZ")</f>
        <v>FANNY FARIAS MARTINEZ</v>
      </c>
      <c r="AJ725" s="34"/>
      <c r="AK725" s="34" t="str">
        <f>IFERROR(__xludf.DUMMYFUNCTION("""COMPUTED_VALUE"""),"C")</f>
        <v>C</v>
      </c>
      <c r="AL725">
        <f>IFERROR(__xludf.DUMMYFUNCTION("""COMPUTED_VALUE"""),52.0)</f>
        <v>52</v>
      </c>
      <c r="AM725">
        <f>IFERROR(__xludf.DUMMYFUNCTION("""COMPUTED_VALUE"""),2014.0)</f>
        <v>2014</v>
      </c>
      <c r="AN725" t="str">
        <f t="shared" si="1"/>
        <v>11575535-8</v>
      </c>
    </row>
    <row r="726">
      <c r="A726" s="33"/>
      <c r="B726" s="33"/>
      <c r="C726" s="33"/>
      <c r="D726" s="34"/>
      <c r="E726" s="34"/>
      <c r="F726" s="34"/>
      <c r="G726" s="33"/>
      <c r="I726" s="34"/>
      <c r="J726" s="33"/>
      <c r="K726" s="33"/>
      <c r="L726" s="34"/>
      <c r="M726" s="34"/>
      <c r="N726" s="34"/>
      <c r="Q726" s="35"/>
      <c r="R726" s="36"/>
      <c r="S726" s="34"/>
      <c r="T726" s="34"/>
      <c r="AF726" s="39"/>
      <c r="AG726" s="39"/>
      <c r="AH726" s="34"/>
      <c r="AI726" s="34"/>
      <c r="AJ726" s="34"/>
      <c r="AK726" s="34"/>
      <c r="AN726" t="str">
        <f t="shared" si="1"/>
        <v/>
      </c>
    </row>
    <row r="727">
      <c r="A727" s="33"/>
      <c r="B727" s="33"/>
      <c r="C727" s="33"/>
      <c r="D727" s="34"/>
      <c r="E727" s="34"/>
      <c r="F727" s="34"/>
      <c r="G727" s="33"/>
      <c r="I727" s="34"/>
      <c r="J727" s="33"/>
      <c r="K727" s="33"/>
      <c r="L727" s="34"/>
      <c r="M727" s="34"/>
      <c r="N727" s="34"/>
      <c r="Q727" s="35"/>
      <c r="R727" s="36"/>
      <c r="S727" s="34"/>
      <c r="T727" s="34"/>
      <c r="AF727" s="39"/>
      <c r="AG727" s="39"/>
      <c r="AH727" s="34"/>
      <c r="AI727" s="34"/>
      <c r="AJ727" s="34"/>
      <c r="AK727" s="34"/>
      <c r="AN727" t="str">
        <f t="shared" si="1"/>
        <v/>
      </c>
    </row>
    <row r="728">
      <c r="A728" s="33"/>
      <c r="B728" s="33"/>
      <c r="C728" s="33"/>
      <c r="D728" s="34"/>
      <c r="E728" s="34"/>
      <c r="F728" s="34"/>
      <c r="G728" s="33"/>
      <c r="I728" s="34"/>
      <c r="J728" s="33"/>
      <c r="K728" s="33"/>
      <c r="L728" s="34"/>
      <c r="M728" s="34"/>
      <c r="N728" s="34"/>
      <c r="Q728" s="35"/>
      <c r="R728" s="36"/>
      <c r="S728" s="34"/>
      <c r="T728" s="34"/>
      <c r="AF728" s="39"/>
      <c r="AG728" s="39"/>
      <c r="AH728" s="34"/>
      <c r="AI728" s="34"/>
      <c r="AJ728" s="34"/>
      <c r="AK728" s="34"/>
      <c r="AN728" t="str">
        <f t="shared" si="1"/>
        <v/>
      </c>
    </row>
    <row r="729">
      <c r="A729" s="33"/>
      <c r="B729" s="33"/>
      <c r="C729" s="33"/>
      <c r="D729" s="34"/>
      <c r="E729" s="34"/>
      <c r="F729" s="34"/>
      <c r="G729" s="33"/>
      <c r="I729" s="34"/>
      <c r="J729" s="33"/>
      <c r="K729" s="33"/>
      <c r="L729" s="34"/>
      <c r="M729" s="34"/>
      <c r="N729" s="34"/>
      <c r="Q729" s="35"/>
      <c r="R729" s="36"/>
      <c r="S729" s="34"/>
      <c r="T729" s="34"/>
      <c r="AF729" s="39"/>
      <c r="AG729" s="39"/>
      <c r="AH729" s="34"/>
      <c r="AI729" s="34"/>
      <c r="AJ729" s="34"/>
      <c r="AK729" s="34"/>
      <c r="AN729" t="str">
        <f t="shared" si="1"/>
        <v/>
      </c>
    </row>
    <row r="730">
      <c r="A730" s="33"/>
      <c r="B730" s="33"/>
      <c r="C730" s="33"/>
      <c r="D730" s="34"/>
      <c r="E730" s="34"/>
      <c r="F730" s="34"/>
      <c r="G730" s="33"/>
      <c r="I730" s="34"/>
      <c r="J730" s="33"/>
      <c r="K730" s="33"/>
      <c r="L730" s="34"/>
      <c r="M730" s="34"/>
      <c r="N730" s="34"/>
      <c r="Q730" s="35"/>
      <c r="R730" s="36"/>
      <c r="S730" s="34"/>
      <c r="T730" s="34"/>
      <c r="AF730" s="39"/>
      <c r="AG730" s="39"/>
      <c r="AH730" s="34"/>
      <c r="AI730" s="34"/>
      <c r="AJ730" s="34"/>
      <c r="AK730" s="34"/>
      <c r="AN730" t="str">
        <f t="shared" si="1"/>
        <v/>
      </c>
    </row>
    <row r="731">
      <c r="A731" s="33"/>
      <c r="B731" s="33"/>
      <c r="C731" s="33"/>
      <c r="D731" s="34"/>
      <c r="E731" s="34"/>
      <c r="F731" s="34"/>
      <c r="G731" s="33"/>
      <c r="I731" s="34"/>
      <c r="J731" s="33"/>
      <c r="K731" s="33"/>
      <c r="L731" s="34"/>
      <c r="M731" s="34"/>
      <c r="N731" s="34"/>
      <c r="Q731" s="35"/>
      <c r="R731" s="36"/>
      <c r="S731" s="34"/>
      <c r="T731" s="34"/>
      <c r="AF731" s="39"/>
      <c r="AG731" s="39"/>
      <c r="AH731" s="34"/>
      <c r="AI731" s="34"/>
      <c r="AJ731" s="34"/>
      <c r="AK731" s="34"/>
      <c r="AN731" t="str">
        <f t="shared" si="1"/>
        <v/>
      </c>
    </row>
    <row r="732">
      <c r="A732" s="33"/>
      <c r="B732" s="33"/>
      <c r="C732" s="33"/>
      <c r="D732" s="34"/>
      <c r="E732" s="34"/>
      <c r="F732" s="34"/>
      <c r="G732" s="33"/>
      <c r="I732" s="34"/>
      <c r="J732" s="33"/>
      <c r="K732" s="33"/>
      <c r="L732" s="34"/>
      <c r="M732" s="34"/>
      <c r="N732" s="34"/>
      <c r="Q732" s="35"/>
      <c r="R732" s="36"/>
      <c r="S732" s="34"/>
      <c r="T732" s="34"/>
      <c r="AF732" s="39"/>
      <c r="AG732" s="39"/>
      <c r="AH732" s="34"/>
      <c r="AI732" s="34"/>
      <c r="AJ732" s="34"/>
      <c r="AK732" s="34"/>
      <c r="AN732" t="str">
        <f t="shared" si="1"/>
        <v/>
      </c>
    </row>
    <row r="733">
      <c r="A733" s="33"/>
      <c r="B733" s="33"/>
      <c r="C733" s="33"/>
      <c r="D733" s="34"/>
      <c r="E733" s="34"/>
      <c r="F733" s="34"/>
      <c r="G733" s="33"/>
      <c r="I733" s="34"/>
      <c r="J733" s="33"/>
      <c r="K733" s="33"/>
      <c r="L733" s="34"/>
      <c r="M733" s="34"/>
      <c r="N733" s="34"/>
      <c r="Q733" s="35"/>
      <c r="R733" s="36"/>
      <c r="S733" s="34"/>
      <c r="T733" s="34"/>
      <c r="AF733" s="39"/>
      <c r="AG733" s="39"/>
      <c r="AH733" s="34"/>
      <c r="AI733" s="34"/>
      <c r="AJ733" s="34"/>
      <c r="AK733" s="34"/>
      <c r="AN733" t="str">
        <f t="shared" si="1"/>
        <v/>
      </c>
    </row>
    <row r="734">
      <c r="A734" s="33"/>
      <c r="B734" s="33"/>
      <c r="C734" s="33"/>
      <c r="D734" s="34"/>
      <c r="E734" s="34"/>
      <c r="F734" s="34"/>
      <c r="G734" s="33"/>
      <c r="I734" s="34"/>
      <c r="J734" s="33"/>
      <c r="K734" s="33"/>
      <c r="L734" s="34"/>
      <c r="M734" s="34"/>
      <c r="N734" s="34"/>
      <c r="Q734" s="35"/>
      <c r="R734" s="36"/>
      <c r="S734" s="34"/>
      <c r="T734" s="34"/>
      <c r="AF734" s="39"/>
      <c r="AG734" s="39"/>
      <c r="AH734" s="34"/>
      <c r="AI734" s="34"/>
      <c r="AJ734" s="34"/>
      <c r="AK734" s="34"/>
      <c r="AN734" t="str">
        <f t="shared" si="1"/>
        <v/>
      </c>
    </row>
    <row r="735">
      <c r="A735" s="33"/>
      <c r="B735" s="33"/>
      <c r="C735" s="33"/>
      <c r="D735" s="34"/>
      <c r="E735" s="34"/>
      <c r="F735" s="34"/>
      <c r="G735" s="33"/>
      <c r="I735" s="34"/>
      <c r="J735" s="33"/>
      <c r="K735" s="33"/>
      <c r="L735" s="34"/>
      <c r="M735" s="34"/>
      <c r="N735" s="34"/>
      <c r="Q735" s="35"/>
      <c r="R735" s="36"/>
      <c r="S735" s="34"/>
      <c r="T735" s="34"/>
      <c r="AF735" s="39"/>
      <c r="AG735" s="39"/>
      <c r="AH735" s="34"/>
      <c r="AI735" s="34"/>
      <c r="AJ735" s="34"/>
      <c r="AK735" s="34"/>
      <c r="AN735" t="str">
        <f t="shared" si="1"/>
        <v/>
      </c>
    </row>
    <row r="736">
      <c r="A736" s="33"/>
      <c r="B736" s="33"/>
      <c r="C736" s="33"/>
      <c r="D736" s="34"/>
      <c r="E736" s="34"/>
      <c r="F736" s="34"/>
      <c r="G736" s="33"/>
      <c r="I736" s="34"/>
      <c r="J736" s="33"/>
      <c r="K736" s="33"/>
      <c r="L736" s="34"/>
      <c r="M736" s="34"/>
      <c r="N736" s="34"/>
      <c r="Q736" s="35"/>
      <c r="R736" s="36"/>
      <c r="S736" s="34"/>
      <c r="T736" s="34"/>
      <c r="AF736" s="39"/>
      <c r="AG736" s="39"/>
      <c r="AH736" s="34"/>
      <c r="AI736" s="34"/>
      <c r="AJ736" s="34"/>
      <c r="AK736" s="34"/>
      <c r="AN736" t="str">
        <f t="shared" si="1"/>
        <v/>
      </c>
    </row>
    <row r="737">
      <c r="A737" s="33"/>
      <c r="B737" s="33"/>
      <c r="C737" s="33"/>
      <c r="D737" s="34"/>
      <c r="E737" s="34"/>
      <c r="F737" s="34"/>
      <c r="G737" s="33"/>
      <c r="I737" s="34"/>
      <c r="J737" s="33"/>
      <c r="K737" s="33"/>
      <c r="L737" s="34"/>
      <c r="M737" s="34"/>
      <c r="N737" s="34"/>
      <c r="Q737" s="35"/>
      <c r="R737" s="36"/>
      <c r="S737" s="34"/>
      <c r="T737" s="34"/>
      <c r="AF737" s="39"/>
      <c r="AG737" s="39"/>
      <c r="AH737" s="34"/>
      <c r="AI737" s="34"/>
      <c r="AJ737" s="34"/>
      <c r="AK737" s="34"/>
      <c r="AN737" t="str">
        <f t="shared" si="1"/>
        <v/>
      </c>
    </row>
    <row r="738">
      <c r="A738" s="33"/>
      <c r="B738" s="33"/>
      <c r="C738" s="33"/>
      <c r="D738" s="34"/>
      <c r="E738" s="34"/>
      <c r="F738" s="34"/>
      <c r="G738" s="33"/>
      <c r="I738" s="34"/>
      <c r="J738" s="33"/>
      <c r="K738" s="33"/>
      <c r="L738" s="34"/>
      <c r="M738" s="34"/>
      <c r="N738" s="34"/>
      <c r="Q738" s="35"/>
      <c r="R738" s="36"/>
      <c r="S738" s="34"/>
      <c r="T738" s="34"/>
      <c r="AF738" s="39"/>
      <c r="AG738" s="39"/>
      <c r="AH738" s="34"/>
      <c r="AI738" s="34"/>
      <c r="AJ738" s="34"/>
      <c r="AK738" s="34"/>
      <c r="AN738" t="str">
        <f t="shared" si="1"/>
        <v/>
      </c>
    </row>
    <row r="739">
      <c r="A739" s="33"/>
      <c r="B739" s="33"/>
      <c r="C739" s="33"/>
      <c r="D739" s="34"/>
      <c r="E739" s="34"/>
      <c r="F739" s="34"/>
      <c r="G739" s="33"/>
      <c r="I739" s="34"/>
      <c r="J739" s="33"/>
      <c r="K739" s="33"/>
      <c r="L739" s="34"/>
      <c r="M739" s="34"/>
      <c r="N739" s="34"/>
      <c r="Q739" s="35"/>
      <c r="R739" s="36"/>
      <c r="S739" s="34"/>
      <c r="T739" s="34"/>
      <c r="AF739" s="39"/>
      <c r="AG739" s="39"/>
      <c r="AH739" s="34"/>
      <c r="AI739" s="34"/>
      <c r="AJ739" s="34"/>
      <c r="AK739" s="34"/>
      <c r="AN739" t="str">
        <f t="shared" si="1"/>
        <v/>
      </c>
    </row>
    <row r="740">
      <c r="A740" s="33"/>
      <c r="B740" s="33"/>
      <c r="C740" s="33"/>
      <c r="D740" s="34"/>
      <c r="E740" s="34"/>
      <c r="F740" s="34"/>
      <c r="G740" s="33"/>
      <c r="I740" s="34"/>
      <c r="J740" s="33"/>
      <c r="K740" s="33"/>
      <c r="L740" s="34"/>
      <c r="M740" s="34"/>
      <c r="N740" s="34"/>
      <c r="Q740" s="35"/>
      <c r="R740" s="36"/>
      <c r="S740" s="34"/>
      <c r="T740" s="34"/>
      <c r="AF740" s="39"/>
      <c r="AG740" s="39"/>
      <c r="AH740" s="34"/>
      <c r="AI740" s="34"/>
      <c r="AJ740" s="34"/>
      <c r="AK740" s="34"/>
      <c r="AN740" t="str">
        <f t="shared" si="1"/>
        <v/>
      </c>
    </row>
    <row r="741">
      <c r="A741" s="33"/>
      <c r="B741" s="33"/>
      <c r="C741" s="33"/>
      <c r="D741" s="34"/>
      <c r="E741" s="34"/>
      <c r="F741" s="34"/>
      <c r="G741" s="33"/>
      <c r="I741" s="34"/>
      <c r="J741" s="33"/>
      <c r="K741" s="33"/>
      <c r="L741" s="34"/>
      <c r="M741" s="34"/>
      <c r="N741" s="34"/>
      <c r="Q741" s="35"/>
      <c r="R741" s="36"/>
      <c r="S741" s="34"/>
      <c r="T741" s="34"/>
      <c r="AF741" s="39"/>
      <c r="AG741" s="39"/>
      <c r="AH741" s="34"/>
      <c r="AI741" s="34"/>
      <c r="AJ741" s="34"/>
      <c r="AK741" s="34"/>
      <c r="AN741" t="str">
        <f t="shared" si="1"/>
        <v/>
      </c>
    </row>
    <row r="742">
      <c r="A742" s="33"/>
      <c r="B742" s="33"/>
      <c r="C742" s="33"/>
      <c r="D742" s="34"/>
      <c r="E742" s="34"/>
      <c r="F742" s="34"/>
      <c r="G742" s="33"/>
      <c r="I742" s="34"/>
      <c r="J742" s="33"/>
      <c r="K742" s="33"/>
      <c r="L742" s="34"/>
      <c r="M742" s="34"/>
      <c r="N742" s="34"/>
      <c r="Q742" s="35"/>
      <c r="R742" s="36"/>
      <c r="S742" s="34"/>
      <c r="T742" s="34"/>
      <c r="AF742" s="39"/>
      <c r="AG742" s="39"/>
      <c r="AH742" s="34"/>
      <c r="AI742" s="34"/>
      <c r="AJ742" s="34"/>
      <c r="AK742" s="34"/>
      <c r="AN742" t="str">
        <f t="shared" si="1"/>
        <v/>
      </c>
    </row>
    <row r="743">
      <c r="A743" s="33"/>
      <c r="B743" s="33"/>
      <c r="C743" s="33"/>
      <c r="D743" s="34"/>
      <c r="E743" s="34"/>
      <c r="F743" s="34"/>
      <c r="G743" s="33"/>
      <c r="I743" s="34"/>
      <c r="J743" s="33"/>
      <c r="K743" s="33"/>
      <c r="L743" s="34"/>
      <c r="M743" s="34"/>
      <c r="N743" s="34"/>
      <c r="Q743" s="35"/>
      <c r="R743" s="36"/>
      <c r="S743" s="34"/>
      <c r="T743" s="34"/>
      <c r="AF743" s="39"/>
      <c r="AG743" s="39"/>
      <c r="AH743" s="34"/>
      <c r="AI743" s="34"/>
      <c r="AJ743" s="34"/>
      <c r="AK743" s="34"/>
      <c r="AN743" t="str">
        <f t="shared" si="1"/>
        <v/>
      </c>
    </row>
    <row r="744">
      <c r="A744" s="33"/>
      <c r="B744" s="33"/>
      <c r="C744" s="33"/>
      <c r="D744" s="34"/>
      <c r="E744" s="34"/>
      <c r="F744" s="34"/>
      <c r="G744" s="33"/>
      <c r="I744" s="34"/>
      <c r="J744" s="33"/>
      <c r="K744" s="33"/>
      <c r="L744" s="34"/>
      <c r="M744" s="34"/>
      <c r="N744" s="34"/>
      <c r="Q744" s="35"/>
      <c r="R744" s="36"/>
      <c r="S744" s="34"/>
      <c r="T744" s="34"/>
      <c r="AF744" s="39"/>
      <c r="AG744" s="39"/>
      <c r="AH744" s="34"/>
      <c r="AI744" s="34"/>
      <c r="AJ744" s="34"/>
      <c r="AK744" s="34"/>
      <c r="AN744" t="str">
        <f t="shared" si="1"/>
        <v/>
      </c>
    </row>
    <row r="745">
      <c r="A745" s="33"/>
      <c r="B745" s="33"/>
      <c r="C745" s="33"/>
      <c r="D745" s="34"/>
      <c r="E745" s="34"/>
      <c r="F745" s="34"/>
      <c r="G745" s="33"/>
      <c r="I745" s="34"/>
      <c r="J745" s="33"/>
      <c r="K745" s="33"/>
      <c r="L745" s="34"/>
      <c r="M745" s="34"/>
      <c r="N745" s="34"/>
      <c r="Q745" s="35"/>
      <c r="R745" s="36"/>
      <c r="S745" s="34"/>
      <c r="T745" s="34"/>
      <c r="AF745" s="39"/>
      <c r="AG745" s="39"/>
      <c r="AH745" s="34"/>
      <c r="AI745" s="34"/>
      <c r="AJ745" s="34"/>
      <c r="AK745" s="34"/>
      <c r="AN745" t="str">
        <f t="shared" si="1"/>
        <v/>
      </c>
    </row>
    <row r="746">
      <c r="A746" s="33"/>
      <c r="B746" s="33"/>
      <c r="C746" s="33"/>
      <c r="D746" s="34"/>
      <c r="E746" s="34"/>
      <c r="F746" s="34"/>
      <c r="G746" s="33"/>
      <c r="I746" s="34"/>
      <c r="J746" s="33"/>
      <c r="K746" s="33"/>
      <c r="L746" s="34"/>
      <c r="M746" s="34"/>
      <c r="N746" s="34"/>
      <c r="Q746" s="35"/>
      <c r="R746" s="36"/>
      <c r="S746" s="34"/>
      <c r="T746" s="34"/>
      <c r="AF746" s="39"/>
      <c r="AG746" s="39"/>
      <c r="AH746" s="34"/>
      <c r="AI746" s="34"/>
      <c r="AJ746" s="34"/>
      <c r="AK746" s="34"/>
      <c r="AN746" t="str">
        <f t="shared" si="1"/>
        <v/>
      </c>
    </row>
    <row r="747">
      <c r="A747" s="33"/>
      <c r="B747" s="33"/>
      <c r="C747" s="33"/>
      <c r="D747" s="34"/>
      <c r="E747" s="34"/>
      <c r="F747" s="34"/>
      <c r="G747" s="33"/>
      <c r="I747" s="34"/>
      <c r="J747" s="33"/>
      <c r="K747" s="33"/>
      <c r="L747" s="34"/>
      <c r="M747" s="34"/>
      <c r="N747" s="34"/>
      <c r="Q747" s="35"/>
      <c r="R747" s="36"/>
      <c r="S747" s="34"/>
      <c r="T747" s="34"/>
      <c r="AF747" s="39"/>
      <c r="AG747" s="39"/>
      <c r="AH747" s="34"/>
      <c r="AI747" s="34"/>
      <c r="AJ747" s="34"/>
      <c r="AK747" s="34"/>
      <c r="AN747" t="str">
        <f t="shared" si="1"/>
        <v/>
      </c>
    </row>
    <row r="748">
      <c r="A748" s="33"/>
      <c r="B748" s="33"/>
      <c r="C748" s="33"/>
      <c r="D748" s="34"/>
      <c r="E748" s="34"/>
      <c r="F748" s="34"/>
      <c r="G748" s="33"/>
      <c r="I748" s="34"/>
      <c r="J748" s="33"/>
      <c r="K748" s="33"/>
      <c r="L748" s="34"/>
      <c r="M748" s="34"/>
      <c r="N748" s="34"/>
      <c r="Q748" s="35"/>
      <c r="R748" s="36"/>
      <c r="S748" s="34"/>
      <c r="T748" s="34"/>
      <c r="AF748" s="39"/>
      <c r="AG748" s="39"/>
      <c r="AH748" s="34"/>
      <c r="AI748" s="34"/>
      <c r="AJ748" s="34"/>
      <c r="AK748" s="34"/>
      <c r="AN748" t="str">
        <f t="shared" si="1"/>
        <v/>
      </c>
    </row>
    <row r="749">
      <c r="A749" s="33"/>
      <c r="B749" s="33"/>
      <c r="C749" s="33"/>
      <c r="D749" s="34"/>
      <c r="E749" s="34"/>
      <c r="F749" s="34"/>
      <c r="G749" s="33"/>
      <c r="I749" s="34"/>
      <c r="J749" s="33"/>
      <c r="K749" s="33"/>
      <c r="L749" s="34"/>
      <c r="M749" s="34"/>
      <c r="N749" s="34"/>
      <c r="Q749" s="35"/>
      <c r="R749" s="36"/>
      <c r="S749" s="34"/>
      <c r="T749" s="34"/>
      <c r="AF749" s="39"/>
      <c r="AG749" s="39"/>
      <c r="AH749" s="34"/>
      <c r="AI749" s="34"/>
      <c r="AJ749" s="34"/>
      <c r="AK749" s="34"/>
      <c r="AN749" t="str">
        <f t="shared" si="1"/>
        <v/>
      </c>
    </row>
    <row r="750">
      <c r="A750" s="33"/>
      <c r="B750" s="33"/>
      <c r="C750" s="33"/>
      <c r="D750" s="34"/>
      <c r="E750" s="34"/>
      <c r="F750" s="34"/>
      <c r="G750" s="33"/>
      <c r="I750" s="34"/>
      <c r="J750" s="33"/>
      <c r="K750" s="33"/>
      <c r="L750" s="34"/>
      <c r="M750" s="34"/>
      <c r="N750" s="34"/>
      <c r="Q750" s="35"/>
      <c r="R750" s="36"/>
      <c r="S750" s="34"/>
      <c r="T750" s="34"/>
      <c r="AF750" s="39"/>
      <c r="AG750" s="39"/>
      <c r="AH750" s="34"/>
      <c r="AI750" s="34"/>
      <c r="AJ750" s="34"/>
      <c r="AK750" s="34"/>
      <c r="AN750" t="str">
        <f t="shared" si="1"/>
        <v/>
      </c>
    </row>
    <row r="751">
      <c r="A751" s="33"/>
      <c r="B751" s="33"/>
      <c r="C751" s="33"/>
      <c r="D751" s="34"/>
      <c r="E751" s="34"/>
      <c r="F751" s="34"/>
      <c r="G751" s="33"/>
      <c r="I751" s="34"/>
      <c r="J751" s="33"/>
      <c r="K751" s="33"/>
      <c r="L751" s="34"/>
      <c r="M751" s="34"/>
      <c r="N751" s="34"/>
      <c r="Q751" s="35"/>
      <c r="R751" s="36"/>
      <c r="S751" s="34"/>
      <c r="T751" s="34"/>
      <c r="AF751" s="39"/>
      <c r="AG751" s="39"/>
      <c r="AH751" s="34"/>
      <c r="AI751" s="34"/>
      <c r="AJ751" s="34"/>
      <c r="AK751" s="34"/>
      <c r="AN751" t="str">
        <f t="shared" si="1"/>
        <v/>
      </c>
    </row>
    <row r="752">
      <c r="A752" s="33"/>
      <c r="B752" s="33"/>
      <c r="C752" s="33"/>
      <c r="D752" s="34"/>
      <c r="E752" s="34"/>
      <c r="F752" s="34"/>
      <c r="G752" s="33"/>
      <c r="I752" s="34"/>
      <c r="J752" s="33"/>
      <c r="K752" s="33"/>
      <c r="L752" s="34"/>
      <c r="M752" s="34"/>
      <c r="N752" s="34"/>
      <c r="Q752" s="35"/>
      <c r="R752" s="36"/>
      <c r="S752" s="34"/>
      <c r="T752" s="34"/>
      <c r="AF752" s="39"/>
      <c r="AG752" s="39"/>
      <c r="AH752" s="34"/>
      <c r="AI752" s="34"/>
      <c r="AJ752" s="34"/>
      <c r="AK752" s="34"/>
      <c r="AN752" t="str">
        <f t="shared" si="1"/>
        <v/>
      </c>
    </row>
    <row r="753">
      <c r="A753" s="33"/>
      <c r="B753" s="33"/>
      <c r="C753" s="33"/>
      <c r="D753" s="34"/>
      <c r="E753" s="34"/>
      <c r="F753" s="34"/>
      <c r="G753" s="33"/>
      <c r="I753" s="34"/>
      <c r="J753" s="33"/>
      <c r="K753" s="33"/>
      <c r="L753" s="34"/>
      <c r="M753" s="34"/>
      <c r="N753" s="34"/>
      <c r="Q753" s="35"/>
      <c r="R753" s="36"/>
      <c r="S753" s="34"/>
      <c r="T753" s="34"/>
      <c r="AF753" s="39"/>
      <c r="AG753" s="39"/>
      <c r="AH753" s="34"/>
      <c r="AI753" s="34"/>
      <c r="AJ753" s="34"/>
      <c r="AK753" s="34"/>
      <c r="AN753" t="str">
        <f t="shared" si="1"/>
        <v/>
      </c>
    </row>
    <row r="754">
      <c r="A754" s="33"/>
      <c r="B754" s="33"/>
      <c r="C754" s="33"/>
      <c r="D754" s="34"/>
      <c r="E754" s="34"/>
      <c r="F754" s="34"/>
      <c r="G754" s="33"/>
      <c r="I754" s="34"/>
      <c r="J754" s="33"/>
      <c r="K754" s="33"/>
      <c r="L754" s="34"/>
      <c r="M754" s="34"/>
      <c r="N754" s="34"/>
      <c r="Q754" s="35"/>
      <c r="R754" s="36"/>
      <c r="S754" s="34"/>
      <c r="T754" s="34"/>
      <c r="AF754" s="39"/>
      <c r="AG754" s="39"/>
      <c r="AH754" s="34"/>
      <c r="AI754" s="34"/>
      <c r="AJ754" s="34"/>
      <c r="AK754" s="34"/>
      <c r="AN754" t="str">
        <f t="shared" si="1"/>
        <v/>
      </c>
    </row>
    <row r="755">
      <c r="A755" s="33"/>
      <c r="B755" s="33"/>
      <c r="C755" s="33"/>
      <c r="D755" s="34"/>
      <c r="E755" s="34"/>
      <c r="F755" s="34"/>
      <c r="G755" s="33"/>
      <c r="I755" s="34"/>
      <c r="J755" s="33"/>
      <c r="K755" s="33"/>
      <c r="L755" s="34"/>
      <c r="M755" s="34"/>
      <c r="N755" s="34"/>
      <c r="Q755" s="35"/>
      <c r="R755" s="36"/>
      <c r="S755" s="34"/>
      <c r="T755" s="34"/>
      <c r="AF755" s="39"/>
      <c r="AG755" s="39"/>
      <c r="AH755" s="34"/>
      <c r="AI755" s="34"/>
      <c r="AJ755" s="34"/>
      <c r="AK755" s="34"/>
      <c r="AN755" t="str">
        <f t="shared" si="1"/>
        <v/>
      </c>
    </row>
    <row r="756">
      <c r="A756" s="33"/>
      <c r="B756" s="33"/>
      <c r="C756" s="33"/>
      <c r="D756" s="34"/>
      <c r="E756" s="34"/>
      <c r="F756" s="34"/>
      <c r="G756" s="33"/>
      <c r="I756" s="34"/>
      <c r="J756" s="33"/>
      <c r="K756" s="33"/>
      <c r="L756" s="34"/>
      <c r="M756" s="34"/>
      <c r="N756" s="34"/>
      <c r="Q756" s="35"/>
      <c r="R756" s="36"/>
      <c r="S756" s="34"/>
      <c r="T756" s="34"/>
      <c r="AF756" s="39"/>
      <c r="AG756" s="39"/>
      <c r="AH756" s="34"/>
      <c r="AI756" s="34"/>
      <c r="AJ756" s="34"/>
      <c r="AK756" s="34"/>
      <c r="AN756" t="str">
        <f t="shared" si="1"/>
        <v/>
      </c>
    </row>
    <row r="757">
      <c r="A757" s="33"/>
      <c r="B757" s="33"/>
      <c r="C757" s="33"/>
      <c r="D757" s="34"/>
      <c r="E757" s="34"/>
      <c r="F757" s="34"/>
      <c r="G757" s="33"/>
      <c r="I757" s="34"/>
      <c r="J757" s="33"/>
      <c r="K757" s="33"/>
      <c r="L757" s="34"/>
      <c r="M757" s="34"/>
      <c r="N757" s="34"/>
      <c r="Q757" s="35"/>
      <c r="R757" s="36"/>
      <c r="S757" s="34"/>
      <c r="T757" s="34"/>
      <c r="AF757" s="39"/>
      <c r="AG757" s="39"/>
      <c r="AH757" s="34"/>
      <c r="AI757" s="34"/>
      <c r="AJ757" s="34"/>
      <c r="AK757" s="34"/>
      <c r="AN757" t="str">
        <f t="shared" si="1"/>
        <v/>
      </c>
    </row>
    <row r="758">
      <c r="A758" s="33"/>
      <c r="B758" s="33"/>
      <c r="C758" s="33"/>
      <c r="D758" s="34"/>
      <c r="E758" s="34"/>
      <c r="F758" s="34"/>
      <c r="G758" s="33"/>
      <c r="I758" s="34"/>
      <c r="J758" s="33"/>
      <c r="K758" s="33"/>
      <c r="L758" s="34"/>
      <c r="M758" s="34"/>
      <c r="N758" s="34"/>
      <c r="Q758" s="35"/>
      <c r="R758" s="36"/>
      <c r="S758" s="34"/>
      <c r="T758" s="34"/>
      <c r="AF758" s="39"/>
      <c r="AG758" s="39"/>
      <c r="AH758" s="34"/>
      <c r="AI758" s="34"/>
      <c r="AJ758" s="34"/>
      <c r="AK758" s="34"/>
      <c r="AN758" t="str">
        <f t="shared" si="1"/>
        <v/>
      </c>
    </row>
    <row r="759">
      <c r="A759" s="33"/>
      <c r="B759" s="33"/>
      <c r="C759" s="33"/>
      <c r="D759" s="34"/>
      <c r="E759" s="34"/>
      <c r="F759" s="34"/>
      <c r="G759" s="33"/>
      <c r="I759" s="34"/>
      <c r="J759" s="33"/>
      <c r="K759" s="33"/>
      <c r="L759" s="34"/>
      <c r="M759" s="34"/>
      <c r="N759" s="34"/>
      <c r="Q759" s="35"/>
      <c r="R759" s="36"/>
      <c r="S759" s="34"/>
      <c r="T759" s="34"/>
      <c r="AF759" s="39"/>
      <c r="AG759" s="39"/>
      <c r="AH759" s="34"/>
      <c r="AI759" s="34"/>
      <c r="AJ759" s="34"/>
      <c r="AK759" s="34"/>
      <c r="AN759" t="str">
        <f t="shared" si="1"/>
        <v/>
      </c>
    </row>
    <row r="760">
      <c r="A760" s="33"/>
      <c r="B760" s="33"/>
      <c r="C760" s="33"/>
      <c r="D760" s="34"/>
      <c r="E760" s="34"/>
      <c r="F760" s="34"/>
      <c r="G760" s="33"/>
      <c r="I760" s="34"/>
      <c r="J760" s="33"/>
      <c r="K760" s="33"/>
      <c r="L760" s="34"/>
      <c r="M760" s="34"/>
      <c r="N760" s="34"/>
      <c r="Q760" s="35"/>
      <c r="R760" s="36"/>
      <c r="S760" s="34"/>
      <c r="T760" s="34"/>
      <c r="AF760" s="39"/>
      <c r="AG760" s="39"/>
      <c r="AH760" s="34"/>
      <c r="AI760" s="34"/>
      <c r="AJ760" s="34"/>
      <c r="AK760" s="34"/>
      <c r="AN760" t="str">
        <f t="shared" si="1"/>
        <v/>
      </c>
    </row>
    <row r="761">
      <c r="A761" s="33"/>
      <c r="B761" s="33"/>
      <c r="C761" s="33"/>
      <c r="D761" s="34"/>
      <c r="E761" s="34"/>
      <c r="F761" s="34"/>
      <c r="G761" s="33"/>
      <c r="I761" s="34"/>
      <c r="J761" s="33"/>
      <c r="K761" s="33"/>
      <c r="L761" s="34"/>
      <c r="M761" s="34"/>
      <c r="N761" s="34"/>
      <c r="Q761" s="35"/>
      <c r="R761" s="36"/>
      <c r="S761" s="34"/>
      <c r="T761" s="34"/>
      <c r="AF761" s="39"/>
      <c r="AG761" s="39"/>
      <c r="AH761" s="34"/>
      <c r="AI761" s="34"/>
      <c r="AJ761" s="34"/>
      <c r="AK761" s="34"/>
      <c r="AN761" t="str">
        <f t="shared" si="1"/>
        <v/>
      </c>
    </row>
    <row r="762">
      <c r="A762" s="33"/>
      <c r="B762" s="33"/>
      <c r="C762" s="33"/>
      <c r="D762" s="34"/>
      <c r="E762" s="34"/>
      <c r="F762" s="34"/>
      <c r="G762" s="33"/>
      <c r="I762" s="34"/>
      <c r="J762" s="33"/>
      <c r="K762" s="33"/>
      <c r="L762" s="34"/>
      <c r="M762" s="34"/>
      <c r="N762" s="34"/>
      <c r="Q762" s="35"/>
      <c r="R762" s="36"/>
      <c r="S762" s="34"/>
      <c r="T762" s="34"/>
      <c r="AF762" s="39"/>
      <c r="AG762" s="39"/>
      <c r="AH762" s="34"/>
      <c r="AI762" s="34"/>
      <c r="AJ762" s="34"/>
      <c r="AK762" s="34"/>
      <c r="AN762" t="str">
        <f t="shared" si="1"/>
        <v/>
      </c>
    </row>
    <row r="763">
      <c r="A763" s="33"/>
      <c r="B763" s="33"/>
      <c r="C763" s="33"/>
      <c r="D763" s="34"/>
      <c r="E763" s="34"/>
      <c r="F763" s="34"/>
      <c r="G763" s="33"/>
      <c r="I763" s="34"/>
      <c r="J763" s="33"/>
      <c r="K763" s="33"/>
      <c r="L763" s="34"/>
      <c r="M763" s="34"/>
      <c r="N763" s="34"/>
      <c r="Q763" s="35"/>
      <c r="R763" s="36"/>
      <c r="S763" s="34"/>
      <c r="T763" s="34"/>
      <c r="AF763" s="39"/>
      <c r="AG763" s="39"/>
      <c r="AH763" s="34"/>
      <c r="AI763" s="34"/>
      <c r="AJ763" s="34"/>
      <c r="AK763" s="34"/>
      <c r="AN763" t="str">
        <f t="shared" si="1"/>
        <v/>
      </c>
    </row>
    <row r="764">
      <c r="A764" s="33"/>
      <c r="B764" s="33"/>
      <c r="C764" s="33"/>
      <c r="D764" s="34"/>
      <c r="E764" s="34"/>
      <c r="F764" s="34"/>
      <c r="G764" s="33"/>
      <c r="I764" s="34"/>
      <c r="J764" s="33"/>
      <c r="K764" s="33"/>
      <c r="L764" s="34"/>
      <c r="M764" s="34"/>
      <c r="N764" s="34"/>
      <c r="Q764" s="35"/>
      <c r="R764" s="36"/>
      <c r="S764" s="34"/>
      <c r="T764" s="34"/>
      <c r="AF764" s="39"/>
      <c r="AG764" s="39"/>
      <c r="AH764" s="34"/>
      <c r="AI764" s="34"/>
      <c r="AJ764" s="34"/>
      <c r="AK764" s="34"/>
      <c r="AN764" t="str">
        <f t="shared" si="1"/>
        <v/>
      </c>
    </row>
    <row r="765">
      <c r="A765" s="33"/>
      <c r="B765" s="33"/>
      <c r="C765" s="33"/>
      <c r="D765" s="34"/>
      <c r="E765" s="34"/>
      <c r="F765" s="34"/>
      <c r="G765" s="33"/>
      <c r="I765" s="34"/>
      <c r="J765" s="33"/>
      <c r="K765" s="33"/>
      <c r="L765" s="34"/>
      <c r="M765" s="34"/>
      <c r="N765" s="34"/>
      <c r="Q765" s="35"/>
      <c r="R765" s="36"/>
      <c r="S765" s="34"/>
      <c r="T765" s="34"/>
      <c r="AF765" s="39"/>
      <c r="AG765" s="39"/>
      <c r="AH765" s="34"/>
      <c r="AI765" s="34"/>
      <c r="AJ765" s="34"/>
      <c r="AK765" s="34"/>
      <c r="AN765" t="str">
        <f t="shared" si="1"/>
        <v/>
      </c>
    </row>
    <row r="766">
      <c r="A766" s="33"/>
      <c r="B766" s="33"/>
      <c r="C766" s="33"/>
      <c r="D766" s="34"/>
      <c r="E766" s="34"/>
      <c r="F766" s="34"/>
      <c r="G766" s="33"/>
      <c r="I766" s="34"/>
      <c r="J766" s="33"/>
      <c r="K766" s="33"/>
      <c r="L766" s="34"/>
      <c r="M766" s="34"/>
      <c r="N766" s="34"/>
      <c r="Q766" s="35"/>
      <c r="R766" s="36"/>
      <c r="S766" s="34"/>
      <c r="T766" s="34"/>
      <c r="AF766" s="39"/>
      <c r="AG766" s="39"/>
      <c r="AH766" s="34"/>
      <c r="AI766" s="34"/>
      <c r="AJ766" s="34"/>
      <c r="AK766" s="34"/>
      <c r="AN766" t="str">
        <f t="shared" si="1"/>
        <v/>
      </c>
    </row>
    <row r="767">
      <c r="A767" s="33"/>
      <c r="B767" s="33"/>
      <c r="C767" s="33"/>
      <c r="D767" s="34"/>
      <c r="E767" s="34"/>
      <c r="F767" s="34"/>
      <c r="G767" s="33"/>
      <c r="I767" s="34"/>
      <c r="J767" s="33"/>
      <c r="K767" s="33"/>
      <c r="L767" s="34"/>
      <c r="M767" s="34"/>
      <c r="N767" s="34"/>
      <c r="Q767" s="35"/>
      <c r="R767" s="36"/>
      <c r="S767" s="34"/>
      <c r="T767" s="34"/>
      <c r="AF767" s="39"/>
      <c r="AG767" s="39"/>
      <c r="AH767" s="34"/>
      <c r="AI767" s="34"/>
      <c r="AJ767" s="34"/>
      <c r="AK767" s="34"/>
      <c r="AN767" t="str">
        <f t="shared" si="1"/>
        <v/>
      </c>
    </row>
    <row r="768">
      <c r="A768" s="33"/>
      <c r="B768" s="33"/>
      <c r="C768" s="33"/>
      <c r="D768" s="34"/>
      <c r="E768" s="34"/>
      <c r="F768" s="34"/>
      <c r="G768" s="33"/>
      <c r="I768" s="34"/>
      <c r="J768" s="33"/>
      <c r="K768" s="33"/>
      <c r="L768" s="34"/>
      <c r="M768" s="34"/>
      <c r="N768" s="34"/>
      <c r="Q768" s="35"/>
      <c r="R768" s="36"/>
      <c r="S768" s="34"/>
      <c r="T768" s="34"/>
      <c r="AF768" s="39"/>
      <c r="AG768" s="39"/>
      <c r="AH768" s="34"/>
      <c r="AI768" s="34"/>
      <c r="AJ768" s="34"/>
      <c r="AK768" s="34"/>
      <c r="AN768" t="str">
        <f t="shared" si="1"/>
        <v/>
      </c>
    </row>
    <row r="769">
      <c r="A769" s="33"/>
      <c r="B769" s="33"/>
      <c r="C769" s="33"/>
      <c r="D769" s="34"/>
      <c r="E769" s="34"/>
      <c r="F769" s="34"/>
      <c r="G769" s="33"/>
      <c r="I769" s="34"/>
      <c r="J769" s="33"/>
      <c r="K769" s="33"/>
      <c r="L769" s="34"/>
      <c r="M769" s="34"/>
      <c r="N769" s="34"/>
      <c r="Q769" s="35"/>
      <c r="R769" s="36"/>
      <c r="S769" s="34"/>
      <c r="T769" s="34"/>
      <c r="AF769" s="39"/>
      <c r="AG769" s="39"/>
      <c r="AH769" s="34"/>
      <c r="AI769" s="34"/>
      <c r="AJ769" s="34"/>
      <c r="AK769" s="34"/>
      <c r="AN769" t="str">
        <f t="shared" si="1"/>
        <v/>
      </c>
    </row>
    <row r="770">
      <c r="A770" s="33"/>
      <c r="B770" s="33"/>
      <c r="C770" s="33"/>
      <c r="D770" s="34"/>
      <c r="E770" s="34"/>
      <c r="F770" s="34"/>
      <c r="G770" s="33"/>
      <c r="I770" s="34"/>
      <c r="J770" s="33"/>
      <c r="K770" s="33"/>
      <c r="L770" s="34"/>
      <c r="M770" s="34"/>
      <c r="N770" s="34"/>
      <c r="Q770" s="35"/>
      <c r="R770" s="36"/>
      <c r="S770" s="34"/>
      <c r="T770" s="34"/>
      <c r="AF770" s="39"/>
      <c r="AG770" s="39"/>
      <c r="AH770" s="34"/>
      <c r="AI770" s="34"/>
      <c r="AJ770" s="34"/>
      <c r="AK770" s="34"/>
      <c r="AN770" t="str">
        <f t="shared" si="1"/>
        <v/>
      </c>
    </row>
    <row r="771">
      <c r="A771" s="33"/>
      <c r="B771" s="33"/>
      <c r="C771" s="33"/>
      <c r="D771" s="34"/>
      <c r="E771" s="34"/>
      <c r="F771" s="34"/>
      <c r="G771" s="33"/>
      <c r="I771" s="34"/>
      <c r="J771" s="33"/>
      <c r="K771" s="33"/>
      <c r="L771" s="34"/>
      <c r="M771" s="34"/>
      <c r="N771" s="34"/>
      <c r="Q771" s="35"/>
      <c r="R771" s="36"/>
      <c r="S771" s="34"/>
      <c r="T771" s="34"/>
      <c r="AF771" s="39"/>
      <c r="AG771" s="39"/>
      <c r="AH771" s="34"/>
      <c r="AI771" s="34"/>
      <c r="AJ771" s="34"/>
      <c r="AK771" s="34"/>
      <c r="AN771" t="str">
        <f t="shared" si="1"/>
        <v/>
      </c>
    </row>
    <row r="772">
      <c r="A772" s="33"/>
      <c r="B772" s="33"/>
      <c r="C772" s="33"/>
      <c r="D772" s="34"/>
      <c r="E772" s="34"/>
      <c r="F772" s="34"/>
      <c r="G772" s="33"/>
      <c r="I772" s="34"/>
      <c r="J772" s="33"/>
      <c r="K772" s="33"/>
      <c r="L772" s="34"/>
      <c r="M772" s="34"/>
      <c r="N772" s="34"/>
      <c r="Q772" s="35"/>
      <c r="R772" s="36"/>
      <c r="S772" s="34"/>
      <c r="T772" s="34"/>
      <c r="AF772" s="39"/>
      <c r="AG772" s="39"/>
      <c r="AH772" s="34"/>
      <c r="AI772" s="34"/>
      <c r="AJ772" s="34"/>
      <c r="AK772" s="34"/>
      <c r="AN772" t="str">
        <f t="shared" si="1"/>
        <v/>
      </c>
    </row>
    <row r="773">
      <c r="A773" s="33"/>
      <c r="B773" s="33"/>
      <c r="C773" s="33"/>
      <c r="D773" s="34"/>
      <c r="E773" s="34"/>
      <c r="F773" s="34"/>
      <c r="G773" s="33"/>
      <c r="I773" s="34"/>
      <c r="J773" s="33"/>
      <c r="K773" s="33"/>
      <c r="L773" s="34"/>
      <c r="M773" s="34"/>
      <c r="N773" s="34"/>
      <c r="Q773" s="35"/>
      <c r="R773" s="36"/>
      <c r="S773" s="34"/>
      <c r="T773" s="34"/>
      <c r="AF773" s="39"/>
      <c r="AG773" s="39"/>
      <c r="AH773" s="34"/>
      <c r="AI773" s="34"/>
      <c r="AJ773" s="34"/>
      <c r="AK773" s="34"/>
      <c r="AN773" t="str">
        <f t="shared" si="1"/>
        <v/>
      </c>
    </row>
    <row r="774">
      <c r="A774" s="33"/>
      <c r="B774" s="33"/>
      <c r="C774" s="33"/>
      <c r="D774" s="34"/>
      <c r="E774" s="34"/>
      <c r="F774" s="34"/>
      <c r="G774" s="33"/>
      <c r="I774" s="34"/>
      <c r="J774" s="33"/>
      <c r="K774" s="33"/>
      <c r="L774" s="34"/>
      <c r="M774" s="34"/>
      <c r="N774" s="34"/>
      <c r="Q774" s="35"/>
      <c r="R774" s="36"/>
      <c r="S774" s="34"/>
      <c r="T774" s="34"/>
      <c r="AF774" s="39"/>
      <c r="AG774" s="39"/>
      <c r="AH774" s="34"/>
      <c r="AI774" s="34"/>
      <c r="AJ774" s="34"/>
      <c r="AK774" s="34"/>
      <c r="AN774" t="str">
        <f t="shared" si="1"/>
        <v/>
      </c>
    </row>
    <row r="775">
      <c r="A775" s="33"/>
      <c r="B775" s="33"/>
      <c r="C775" s="33"/>
      <c r="D775" s="34"/>
      <c r="E775" s="34"/>
      <c r="F775" s="34"/>
      <c r="G775" s="33"/>
      <c r="I775" s="34"/>
      <c r="J775" s="33"/>
      <c r="K775" s="33"/>
      <c r="L775" s="34"/>
      <c r="M775" s="34"/>
      <c r="N775" s="34"/>
      <c r="Q775" s="35"/>
      <c r="R775" s="36"/>
      <c r="S775" s="34"/>
      <c r="T775" s="34"/>
      <c r="AF775" s="39"/>
      <c r="AG775" s="39"/>
      <c r="AH775" s="34"/>
      <c r="AI775" s="34"/>
      <c r="AJ775" s="34"/>
      <c r="AK775" s="34"/>
      <c r="AN775" t="str">
        <f t="shared" si="1"/>
        <v/>
      </c>
    </row>
    <row r="776">
      <c r="A776" s="33"/>
      <c r="B776" s="33"/>
      <c r="C776" s="33"/>
      <c r="D776" s="34"/>
      <c r="E776" s="34"/>
      <c r="F776" s="34"/>
      <c r="G776" s="33"/>
      <c r="I776" s="34"/>
      <c r="J776" s="33"/>
      <c r="K776" s="33"/>
      <c r="L776" s="34"/>
      <c r="M776" s="34"/>
      <c r="N776" s="34"/>
      <c r="Q776" s="35"/>
      <c r="R776" s="36"/>
      <c r="S776" s="34"/>
      <c r="T776" s="34"/>
      <c r="AF776" s="39"/>
      <c r="AG776" s="39"/>
      <c r="AH776" s="34"/>
      <c r="AI776" s="34"/>
      <c r="AJ776" s="34"/>
      <c r="AK776" s="34"/>
      <c r="AN776" t="str">
        <f t="shared" si="1"/>
        <v/>
      </c>
    </row>
    <row r="777">
      <c r="A777" s="33"/>
      <c r="B777" s="33"/>
      <c r="C777" s="33"/>
      <c r="D777" s="34"/>
      <c r="E777" s="34"/>
      <c r="F777" s="34"/>
      <c r="G777" s="33"/>
      <c r="I777" s="34"/>
      <c r="J777" s="33"/>
      <c r="K777" s="33"/>
      <c r="L777" s="34"/>
      <c r="M777" s="34"/>
      <c r="N777" s="34"/>
      <c r="Q777" s="35"/>
      <c r="R777" s="36"/>
      <c r="S777" s="34"/>
      <c r="T777" s="34"/>
      <c r="AF777" s="39"/>
      <c r="AG777" s="39"/>
      <c r="AH777" s="34"/>
      <c r="AI777" s="34"/>
      <c r="AJ777" s="34"/>
      <c r="AK777" s="34"/>
      <c r="AN777" t="str">
        <f t="shared" si="1"/>
        <v/>
      </c>
    </row>
    <row r="778">
      <c r="A778" s="33"/>
      <c r="B778" s="33"/>
      <c r="C778" s="33"/>
      <c r="D778" s="34"/>
      <c r="E778" s="34"/>
      <c r="F778" s="34"/>
      <c r="G778" s="33"/>
      <c r="I778" s="34"/>
      <c r="J778" s="33"/>
      <c r="K778" s="33"/>
      <c r="L778" s="34"/>
      <c r="M778" s="34"/>
      <c r="N778" s="34"/>
      <c r="Q778" s="35"/>
      <c r="R778" s="36"/>
      <c r="S778" s="34"/>
      <c r="T778" s="34"/>
      <c r="AF778" s="39"/>
      <c r="AG778" s="39"/>
      <c r="AH778" s="34"/>
      <c r="AI778" s="34"/>
      <c r="AJ778" s="34"/>
      <c r="AK778" s="34"/>
      <c r="AN778" t="str">
        <f t="shared" si="1"/>
        <v/>
      </c>
    </row>
    <row r="779">
      <c r="A779" s="33"/>
      <c r="B779" s="33"/>
      <c r="C779" s="33"/>
      <c r="D779" s="34"/>
      <c r="E779" s="34"/>
      <c r="F779" s="34"/>
      <c r="G779" s="33"/>
      <c r="I779" s="34"/>
      <c r="J779" s="33"/>
      <c r="K779" s="33"/>
      <c r="L779" s="34"/>
      <c r="M779" s="34"/>
      <c r="N779" s="34"/>
      <c r="Q779" s="35"/>
      <c r="R779" s="36"/>
      <c r="S779" s="34"/>
      <c r="T779" s="34"/>
      <c r="AF779" s="39"/>
      <c r="AG779" s="39"/>
      <c r="AH779" s="34"/>
      <c r="AI779" s="34"/>
      <c r="AJ779" s="34"/>
      <c r="AK779" s="34"/>
      <c r="AN779" t="str">
        <f t="shared" si="1"/>
        <v/>
      </c>
    </row>
    <row r="780">
      <c r="A780" s="33"/>
      <c r="B780" s="33"/>
      <c r="C780" s="33"/>
      <c r="D780" s="34"/>
      <c r="E780" s="34"/>
      <c r="F780" s="34"/>
      <c r="G780" s="33"/>
      <c r="I780" s="34"/>
      <c r="J780" s="33"/>
      <c r="K780" s="33"/>
      <c r="L780" s="34"/>
      <c r="M780" s="34"/>
      <c r="N780" s="34"/>
      <c r="Q780" s="35"/>
      <c r="R780" s="36"/>
      <c r="S780" s="34"/>
      <c r="T780" s="34"/>
      <c r="AF780" s="39"/>
      <c r="AG780" s="39"/>
      <c r="AH780" s="34"/>
      <c r="AI780" s="34"/>
      <c r="AJ780" s="34"/>
      <c r="AK780" s="34"/>
      <c r="AN780" t="str">
        <f t="shared" si="1"/>
        <v/>
      </c>
    </row>
    <row r="781">
      <c r="A781" s="33"/>
      <c r="B781" s="33"/>
      <c r="C781" s="33"/>
      <c r="D781" s="34"/>
      <c r="E781" s="34"/>
      <c r="F781" s="34"/>
      <c r="G781" s="33"/>
      <c r="I781" s="34"/>
      <c r="J781" s="33"/>
      <c r="K781" s="33"/>
      <c r="L781" s="34"/>
      <c r="M781" s="34"/>
      <c r="N781" s="34"/>
      <c r="Q781" s="35"/>
      <c r="R781" s="36"/>
      <c r="S781" s="34"/>
      <c r="T781" s="34"/>
      <c r="AF781" s="39"/>
      <c r="AG781" s="39"/>
      <c r="AH781" s="34"/>
      <c r="AI781" s="34"/>
      <c r="AJ781" s="34"/>
      <c r="AK781" s="34"/>
      <c r="AN781" t="str">
        <f t="shared" si="1"/>
        <v/>
      </c>
    </row>
    <row r="782">
      <c r="A782" s="33"/>
      <c r="B782" s="33"/>
      <c r="C782" s="33"/>
      <c r="D782" s="34"/>
      <c r="E782" s="34"/>
      <c r="F782" s="34"/>
      <c r="G782" s="33"/>
      <c r="I782" s="34"/>
      <c r="J782" s="33"/>
      <c r="K782" s="33"/>
      <c r="L782" s="34"/>
      <c r="M782" s="34"/>
      <c r="N782" s="34"/>
      <c r="Q782" s="35"/>
      <c r="R782" s="36"/>
      <c r="S782" s="34"/>
      <c r="T782" s="34"/>
      <c r="AF782" s="39"/>
      <c r="AG782" s="39"/>
      <c r="AH782" s="34"/>
      <c r="AI782" s="34"/>
      <c r="AJ782" s="34"/>
      <c r="AK782" s="34"/>
      <c r="AN782" t="str">
        <f t="shared" si="1"/>
        <v/>
      </c>
    </row>
    <row r="783">
      <c r="A783" s="33"/>
      <c r="B783" s="33"/>
      <c r="C783" s="33"/>
      <c r="D783" s="34"/>
      <c r="E783" s="34"/>
      <c r="F783" s="34"/>
      <c r="G783" s="33"/>
      <c r="I783" s="34"/>
      <c r="J783" s="33"/>
      <c r="K783" s="33"/>
      <c r="L783" s="34"/>
      <c r="M783" s="34"/>
      <c r="N783" s="34"/>
      <c r="Q783" s="35"/>
      <c r="R783" s="36"/>
      <c r="S783" s="34"/>
      <c r="T783" s="34"/>
      <c r="AF783" s="39"/>
      <c r="AG783" s="39"/>
      <c r="AH783" s="34"/>
      <c r="AI783" s="34"/>
      <c r="AJ783" s="34"/>
      <c r="AK783" s="34"/>
      <c r="AN783" t="str">
        <f t="shared" si="1"/>
        <v/>
      </c>
    </row>
    <row r="784">
      <c r="A784" s="33"/>
      <c r="B784" s="33"/>
      <c r="C784" s="33"/>
      <c r="D784" s="34"/>
      <c r="E784" s="34"/>
      <c r="F784" s="34"/>
      <c r="G784" s="33"/>
      <c r="I784" s="34"/>
      <c r="J784" s="33"/>
      <c r="K784" s="33"/>
      <c r="L784" s="34"/>
      <c r="M784" s="34"/>
      <c r="N784" s="34"/>
      <c r="Q784" s="35"/>
      <c r="R784" s="36"/>
      <c r="S784" s="34"/>
      <c r="T784" s="34"/>
      <c r="AF784" s="39"/>
      <c r="AG784" s="39"/>
      <c r="AH784" s="34"/>
      <c r="AI784" s="34"/>
      <c r="AJ784" s="34"/>
      <c r="AK784" s="34"/>
      <c r="AN784" t="str">
        <f t="shared" si="1"/>
        <v/>
      </c>
    </row>
    <row r="785">
      <c r="A785" s="33"/>
      <c r="B785" s="33"/>
      <c r="C785" s="33"/>
      <c r="D785" s="34"/>
      <c r="E785" s="34"/>
      <c r="F785" s="34"/>
      <c r="G785" s="33"/>
      <c r="I785" s="34"/>
      <c r="J785" s="33"/>
      <c r="K785" s="33"/>
      <c r="L785" s="34"/>
      <c r="M785" s="34"/>
      <c r="N785" s="34"/>
      <c r="Q785" s="35"/>
      <c r="R785" s="36"/>
      <c r="S785" s="34"/>
      <c r="T785" s="34"/>
      <c r="AF785" s="39"/>
      <c r="AG785" s="39"/>
      <c r="AH785" s="34"/>
      <c r="AI785" s="34"/>
      <c r="AJ785" s="34"/>
      <c r="AK785" s="34"/>
      <c r="AN785" t="str">
        <f t="shared" si="1"/>
        <v/>
      </c>
    </row>
    <row r="786">
      <c r="A786" s="33"/>
      <c r="B786" s="33"/>
      <c r="C786" s="33"/>
      <c r="D786" s="34"/>
      <c r="E786" s="34"/>
      <c r="F786" s="34"/>
      <c r="G786" s="33"/>
      <c r="I786" s="34"/>
      <c r="J786" s="33"/>
      <c r="K786" s="33"/>
      <c r="L786" s="34"/>
      <c r="M786" s="34"/>
      <c r="N786" s="34"/>
      <c r="Q786" s="35"/>
      <c r="R786" s="36"/>
      <c r="S786" s="34"/>
      <c r="T786" s="34"/>
      <c r="AF786" s="39"/>
      <c r="AG786" s="39"/>
      <c r="AH786" s="34"/>
      <c r="AI786" s="34"/>
      <c r="AJ786" s="34"/>
      <c r="AK786" s="34"/>
      <c r="AN786" t="str">
        <f t="shared" si="1"/>
        <v/>
      </c>
    </row>
    <row r="787">
      <c r="A787" s="33"/>
      <c r="B787" s="33"/>
      <c r="C787" s="33"/>
      <c r="D787" s="34"/>
      <c r="E787" s="34"/>
      <c r="F787" s="34"/>
      <c r="G787" s="33"/>
      <c r="I787" s="34"/>
      <c r="J787" s="33"/>
      <c r="K787" s="33"/>
      <c r="L787" s="34"/>
      <c r="M787" s="34"/>
      <c r="N787" s="34"/>
      <c r="Q787" s="35"/>
      <c r="R787" s="36"/>
      <c r="S787" s="34"/>
      <c r="T787" s="34"/>
      <c r="AF787" s="39"/>
      <c r="AG787" s="39"/>
      <c r="AH787" s="34"/>
      <c r="AI787" s="34"/>
      <c r="AJ787" s="34"/>
      <c r="AK787" s="34"/>
      <c r="AN787" t="str">
        <f t="shared" si="1"/>
        <v/>
      </c>
    </row>
    <row r="788">
      <c r="A788" s="33"/>
      <c r="B788" s="33"/>
      <c r="C788" s="33"/>
      <c r="D788" s="34"/>
      <c r="E788" s="34"/>
      <c r="F788" s="34"/>
      <c r="G788" s="33"/>
      <c r="I788" s="34"/>
      <c r="J788" s="33"/>
      <c r="K788" s="33"/>
      <c r="L788" s="34"/>
      <c r="M788" s="34"/>
      <c r="N788" s="34"/>
      <c r="Q788" s="35"/>
      <c r="R788" s="36"/>
      <c r="S788" s="34"/>
      <c r="T788" s="34"/>
      <c r="AF788" s="39"/>
      <c r="AG788" s="39"/>
      <c r="AH788" s="34"/>
      <c r="AI788" s="34"/>
      <c r="AJ788" s="34"/>
      <c r="AK788" s="34"/>
      <c r="AN788" t="str">
        <f t="shared" si="1"/>
        <v/>
      </c>
    </row>
    <row r="789">
      <c r="A789" s="33"/>
      <c r="B789" s="33"/>
      <c r="C789" s="33"/>
      <c r="D789" s="34"/>
      <c r="E789" s="34"/>
      <c r="F789" s="34"/>
      <c r="G789" s="33"/>
      <c r="I789" s="34"/>
      <c r="J789" s="33"/>
      <c r="K789" s="33"/>
      <c r="L789" s="34"/>
      <c r="M789" s="34"/>
      <c r="N789" s="34"/>
      <c r="Q789" s="35"/>
      <c r="R789" s="36"/>
      <c r="S789" s="34"/>
      <c r="T789" s="34"/>
      <c r="AF789" s="39"/>
      <c r="AG789" s="39"/>
      <c r="AH789" s="34"/>
      <c r="AI789" s="34"/>
      <c r="AJ789" s="34"/>
      <c r="AK789" s="34"/>
      <c r="AN789" t="str">
        <f t="shared" si="1"/>
        <v/>
      </c>
    </row>
    <row r="790">
      <c r="A790" s="33"/>
      <c r="B790" s="33"/>
      <c r="C790" s="33"/>
      <c r="D790" s="34"/>
      <c r="E790" s="34"/>
      <c r="F790" s="34"/>
      <c r="G790" s="33"/>
      <c r="I790" s="34"/>
      <c r="J790" s="33"/>
      <c r="K790" s="33"/>
      <c r="L790" s="34"/>
      <c r="M790" s="34"/>
      <c r="N790" s="34"/>
      <c r="Q790" s="35"/>
      <c r="R790" s="36"/>
      <c r="S790" s="34"/>
      <c r="T790" s="34"/>
      <c r="AF790" s="39"/>
      <c r="AG790" s="39"/>
      <c r="AH790" s="34"/>
      <c r="AI790" s="34"/>
      <c r="AJ790" s="34"/>
      <c r="AK790" s="34"/>
      <c r="AN790" t="str">
        <f t="shared" si="1"/>
        <v/>
      </c>
    </row>
    <row r="791">
      <c r="A791" s="33"/>
      <c r="B791" s="33"/>
      <c r="C791" s="33"/>
      <c r="D791" s="34"/>
      <c r="E791" s="34"/>
      <c r="F791" s="34"/>
      <c r="G791" s="33"/>
      <c r="I791" s="34"/>
      <c r="J791" s="33"/>
      <c r="K791" s="33"/>
      <c r="L791" s="34"/>
      <c r="M791" s="34"/>
      <c r="N791" s="34"/>
      <c r="Q791" s="35"/>
      <c r="R791" s="36"/>
      <c r="S791" s="34"/>
      <c r="T791" s="34"/>
      <c r="AF791" s="39"/>
      <c r="AG791" s="39"/>
      <c r="AH791" s="34"/>
      <c r="AI791" s="34"/>
      <c r="AJ791" s="34"/>
      <c r="AK791" s="34"/>
      <c r="AN791" t="str">
        <f t="shared" si="1"/>
        <v/>
      </c>
    </row>
    <row r="792">
      <c r="A792" s="33"/>
      <c r="B792" s="33"/>
      <c r="C792" s="33"/>
      <c r="D792" s="34"/>
      <c r="E792" s="34"/>
      <c r="F792" s="34"/>
      <c r="G792" s="33"/>
      <c r="I792" s="34"/>
      <c r="J792" s="33"/>
      <c r="K792" s="33"/>
      <c r="L792" s="34"/>
      <c r="M792" s="34"/>
      <c r="N792" s="34"/>
      <c r="Q792" s="35"/>
      <c r="R792" s="36"/>
      <c r="S792" s="34"/>
      <c r="T792" s="34"/>
      <c r="AF792" s="39"/>
      <c r="AG792" s="39"/>
      <c r="AH792" s="34"/>
      <c r="AI792" s="34"/>
      <c r="AJ792" s="34"/>
      <c r="AK792" s="34"/>
      <c r="AN792" t="str">
        <f t="shared" si="1"/>
        <v/>
      </c>
    </row>
    <row r="793">
      <c r="A793" s="33"/>
      <c r="B793" s="33"/>
      <c r="C793" s="33"/>
      <c r="D793" s="34"/>
      <c r="E793" s="34"/>
      <c r="F793" s="34"/>
      <c r="G793" s="33"/>
      <c r="I793" s="34"/>
      <c r="J793" s="33"/>
      <c r="K793" s="33"/>
      <c r="L793" s="34"/>
      <c r="M793" s="34"/>
      <c r="N793" s="34"/>
      <c r="Q793" s="35"/>
      <c r="R793" s="36"/>
      <c r="S793" s="34"/>
      <c r="T793" s="34"/>
      <c r="AF793" s="39"/>
      <c r="AG793" s="39"/>
      <c r="AH793" s="34"/>
      <c r="AI793" s="34"/>
      <c r="AJ793" s="34"/>
      <c r="AK793" s="34"/>
      <c r="AN793" t="str">
        <f t="shared" si="1"/>
        <v/>
      </c>
    </row>
    <row r="794">
      <c r="A794" s="33"/>
      <c r="B794" s="33"/>
      <c r="C794" s="33"/>
      <c r="D794" s="34"/>
      <c r="E794" s="34"/>
      <c r="F794" s="34"/>
      <c r="G794" s="33"/>
      <c r="I794" s="34"/>
      <c r="J794" s="33"/>
      <c r="K794" s="33"/>
      <c r="L794" s="34"/>
      <c r="M794" s="34"/>
      <c r="N794" s="34"/>
      <c r="Q794" s="35"/>
      <c r="R794" s="36"/>
      <c r="S794" s="34"/>
      <c r="T794" s="34"/>
      <c r="AF794" s="39"/>
      <c r="AG794" s="39"/>
      <c r="AH794" s="34"/>
      <c r="AI794" s="34"/>
      <c r="AJ794" s="34"/>
      <c r="AK794" s="34"/>
      <c r="AN794" t="str">
        <f t="shared" si="1"/>
        <v/>
      </c>
    </row>
    <row r="795">
      <c r="A795" s="33"/>
      <c r="B795" s="33"/>
      <c r="C795" s="33"/>
      <c r="D795" s="34"/>
      <c r="E795" s="34"/>
      <c r="F795" s="34"/>
      <c r="G795" s="33"/>
      <c r="I795" s="34"/>
      <c r="J795" s="33"/>
      <c r="K795" s="33"/>
      <c r="L795" s="34"/>
      <c r="M795" s="34"/>
      <c r="N795" s="34"/>
      <c r="Q795" s="35"/>
      <c r="R795" s="36"/>
      <c r="S795" s="34"/>
      <c r="T795" s="34"/>
      <c r="AF795" s="39"/>
      <c r="AG795" s="39"/>
      <c r="AH795" s="34"/>
      <c r="AI795" s="34"/>
      <c r="AJ795" s="34"/>
      <c r="AK795" s="34"/>
      <c r="AN795" t="str">
        <f t="shared" si="1"/>
        <v/>
      </c>
    </row>
    <row r="796">
      <c r="A796" s="33"/>
      <c r="B796" s="33"/>
      <c r="C796" s="33"/>
      <c r="D796" s="34"/>
      <c r="E796" s="34"/>
      <c r="F796" s="34"/>
      <c r="G796" s="33"/>
      <c r="I796" s="34"/>
      <c r="J796" s="33"/>
      <c r="K796" s="33"/>
      <c r="L796" s="34"/>
      <c r="M796" s="34"/>
      <c r="N796" s="34"/>
      <c r="Q796" s="35"/>
      <c r="R796" s="36"/>
      <c r="S796" s="34"/>
      <c r="T796" s="34"/>
      <c r="AF796" s="39"/>
      <c r="AG796" s="39"/>
      <c r="AH796" s="34"/>
      <c r="AI796" s="34"/>
      <c r="AJ796" s="34"/>
      <c r="AK796" s="34"/>
      <c r="AN796" t="str">
        <f t="shared" si="1"/>
        <v/>
      </c>
    </row>
    <row r="797">
      <c r="A797" s="33"/>
      <c r="B797" s="33"/>
      <c r="C797" s="33"/>
      <c r="D797" s="34"/>
      <c r="E797" s="34"/>
      <c r="F797" s="34"/>
      <c r="G797" s="33"/>
      <c r="I797" s="34"/>
      <c r="J797" s="33"/>
      <c r="K797" s="33"/>
      <c r="L797" s="34"/>
      <c r="M797" s="34"/>
      <c r="N797" s="34"/>
      <c r="Q797" s="35"/>
      <c r="R797" s="36"/>
      <c r="S797" s="34"/>
      <c r="T797" s="34"/>
      <c r="AF797" s="39"/>
      <c r="AG797" s="39"/>
      <c r="AH797" s="34"/>
      <c r="AI797" s="34"/>
      <c r="AJ797" s="34"/>
      <c r="AK797" s="34"/>
      <c r="AN797" t="str">
        <f t="shared" si="1"/>
        <v/>
      </c>
    </row>
    <row r="798">
      <c r="A798" s="33"/>
      <c r="B798" s="33"/>
      <c r="C798" s="33"/>
      <c r="D798" s="34"/>
      <c r="E798" s="34"/>
      <c r="F798" s="34"/>
      <c r="G798" s="33"/>
      <c r="I798" s="34"/>
      <c r="J798" s="33"/>
      <c r="K798" s="33"/>
      <c r="L798" s="34"/>
      <c r="M798" s="34"/>
      <c r="N798" s="34"/>
      <c r="Q798" s="35"/>
      <c r="R798" s="36"/>
      <c r="S798" s="34"/>
      <c r="T798" s="34"/>
      <c r="AF798" s="39"/>
      <c r="AG798" s="39"/>
      <c r="AH798" s="34"/>
      <c r="AI798" s="34"/>
      <c r="AJ798" s="34"/>
      <c r="AK798" s="34"/>
      <c r="AN798" t="str">
        <f t="shared" si="1"/>
        <v/>
      </c>
    </row>
    <row r="799">
      <c r="A799" s="33"/>
      <c r="B799" s="33"/>
      <c r="C799" s="33"/>
      <c r="D799" s="34"/>
      <c r="E799" s="34"/>
      <c r="F799" s="34"/>
      <c r="G799" s="33"/>
      <c r="I799" s="34"/>
      <c r="J799" s="33"/>
      <c r="K799" s="33"/>
      <c r="L799" s="34"/>
      <c r="M799" s="34"/>
      <c r="N799" s="34"/>
      <c r="Q799" s="35"/>
      <c r="R799" s="36"/>
      <c r="S799" s="34"/>
      <c r="T799" s="34"/>
      <c r="AF799" s="39"/>
      <c r="AG799" s="39"/>
      <c r="AH799" s="34"/>
      <c r="AI799" s="34"/>
      <c r="AJ799" s="34"/>
      <c r="AK799" s="34"/>
      <c r="AN799" t="str">
        <f t="shared" si="1"/>
        <v/>
      </c>
    </row>
    <row r="800">
      <c r="A800" s="33"/>
      <c r="B800" s="33"/>
      <c r="C800" s="33"/>
      <c r="D800" s="34"/>
      <c r="E800" s="34"/>
      <c r="F800" s="34"/>
      <c r="G800" s="33"/>
      <c r="I800" s="34"/>
      <c r="J800" s="33"/>
      <c r="K800" s="33"/>
      <c r="L800" s="34"/>
      <c r="M800" s="34"/>
      <c r="N800" s="34"/>
      <c r="Q800" s="35"/>
      <c r="R800" s="36"/>
      <c r="S800" s="34"/>
      <c r="T800" s="34"/>
      <c r="AF800" s="39"/>
      <c r="AG800" s="39"/>
      <c r="AH800" s="34"/>
      <c r="AI800" s="34"/>
      <c r="AJ800" s="34"/>
      <c r="AK800" s="34"/>
      <c r="AN800" t="str">
        <f t="shared" si="1"/>
        <v/>
      </c>
    </row>
    <row r="801">
      <c r="A801" s="33"/>
      <c r="B801" s="33"/>
      <c r="C801" s="33"/>
      <c r="D801" s="34"/>
      <c r="E801" s="34"/>
      <c r="F801" s="34"/>
      <c r="G801" s="33"/>
      <c r="I801" s="34"/>
      <c r="J801" s="33"/>
      <c r="K801" s="33"/>
      <c r="L801" s="34"/>
      <c r="M801" s="34"/>
      <c r="N801" s="34"/>
      <c r="Q801" s="35"/>
      <c r="R801" s="36"/>
      <c r="S801" s="34"/>
      <c r="T801" s="34"/>
      <c r="AF801" s="39"/>
      <c r="AG801" s="39"/>
      <c r="AH801" s="34"/>
      <c r="AI801" s="34"/>
      <c r="AJ801" s="34"/>
      <c r="AK801" s="34"/>
      <c r="AN801" t="str">
        <f t="shared" si="1"/>
        <v/>
      </c>
    </row>
    <row r="802">
      <c r="A802" s="33"/>
      <c r="B802" s="33"/>
      <c r="C802" s="33"/>
      <c r="D802" s="34"/>
      <c r="E802" s="34"/>
      <c r="F802" s="34"/>
      <c r="G802" s="33"/>
      <c r="I802" s="34"/>
      <c r="J802" s="33"/>
      <c r="K802" s="33"/>
      <c r="L802" s="34"/>
      <c r="M802" s="34"/>
      <c r="N802" s="34"/>
      <c r="Q802" s="35"/>
      <c r="R802" s="36"/>
      <c r="S802" s="34"/>
      <c r="T802" s="34"/>
      <c r="AF802" s="39"/>
      <c r="AG802" s="39"/>
      <c r="AH802" s="34"/>
      <c r="AI802" s="34"/>
      <c r="AJ802" s="34"/>
      <c r="AK802" s="34"/>
      <c r="AN802" t="str">
        <f t="shared" si="1"/>
        <v/>
      </c>
    </row>
    <row r="803">
      <c r="A803" s="33"/>
      <c r="B803" s="33"/>
      <c r="C803" s="33"/>
      <c r="D803" s="34"/>
      <c r="E803" s="34"/>
      <c r="F803" s="34"/>
      <c r="G803" s="33"/>
      <c r="I803" s="34"/>
      <c r="J803" s="33"/>
      <c r="K803" s="33"/>
      <c r="L803" s="34"/>
      <c r="M803" s="34"/>
      <c r="N803" s="34"/>
      <c r="Q803" s="35"/>
      <c r="R803" s="36"/>
      <c r="S803" s="34"/>
      <c r="T803" s="34"/>
      <c r="AF803" s="39"/>
      <c r="AG803" s="39"/>
      <c r="AH803" s="34"/>
      <c r="AI803" s="34"/>
      <c r="AJ803" s="34"/>
      <c r="AK803" s="34"/>
      <c r="AN803" t="str">
        <f t="shared" si="1"/>
        <v/>
      </c>
    </row>
    <row r="804">
      <c r="A804" s="33"/>
      <c r="B804" s="33"/>
      <c r="C804" s="33"/>
      <c r="D804" s="34"/>
      <c r="E804" s="34"/>
      <c r="F804" s="34"/>
      <c r="G804" s="33"/>
      <c r="I804" s="34"/>
      <c r="J804" s="33"/>
      <c r="K804" s="33"/>
      <c r="L804" s="34"/>
      <c r="M804" s="34"/>
      <c r="N804" s="34"/>
      <c r="Q804" s="35"/>
      <c r="R804" s="36"/>
      <c r="S804" s="34"/>
      <c r="T804" s="34"/>
      <c r="AF804" s="39"/>
      <c r="AG804" s="39"/>
      <c r="AH804" s="34"/>
      <c r="AI804" s="34"/>
      <c r="AJ804" s="34"/>
      <c r="AK804" s="34"/>
      <c r="AN804" t="str">
        <f t="shared" si="1"/>
        <v/>
      </c>
    </row>
    <row r="805">
      <c r="A805" s="33"/>
      <c r="B805" s="33"/>
      <c r="C805" s="33"/>
      <c r="D805" s="34"/>
      <c r="E805" s="34"/>
      <c r="F805" s="34"/>
      <c r="G805" s="33"/>
      <c r="I805" s="34"/>
      <c r="J805" s="33"/>
      <c r="K805" s="33"/>
      <c r="L805" s="34"/>
      <c r="M805" s="34"/>
      <c r="N805" s="34"/>
      <c r="Q805" s="35"/>
      <c r="R805" s="36"/>
      <c r="S805" s="34"/>
      <c r="T805" s="34"/>
      <c r="AF805" s="39"/>
      <c r="AG805" s="39"/>
      <c r="AH805" s="34"/>
      <c r="AI805" s="34"/>
      <c r="AJ805" s="34"/>
      <c r="AK805" s="34"/>
      <c r="AN805" t="str">
        <f t="shared" si="1"/>
        <v/>
      </c>
    </row>
    <row r="806">
      <c r="A806" s="33"/>
      <c r="B806" s="33"/>
      <c r="C806" s="33"/>
      <c r="D806" s="34"/>
      <c r="E806" s="34"/>
      <c r="F806" s="34"/>
      <c r="G806" s="33"/>
      <c r="I806" s="34"/>
      <c r="J806" s="33"/>
      <c r="K806" s="33"/>
      <c r="L806" s="34"/>
      <c r="M806" s="34"/>
      <c r="N806" s="34"/>
      <c r="Q806" s="35"/>
      <c r="R806" s="36"/>
      <c r="S806" s="34"/>
      <c r="T806" s="34"/>
      <c r="AF806" s="39"/>
      <c r="AG806" s="39"/>
      <c r="AH806" s="34"/>
      <c r="AI806" s="34"/>
      <c r="AJ806" s="34"/>
      <c r="AK806" s="34"/>
      <c r="AN806" t="str">
        <f t="shared" si="1"/>
        <v/>
      </c>
    </row>
    <row r="807">
      <c r="A807" s="33"/>
      <c r="B807" s="33"/>
      <c r="C807" s="33"/>
      <c r="D807" s="34"/>
      <c r="E807" s="34"/>
      <c r="F807" s="34"/>
      <c r="G807" s="33"/>
      <c r="I807" s="34"/>
      <c r="J807" s="33"/>
      <c r="K807" s="33"/>
      <c r="L807" s="34"/>
      <c r="M807" s="34"/>
      <c r="N807" s="34"/>
      <c r="Q807" s="35"/>
      <c r="R807" s="36"/>
      <c r="S807" s="34"/>
      <c r="T807" s="34"/>
      <c r="AF807" s="39"/>
      <c r="AG807" s="39"/>
      <c r="AH807" s="34"/>
      <c r="AI807" s="34"/>
      <c r="AJ807" s="34"/>
      <c r="AK807" s="34"/>
      <c r="AN807" t="str">
        <f t="shared" si="1"/>
        <v/>
      </c>
    </row>
    <row r="808">
      <c r="A808" s="33"/>
      <c r="B808" s="33"/>
      <c r="C808" s="33"/>
      <c r="D808" s="34"/>
      <c r="E808" s="34"/>
      <c r="F808" s="34"/>
      <c r="G808" s="33"/>
      <c r="I808" s="34"/>
      <c r="J808" s="33"/>
      <c r="K808" s="33"/>
      <c r="L808" s="34"/>
      <c r="M808" s="34"/>
      <c r="N808" s="34"/>
      <c r="Q808" s="35"/>
      <c r="R808" s="36"/>
      <c r="S808" s="34"/>
      <c r="T808" s="34"/>
      <c r="AF808" s="39"/>
      <c r="AG808" s="39"/>
      <c r="AH808" s="34"/>
      <c r="AI808" s="34"/>
      <c r="AJ808" s="34"/>
      <c r="AK808" s="34"/>
      <c r="AN808" t="str">
        <f t="shared" si="1"/>
        <v/>
      </c>
    </row>
    <row r="809">
      <c r="A809" s="33"/>
      <c r="B809" s="33"/>
      <c r="C809" s="33"/>
      <c r="D809" s="34"/>
      <c r="E809" s="34"/>
      <c r="F809" s="34"/>
      <c r="G809" s="33"/>
      <c r="I809" s="34"/>
      <c r="J809" s="33"/>
      <c r="K809" s="33"/>
      <c r="L809" s="34"/>
      <c r="M809" s="34"/>
      <c r="N809" s="34"/>
      <c r="Q809" s="35"/>
      <c r="R809" s="36"/>
      <c r="S809" s="34"/>
      <c r="T809" s="34"/>
      <c r="AF809" s="39"/>
      <c r="AG809" s="39"/>
      <c r="AH809" s="34"/>
      <c r="AI809" s="34"/>
      <c r="AJ809" s="34"/>
      <c r="AK809" s="34"/>
      <c r="AN809" t="str">
        <f t="shared" si="1"/>
        <v/>
      </c>
    </row>
    <row r="810">
      <c r="A810" s="33"/>
      <c r="B810" s="33"/>
      <c r="C810" s="33"/>
      <c r="D810" s="34"/>
      <c r="E810" s="34"/>
      <c r="F810" s="34"/>
      <c r="G810" s="33"/>
      <c r="I810" s="34"/>
      <c r="J810" s="33"/>
      <c r="K810" s="33"/>
      <c r="L810" s="34"/>
      <c r="M810" s="34"/>
      <c r="N810" s="34"/>
      <c r="Q810" s="35"/>
      <c r="R810" s="36"/>
      <c r="S810" s="34"/>
      <c r="T810" s="34"/>
      <c r="AF810" s="39"/>
      <c r="AG810" s="39"/>
      <c r="AH810" s="34"/>
      <c r="AI810" s="34"/>
      <c r="AJ810" s="34"/>
      <c r="AK810" s="34"/>
      <c r="AN810" t="str">
        <f t="shared" si="1"/>
        <v/>
      </c>
    </row>
    <row r="811">
      <c r="A811" s="33"/>
      <c r="B811" s="33"/>
      <c r="C811" s="33"/>
      <c r="D811" s="34"/>
      <c r="E811" s="34"/>
      <c r="F811" s="34"/>
      <c r="G811" s="33"/>
      <c r="I811" s="34"/>
      <c r="J811" s="33"/>
      <c r="K811" s="33"/>
      <c r="L811" s="34"/>
      <c r="M811" s="34"/>
      <c r="N811" s="34"/>
      <c r="Q811" s="35"/>
      <c r="R811" s="36"/>
      <c r="S811" s="34"/>
      <c r="T811" s="34"/>
      <c r="AF811" s="39"/>
      <c r="AG811" s="39"/>
      <c r="AH811" s="34"/>
      <c r="AI811" s="34"/>
      <c r="AJ811" s="34"/>
      <c r="AK811" s="34"/>
      <c r="AN811" t="str">
        <f t="shared" si="1"/>
        <v/>
      </c>
    </row>
    <row r="812">
      <c r="A812" s="33"/>
      <c r="B812" s="33"/>
      <c r="C812" s="33"/>
      <c r="D812" s="34"/>
      <c r="E812" s="34"/>
      <c r="F812" s="34"/>
      <c r="G812" s="33"/>
      <c r="I812" s="34"/>
      <c r="J812" s="33"/>
      <c r="K812" s="33"/>
      <c r="L812" s="34"/>
      <c r="M812" s="34"/>
      <c r="N812" s="34"/>
      <c r="Q812" s="35"/>
      <c r="R812" s="36"/>
      <c r="S812" s="34"/>
      <c r="T812" s="34"/>
      <c r="AF812" s="39"/>
      <c r="AG812" s="39"/>
      <c r="AH812" s="34"/>
      <c r="AI812" s="34"/>
      <c r="AJ812" s="34"/>
      <c r="AK812" s="34"/>
      <c r="AN812" t="str">
        <f t="shared" si="1"/>
        <v/>
      </c>
    </row>
    <row r="813">
      <c r="A813" s="33"/>
      <c r="B813" s="33"/>
      <c r="C813" s="33"/>
      <c r="D813" s="34"/>
      <c r="E813" s="34"/>
      <c r="F813" s="34"/>
      <c r="G813" s="33"/>
      <c r="I813" s="34"/>
      <c r="J813" s="33"/>
      <c r="K813" s="33"/>
      <c r="L813" s="34"/>
      <c r="M813" s="34"/>
      <c r="N813" s="34"/>
      <c r="Q813" s="35"/>
      <c r="R813" s="36"/>
      <c r="S813" s="34"/>
      <c r="T813" s="34"/>
      <c r="AF813" s="39"/>
      <c r="AG813" s="39"/>
      <c r="AH813" s="34"/>
      <c r="AI813" s="34"/>
      <c r="AJ813" s="34"/>
      <c r="AK813" s="34"/>
      <c r="AN813" t="str">
        <f t="shared" si="1"/>
        <v/>
      </c>
    </row>
    <row r="814">
      <c r="A814" s="33"/>
      <c r="B814" s="33"/>
      <c r="C814" s="33"/>
      <c r="D814" s="34"/>
      <c r="E814" s="34"/>
      <c r="F814" s="34"/>
      <c r="G814" s="33"/>
      <c r="I814" s="34"/>
      <c r="J814" s="33"/>
      <c r="K814" s="33"/>
      <c r="L814" s="34"/>
      <c r="M814" s="34"/>
      <c r="N814" s="34"/>
      <c r="Q814" s="35"/>
      <c r="R814" s="36"/>
      <c r="S814" s="34"/>
      <c r="T814" s="34"/>
      <c r="AF814" s="39"/>
      <c r="AG814" s="39"/>
      <c r="AH814" s="34"/>
      <c r="AI814" s="34"/>
      <c r="AJ814" s="34"/>
      <c r="AK814" s="34"/>
      <c r="AN814" t="str">
        <f t="shared" si="1"/>
        <v/>
      </c>
    </row>
    <row r="815">
      <c r="A815" s="33"/>
      <c r="B815" s="33"/>
      <c r="C815" s="33"/>
      <c r="D815" s="34"/>
      <c r="E815" s="34"/>
      <c r="F815" s="34"/>
      <c r="G815" s="33"/>
      <c r="I815" s="34"/>
      <c r="J815" s="33"/>
      <c r="K815" s="33"/>
      <c r="L815" s="34"/>
      <c r="M815" s="34"/>
      <c r="N815" s="34"/>
      <c r="Q815" s="35"/>
      <c r="R815" s="36"/>
      <c r="S815" s="34"/>
      <c r="T815" s="34"/>
      <c r="AF815" s="39"/>
      <c r="AG815" s="39"/>
      <c r="AH815" s="34"/>
      <c r="AI815" s="34"/>
      <c r="AJ815" s="34"/>
      <c r="AK815" s="34"/>
      <c r="AN815" t="str">
        <f t="shared" si="1"/>
        <v/>
      </c>
    </row>
    <row r="816">
      <c r="A816" s="33"/>
      <c r="B816" s="33"/>
      <c r="C816" s="33"/>
      <c r="D816" s="34"/>
      <c r="E816" s="34"/>
      <c r="F816" s="34"/>
      <c r="G816" s="33"/>
      <c r="I816" s="34"/>
      <c r="J816" s="33"/>
      <c r="K816" s="33"/>
      <c r="L816" s="34"/>
      <c r="M816" s="34"/>
      <c r="N816" s="34"/>
      <c r="Q816" s="35"/>
      <c r="R816" s="36"/>
      <c r="S816" s="34"/>
      <c r="T816" s="34"/>
      <c r="AF816" s="39"/>
      <c r="AG816" s="39"/>
      <c r="AH816" s="34"/>
      <c r="AI816" s="34"/>
      <c r="AJ816" s="34"/>
      <c r="AK816" s="34"/>
      <c r="AN816" t="str">
        <f t="shared" si="1"/>
        <v/>
      </c>
    </row>
    <row r="817">
      <c r="A817" s="33"/>
      <c r="B817" s="33"/>
      <c r="C817" s="33"/>
      <c r="D817" s="34"/>
      <c r="E817" s="34"/>
      <c r="F817" s="34"/>
      <c r="G817" s="33"/>
      <c r="I817" s="34"/>
      <c r="J817" s="33"/>
      <c r="K817" s="33"/>
      <c r="L817" s="34"/>
      <c r="M817" s="34"/>
      <c r="N817" s="34"/>
      <c r="Q817" s="35"/>
      <c r="R817" s="36"/>
      <c r="S817" s="34"/>
      <c r="T817" s="34"/>
      <c r="AF817" s="39"/>
      <c r="AG817" s="39"/>
      <c r="AH817" s="34"/>
      <c r="AI817" s="34"/>
      <c r="AJ817" s="34"/>
      <c r="AK817" s="34"/>
      <c r="AN817" t="str">
        <f t="shared" si="1"/>
        <v/>
      </c>
    </row>
    <row r="818">
      <c r="A818" s="33"/>
      <c r="B818" s="33"/>
      <c r="C818" s="33"/>
      <c r="D818" s="34"/>
      <c r="E818" s="34"/>
      <c r="F818" s="34"/>
      <c r="G818" s="33"/>
      <c r="I818" s="34"/>
      <c r="J818" s="33"/>
      <c r="K818" s="33"/>
      <c r="L818" s="34"/>
      <c r="M818" s="34"/>
      <c r="N818" s="34"/>
      <c r="Q818" s="35"/>
      <c r="R818" s="36"/>
      <c r="S818" s="34"/>
      <c r="T818" s="34"/>
      <c r="AF818" s="39"/>
      <c r="AG818" s="39"/>
      <c r="AH818" s="34"/>
      <c r="AI818" s="34"/>
      <c r="AJ818" s="34"/>
      <c r="AK818" s="34"/>
      <c r="AN818" t="str">
        <f t="shared" si="1"/>
        <v/>
      </c>
    </row>
    <row r="819">
      <c r="A819" s="33"/>
      <c r="B819" s="33"/>
      <c r="C819" s="33"/>
      <c r="D819" s="34"/>
      <c r="E819" s="34"/>
      <c r="F819" s="34"/>
      <c r="G819" s="33"/>
      <c r="I819" s="34"/>
      <c r="J819" s="33"/>
      <c r="K819" s="33"/>
      <c r="L819" s="34"/>
      <c r="M819" s="34"/>
      <c r="N819" s="34"/>
      <c r="Q819" s="35"/>
      <c r="R819" s="36"/>
      <c r="S819" s="34"/>
      <c r="T819" s="34"/>
      <c r="AF819" s="39"/>
      <c r="AG819" s="39"/>
      <c r="AH819" s="34"/>
      <c r="AI819" s="34"/>
      <c r="AJ819" s="34"/>
      <c r="AK819" s="34"/>
      <c r="AN819" t="str">
        <f t="shared" si="1"/>
        <v/>
      </c>
    </row>
    <row r="820">
      <c r="A820" s="33"/>
      <c r="B820" s="33"/>
      <c r="C820" s="33"/>
      <c r="D820" s="34"/>
      <c r="E820" s="34"/>
      <c r="F820" s="34"/>
      <c r="G820" s="33"/>
      <c r="I820" s="34"/>
      <c r="J820" s="33"/>
      <c r="K820" s="33"/>
      <c r="L820" s="34"/>
      <c r="M820" s="34"/>
      <c r="N820" s="34"/>
      <c r="Q820" s="35"/>
      <c r="R820" s="36"/>
      <c r="S820" s="34"/>
      <c r="T820" s="34"/>
      <c r="AF820" s="39"/>
      <c r="AG820" s="39"/>
      <c r="AH820" s="34"/>
      <c r="AI820" s="34"/>
      <c r="AJ820" s="34"/>
      <c r="AK820" s="34"/>
      <c r="AN820" t="str">
        <f t="shared" si="1"/>
        <v/>
      </c>
    </row>
    <row r="821">
      <c r="A821" s="33"/>
      <c r="B821" s="33"/>
      <c r="C821" s="33"/>
      <c r="D821" s="34"/>
      <c r="E821" s="34"/>
      <c r="F821" s="34"/>
      <c r="G821" s="33"/>
      <c r="I821" s="34"/>
      <c r="J821" s="33"/>
      <c r="K821" s="33"/>
      <c r="L821" s="34"/>
      <c r="M821" s="34"/>
      <c r="N821" s="34"/>
      <c r="Q821" s="35"/>
      <c r="R821" s="36"/>
      <c r="S821" s="34"/>
      <c r="T821" s="34"/>
      <c r="AF821" s="39"/>
      <c r="AG821" s="39"/>
      <c r="AH821" s="34"/>
      <c r="AI821" s="34"/>
      <c r="AJ821" s="34"/>
      <c r="AK821" s="34"/>
      <c r="AN821" t="str">
        <f t="shared" si="1"/>
        <v/>
      </c>
    </row>
    <row r="822">
      <c r="A822" s="33"/>
      <c r="B822" s="33"/>
      <c r="C822" s="33"/>
      <c r="D822" s="34"/>
      <c r="E822" s="34"/>
      <c r="F822" s="34"/>
      <c r="G822" s="33"/>
      <c r="I822" s="34"/>
      <c r="J822" s="33"/>
      <c r="K822" s="33"/>
      <c r="L822" s="34"/>
      <c r="M822" s="34"/>
      <c r="N822" s="34"/>
      <c r="Q822" s="35"/>
      <c r="R822" s="36"/>
      <c r="S822" s="34"/>
      <c r="T822" s="34"/>
      <c r="AF822" s="39"/>
      <c r="AG822" s="39"/>
      <c r="AH822" s="34"/>
      <c r="AI822" s="34"/>
      <c r="AJ822" s="34"/>
      <c r="AK822" s="34"/>
      <c r="AN822" t="str">
        <f t="shared" si="1"/>
        <v/>
      </c>
    </row>
    <row r="823">
      <c r="A823" s="33"/>
      <c r="B823" s="33"/>
      <c r="C823" s="33"/>
      <c r="D823" s="34"/>
      <c r="E823" s="34"/>
      <c r="F823" s="34"/>
      <c r="G823" s="33"/>
      <c r="I823" s="34"/>
      <c r="J823" s="33"/>
      <c r="K823" s="33"/>
      <c r="L823" s="34"/>
      <c r="M823" s="34"/>
      <c r="N823" s="34"/>
      <c r="Q823" s="35"/>
      <c r="R823" s="36"/>
      <c r="S823" s="34"/>
      <c r="T823" s="34"/>
      <c r="AF823" s="39"/>
      <c r="AG823" s="39"/>
      <c r="AH823" s="34"/>
      <c r="AI823" s="34"/>
      <c r="AJ823" s="34"/>
      <c r="AK823" s="34"/>
      <c r="AN823" t="str">
        <f t="shared" si="1"/>
        <v/>
      </c>
    </row>
    <row r="824">
      <c r="A824" s="33"/>
      <c r="B824" s="33"/>
      <c r="C824" s="33"/>
      <c r="D824" s="34"/>
      <c r="E824" s="34"/>
      <c r="F824" s="34"/>
      <c r="G824" s="33"/>
      <c r="I824" s="34"/>
      <c r="J824" s="33"/>
      <c r="K824" s="33"/>
      <c r="L824" s="34"/>
      <c r="M824" s="34"/>
      <c r="N824" s="34"/>
      <c r="Q824" s="35"/>
      <c r="R824" s="36"/>
      <c r="S824" s="34"/>
      <c r="T824" s="34"/>
      <c r="AF824" s="39"/>
      <c r="AG824" s="39"/>
      <c r="AH824" s="34"/>
      <c r="AI824" s="34"/>
      <c r="AJ824" s="34"/>
      <c r="AK824" s="34"/>
      <c r="AN824" t="str">
        <f t="shared" si="1"/>
        <v/>
      </c>
    </row>
    <row r="825">
      <c r="A825" s="33"/>
      <c r="B825" s="33"/>
      <c r="C825" s="33"/>
      <c r="D825" s="34"/>
      <c r="E825" s="34"/>
      <c r="F825" s="34"/>
      <c r="G825" s="33"/>
      <c r="I825" s="34"/>
      <c r="J825" s="33"/>
      <c r="K825" s="33"/>
      <c r="L825" s="34"/>
      <c r="M825" s="34"/>
      <c r="N825" s="34"/>
      <c r="Q825" s="35"/>
      <c r="R825" s="36"/>
      <c r="S825" s="34"/>
      <c r="T825" s="34"/>
      <c r="AF825" s="39"/>
      <c r="AG825" s="39"/>
      <c r="AH825" s="34"/>
      <c r="AI825" s="34"/>
      <c r="AJ825" s="34"/>
      <c r="AK825" s="34"/>
      <c r="AN825" t="str">
        <f t="shared" si="1"/>
        <v/>
      </c>
    </row>
    <row r="826">
      <c r="A826" s="33"/>
      <c r="B826" s="33"/>
      <c r="C826" s="33"/>
      <c r="D826" s="34"/>
      <c r="E826" s="34"/>
      <c r="F826" s="34"/>
      <c r="G826" s="33"/>
      <c r="I826" s="34"/>
      <c r="J826" s="33"/>
      <c r="K826" s="33"/>
      <c r="L826" s="34"/>
      <c r="M826" s="34"/>
      <c r="N826" s="34"/>
      <c r="Q826" s="35"/>
      <c r="R826" s="36"/>
      <c r="S826" s="34"/>
      <c r="T826" s="34"/>
      <c r="AF826" s="39"/>
      <c r="AG826" s="39"/>
      <c r="AH826" s="34"/>
      <c r="AI826" s="34"/>
      <c r="AJ826" s="34"/>
      <c r="AK826" s="34"/>
      <c r="AN826" t="str">
        <f t="shared" si="1"/>
        <v/>
      </c>
    </row>
    <row r="827">
      <c r="A827" s="33"/>
      <c r="B827" s="33"/>
      <c r="C827" s="33"/>
      <c r="D827" s="34"/>
      <c r="E827" s="34"/>
      <c r="F827" s="34"/>
      <c r="G827" s="33"/>
      <c r="I827" s="34"/>
      <c r="J827" s="33"/>
      <c r="K827" s="33"/>
      <c r="L827" s="34"/>
      <c r="M827" s="34"/>
      <c r="N827" s="34"/>
      <c r="Q827" s="35"/>
      <c r="R827" s="36"/>
      <c r="S827" s="34"/>
      <c r="T827" s="34"/>
      <c r="AF827" s="39"/>
      <c r="AG827" s="39"/>
      <c r="AH827" s="34"/>
      <c r="AI827" s="34"/>
      <c r="AJ827" s="34"/>
      <c r="AK827" s="34"/>
      <c r="AN827" t="str">
        <f t="shared" si="1"/>
        <v/>
      </c>
    </row>
    <row r="828">
      <c r="A828" s="33"/>
      <c r="B828" s="33"/>
      <c r="C828" s="33"/>
      <c r="D828" s="34"/>
      <c r="E828" s="34"/>
      <c r="F828" s="34"/>
      <c r="G828" s="33"/>
      <c r="I828" s="34"/>
      <c r="J828" s="33"/>
      <c r="K828" s="33"/>
      <c r="L828" s="34"/>
      <c r="M828" s="34"/>
      <c r="N828" s="34"/>
      <c r="Q828" s="35"/>
      <c r="R828" s="36"/>
      <c r="S828" s="34"/>
      <c r="T828" s="34"/>
      <c r="AF828" s="39"/>
      <c r="AG828" s="39"/>
      <c r="AH828" s="34"/>
      <c r="AI828" s="34"/>
      <c r="AJ828" s="34"/>
      <c r="AK828" s="34"/>
      <c r="AN828" t="str">
        <f t="shared" si="1"/>
        <v/>
      </c>
    </row>
    <row r="829">
      <c r="A829" s="33"/>
      <c r="B829" s="33"/>
      <c r="C829" s="33"/>
      <c r="D829" s="34"/>
      <c r="E829" s="34"/>
      <c r="F829" s="34"/>
      <c r="G829" s="33"/>
      <c r="I829" s="34"/>
      <c r="J829" s="33"/>
      <c r="K829" s="33"/>
      <c r="L829" s="34"/>
      <c r="M829" s="34"/>
      <c r="N829" s="34"/>
      <c r="Q829" s="35"/>
      <c r="R829" s="36"/>
      <c r="S829" s="34"/>
      <c r="T829" s="34"/>
      <c r="AF829" s="39"/>
      <c r="AG829" s="39"/>
      <c r="AH829" s="34"/>
      <c r="AI829" s="34"/>
      <c r="AJ829" s="34"/>
      <c r="AK829" s="34"/>
      <c r="AN829" t="str">
        <f t="shared" si="1"/>
        <v/>
      </c>
    </row>
    <row r="830">
      <c r="A830" s="33"/>
      <c r="B830" s="33"/>
      <c r="C830" s="33"/>
      <c r="D830" s="34"/>
      <c r="E830" s="34"/>
      <c r="F830" s="34"/>
      <c r="G830" s="33"/>
      <c r="I830" s="34"/>
      <c r="J830" s="33"/>
      <c r="K830" s="33"/>
      <c r="L830" s="34"/>
      <c r="M830" s="34"/>
      <c r="N830" s="34"/>
      <c r="Q830" s="35"/>
      <c r="R830" s="36"/>
      <c r="S830" s="34"/>
      <c r="T830" s="34"/>
      <c r="AF830" s="39"/>
      <c r="AG830" s="39"/>
      <c r="AH830" s="34"/>
      <c r="AI830" s="34"/>
      <c r="AJ830" s="34"/>
      <c r="AK830" s="34"/>
      <c r="AN830" t="str">
        <f t="shared" si="1"/>
        <v/>
      </c>
    </row>
    <row r="831">
      <c r="A831" s="33"/>
      <c r="B831" s="33"/>
      <c r="C831" s="33"/>
      <c r="D831" s="34"/>
      <c r="E831" s="34"/>
      <c r="F831" s="34"/>
      <c r="G831" s="33"/>
      <c r="I831" s="34"/>
      <c r="J831" s="33"/>
      <c r="K831" s="33"/>
      <c r="L831" s="34"/>
      <c r="M831" s="34"/>
      <c r="N831" s="34"/>
      <c r="Q831" s="35"/>
      <c r="R831" s="36"/>
      <c r="S831" s="34"/>
      <c r="T831" s="34"/>
      <c r="AF831" s="39"/>
      <c r="AG831" s="39"/>
      <c r="AH831" s="34"/>
      <c r="AI831" s="34"/>
      <c r="AJ831" s="34"/>
      <c r="AK831" s="34"/>
      <c r="AN831" t="str">
        <f t="shared" si="1"/>
        <v/>
      </c>
    </row>
    <row r="832">
      <c r="A832" s="33"/>
      <c r="B832" s="33"/>
      <c r="C832" s="33"/>
      <c r="D832" s="34"/>
      <c r="E832" s="34"/>
      <c r="F832" s="34"/>
      <c r="G832" s="33"/>
      <c r="I832" s="34"/>
      <c r="J832" s="33"/>
      <c r="K832" s="33"/>
      <c r="L832" s="34"/>
      <c r="M832" s="34"/>
      <c r="N832" s="34"/>
      <c r="Q832" s="35"/>
      <c r="R832" s="36"/>
      <c r="S832" s="34"/>
      <c r="T832" s="34"/>
      <c r="AF832" s="39"/>
      <c r="AG832" s="39"/>
      <c r="AH832" s="34"/>
      <c r="AI832" s="34"/>
      <c r="AJ832" s="34"/>
      <c r="AK832" s="34"/>
      <c r="AN832" t="str">
        <f t="shared" si="1"/>
        <v/>
      </c>
    </row>
    <row r="833">
      <c r="A833" s="33"/>
      <c r="B833" s="33"/>
      <c r="C833" s="33"/>
      <c r="D833" s="34"/>
      <c r="E833" s="34"/>
      <c r="F833" s="34"/>
      <c r="G833" s="33"/>
      <c r="I833" s="34"/>
      <c r="J833" s="33"/>
      <c r="K833" s="33"/>
      <c r="L833" s="34"/>
      <c r="M833" s="34"/>
      <c r="N833" s="34"/>
      <c r="Q833" s="35"/>
      <c r="R833" s="36"/>
      <c r="S833" s="34"/>
      <c r="T833" s="34"/>
      <c r="AF833" s="39"/>
      <c r="AG833" s="39"/>
      <c r="AH833" s="34"/>
      <c r="AI833" s="34"/>
      <c r="AJ833" s="34"/>
      <c r="AK833" s="34"/>
      <c r="AN833" t="str">
        <f t="shared" si="1"/>
        <v/>
      </c>
    </row>
    <row r="834">
      <c r="A834" s="33"/>
      <c r="B834" s="33"/>
      <c r="C834" s="33"/>
      <c r="D834" s="34"/>
      <c r="E834" s="34"/>
      <c r="F834" s="34"/>
      <c r="G834" s="33"/>
      <c r="I834" s="34"/>
      <c r="J834" s="33"/>
      <c r="K834" s="33"/>
      <c r="L834" s="34"/>
      <c r="M834" s="34"/>
      <c r="N834" s="34"/>
      <c r="Q834" s="35"/>
      <c r="R834" s="36"/>
      <c r="S834" s="34"/>
      <c r="T834" s="34"/>
      <c r="AF834" s="39"/>
      <c r="AG834" s="39"/>
      <c r="AH834" s="34"/>
      <c r="AI834" s="34"/>
      <c r="AJ834" s="34"/>
      <c r="AK834" s="34"/>
      <c r="AN834" t="str">
        <f t="shared" si="1"/>
        <v/>
      </c>
    </row>
    <row r="835">
      <c r="A835" s="33"/>
      <c r="B835" s="33"/>
      <c r="C835" s="33"/>
      <c r="D835" s="34"/>
      <c r="E835" s="34"/>
      <c r="F835" s="34"/>
      <c r="G835" s="33"/>
      <c r="I835" s="34"/>
      <c r="J835" s="33"/>
      <c r="K835" s="33"/>
      <c r="L835" s="34"/>
      <c r="M835" s="34"/>
      <c r="N835" s="34"/>
      <c r="Q835" s="35"/>
      <c r="R835" s="36"/>
      <c r="S835" s="34"/>
      <c r="T835" s="34"/>
      <c r="AF835" s="39"/>
      <c r="AG835" s="39"/>
      <c r="AH835" s="34"/>
      <c r="AI835" s="34"/>
      <c r="AJ835" s="34"/>
      <c r="AK835" s="34"/>
      <c r="AN835" t="str">
        <f t="shared" si="1"/>
        <v/>
      </c>
    </row>
    <row r="836">
      <c r="A836" s="33"/>
      <c r="B836" s="33"/>
      <c r="C836" s="33"/>
      <c r="D836" s="34"/>
      <c r="E836" s="34"/>
      <c r="F836" s="34"/>
      <c r="G836" s="33"/>
      <c r="I836" s="34"/>
      <c r="J836" s="33"/>
      <c r="K836" s="33"/>
      <c r="L836" s="34"/>
      <c r="M836" s="34"/>
      <c r="N836" s="34"/>
      <c r="Q836" s="35"/>
      <c r="R836" s="36"/>
      <c r="S836" s="34"/>
      <c r="T836" s="34"/>
      <c r="AF836" s="39"/>
      <c r="AG836" s="39"/>
      <c r="AH836" s="34"/>
      <c r="AI836" s="34"/>
      <c r="AJ836" s="34"/>
      <c r="AK836" s="34"/>
      <c r="AN836" t="str">
        <f t="shared" si="1"/>
        <v/>
      </c>
    </row>
    <row r="837">
      <c r="A837" s="33"/>
      <c r="B837" s="33"/>
      <c r="C837" s="33"/>
      <c r="D837" s="34"/>
      <c r="E837" s="34"/>
      <c r="F837" s="34"/>
      <c r="G837" s="33"/>
      <c r="I837" s="34"/>
      <c r="J837" s="33"/>
      <c r="K837" s="33"/>
      <c r="L837" s="34"/>
      <c r="M837" s="34"/>
      <c r="N837" s="34"/>
      <c r="Q837" s="35"/>
      <c r="R837" s="36"/>
      <c r="S837" s="34"/>
      <c r="T837" s="34"/>
      <c r="AF837" s="39"/>
      <c r="AG837" s="39"/>
      <c r="AH837" s="34"/>
      <c r="AI837" s="34"/>
      <c r="AJ837" s="34"/>
      <c r="AK837" s="34"/>
      <c r="AN837" t="str">
        <f t="shared" si="1"/>
        <v/>
      </c>
    </row>
    <row r="838">
      <c r="A838" s="33"/>
      <c r="B838" s="33"/>
      <c r="C838" s="33"/>
      <c r="D838" s="34"/>
      <c r="E838" s="34"/>
      <c r="F838" s="34"/>
      <c r="G838" s="33"/>
      <c r="I838" s="34"/>
      <c r="J838" s="33"/>
      <c r="K838" s="33"/>
      <c r="L838" s="34"/>
      <c r="M838" s="34"/>
      <c r="N838" s="34"/>
      <c r="Q838" s="35"/>
      <c r="R838" s="36"/>
      <c r="S838" s="34"/>
      <c r="T838" s="34"/>
      <c r="AF838" s="39"/>
      <c r="AG838" s="39"/>
      <c r="AH838" s="34"/>
      <c r="AI838" s="34"/>
      <c r="AJ838" s="34"/>
      <c r="AK838" s="34"/>
      <c r="AN838" t="str">
        <f t="shared" si="1"/>
        <v/>
      </c>
    </row>
    <row r="839">
      <c r="A839" s="33"/>
      <c r="B839" s="33"/>
      <c r="C839" s="33"/>
      <c r="D839" s="34"/>
      <c r="E839" s="34"/>
      <c r="F839" s="34"/>
      <c r="G839" s="33"/>
      <c r="I839" s="34"/>
      <c r="J839" s="33"/>
      <c r="K839" s="33"/>
      <c r="L839" s="34"/>
      <c r="M839" s="34"/>
      <c r="N839" s="34"/>
      <c r="Q839" s="35"/>
      <c r="R839" s="36"/>
      <c r="S839" s="34"/>
      <c r="T839" s="34"/>
      <c r="AF839" s="39"/>
      <c r="AG839" s="39"/>
      <c r="AH839" s="34"/>
      <c r="AI839" s="34"/>
      <c r="AJ839" s="34"/>
      <c r="AK839" s="34"/>
      <c r="AN839" t="str">
        <f t="shared" si="1"/>
        <v/>
      </c>
    </row>
    <row r="840">
      <c r="A840" s="33"/>
      <c r="B840" s="33"/>
      <c r="C840" s="33"/>
      <c r="D840" s="34"/>
      <c r="E840" s="34"/>
      <c r="F840" s="34"/>
      <c r="G840" s="33"/>
      <c r="I840" s="34"/>
      <c r="J840" s="33"/>
      <c r="K840" s="33"/>
      <c r="L840" s="34"/>
      <c r="M840" s="34"/>
      <c r="N840" s="34"/>
      <c r="Q840" s="35"/>
      <c r="R840" s="36"/>
      <c r="S840" s="34"/>
      <c r="T840" s="34"/>
      <c r="AF840" s="39"/>
      <c r="AG840" s="39"/>
      <c r="AH840" s="34"/>
      <c r="AI840" s="34"/>
      <c r="AJ840" s="34"/>
      <c r="AK840" s="34"/>
      <c r="AN840" t="str">
        <f t="shared" si="1"/>
        <v/>
      </c>
    </row>
    <row r="841">
      <c r="A841" s="33"/>
      <c r="B841" s="33"/>
      <c r="C841" s="33"/>
      <c r="D841" s="34"/>
      <c r="E841" s="34"/>
      <c r="F841" s="34"/>
      <c r="G841" s="33"/>
      <c r="I841" s="34"/>
      <c r="J841" s="33"/>
      <c r="K841" s="33"/>
      <c r="L841" s="34"/>
      <c r="M841" s="34"/>
      <c r="N841" s="34"/>
      <c r="Q841" s="35"/>
      <c r="R841" s="36"/>
      <c r="S841" s="34"/>
      <c r="T841" s="34"/>
      <c r="AF841" s="39"/>
      <c r="AG841" s="39"/>
      <c r="AH841" s="34"/>
      <c r="AI841" s="34"/>
      <c r="AJ841" s="34"/>
      <c r="AK841" s="34"/>
      <c r="AN841" t="str">
        <f t="shared" si="1"/>
        <v/>
      </c>
    </row>
    <row r="842">
      <c r="A842" s="33"/>
      <c r="B842" s="33"/>
      <c r="C842" s="33"/>
      <c r="D842" s="34"/>
      <c r="E842" s="34"/>
      <c r="F842" s="34"/>
      <c r="G842" s="33"/>
      <c r="I842" s="34"/>
      <c r="J842" s="33"/>
      <c r="K842" s="33"/>
      <c r="L842" s="34"/>
      <c r="M842" s="34"/>
      <c r="N842" s="34"/>
      <c r="Q842" s="35"/>
      <c r="R842" s="36"/>
      <c r="S842" s="34"/>
      <c r="T842" s="34"/>
      <c r="AF842" s="39"/>
      <c r="AG842" s="39"/>
      <c r="AH842" s="34"/>
      <c r="AI842" s="34"/>
      <c r="AJ842" s="34"/>
      <c r="AK842" s="34"/>
      <c r="AN842" t="str">
        <f t="shared" si="1"/>
        <v/>
      </c>
    </row>
    <row r="843">
      <c r="A843" s="33"/>
      <c r="B843" s="33"/>
      <c r="C843" s="33"/>
      <c r="D843" s="34"/>
      <c r="E843" s="34"/>
      <c r="F843" s="34"/>
      <c r="G843" s="33"/>
      <c r="I843" s="34"/>
      <c r="J843" s="33"/>
      <c r="K843" s="33"/>
      <c r="L843" s="34"/>
      <c r="M843" s="34"/>
      <c r="N843" s="34"/>
      <c r="Q843" s="35"/>
      <c r="R843" s="36"/>
      <c r="S843" s="34"/>
      <c r="T843" s="34"/>
      <c r="AF843" s="39"/>
      <c r="AG843" s="39"/>
      <c r="AH843" s="34"/>
      <c r="AI843" s="34"/>
      <c r="AJ843" s="34"/>
      <c r="AK843" s="34"/>
      <c r="AN843" t="str">
        <f t="shared" si="1"/>
        <v/>
      </c>
    </row>
    <row r="844">
      <c r="A844" s="33"/>
      <c r="B844" s="33"/>
      <c r="C844" s="33"/>
      <c r="D844" s="34"/>
      <c r="E844" s="34"/>
      <c r="F844" s="34"/>
      <c r="G844" s="33"/>
      <c r="I844" s="34"/>
      <c r="J844" s="33"/>
      <c r="K844" s="33"/>
      <c r="L844" s="34"/>
      <c r="M844" s="34"/>
      <c r="N844" s="34"/>
      <c r="Q844" s="35"/>
      <c r="R844" s="36"/>
      <c r="S844" s="34"/>
      <c r="T844" s="34"/>
      <c r="AF844" s="39"/>
      <c r="AG844" s="39"/>
      <c r="AH844" s="34"/>
      <c r="AI844" s="34"/>
      <c r="AJ844" s="34"/>
      <c r="AK844" s="34"/>
      <c r="AN844" t="str">
        <f t="shared" si="1"/>
        <v/>
      </c>
    </row>
    <row r="845">
      <c r="A845" s="33"/>
      <c r="B845" s="33"/>
      <c r="C845" s="33"/>
      <c r="D845" s="34"/>
      <c r="E845" s="34"/>
      <c r="F845" s="34"/>
      <c r="G845" s="33"/>
      <c r="I845" s="34"/>
      <c r="J845" s="33"/>
      <c r="K845" s="33"/>
      <c r="L845" s="34"/>
      <c r="M845" s="34"/>
      <c r="N845" s="34"/>
      <c r="Q845" s="35"/>
      <c r="R845" s="36"/>
      <c r="S845" s="34"/>
      <c r="T845" s="34"/>
      <c r="AF845" s="39"/>
      <c r="AG845" s="39"/>
      <c r="AH845" s="34"/>
      <c r="AI845" s="34"/>
      <c r="AJ845" s="34"/>
      <c r="AK845" s="34"/>
      <c r="AN845" t="str">
        <f t="shared" si="1"/>
        <v/>
      </c>
    </row>
    <row r="846">
      <c r="A846" s="33"/>
      <c r="B846" s="33"/>
      <c r="C846" s="33"/>
      <c r="D846" s="34"/>
      <c r="E846" s="34"/>
      <c r="F846" s="34"/>
      <c r="G846" s="33"/>
      <c r="I846" s="34"/>
      <c r="J846" s="33"/>
      <c r="K846" s="33"/>
      <c r="L846" s="34"/>
      <c r="M846" s="34"/>
      <c r="N846" s="34"/>
      <c r="Q846" s="35"/>
      <c r="R846" s="36"/>
      <c r="S846" s="34"/>
      <c r="T846" s="34"/>
      <c r="AF846" s="39"/>
      <c r="AG846" s="39"/>
      <c r="AH846" s="34"/>
      <c r="AI846" s="34"/>
      <c r="AJ846" s="34"/>
      <c r="AK846" s="34"/>
      <c r="AN846" t="str">
        <f t="shared" si="1"/>
        <v/>
      </c>
    </row>
    <row r="847">
      <c r="A847" s="33"/>
      <c r="B847" s="33"/>
      <c r="C847" s="33"/>
      <c r="D847" s="34"/>
      <c r="E847" s="34"/>
      <c r="F847" s="34"/>
      <c r="G847" s="33"/>
      <c r="I847" s="34"/>
      <c r="J847" s="33"/>
      <c r="K847" s="33"/>
      <c r="L847" s="34"/>
      <c r="M847" s="34"/>
      <c r="N847" s="34"/>
      <c r="Q847" s="35"/>
      <c r="R847" s="36"/>
      <c r="S847" s="34"/>
      <c r="T847" s="34"/>
      <c r="AF847" s="39"/>
      <c r="AG847" s="39"/>
      <c r="AH847" s="34"/>
      <c r="AI847" s="34"/>
      <c r="AJ847" s="34"/>
      <c r="AK847" s="34"/>
      <c r="AN847" t="str">
        <f t="shared" si="1"/>
        <v/>
      </c>
    </row>
    <row r="848">
      <c r="A848" s="33"/>
      <c r="B848" s="33"/>
      <c r="C848" s="33"/>
      <c r="D848" s="34"/>
      <c r="E848" s="34"/>
      <c r="F848" s="34"/>
      <c r="G848" s="33"/>
      <c r="I848" s="34"/>
      <c r="J848" s="33"/>
      <c r="K848" s="33"/>
      <c r="L848" s="34"/>
      <c r="M848" s="34"/>
      <c r="N848" s="34"/>
      <c r="Q848" s="35"/>
      <c r="R848" s="36"/>
      <c r="S848" s="34"/>
      <c r="T848" s="34"/>
      <c r="AF848" s="39"/>
      <c r="AG848" s="39"/>
      <c r="AH848" s="34"/>
      <c r="AI848" s="34"/>
      <c r="AJ848" s="34"/>
      <c r="AK848" s="34"/>
      <c r="AN848" t="str">
        <f t="shared" si="1"/>
        <v/>
      </c>
    </row>
    <row r="849">
      <c r="A849" s="33"/>
      <c r="B849" s="33"/>
      <c r="C849" s="33"/>
      <c r="D849" s="34"/>
      <c r="E849" s="34"/>
      <c r="F849" s="34"/>
      <c r="G849" s="33"/>
      <c r="I849" s="34"/>
      <c r="J849" s="33"/>
      <c r="K849" s="33"/>
      <c r="L849" s="34"/>
      <c r="M849" s="34"/>
      <c r="N849" s="34"/>
      <c r="Q849" s="35"/>
      <c r="R849" s="36"/>
      <c r="S849" s="34"/>
      <c r="T849" s="34"/>
      <c r="AF849" s="39"/>
      <c r="AG849" s="39"/>
      <c r="AH849" s="34"/>
      <c r="AI849" s="34"/>
      <c r="AJ849" s="34"/>
      <c r="AK849" s="34"/>
      <c r="AN849" t="str">
        <f t="shared" si="1"/>
        <v/>
      </c>
    </row>
    <row r="850">
      <c r="A850" s="33"/>
      <c r="B850" s="33"/>
      <c r="C850" s="33"/>
      <c r="D850" s="34"/>
      <c r="E850" s="34"/>
      <c r="F850" s="34"/>
      <c r="G850" s="33"/>
      <c r="I850" s="34"/>
      <c r="J850" s="33"/>
      <c r="K850" s="33"/>
      <c r="L850" s="34"/>
      <c r="M850" s="34"/>
      <c r="N850" s="34"/>
      <c r="Q850" s="35"/>
      <c r="R850" s="36"/>
      <c r="S850" s="34"/>
      <c r="T850" s="34"/>
      <c r="AF850" s="39"/>
      <c r="AG850" s="39"/>
      <c r="AH850" s="34"/>
      <c r="AI850" s="34"/>
      <c r="AJ850" s="34"/>
      <c r="AK850" s="34"/>
      <c r="AN850" t="str">
        <f t="shared" si="1"/>
        <v/>
      </c>
    </row>
    <row r="851">
      <c r="A851" s="33"/>
      <c r="B851" s="33"/>
      <c r="C851" s="33"/>
      <c r="D851" s="34"/>
      <c r="E851" s="34"/>
      <c r="F851" s="34"/>
      <c r="G851" s="33"/>
      <c r="I851" s="34"/>
      <c r="J851" s="33"/>
      <c r="K851" s="33"/>
      <c r="L851" s="34"/>
      <c r="M851" s="34"/>
      <c r="N851" s="34"/>
      <c r="Q851" s="35"/>
      <c r="R851" s="36"/>
      <c r="S851" s="34"/>
      <c r="T851" s="34"/>
      <c r="AF851" s="39"/>
      <c r="AG851" s="39"/>
      <c r="AH851" s="34"/>
      <c r="AI851" s="34"/>
      <c r="AJ851" s="34"/>
      <c r="AK851" s="34"/>
      <c r="AN851" t="str">
        <f t="shared" si="1"/>
        <v/>
      </c>
    </row>
    <row r="852">
      <c r="A852" s="33"/>
      <c r="B852" s="33"/>
      <c r="C852" s="33"/>
      <c r="D852" s="34"/>
      <c r="E852" s="34"/>
      <c r="F852" s="34"/>
      <c r="G852" s="33"/>
      <c r="I852" s="34"/>
      <c r="J852" s="33"/>
      <c r="K852" s="33"/>
      <c r="L852" s="34"/>
      <c r="M852" s="34"/>
      <c r="N852" s="34"/>
      <c r="Q852" s="35"/>
      <c r="R852" s="36"/>
      <c r="S852" s="34"/>
      <c r="T852" s="34"/>
      <c r="AF852" s="39"/>
      <c r="AG852" s="39"/>
      <c r="AH852" s="34"/>
      <c r="AI852" s="34"/>
      <c r="AJ852" s="34"/>
      <c r="AK852" s="34"/>
      <c r="AN852" t="str">
        <f t="shared" si="1"/>
        <v/>
      </c>
    </row>
    <row r="853">
      <c r="A853" s="33"/>
      <c r="B853" s="33"/>
      <c r="C853" s="33"/>
      <c r="D853" s="34"/>
      <c r="E853" s="34"/>
      <c r="F853" s="34"/>
      <c r="G853" s="33"/>
      <c r="I853" s="34"/>
      <c r="J853" s="33"/>
      <c r="K853" s="33"/>
      <c r="L853" s="34"/>
      <c r="M853" s="34"/>
      <c r="N853" s="34"/>
      <c r="Q853" s="35"/>
      <c r="R853" s="36"/>
      <c r="S853" s="34"/>
      <c r="T853" s="34"/>
      <c r="AF853" s="39"/>
      <c r="AG853" s="39"/>
      <c r="AH853" s="34"/>
      <c r="AI853" s="34"/>
      <c r="AJ853" s="34"/>
      <c r="AK853" s="34"/>
      <c r="AN853" t="str">
        <f t="shared" si="1"/>
        <v/>
      </c>
    </row>
    <row r="854">
      <c r="A854" s="33"/>
      <c r="B854" s="33"/>
      <c r="C854" s="33"/>
      <c r="D854" s="34"/>
      <c r="E854" s="34"/>
      <c r="F854" s="34"/>
      <c r="G854" s="33"/>
      <c r="I854" s="34"/>
      <c r="J854" s="33"/>
      <c r="K854" s="33"/>
      <c r="L854" s="34"/>
      <c r="M854" s="34"/>
      <c r="N854" s="34"/>
      <c r="Q854" s="35"/>
      <c r="R854" s="36"/>
      <c r="S854" s="34"/>
      <c r="T854" s="34"/>
      <c r="AF854" s="39"/>
      <c r="AG854" s="39"/>
      <c r="AH854" s="34"/>
      <c r="AI854" s="34"/>
      <c r="AJ854" s="34"/>
      <c r="AK854" s="34"/>
      <c r="AN854" t="str">
        <f t="shared" si="1"/>
        <v/>
      </c>
    </row>
    <row r="855">
      <c r="A855" s="33"/>
      <c r="B855" s="33"/>
      <c r="C855" s="33"/>
      <c r="D855" s="34"/>
      <c r="E855" s="34"/>
      <c r="F855" s="34"/>
      <c r="G855" s="33"/>
      <c r="I855" s="34"/>
      <c r="J855" s="33"/>
      <c r="K855" s="33"/>
      <c r="L855" s="34"/>
      <c r="M855" s="34"/>
      <c r="N855" s="34"/>
      <c r="Q855" s="35"/>
      <c r="R855" s="36"/>
      <c r="S855" s="34"/>
      <c r="T855" s="34"/>
      <c r="AF855" s="39"/>
      <c r="AG855" s="39"/>
      <c r="AH855" s="34"/>
      <c r="AI855" s="34"/>
      <c r="AJ855" s="34"/>
      <c r="AK855" s="34"/>
      <c r="AN855" t="str">
        <f t="shared" si="1"/>
        <v/>
      </c>
    </row>
    <row r="856">
      <c r="A856" s="33"/>
      <c r="B856" s="33"/>
      <c r="C856" s="33"/>
      <c r="D856" s="34"/>
      <c r="E856" s="34"/>
      <c r="F856" s="34"/>
      <c r="G856" s="33"/>
      <c r="I856" s="34"/>
      <c r="J856" s="33"/>
      <c r="K856" s="33"/>
      <c r="L856" s="34"/>
      <c r="M856" s="34"/>
      <c r="N856" s="34"/>
      <c r="Q856" s="35"/>
      <c r="R856" s="36"/>
      <c r="S856" s="34"/>
      <c r="T856" s="34"/>
      <c r="AF856" s="39"/>
      <c r="AG856" s="39"/>
      <c r="AH856" s="34"/>
      <c r="AI856" s="34"/>
      <c r="AJ856" s="34"/>
      <c r="AK856" s="34"/>
      <c r="AN856" t="str">
        <f t="shared" si="1"/>
        <v/>
      </c>
    </row>
    <row r="857">
      <c r="A857" s="33"/>
      <c r="B857" s="33"/>
      <c r="C857" s="33"/>
      <c r="D857" s="34"/>
      <c r="E857" s="34"/>
      <c r="F857" s="34"/>
      <c r="G857" s="33"/>
      <c r="I857" s="34"/>
      <c r="J857" s="33"/>
      <c r="K857" s="33"/>
      <c r="L857" s="34"/>
      <c r="M857" s="34"/>
      <c r="N857" s="34"/>
      <c r="Q857" s="35"/>
      <c r="R857" s="36"/>
      <c r="S857" s="34"/>
      <c r="T857" s="34"/>
      <c r="AF857" s="39"/>
      <c r="AG857" s="39"/>
      <c r="AH857" s="34"/>
      <c r="AI857" s="34"/>
      <c r="AJ857" s="34"/>
      <c r="AK857" s="34"/>
      <c r="AN857" t="str">
        <f t="shared" si="1"/>
        <v/>
      </c>
    </row>
    <row r="858">
      <c r="A858" s="33"/>
      <c r="B858" s="33"/>
      <c r="C858" s="33"/>
      <c r="D858" s="34"/>
      <c r="E858" s="34"/>
      <c r="F858" s="34"/>
      <c r="G858" s="33"/>
      <c r="I858" s="34"/>
      <c r="J858" s="33"/>
      <c r="K858" s="33"/>
      <c r="L858" s="34"/>
      <c r="M858" s="34"/>
      <c r="N858" s="34"/>
      <c r="Q858" s="35"/>
      <c r="R858" s="36"/>
      <c r="S858" s="34"/>
      <c r="T858" s="34"/>
      <c r="AF858" s="39"/>
      <c r="AG858" s="39"/>
      <c r="AH858" s="34"/>
      <c r="AI858" s="34"/>
      <c r="AJ858" s="34"/>
      <c r="AK858" s="34"/>
      <c r="AN858" t="str">
        <f t="shared" si="1"/>
        <v/>
      </c>
    </row>
    <row r="859">
      <c r="A859" s="33"/>
      <c r="B859" s="33"/>
      <c r="C859" s="33"/>
      <c r="D859" s="34"/>
      <c r="E859" s="34"/>
      <c r="F859" s="34"/>
      <c r="G859" s="33"/>
      <c r="I859" s="34"/>
      <c r="J859" s="33"/>
      <c r="K859" s="33"/>
      <c r="L859" s="34"/>
      <c r="M859" s="34"/>
      <c r="N859" s="34"/>
      <c r="Q859" s="35"/>
      <c r="R859" s="36"/>
      <c r="S859" s="34"/>
      <c r="T859" s="34"/>
      <c r="AF859" s="39"/>
      <c r="AG859" s="39"/>
      <c r="AH859" s="34"/>
      <c r="AI859" s="34"/>
      <c r="AJ859" s="34"/>
      <c r="AK859" s="34"/>
      <c r="AN859" t="str">
        <f t="shared" si="1"/>
        <v/>
      </c>
    </row>
    <row r="860">
      <c r="A860" s="33"/>
      <c r="B860" s="33"/>
      <c r="C860" s="33"/>
      <c r="D860" s="34"/>
      <c r="E860" s="34"/>
      <c r="F860" s="34"/>
      <c r="G860" s="33"/>
      <c r="I860" s="34"/>
      <c r="J860" s="33"/>
      <c r="K860" s="33"/>
      <c r="L860" s="34"/>
      <c r="M860" s="34"/>
      <c r="N860" s="34"/>
      <c r="Q860" s="35"/>
      <c r="R860" s="36"/>
      <c r="S860" s="34"/>
      <c r="T860" s="34"/>
      <c r="AF860" s="39"/>
      <c r="AG860" s="39"/>
      <c r="AH860" s="34"/>
      <c r="AI860" s="34"/>
      <c r="AJ860" s="34"/>
      <c r="AK860" s="34"/>
      <c r="AN860" t="str">
        <f t="shared" si="1"/>
        <v/>
      </c>
    </row>
    <row r="861">
      <c r="A861" s="33"/>
      <c r="B861" s="33"/>
      <c r="C861" s="33"/>
      <c r="D861" s="34"/>
      <c r="E861" s="34"/>
      <c r="F861" s="34"/>
      <c r="G861" s="33"/>
      <c r="I861" s="34"/>
      <c r="J861" s="33"/>
      <c r="K861" s="33"/>
      <c r="L861" s="34"/>
      <c r="M861" s="34"/>
      <c r="N861" s="34"/>
      <c r="Q861" s="35"/>
      <c r="R861" s="36"/>
      <c r="S861" s="34"/>
      <c r="T861" s="34"/>
      <c r="AF861" s="39"/>
      <c r="AG861" s="39"/>
      <c r="AH861" s="34"/>
      <c r="AI861" s="34"/>
      <c r="AJ861" s="34"/>
      <c r="AK861" s="34"/>
      <c r="AN861" t="str">
        <f t="shared" si="1"/>
        <v/>
      </c>
    </row>
    <row r="862">
      <c r="A862" s="33"/>
      <c r="B862" s="33"/>
      <c r="C862" s="33"/>
      <c r="D862" s="34"/>
      <c r="E862" s="34"/>
      <c r="F862" s="34"/>
      <c r="G862" s="33"/>
      <c r="I862" s="34"/>
      <c r="J862" s="33"/>
      <c r="K862" s="33"/>
      <c r="L862" s="34"/>
      <c r="M862" s="34"/>
      <c r="N862" s="34"/>
      <c r="Q862" s="35"/>
      <c r="R862" s="36"/>
      <c r="S862" s="34"/>
      <c r="T862" s="34"/>
      <c r="AF862" s="39"/>
      <c r="AG862" s="39"/>
      <c r="AH862" s="34"/>
      <c r="AI862" s="34"/>
      <c r="AJ862" s="34"/>
      <c r="AK862" s="34"/>
      <c r="AN862" t="str">
        <f t="shared" si="1"/>
        <v/>
      </c>
    </row>
    <row r="863">
      <c r="A863" s="33"/>
      <c r="B863" s="33"/>
      <c r="C863" s="33"/>
      <c r="D863" s="34"/>
      <c r="E863" s="34"/>
      <c r="F863" s="34"/>
      <c r="G863" s="33"/>
      <c r="I863" s="34"/>
      <c r="J863" s="33"/>
      <c r="K863" s="33"/>
      <c r="L863" s="34"/>
      <c r="M863" s="34"/>
      <c r="N863" s="34"/>
      <c r="Q863" s="35"/>
      <c r="R863" s="36"/>
      <c r="S863" s="34"/>
      <c r="T863" s="34"/>
      <c r="AF863" s="39"/>
      <c r="AG863" s="39"/>
      <c r="AH863" s="34"/>
      <c r="AI863" s="34"/>
      <c r="AJ863" s="34"/>
      <c r="AK863" s="34"/>
      <c r="AN863" t="str">
        <f t="shared" si="1"/>
        <v/>
      </c>
    </row>
    <row r="864">
      <c r="A864" s="33"/>
      <c r="B864" s="33"/>
      <c r="C864" s="33"/>
      <c r="D864" s="34"/>
      <c r="E864" s="34"/>
      <c r="F864" s="34"/>
      <c r="G864" s="33"/>
      <c r="I864" s="34"/>
      <c r="J864" s="33"/>
      <c r="K864" s="33"/>
      <c r="L864" s="34"/>
      <c r="M864" s="34"/>
      <c r="N864" s="34"/>
      <c r="Q864" s="35"/>
      <c r="R864" s="36"/>
      <c r="S864" s="34"/>
      <c r="T864" s="34"/>
      <c r="AF864" s="39"/>
      <c r="AG864" s="39"/>
      <c r="AH864" s="34"/>
      <c r="AI864" s="34"/>
      <c r="AJ864" s="34"/>
      <c r="AK864" s="34"/>
      <c r="AN864" t="str">
        <f t="shared" si="1"/>
        <v/>
      </c>
    </row>
    <row r="865">
      <c r="A865" s="33"/>
      <c r="B865" s="33"/>
      <c r="C865" s="33"/>
      <c r="D865" s="34"/>
      <c r="E865" s="34"/>
      <c r="F865" s="34"/>
      <c r="G865" s="33"/>
      <c r="I865" s="34"/>
      <c r="J865" s="33"/>
      <c r="K865" s="33"/>
      <c r="L865" s="34"/>
      <c r="M865" s="34"/>
      <c r="N865" s="34"/>
      <c r="Q865" s="35"/>
      <c r="R865" s="36"/>
      <c r="S865" s="34"/>
      <c r="T865" s="34"/>
      <c r="AF865" s="39"/>
      <c r="AG865" s="39"/>
      <c r="AH865" s="34"/>
      <c r="AI865" s="34"/>
      <c r="AJ865" s="34"/>
      <c r="AK865" s="34"/>
      <c r="AN865" t="str">
        <f t="shared" si="1"/>
        <v/>
      </c>
    </row>
    <row r="866">
      <c r="A866" s="33"/>
      <c r="B866" s="33"/>
      <c r="C866" s="33"/>
      <c r="D866" s="34"/>
      <c r="E866" s="34"/>
      <c r="F866" s="34"/>
      <c r="G866" s="33"/>
      <c r="I866" s="34"/>
      <c r="J866" s="33"/>
      <c r="K866" s="33"/>
      <c r="L866" s="34"/>
      <c r="M866" s="34"/>
      <c r="N866" s="34"/>
      <c r="Q866" s="35"/>
      <c r="R866" s="36"/>
      <c r="S866" s="34"/>
      <c r="T866" s="34"/>
      <c r="AF866" s="39"/>
      <c r="AG866" s="39"/>
      <c r="AH866" s="34"/>
      <c r="AI866" s="34"/>
      <c r="AJ866" s="34"/>
      <c r="AK866" s="34"/>
      <c r="AN866" t="str">
        <f t="shared" si="1"/>
        <v/>
      </c>
    </row>
    <row r="867">
      <c r="A867" s="33"/>
      <c r="B867" s="33"/>
      <c r="C867" s="33"/>
      <c r="D867" s="34"/>
      <c r="E867" s="34"/>
      <c r="F867" s="34"/>
      <c r="G867" s="33"/>
      <c r="I867" s="34"/>
      <c r="J867" s="33"/>
      <c r="K867" s="33"/>
      <c r="L867" s="34"/>
      <c r="M867" s="34"/>
      <c r="N867" s="34"/>
      <c r="Q867" s="35"/>
      <c r="R867" s="36"/>
      <c r="S867" s="34"/>
      <c r="T867" s="34"/>
      <c r="AF867" s="39"/>
      <c r="AG867" s="39"/>
      <c r="AH867" s="34"/>
      <c r="AI867" s="34"/>
      <c r="AJ867" s="34"/>
      <c r="AK867" s="34"/>
      <c r="AN867" t="str">
        <f t="shared" si="1"/>
        <v/>
      </c>
    </row>
    <row r="868">
      <c r="A868" s="33"/>
      <c r="B868" s="33"/>
      <c r="C868" s="33"/>
      <c r="D868" s="34"/>
      <c r="E868" s="34"/>
      <c r="F868" s="34"/>
      <c r="G868" s="33"/>
      <c r="I868" s="34"/>
      <c r="J868" s="33"/>
      <c r="K868" s="33"/>
      <c r="L868" s="34"/>
      <c r="M868" s="34"/>
      <c r="N868" s="34"/>
      <c r="Q868" s="35"/>
      <c r="R868" s="36"/>
      <c r="S868" s="34"/>
      <c r="T868" s="34"/>
      <c r="AF868" s="39"/>
      <c r="AG868" s="39"/>
      <c r="AH868" s="34"/>
      <c r="AI868" s="34"/>
      <c r="AJ868" s="34"/>
      <c r="AK868" s="34"/>
      <c r="AN868" t="str">
        <f t="shared" si="1"/>
        <v/>
      </c>
    </row>
    <row r="869">
      <c r="A869" s="33"/>
      <c r="B869" s="33"/>
      <c r="C869" s="33"/>
      <c r="D869" s="34"/>
      <c r="E869" s="34"/>
      <c r="F869" s="34"/>
      <c r="G869" s="33"/>
      <c r="I869" s="34"/>
      <c r="J869" s="33"/>
      <c r="K869" s="33"/>
      <c r="L869" s="34"/>
      <c r="M869" s="34"/>
      <c r="N869" s="34"/>
      <c r="Q869" s="35"/>
      <c r="R869" s="36"/>
      <c r="S869" s="34"/>
      <c r="T869" s="34"/>
      <c r="AF869" s="39"/>
      <c r="AG869" s="39"/>
      <c r="AH869" s="34"/>
      <c r="AI869" s="34"/>
      <c r="AJ869" s="34"/>
      <c r="AK869" s="34"/>
      <c r="AN869" t="str">
        <f t="shared" si="1"/>
        <v/>
      </c>
    </row>
    <row r="870">
      <c r="A870" s="33"/>
      <c r="B870" s="33"/>
      <c r="C870" s="33"/>
      <c r="D870" s="34"/>
      <c r="E870" s="34"/>
      <c r="F870" s="34"/>
      <c r="G870" s="33"/>
      <c r="I870" s="34"/>
      <c r="J870" s="33"/>
      <c r="K870" s="33"/>
      <c r="L870" s="34"/>
      <c r="M870" s="34"/>
      <c r="N870" s="34"/>
      <c r="Q870" s="35"/>
      <c r="R870" s="36"/>
      <c r="S870" s="34"/>
      <c r="T870" s="34"/>
      <c r="AF870" s="39"/>
      <c r="AG870" s="39"/>
      <c r="AH870" s="34"/>
      <c r="AI870" s="34"/>
      <c r="AJ870" s="34"/>
      <c r="AK870" s="34"/>
      <c r="AN870" t="str">
        <f t="shared" si="1"/>
        <v/>
      </c>
    </row>
    <row r="871">
      <c r="A871" s="33"/>
      <c r="B871" s="33"/>
      <c r="C871" s="33"/>
      <c r="D871" s="34"/>
      <c r="E871" s="34"/>
      <c r="F871" s="34"/>
      <c r="G871" s="33"/>
      <c r="I871" s="34"/>
      <c r="J871" s="33"/>
      <c r="K871" s="33"/>
      <c r="L871" s="34"/>
      <c r="M871" s="34"/>
      <c r="N871" s="34"/>
      <c r="Q871" s="35"/>
      <c r="R871" s="36"/>
      <c r="S871" s="34"/>
      <c r="T871" s="34"/>
      <c r="AF871" s="39"/>
      <c r="AG871" s="39"/>
      <c r="AH871" s="34"/>
      <c r="AI871" s="34"/>
      <c r="AJ871" s="34"/>
      <c r="AK871" s="34"/>
      <c r="AN871" t="str">
        <f t="shared" si="1"/>
        <v/>
      </c>
    </row>
    <row r="872">
      <c r="A872" s="33"/>
      <c r="B872" s="33"/>
      <c r="C872" s="33"/>
      <c r="D872" s="34"/>
      <c r="E872" s="34"/>
      <c r="F872" s="34"/>
      <c r="G872" s="33"/>
      <c r="I872" s="34"/>
      <c r="J872" s="33"/>
      <c r="K872" s="33"/>
      <c r="L872" s="34"/>
      <c r="M872" s="34"/>
      <c r="N872" s="34"/>
      <c r="Q872" s="35"/>
      <c r="R872" s="36"/>
      <c r="S872" s="34"/>
      <c r="T872" s="34"/>
      <c r="AF872" s="39"/>
      <c r="AG872" s="39"/>
      <c r="AH872" s="34"/>
      <c r="AI872" s="34"/>
      <c r="AJ872" s="34"/>
      <c r="AK872" s="34"/>
      <c r="AN872" t="str">
        <f t="shared" si="1"/>
        <v/>
      </c>
    </row>
    <row r="873">
      <c r="A873" s="33"/>
      <c r="B873" s="33"/>
      <c r="C873" s="33"/>
      <c r="D873" s="34"/>
      <c r="E873" s="34"/>
      <c r="F873" s="34"/>
      <c r="G873" s="33"/>
      <c r="I873" s="34"/>
      <c r="J873" s="33"/>
      <c r="K873" s="33"/>
      <c r="L873" s="34"/>
      <c r="M873" s="34"/>
      <c r="N873" s="34"/>
      <c r="Q873" s="35"/>
      <c r="R873" s="36"/>
      <c r="S873" s="34"/>
      <c r="T873" s="34"/>
      <c r="AF873" s="39"/>
      <c r="AG873" s="39"/>
      <c r="AH873" s="34"/>
      <c r="AI873" s="34"/>
      <c r="AJ873" s="34"/>
      <c r="AK873" s="34"/>
      <c r="AN873" t="str">
        <f t="shared" si="1"/>
        <v/>
      </c>
    </row>
    <row r="874">
      <c r="A874" s="33"/>
      <c r="B874" s="33"/>
      <c r="C874" s="33"/>
      <c r="D874" s="34"/>
      <c r="E874" s="34"/>
      <c r="F874" s="34"/>
      <c r="G874" s="33"/>
      <c r="I874" s="34"/>
      <c r="J874" s="33"/>
      <c r="K874" s="33"/>
      <c r="L874" s="34"/>
      <c r="M874" s="34"/>
      <c r="N874" s="34"/>
      <c r="Q874" s="35"/>
      <c r="R874" s="36"/>
      <c r="S874" s="34"/>
      <c r="T874" s="34"/>
      <c r="AF874" s="39"/>
      <c r="AG874" s="39"/>
      <c r="AH874" s="34"/>
      <c r="AI874" s="34"/>
      <c r="AJ874" s="34"/>
      <c r="AK874" s="34"/>
      <c r="AN874" t="str">
        <f t="shared" si="1"/>
        <v/>
      </c>
    </row>
    <row r="875">
      <c r="A875" s="33"/>
      <c r="B875" s="33"/>
      <c r="C875" s="33"/>
      <c r="D875" s="34"/>
      <c r="E875" s="34"/>
      <c r="F875" s="34"/>
      <c r="G875" s="33"/>
      <c r="I875" s="34"/>
      <c r="J875" s="33"/>
      <c r="K875" s="33"/>
      <c r="L875" s="34"/>
      <c r="M875" s="34"/>
      <c r="N875" s="34"/>
      <c r="Q875" s="35"/>
      <c r="R875" s="36"/>
      <c r="S875" s="34"/>
      <c r="T875" s="34"/>
      <c r="AF875" s="39"/>
      <c r="AG875" s="39"/>
      <c r="AH875" s="34"/>
      <c r="AI875" s="34"/>
      <c r="AJ875" s="34"/>
      <c r="AK875" s="34"/>
      <c r="AN875" t="str">
        <f t="shared" si="1"/>
        <v/>
      </c>
    </row>
    <row r="876">
      <c r="A876" s="33"/>
      <c r="B876" s="33"/>
      <c r="C876" s="33"/>
      <c r="D876" s="34"/>
      <c r="E876" s="34"/>
      <c r="F876" s="34"/>
      <c r="G876" s="33"/>
      <c r="I876" s="34"/>
      <c r="J876" s="33"/>
      <c r="K876" s="33"/>
      <c r="L876" s="34"/>
      <c r="M876" s="34"/>
      <c r="N876" s="34"/>
      <c r="Q876" s="35"/>
      <c r="R876" s="36"/>
      <c r="S876" s="34"/>
      <c r="T876" s="34"/>
      <c r="AF876" s="39"/>
      <c r="AG876" s="39"/>
      <c r="AH876" s="34"/>
      <c r="AI876" s="34"/>
      <c r="AJ876" s="34"/>
      <c r="AK876" s="34"/>
      <c r="AN876" t="str">
        <f t="shared" si="1"/>
        <v/>
      </c>
    </row>
    <row r="877">
      <c r="A877" s="33"/>
      <c r="B877" s="33"/>
      <c r="C877" s="33"/>
      <c r="D877" s="34"/>
      <c r="E877" s="34"/>
      <c r="F877" s="34"/>
      <c r="G877" s="33"/>
      <c r="I877" s="34"/>
      <c r="J877" s="33"/>
      <c r="K877" s="33"/>
      <c r="L877" s="34"/>
      <c r="M877" s="34"/>
      <c r="N877" s="34"/>
      <c r="Q877" s="35"/>
      <c r="R877" s="36"/>
      <c r="S877" s="34"/>
      <c r="T877" s="34"/>
      <c r="AF877" s="39"/>
      <c r="AG877" s="39"/>
      <c r="AH877" s="34"/>
      <c r="AI877" s="34"/>
      <c r="AJ877" s="34"/>
      <c r="AK877" s="34"/>
      <c r="AN877" t="str">
        <f t="shared" si="1"/>
        <v/>
      </c>
    </row>
    <row r="878">
      <c r="A878" s="33"/>
      <c r="B878" s="33"/>
      <c r="C878" s="33"/>
      <c r="D878" s="34"/>
      <c r="E878" s="34"/>
      <c r="F878" s="34"/>
      <c r="G878" s="33"/>
      <c r="I878" s="34"/>
      <c r="J878" s="33"/>
      <c r="K878" s="33"/>
      <c r="L878" s="34"/>
      <c r="M878" s="34"/>
      <c r="N878" s="34"/>
      <c r="Q878" s="35"/>
      <c r="R878" s="36"/>
      <c r="S878" s="34"/>
      <c r="T878" s="34"/>
      <c r="AF878" s="39"/>
      <c r="AG878" s="39"/>
      <c r="AH878" s="34"/>
      <c r="AI878" s="34"/>
      <c r="AJ878" s="34"/>
      <c r="AK878" s="34"/>
      <c r="AN878" t="str">
        <f t="shared" si="1"/>
        <v/>
      </c>
    </row>
    <row r="879">
      <c r="A879" s="33"/>
      <c r="B879" s="33"/>
      <c r="C879" s="33"/>
      <c r="D879" s="34"/>
      <c r="E879" s="34"/>
      <c r="F879" s="34"/>
      <c r="G879" s="33"/>
      <c r="I879" s="34"/>
      <c r="J879" s="33"/>
      <c r="K879" s="33"/>
      <c r="L879" s="34"/>
      <c r="M879" s="34"/>
      <c r="N879" s="34"/>
      <c r="Q879" s="35"/>
      <c r="R879" s="36"/>
      <c r="S879" s="34"/>
      <c r="T879" s="34"/>
      <c r="AF879" s="39"/>
      <c r="AG879" s="39"/>
      <c r="AH879" s="34"/>
      <c r="AI879" s="34"/>
      <c r="AJ879" s="34"/>
      <c r="AK879" s="34"/>
      <c r="AN879" t="str">
        <f t="shared" si="1"/>
        <v/>
      </c>
    </row>
    <row r="880">
      <c r="A880" s="33"/>
      <c r="B880" s="33"/>
      <c r="C880" s="33"/>
      <c r="D880" s="34"/>
      <c r="E880" s="34"/>
      <c r="F880" s="34"/>
      <c r="G880" s="33"/>
      <c r="I880" s="34"/>
      <c r="J880" s="33"/>
      <c r="K880" s="33"/>
      <c r="L880" s="34"/>
      <c r="M880" s="34"/>
      <c r="N880" s="34"/>
      <c r="Q880" s="35"/>
      <c r="R880" s="36"/>
      <c r="S880" s="34"/>
      <c r="T880" s="34"/>
      <c r="AF880" s="39"/>
      <c r="AG880" s="39"/>
      <c r="AH880" s="34"/>
      <c r="AI880" s="34"/>
      <c r="AJ880" s="34"/>
      <c r="AK880" s="34"/>
      <c r="AN880" t="str">
        <f t="shared" si="1"/>
        <v/>
      </c>
    </row>
    <row r="881">
      <c r="A881" s="33"/>
      <c r="B881" s="33"/>
      <c r="C881" s="33"/>
      <c r="D881" s="34"/>
      <c r="E881" s="34"/>
      <c r="F881" s="34"/>
      <c r="G881" s="33"/>
      <c r="I881" s="34"/>
      <c r="J881" s="33"/>
      <c r="K881" s="33"/>
      <c r="L881" s="34"/>
      <c r="M881" s="34"/>
      <c r="N881" s="34"/>
      <c r="Q881" s="35"/>
      <c r="R881" s="36"/>
      <c r="S881" s="34"/>
      <c r="T881" s="34"/>
      <c r="AF881" s="39"/>
      <c r="AG881" s="39"/>
      <c r="AH881" s="34"/>
      <c r="AI881" s="34"/>
      <c r="AJ881" s="34"/>
      <c r="AK881" s="34"/>
      <c r="AN881" t="str">
        <f t="shared" si="1"/>
        <v/>
      </c>
    </row>
    <row r="882">
      <c r="A882" s="33"/>
      <c r="B882" s="33"/>
      <c r="C882" s="33"/>
      <c r="D882" s="34"/>
      <c r="E882" s="34"/>
      <c r="F882" s="34"/>
      <c r="G882" s="33"/>
      <c r="I882" s="34"/>
      <c r="J882" s="33"/>
      <c r="K882" s="33"/>
      <c r="L882" s="34"/>
      <c r="M882" s="34"/>
      <c r="N882" s="34"/>
      <c r="Q882" s="35"/>
      <c r="R882" s="36"/>
      <c r="S882" s="34"/>
      <c r="T882" s="34"/>
      <c r="AF882" s="39"/>
      <c r="AG882" s="39"/>
      <c r="AH882" s="34"/>
      <c r="AI882" s="34"/>
      <c r="AJ882" s="34"/>
      <c r="AK882" s="34"/>
      <c r="AN882" t="str">
        <f t="shared" si="1"/>
        <v/>
      </c>
    </row>
    <row r="883">
      <c r="A883" s="33"/>
      <c r="B883" s="33"/>
      <c r="C883" s="33"/>
      <c r="D883" s="34"/>
      <c r="E883" s="34"/>
      <c r="F883" s="34"/>
      <c r="G883" s="33"/>
      <c r="I883" s="34"/>
      <c r="J883" s="33"/>
      <c r="K883" s="33"/>
      <c r="L883" s="34"/>
      <c r="M883" s="34"/>
      <c r="N883" s="34"/>
      <c r="Q883" s="35"/>
      <c r="R883" s="36"/>
      <c r="S883" s="34"/>
      <c r="T883" s="34"/>
      <c r="AF883" s="39"/>
      <c r="AG883" s="39"/>
      <c r="AH883" s="34"/>
      <c r="AI883" s="34"/>
      <c r="AJ883" s="34"/>
      <c r="AK883" s="34"/>
      <c r="AN883" t="str">
        <f t="shared" si="1"/>
        <v/>
      </c>
    </row>
    <row r="884">
      <c r="A884" s="33"/>
      <c r="B884" s="33"/>
      <c r="C884" s="33"/>
      <c r="D884" s="34"/>
      <c r="E884" s="34"/>
      <c r="F884" s="34"/>
      <c r="G884" s="33"/>
      <c r="I884" s="34"/>
      <c r="J884" s="33"/>
      <c r="K884" s="33"/>
      <c r="L884" s="34"/>
      <c r="M884" s="34"/>
      <c r="N884" s="34"/>
      <c r="Q884" s="35"/>
      <c r="R884" s="36"/>
      <c r="S884" s="34"/>
      <c r="T884" s="34"/>
      <c r="AF884" s="39"/>
      <c r="AG884" s="39"/>
      <c r="AH884" s="34"/>
      <c r="AI884" s="34"/>
      <c r="AJ884" s="34"/>
      <c r="AK884" s="34"/>
      <c r="AN884" t="str">
        <f t="shared" si="1"/>
        <v/>
      </c>
    </row>
    <row r="885">
      <c r="A885" s="33"/>
      <c r="B885" s="33"/>
      <c r="C885" s="33"/>
      <c r="D885" s="34"/>
      <c r="E885" s="34"/>
      <c r="F885" s="34"/>
      <c r="G885" s="33"/>
      <c r="I885" s="34"/>
      <c r="J885" s="33"/>
      <c r="K885" s="33"/>
      <c r="L885" s="34"/>
      <c r="M885" s="34"/>
      <c r="N885" s="34"/>
      <c r="Q885" s="35"/>
      <c r="R885" s="36"/>
      <c r="S885" s="34"/>
      <c r="T885" s="34"/>
      <c r="AF885" s="39"/>
      <c r="AG885" s="39"/>
      <c r="AH885" s="34"/>
      <c r="AI885" s="34"/>
      <c r="AJ885" s="34"/>
      <c r="AK885" s="34"/>
      <c r="AN885" t="str">
        <f t="shared" si="1"/>
        <v/>
      </c>
    </row>
    <row r="886">
      <c r="A886" s="33"/>
      <c r="B886" s="33"/>
      <c r="C886" s="33"/>
      <c r="D886" s="34"/>
      <c r="E886" s="34"/>
      <c r="F886" s="34"/>
      <c r="G886" s="33"/>
      <c r="I886" s="34"/>
      <c r="J886" s="33"/>
      <c r="K886" s="33"/>
      <c r="L886" s="34"/>
      <c r="M886" s="34"/>
      <c r="N886" s="34"/>
      <c r="Q886" s="35"/>
      <c r="R886" s="36"/>
      <c r="S886" s="34"/>
      <c r="T886" s="34"/>
      <c r="AF886" s="39"/>
      <c r="AG886" s="39"/>
      <c r="AH886" s="34"/>
      <c r="AI886" s="34"/>
      <c r="AJ886" s="34"/>
      <c r="AK886" s="34"/>
      <c r="AN886" t="str">
        <f t="shared" si="1"/>
        <v/>
      </c>
    </row>
    <row r="887">
      <c r="A887" s="33"/>
      <c r="B887" s="33"/>
      <c r="C887" s="33"/>
      <c r="D887" s="34"/>
      <c r="E887" s="34"/>
      <c r="F887" s="34"/>
      <c r="G887" s="33"/>
      <c r="I887" s="34"/>
      <c r="J887" s="33"/>
      <c r="K887" s="33"/>
      <c r="L887" s="34"/>
      <c r="M887" s="34"/>
      <c r="N887" s="34"/>
      <c r="Q887" s="35"/>
      <c r="R887" s="36"/>
      <c r="S887" s="34"/>
      <c r="T887" s="34"/>
      <c r="AF887" s="39"/>
      <c r="AG887" s="39"/>
      <c r="AH887" s="34"/>
      <c r="AI887" s="34"/>
      <c r="AJ887" s="34"/>
      <c r="AK887" s="34"/>
      <c r="AN887" t="str">
        <f t="shared" si="1"/>
        <v/>
      </c>
    </row>
    <row r="888">
      <c r="A888" s="33"/>
      <c r="B888" s="33"/>
      <c r="C888" s="33"/>
      <c r="D888" s="34"/>
      <c r="E888" s="34"/>
      <c r="F888" s="34"/>
      <c r="G888" s="33"/>
      <c r="I888" s="34"/>
      <c r="J888" s="33"/>
      <c r="K888" s="33"/>
      <c r="L888" s="34"/>
      <c r="M888" s="34"/>
      <c r="N888" s="34"/>
      <c r="Q888" s="35"/>
      <c r="R888" s="36"/>
      <c r="S888" s="34"/>
      <c r="T888" s="34"/>
      <c r="AF888" s="39"/>
      <c r="AG888" s="39"/>
      <c r="AH888" s="34"/>
      <c r="AI888" s="34"/>
      <c r="AJ888" s="34"/>
      <c r="AK888" s="34"/>
      <c r="AN888" t="str">
        <f t="shared" si="1"/>
        <v/>
      </c>
    </row>
    <row r="889">
      <c r="A889" s="33"/>
      <c r="B889" s="33"/>
      <c r="C889" s="33"/>
      <c r="D889" s="34"/>
      <c r="E889" s="34"/>
      <c r="F889" s="34"/>
      <c r="G889" s="33"/>
      <c r="I889" s="34"/>
      <c r="J889" s="33"/>
      <c r="K889" s="33"/>
      <c r="L889" s="34"/>
      <c r="M889" s="34"/>
      <c r="N889" s="34"/>
      <c r="Q889" s="35"/>
      <c r="R889" s="36"/>
      <c r="S889" s="34"/>
      <c r="T889" s="34"/>
      <c r="AF889" s="39"/>
      <c r="AG889" s="39"/>
      <c r="AH889" s="34"/>
      <c r="AI889" s="34"/>
      <c r="AJ889" s="34"/>
      <c r="AK889" s="34"/>
      <c r="AN889" t="str">
        <f t="shared" si="1"/>
        <v/>
      </c>
    </row>
    <row r="890">
      <c r="A890" s="33"/>
      <c r="B890" s="33"/>
      <c r="C890" s="33"/>
      <c r="D890" s="34"/>
      <c r="E890" s="34"/>
      <c r="F890" s="34"/>
      <c r="G890" s="33"/>
      <c r="I890" s="34"/>
      <c r="J890" s="33"/>
      <c r="K890" s="33"/>
      <c r="L890" s="34"/>
      <c r="M890" s="34"/>
      <c r="N890" s="34"/>
      <c r="Q890" s="35"/>
      <c r="R890" s="36"/>
      <c r="S890" s="34"/>
      <c r="T890" s="34"/>
      <c r="AF890" s="39"/>
      <c r="AG890" s="39"/>
      <c r="AH890" s="34"/>
      <c r="AI890" s="34"/>
      <c r="AJ890" s="34"/>
      <c r="AK890" s="34"/>
      <c r="AN890" t="str">
        <f t="shared" si="1"/>
        <v/>
      </c>
    </row>
    <row r="891">
      <c r="A891" s="33"/>
      <c r="B891" s="33"/>
      <c r="C891" s="33"/>
      <c r="D891" s="34"/>
      <c r="E891" s="34"/>
      <c r="F891" s="34"/>
      <c r="G891" s="33"/>
      <c r="I891" s="34"/>
      <c r="J891" s="33"/>
      <c r="K891" s="33"/>
      <c r="L891" s="34"/>
      <c r="M891" s="34"/>
      <c r="N891" s="34"/>
      <c r="Q891" s="35"/>
      <c r="R891" s="36"/>
      <c r="S891" s="34"/>
      <c r="T891" s="34"/>
      <c r="AF891" s="39"/>
      <c r="AG891" s="39"/>
      <c r="AH891" s="34"/>
      <c r="AI891" s="34"/>
      <c r="AJ891" s="34"/>
      <c r="AK891" s="34"/>
      <c r="AN891" t="str">
        <f t="shared" si="1"/>
        <v/>
      </c>
    </row>
    <row r="892">
      <c r="A892" s="33"/>
      <c r="B892" s="33"/>
      <c r="C892" s="33"/>
      <c r="D892" s="34"/>
      <c r="E892" s="34"/>
      <c r="F892" s="34"/>
      <c r="G892" s="33"/>
      <c r="I892" s="34"/>
      <c r="J892" s="33"/>
      <c r="K892" s="33"/>
      <c r="L892" s="34"/>
      <c r="M892" s="34"/>
      <c r="N892" s="34"/>
      <c r="Q892" s="35"/>
      <c r="R892" s="36"/>
      <c r="S892" s="34"/>
      <c r="T892" s="34"/>
      <c r="AF892" s="39"/>
      <c r="AG892" s="39"/>
      <c r="AH892" s="34"/>
      <c r="AI892" s="34"/>
      <c r="AJ892" s="34"/>
      <c r="AK892" s="34"/>
      <c r="AN892" t="str">
        <f t="shared" si="1"/>
        <v/>
      </c>
    </row>
    <row r="893">
      <c r="A893" s="33"/>
      <c r="B893" s="33"/>
      <c r="C893" s="33"/>
      <c r="D893" s="34"/>
      <c r="E893" s="34"/>
      <c r="F893" s="34"/>
      <c r="G893" s="33"/>
      <c r="I893" s="34"/>
      <c r="J893" s="33"/>
      <c r="K893" s="33"/>
      <c r="L893" s="34"/>
      <c r="M893" s="34"/>
      <c r="N893" s="34"/>
      <c r="Q893" s="35"/>
      <c r="R893" s="36"/>
      <c r="S893" s="34"/>
      <c r="T893" s="34"/>
      <c r="AF893" s="39"/>
      <c r="AG893" s="39"/>
      <c r="AH893" s="34"/>
      <c r="AI893" s="34"/>
      <c r="AJ893" s="34"/>
      <c r="AK893" s="34"/>
      <c r="AN893" t="str">
        <f t="shared" si="1"/>
        <v/>
      </c>
    </row>
    <row r="894">
      <c r="A894" s="33"/>
      <c r="B894" s="33"/>
      <c r="C894" s="33"/>
      <c r="D894" s="34"/>
      <c r="E894" s="34"/>
      <c r="F894" s="34"/>
      <c r="G894" s="33"/>
      <c r="I894" s="34"/>
      <c r="J894" s="33"/>
      <c r="K894" s="33"/>
      <c r="L894" s="34"/>
      <c r="M894" s="34"/>
      <c r="N894" s="34"/>
      <c r="Q894" s="35"/>
      <c r="R894" s="36"/>
      <c r="S894" s="34"/>
      <c r="T894" s="34"/>
      <c r="AF894" s="39"/>
      <c r="AG894" s="39"/>
      <c r="AH894" s="34"/>
      <c r="AI894" s="34"/>
      <c r="AJ894" s="34"/>
      <c r="AK894" s="34"/>
      <c r="AN894" t="str">
        <f t="shared" si="1"/>
        <v/>
      </c>
    </row>
    <row r="895">
      <c r="A895" s="33"/>
      <c r="B895" s="33"/>
      <c r="C895" s="33"/>
      <c r="D895" s="34"/>
      <c r="E895" s="34"/>
      <c r="F895" s="34"/>
      <c r="G895" s="33"/>
      <c r="I895" s="34"/>
      <c r="J895" s="33"/>
      <c r="K895" s="33"/>
      <c r="L895" s="34"/>
      <c r="M895" s="34"/>
      <c r="N895" s="34"/>
      <c r="Q895" s="35"/>
      <c r="R895" s="36"/>
      <c r="S895" s="34"/>
      <c r="T895" s="34"/>
      <c r="AF895" s="39"/>
      <c r="AG895" s="39"/>
      <c r="AH895" s="34"/>
      <c r="AI895" s="34"/>
      <c r="AJ895" s="34"/>
      <c r="AK895" s="34"/>
      <c r="AN895" t="str">
        <f t="shared" si="1"/>
        <v/>
      </c>
    </row>
    <row r="896">
      <c r="A896" s="33"/>
      <c r="B896" s="33"/>
      <c r="C896" s="33"/>
      <c r="D896" s="34"/>
      <c r="E896" s="34"/>
      <c r="F896" s="34"/>
      <c r="G896" s="33"/>
      <c r="I896" s="34"/>
      <c r="J896" s="33"/>
      <c r="K896" s="33"/>
      <c r="L896" s="34"/>
      <c r="M896" s="34"/>
      <c r="N896" s="34"/>
      <c r="Q896" s="35"/>
      <c r="R896" s="36"/>
      <c r="S896" s="34"/>
      <c r="T896" s="34"/>
      <c r="AF896" s="39"/>
      <c r="AG896" s="39"/>
      <c r="AH896" s="34"/>
      <c r="AI896" s="34"/>
      <c r="AJ896" s="34"/>
      <c r="AK896" s="34"/>
      <c r="AN896" t="str">
        <f t="shared" si="1"/>
        <v/>
      </c>
    </row>
    <row r="897">
      <c r="A897" s="33"/>
      <c r="B897" s="33"/>
      <c r="C897" s="33"/>
      <c r="D897" s="34"/>
      <c r="E897" s="34"/>
      <c r="F897" s="34"/>
      <c r="G897" s="33"/>
      <c r="I897" s="34"/>
      <c r="J897" s="33"/>
      <c r="K897" s="33"/>
      <c r="L897" s="34"/>
      <c r="M897" s="34"/>
      <c r="N897" s="34"/>
      <c r="Q897" s="35"/>
      <c r="R897" s="36"/>
      <c r="S897" s="34"/>
      <c r="T897" s="34"/>
      <c r="AF897" s="39"/>
      <c r="AG897" s="39"/>
      <c r="AH897" s="34"/>
      <c r="AI897" s="34"/>
      <c r="AJ897" s="34"/>
      <c r="AK897" s="34"/>
      <c r="AN897" t="str">
        <f t="shared" si="1"/>
        <v/>
      </c>
    </row>
    <row r="898">
      <c r="A898" s="33"/>
      <c r="B898" s="33"/>
      <c r="C898" s="33"/>
      <c r="D898" s="34"/>
      <c r="E898" s="34"/>
      <c r="F898" s="34"/>
      <c r="G898" s="33"/>
      <c r="I898" s="34"/>
      <c r="J898" s="33"/>
      <c r="K898" s="33"/>
      <c r="L898" s="34"/>
      <c r="M898" s="34"/>
      <c r="N898" s="34"/>
      <c r="Q898" s="35"/>
      <c r="R898" s="36"/>
      <c r="S898" s="34"/>
      <c r="T898" s="34"/>
      <c r="AF898" s="39"/>
      <c r="AG898" s="39"/>
      <c r="AH898" s="34"/>
      <c r="AI898" s="34"/>
      <c r="AJ898" s="34"/>
      <c r="AK898" s="34"/>
      <c r="AN898" t="str">
        <f t="shared" si="1"/>
        <v/>
      </c>
    </row>
    <row r="899">
      <c r="A899" s="33"/>
      <c r="B899" s="33"/>
      <c r="C899" s="33"/>
      <c r="D899" s="34"/>
      <c r="E899" s="34"/>
      <c r="F899" s="34"/>
      <c r="G899" s="33"/>
      <c r="I899" s="34"/>
      <c r="J899" s="33"/>
      <c r="K899" s="33"/>
      <c r="L899" s="34"/>
      <c r="M899" s="34"/>
      <c r="N899" s="34"/>
      <c r="Q899" s="35"/>
      <c r="R899" s="36"/>
      <c r="S899" s="34"/>
      <c r="T899" s="34"/>
      <c r="AF899" s="39"/>
      <c r="AG899" s="39"/>
      <c r="AH899" s="34"/>
      <c r="AI899" s="34"/>
      <c r="AJ899" s="34"/>
      <c r="AK899" s="34"/>
      <c r="AN899" t="str">
        <f t="shared" si="1"/>
        <v/>
      </c>
    </row>
    <row r="900">
      <c r="A900" s="33"/>
      <c r="B900" s="33"/>
      <c r="C900" s="33"/>
      <c r="D900" s="34"/>
      <c r="E900" s="34"/>
      <c r="F900" s="34"/>
      <c r="G900" s="33"/>
      <c r="I900" s="34"/>
      <c r="J900" s="33"/>
      <c r="K900" s="33"/>
      <c r="L900" s="34"/>
      <c r="M900" s="34"/>
      <c r="N900" s="34"/>
      <c r="Q900" s="35"/>
      <c r="R900" s="36"/>
      <c r="S900" s="34"/>
      <c r="T900" s="34"/>
      <c r="AF900" s="39"/>
      <c r="AG900" s="39"/>
      <c r="AH900" s="34"/>
      <c r="AI900" s="34"/>
      <c r="AJ900" s="34"/>
      <c r="AK900" s="34"/>
      <c r="AN900" t="str">
        <f t="shared" si="1"/>
        <v/>
      </c>
    </row>
    <row r="901">
      <c r="A901" s="33"/>
      <c r="B901" s="33"/>
      <c r="C901" s="33"/>
      <c r="D901" s="34"/>
      <c r="E901" s="34"/>
      <c r="F901" s="34"/>
      <c r="G901" s="33"/>
      <c r="I901" s="34"/>
      <c r="J901" s="33"/>
      <c r="K901" s="33"/>
      <c r="L901" s="34"/>
      <c r="M901" s="34"/>
      <c r="N901" s="34"/>
      <c r="Q901" s="35"/>
      <c r="R901" s="36"/>
      <c r="S901" s="34"/>
      <c r="T901" s="34"/>
      <c r="AF901" s="39"/>
      <c r="AG901" s="39"/>
      <c r="AH901" s="34"/>
      <c r="AI901" s="34"/>
      <c r="AJ901" s="34"/>
      <c r="AK901" s="34"/>
      <c r="AN901" t="str">
        <f t="shared" si="1"/>
        <v/>
      </c>
    </row>
    <row r="902">
      <c r="A902" s="33"/>
      <c r="B902" s="33"/>
      <c r="C902" s="33"/>
      <c r="D902" s="34"/>
      <c r="E902" s="34"/>
      <c r="F902" s="34"/>
      <c r="G902" s="33"/>
      <c r="I902" s="34"/>
      <c r="J902" s="33"/>
      <c r="K902" s="33"/>
      <c r="L902" s="34"/>
      <c r="M902" s="34"/>
      <c r="N902" s="34"/>
      <c r="Q902" s="35"/>
      <c r="R902" s="36"/>
      <c r="S902" s="34"/>
      <c r="T902" s="34"/>
      <c r="AF902" s="39"/>
      <c r="AG902" s="39"/>
      <c r="AH902" s="34"/>
      <c r="AI902" s="34"/>
      <c r="AJ902" s="34"/>
      <c r="AK902" s="34"/>
      <c r="AN902" t="str">
        <f t="shared" si="1"/>
        <v/>
      </c>
    </row>
    <row r="903">
      <c r="A903" s="33"/>
      <c r="B903" s="33"/>
      <c r="C903" s="33"/>
      <c r="D903" s="34"/>
      <c r="E903" s="34"/>
      <c r="F903" s="34"/>
      <c r="G903" s="33"/>
      <c r="I903" s="34"/>
      <c r="J903" s="33"/>
      <c r="K903" s="33"/>
      <c r="L903" s="34"/>
      <c r="M903" s="34"/>
      <c r="N903" s="34"/>
      <c r="Q903" s="35"/>
      <c r="R903" s="36"/>
      <c r="S903" s="34"/>
      <c r="T903" s="34"/>
      <c r="AF903" s="39"/>
      <c r="AG903" s="39"/>
      <c r="AH903" s="34"/>
      <c r="AI903" s="34"/>
      <c r="AJ903" s="34"/>
      <c r="AK903" s="34"/>
      <c r="AN903" t="str">
        <f t="shared" si="1"/>
        <v/>
      </c>
    </row>
    <row r="904">
      <c r="A904" s="33"/>
      <c r="B904" s="33"/>
      <c r="C904" s="33"/>
      <c r="D904" s="34"/>
      <c r="E904" s="34"/>
      <c r="F904" s="34"/>
      <c r="G904" s="33"/>
      <c r="I904" s="34"/>
      <c r="J904" s="33"/>
      <c r="K904" s="33"/>
      <c r="L904" s="34"/>
      <c r="M904" s="34"/>
      <c r="N904" s="34"/>
      <c r="Q904" s="35"/>
      <c r="R904" s="36"/>
      <c r="S904" s="34"/>
      <c r="T904" s="34"/>
      <c r="AF904" s="39"/>
      <c r="AG904" s="39"/>
      <c r="AH904" s="34"/>
      <c r="AI904" s="34"/>
      <c r="AJ904" s="34"/>
      <c r="AK904" s="34"/>
      <c r="AN904" t="str">
        <f t="shared" si="1"/>
        <v/>
      </c>
    </row>
    <row r="905">
      <c r="A905" s="33"/>
      <c r="B905" s="33"/>
      <c r="C905" s="33"/>
      <c r="D905" s="34"/>
      <c r="E905" s="34"/>
      <c r="F905" s="34"/>
      <c r="G905" s="33"/>
      <c r="I905" s="34"/>
      <c r="J905" s="33"/>
      <c r="K905" s="33"/>
      <c r="L905" s="34"/>
      <c r="M905" s="34"/>
      <c r="N905" s="34"/>
      <c r="Q905" s="35"/>
      <c r="R905" s="36"/>
      <c r="S905" s="34"/>
      <c r="T905" s="34"/>
      <c r="AF905" s="39"/>
      <c r="AG905" s="39"/>
      <c r="AH905" s="34"/>
      <c r="AI905" s="34"/>
      <c r="AJ905" s="34"/>
      <c r="AK905" s="34"/>
      <c r="AN905" t="str">
        <f t="shared" si="1"/>
        <v/>
      </c>
    </row>
    <row r="906">
      <c r="A906" s="33"/>
      <c r="B906" s="33"/>
      <c r="C906" s="33"/>
      <c r="D906" s="34"/>
      <c r="E906" s="34"/>
      <c r="F906" s="34"/>
      <c r="G906" s="33"/>
      <c r="I906" s="34"/>
      <c r="J906" s="33"/>
      <c r="K906" s="33"/>
      <c r="L906" s="34"/>
      <c r="M906" s="34"/>
      <c r="N906" s="34"/>
      <c r="Q906" s="35"/>
      <c r="R906" s="36"/>
      <c r="S906" s="34"/>
      <c r="T906" s="34"/>
      <c r="AF906" s="39"/>
      <c r="AG906" s="39"/>
      <c r="AH906" s="34"/>
      <c r="AI906" s="34"/>
      <c r="AJ906" s="34"/>
      <c r="AK906" s="34"/>
      <c r="AN906" t="str">
        <f t="shared" si="1"/>
        <v/>
      </c>
    </row>
    <row r="907">
      <c r="A907" s="33"/>
      <c r="B907" s="33"/>
      <c r="C907" s="33"/>
      <c r="D907" s="34"/>
      <c r="E907" s="34"/>
      <c r="F907" s="34"/>
      <c r="G907" s="33"/>
      <c r="I907" s="34"/>
      <c r="J907" s="33"/>
      <c r="K907" s="33"/>
      <c r="L907" s="34"/>
      <c r="M907" s="34"/>
      <c r="N907" s="34"/>
      <c r="Q907" s="35"/>
      <c r="R907" s="36"/>
      <c r="S907" s="34"/>
      <c r="T907" s="34"/>
      <c r="AF907" s="39"/>
      <c r="AG907" s="39"/>
      <c r="AH907" s="34"/>
      <c r="AI907" s="34"/>
      <c r="AJ907" s="34"/>
      <c r="AK907" s="34"/>
      <c r="AN907" t="str">
        <f t="shared" si="1"/>
        <v/>
      </c>
    </row>
    <row r="908">
      <c r="A908" s="33"/>
      <c r="B908" s="33"/>
      <c r="C908" s="33"/>
      <c r="D908" s="34"/>
      <c r="E908" s="34"/>
      <c r="F908" s="34"/>
      <c r="G908" s="33"/>
      <c r="I908" s="34"/>
      <c r="J908" s="33"/>
      <c r="K908" s="33"/>
      <c r="L908" s="34"/>
      <c r="M908" s="34"/>
      <c r="N908" s="34"/>
      <c r="Q908" s="35"/>
      <c r="R908" s="36"/>
      <c r="S908" s="34"/>
      <c r="T908" s="34"/>
      <c r="AF908" s="39"/>
      <c r="AG908" s="39"/>
      <c r="AH908" s="34"/>
      <c r="AI908" s="34"/>
      <c r="AJ908" s="34"/>
      <c r="AK908" s="34"/>
      <c r="AN908" t="str">
        <f t="shared" si="1"/>
        <v/>
      </c>
    </row>
    <row r="909">
      <c r="A909" s="33"/>
      <c r="B909" s="33"/>
      <c r="C909" s="33"/>
      <c r="D909" s="34"/>
      <c r="E909" s="34"/>
      <c r="F909" s="34"/>
      <c r="G909" s="33"/>
      <c r="I909" s="34"/>
      <c r="J909" s="33"/>
      <c r="K909" s="33"/>
      <c r="L909" s="34"/>
      <c r="M909" s="34"/>
      <c r="N909" s="34"/>
      <c r="Q909" s="35"/>
      <c r="R909" s="36"/>
      <c r="S909" s="34"/>
      <c r="T909" s="34"/>
      <c r="AF909" s="39"/>
      <c r="AG909" s="39"/>
      <c r="AH909" s="34"/>
      <c r="AI909" s="34"/>
      <c r="AJ909" s="34"/>
      <c r="AK909" s="34"/>
      <c r="AN909" t="str">
        <f t="shared" si="1"/>
        <v/>
      </c>
    </row>
    <row r="910">
      <c r="A910" s="33"/>
      <c r="B910" s="33"/>
      <c r="C910" s="33"/>
      <c r="D910" s="34"/>
      <c r="E910" s="34"/>
      <c r="F910" s="34"/>
      <c r="G910" s="33"/>
      <c r="I910" s="34"/>
      <c r="J910" s="33"/>
      <c r="K910" s="33"/>
      <c r="L910" s="34"/>
      <c r="M910" s="34"/>
      <c r="N910" s="34"/>
      <c r="Q910" s="35"/>
      <c r="R910" s="36"/>
      <c r="S910" s="34"/>
      <c r="T910" s="34"/>
      <c r="AF910" s="39"/>
      <c r="AG910" s="39"/>
      <c r="AH910" s="34"/>
      <c r="AI910" s="34"/>
      <c r="AJ910" s="34"/>
      <c r="AK910" s="34"/>
      <c r="AN910" t="str">
        <f t="shared" si="1"/>
        <v/>
      </c>
    </row>
    <row r="911">
      <c r="A911" s="33"/>
      <c r="B911" s="33"/>
      <c r="C911" s="33"/>
      <c r="D911" s="34"/>
      <c r="E911" s="34"/>
      <c r="F911" s="34"/>
      <c r="G911" s="33"/>
      <c r="I911" s="34"/>
      <c r="J911" s="33"/>
      <c r="K911" s="33"/>
      <c r="L911" s="34"/>
      <c r="M911" s="34"/>
      <c r="N911" s="34"/>
      <c r="Q911" s="35"/>
      <c r="R911" s="36"/>
      <c r="S911" s="34"/>
      <c r="T911" s="34"/>
      <c r="AF911" s="39"/>
      <c r="AG911" s="39"/>
      <c r="AH911" s="34"/>
      <c r="AI911" s="34"/>
      <c r="AJ911" s="34"/>
      <c r="AK911" s="34"/>
      <c r="AN911" t="str">
        <f t="shared" si="1"/>
        <v/>
      </c>
    </row>
    <row r="912">
      <c r="A912" s="33"/>
      <c r="B912" s="33"/>
      <c r="C912" s="33"/>
      <c r="D912" s="34"/>
      <c r="E912" s="34"/>
      <c r="F912" s="34"/>
      <c r="G912" s="33"/>
      <c r="I912" s="34"/>
      <c r="J912" s="33"/>
      <c r="K912" s="33"/>
      <c r="L912" s="34"/>
      <c r="M912" s="34"/>
      <c r="N912" s="34"/>
      <c r="Q912" s="35"/>
      <c r="R912" s="36"/>
      <c r="S912" s="34"/>
      <c r="T912" s="34"/>
      <c r="AF912" s="39"/>
      <c r="AG912" s="39"/>
      <c r="AH912" s="34"/>
      <c r="AI912" s="34"/>
      <c r="AJ912" s="34"/>
      <c r="AK912" s="34"/>
      <c r="AN912" t="str">
        <f t="shared" si="1"/>
        <v/>
      </c>
    </row>
    <row r="913">
      <c r="A913" s="33"/>
      <c r="B913" s="33"/>
      <c r="C913" s="33"/>
      <c r="D913" s="34"/>
      <c r="E913" s="34"/>
      <c r="F913" s="34"/>
      <c r="G913" s="33"/>
      <c r="I913" s="34"/>
      <c r="J913" s="33"/>
      <c r="K913" s="33"/>
      <c r="L913" s="34"/>
      <c r="M913" s="34"/>
      <c r="N913" s="34"/>
      <c r="Q913" s="35"/>
      <c r="R913" s="36"/>
      <c r="S913" s="34"/>
      <c r="T913" s="34"/>
      <c r="AF913" s="39"/>
      <c r="AG913" s="39"/>
      <c r="AH913" s="34"/>
      <c r="AI913" s="34"/>
      <c r="AJ913" s="34"/>
      <c r="AK913" s="34"/>
      <c r="AN913" t="str">
        <f t="shared" si="1"/>
        <v/>
      </c>
    </row>
    <row r="914">
      <c r="A914" s="33"/>
      <c r="B914" s="33"/>
      <c r="C914" s="33"/>
      <c r="D914" s="34"/>
      <c r="E914" s="34"/>
      <c r="F914" s="34"/>
      <c r="G914" s="33"/>
      <c r="I914" s="34"/>
      <c r="J914" s="33"/>
      <c r="K914" s="33"/>
      <c r="L914" s="34"/>
      <c r="M914" s="34"/>
      <c r="N914" s="34"/>
      <c r="Q914" s="35"/>
      <c r="R914" s="36"/>
      <c r="S914" s="34"/>
      <c r="T914" s="34"/>
      <c r="AF914" s="39"/>
      <c r="AG914" s="39"/>
      <c r="AH914" s="34"/>
      <c r="AI914" s="34"/>
      <c r="AJ914" s="34"/>
      <c r="AK914" s="34"/>
      <c r="AN914" t="str">
        <f t="shared" si="1"/>
        <v/>
      </c>
    </row>
    <row r="915">
      <c r="A915" s="33"/>
      <c r="B915" s="33"/>
      <c r="C915" s="33"/>
      <c r="D915" s="34"/>
      <c r="E915" s="34"/>
      <c r="F915" s="34"/>
      <c r="G915" s="33"/>
      <c r="I915" s="34"/>
      <c r="J915" s="33"/>
      <c r="K915" s="33"/>
      <c r="L915" s="34"/>
      <c r="M915" s="34"/>
      <c r="N915" s="34"/>
      <c r="Q915" s="35"/>
      <c r="R915" s="36"/>
      <c r="S915" s="34"/>
      <c r="T915" s="34"/>
      <c r="AF915" s="39"/>
      <c r="AG915" s="39"/>
      <c r="AH915" s="34"/>
      <c r="AI915" s="34"/>
      <c r="AJ915" s="34"/>
      <c r="AK915" s="34"/>
      <c r="AN915" t="str">
        <f t="shared" si="1"/>
        <v/>
      </c>
    </row>
    <row r="916">
      <c r="A916" s="33"/>
      <c r="B916" s="33"/>
      <c r="C916" s="33"/>
      <c r="D916" s="34"/>
      <c r="E916" s="34"/>
      <c r="F916" s="34"/>
      <c r="G916" s="33"/>
      <c r="I916" s="34"/>
      <c r="J916" s="33"/>
      <c r="K916" s="33"/>
      <c r="L916" s="34"/>
      <c r="M916" s="34"/>
      <c r="N916" s="34"/>
      <c r="Q916" s="35"/>
      <c r="R916" s="36"/>
      <c r="S916" s="34"/>
      <c r="T916" s="34"/>
      <c r="AF916" s="39"/>
      <c r="AG916" s="39"/>
      <c r="AH916" s="34"/>
      <c r="AI916" s="34"/>
      <c r="AJ916" s="34"/>
      <c r="AK916" s="34"/>
      <c r="AN916" t="str">
        <f t="shared" si="1"/>
        <v/>
      </c>
    </row>
    <row r="917">
      <c r="A917" s="33"/>
      <c r="B917" s="33"/>
      <c r="C917" s="33"/>
      <c r="D917" s="34"/>
      <c r="E917" s="34"/>
      <c r="F917" s="34"/>
      <c r="G917" s="33"/>
      <c r="I917" s="34"/>
      <c r="J917" s="33"/>
      <c r="K917" s="33"/>
      <c r="L917" s="34"/>
      <c r="M917" s="34"/>
      <c r="N917" s="34"/>
      <c r="Q917" s="35"/>
      <c r="R917" s="36"/>
      <c r="S917" s="34"/>
      <c r="T917" s="34"/>
      <c r="AF917" s="39"/>
      <c r="AG917" s="39"/>
      <c r="AH917" s="34"/>
      <c r="AI917" s="34"/>
      <c r="AJ917" s="34"/>
      <c r="AK917" s="34"/>
      <c r="AN917" t="str">
        <f t="shared" si="1"/>
        <v/>
      </c>
    </row>
    <row r="918">
      <c r="A918" s="33"/>
      <c r="B918" s="33"/>
      <c r="C918" s="33"/>
      <c r="D918" s="34"/>
      <c r="E918" s="34"/>
      <c r="F918" s="34"/>
      <c r="G918" s="33"/>
      <c r="I918" s="34"/>
      <c r="J918" s="33"/>
      <c r="K918" s="33"/>
      <c r="L918" s="34"/>
      <c r="M918" s="34"/>
      <c r="N918" s="34"/>
      <c r="Q918" s="35"/>
      <c r="R918" s="36"/>
      <c r="S918" s="34"/>
      <c r="T918" s="34"/>
      <c r="AF918" s="39"/>
      <c r="AG918" s="39"/>
      <c r="AH918" s="34"/>
      <c r="AI918" s="34"/>
      <c r="AJ918" s="34"/>
      <c r="AK918" s="34"/>
      <c r="AN918" t="str">
        <f t="shared" si="1"/>
        <v/>
      </c>
    </row>
    <row r="919">
      <c r="A919" s="33"/>
      <c r="B919" s="33"/>
      <c r="C919" s="33"/>
      <c r="D919" s="34"/>
      <c r="E919" s="34"/>
      <c r="F919" s="34"/>
      <c r="G919" s="33"/>
      <c r="I919" s="34"/>
      <c r="J919" s="33"/>
      <c r="K919" s="33"/>
      <c r="L919" s="34"/>
      <c r="M919" s="34"/>
      <c r="N919" s="34"/>
      <c r="Q919" s="35"/>
      <c r="R919" s="36"/>
      <c r="S919" s="34"/>
      <c r="T919" s="34"/>
      <c r="AF919" s="39"/>
      <c r="AG919" s="39"/>
      <c r="AH919" s="34"/>
      <c r="AI919" s="34"/>
      <c r="AJ919" s="34"/>
      <c r="AK919" s="34"/>
      <c r="AN919" t="str">
        <f t="shared" si="1"/>
        <v/>
      </c>
    </row>
    <row r="920">
      <c r="A920" s="33"/>
      <c r="B920" s="33"/>
      <c r="C920" s="33"/>
      <c r="D920" s="34"/>
      <c r="E920" s="34"/>
      <c r="F920" s="34"/>
      <c r="G920" s="33"/>
      <c r="I920" s="34"/>
      <c r="J920" s="33"/>
      <c r="K920" s="33"/>
      <c r="L920" s="34"/>
      <c r="M920" s="34"/>
      <c r="N920" s="34"/>
      <c r="Q920" s="35"/>
      <c r="R920" s="36"/>
      <c r="S920" s="34"/>
      <c r="T920" s="34"/>
      <c r="AF920" s="39"/>
      <c r="AG920" s="39"/>
      <c r="AH920" s="34"/>
      <c r="AI920" s="34"/>
      <c r="AJ920" s="34"/>
      <c r="AK920" s="34"/>
      <c r="AN920" t="str">
        <f t="shared" si="1"/>
        <v/>
      </c>
    </row>
    <row r="921">
      <c r="A921" s="33"/>
      <c r="B921" s="33"/>
      <c r="C921" s="33"/>
      <c r="D921" s="34"/>
      <c r="E921" s="34"/>
      <c r="F921" s="34"/>
      <c r="G921" s="33"/>
      <c r="I921" s="34"/>
      <c r="J921" s="33"/>
      <c r="K921" s="33"/>
      <c r="L921" s="34"/>
      <c r="M921" s="34"/>
      <c r="N921" s="34"/>
      <c r="Q921" s="35"/>
      <c r="R921" s="36"/>
      <c r="S921" s="34"/>
      <c r="T921" s="34"/>
      <c r="AF921" s="39"/>
      <c r="AG921" s="39"/>
      <c r="AH921" s="34"/>
      <c r="AI921" s="34"/>
      <c r="AJ921" s="34"/>
      <c r="AK921" s="34"/>
      <c r="AN921" t="str">
        <f t="shared" si="1"/>
        <v/>
      </c>
    </row>
    <row r="922">
      <c r="A922" s="33"/>
      <c r="B922" s="33"/>
      <c r="C922" s="33"/>
      <c r="D922" s="34"/>
      <c r="E922" s="34"/>
      <c r="F922" s="34"/>
      <c r="G922" s="33"/>
      <c r="I922" s="34"/>
      <c r="J922" s="33"/>
      <c r="K922" s="33"/>
      <c r="L922" s="34"/>
      <c r="M922" s="34"/>
      <c r="N922" s="34"/>
      <c r="Q922" s="35"/>
      <c r="R922" s="36"/>
      <c r="S922" s="34"/>
      <c r="T922" s="34"/>
      <c r="AF922" s="39"/>
      <c r="AG922" s="39"/>
      <c r="AH922" s="34"/>
      <c r="AI922" s="34"/>
      <c r="AJ922" s="34"/>
      <c r="AK922" s="34"/>
      <c r="AN922" t="str">
        <f t="shared" si="1"/>
        <v/>
      </c>
    </row>
    <row r="923">
      <c r="A923" s="33"/>
      <c r="B923" s="33"/>
      <c r="C923" s="33"/>
      <c r="D923" s="34"/>
      <c r="E923" s="34"/>
      <c r="F923" s="34"/>
      <c r="G923" s="33"/>
      <c r="I923" s="34"/>
      <c r="J923" s="33"/>
      <c r="K923" s="33"/>
      <c r="L923" s="34"/>
      <c r="M923" s="34"/>
      <c r="N923" s="34"/>
      <c r="Q923" s="35"/>
      <c r="R923" s="36"/>
      <c r="S923" s="34"/>
      <c r="T923" s="34"/>
      <c r="AF923" s="39"/>
      <c r="AG923" s="39"/>
      <c r="AH923" s="34"/>
      <c r="AI923" s="34"/>
      <c r="AJ923" s="34"/>
      <c r="AK923" s="34"/>
      <c r="AN923" t="str">
        <f t="shared" si="1"/>
        <v/>
      </c>
    </row>
    <row r="924">
      <c r="A924" s="33"/>
      <c r="B924" s="33"/>
      <c r="C924" s="33"/>
      <c r="D924" s="34"/>
      <c r="E924" s="34"/>
      <c r="F924" s="34"/>
      <c r="G924" s="33"/>
      <c r="I924" s="34"/>
      <c r="J924" s="33"/>
      <c r="K924" s="33"/>
      <c r="L924" s="34"/>
      <c r="M924" s="34"/>
      <c r="N924" s="34"/>
      <c r="Q924" s="35"/>
      <c r="R924" s="36"/>
      <c r="S924" s="34"/>
      <c r="T924" s="34"/>
      <c r="AF924" s="39"/>
      <c r="AG924" s="39"/>
      <c r="AH924" s="34"/>
      <c r="AI924" s="34"/>
      <c r="AJ924" s="34"/>
      <c r="AK924" s="34"/>
      <c r="AN924" t="str">
        <f t="shared" si="1"/>
        <v/>
      </c>
    </row>
    <row r="925">
      <c r="A925" s="33"/>
      <c r="B925" s="33"/>
      <c r="C925" s="33"/>
      <c r="D925" s="34"/>
      <c r="E925" s="34"/>
      <c r="F925" s="34"/>
      <c r="G925" s="33"/>
      <c r="I925" s="34"/>
      <c r="J925" s="33"/>
      <c r="K925" s="33"/>
      <c r="L925" s="34"/>
      <c r="M925" s="34"/>
      <c r="N925" s="34"/>
      <c r="Q925" s="35"/>
      <c r="R925" s="36"/>
      <c r="S925" s="34"/>
      <c r="T925" s="34"/>
      <c r="AF925" s="39"/>
      <c r="AG925" s="39"/>
      <c r="AH925" s="34"/>
      <c r="AI925" s="34"/>
      <c r="AJ925" s="34"/>
      <c r="AK925" s="34"/>
      <c r="AN925" t="str">
        <f t="shared" si="1"/>
        <v/>
      </c>
    </row>
    <row r="926">
      <c r="A926" s="33"/>
      <c r="B926" s="33"/>
      <c r="C926" s="33"/>
      <c r="D926" s="34"/>
      <c r="E926" s="34"/>
      <c r="F926" s="34"/>
      <c r="G926" s="33"/>
      <c r="I926" s="34"/>
      <c r="J926" s="33"/>
      <c r="K926" s="33"/>
      <c r="L926" s="34"/>
      <c r="M926" s="34"/>
      <c r="N926" s="34"/>
      <c r="Q926" s="35"/>
      <c r="R926" s="36"/>
      <c r="S926" s="34"/>
      <c r="T926" s="34"/>
      <c r="AF926" s="39"/>
      <c r="AG926" s="39"/>
      <c r="AH926" s="34"/>
      <c r="AI926" s="34"/>
      <c r="AJ926" s="34"/>
      <c r="AK926" s="34"/>
      <c r="AN926" t="str">
        <f t="shared" si="1"/>
        <v/>
      </c>
    </row>
    <row r="927">
      <c r="A927" s="33"/>
      <c r="B927" s="33"/>
      <c r="C927" s="33"/>
      <c r="D927" s="34"/>
      <c r="E927" s="34"/>
      <c r="F927" s="34"/>
      <c r="G927" s="33"/>
      <c r="I927" s="34"/>
      <c r="J927" s="33"/>
      <c r="K927" s="33"/>
      <c r="L927" s="34"/>
      <c r="M927" s="34"/>
      <c r="N927" s="34"/>
      <c r="Q927" s="35"/>
      <c r="R927" s="36"/>
      <c r="S927" s="34"/>
      <c r="T927" s="34"/>
      <c r="AF927" s="39"/>
      <c r="AG927" s="39"/>
      <c r="AH927" s="34"/>
      <c r="AI927" s="34"/>
      <c r="AJ927" s="34"/>
      <c r="AK927" s="34"/>
      <c r="AN927" t="str">
        <f t="shared" si="1"/>
        <v/>
      </c>
    </row>
    <row r="928">
      <c r="A928" s="33"/>
      <c r="B928" s="33"/>
      <c r="C928" s="33"/>
      <c r="D928" s="34"/>
      <c r="E928" s="34"/>
      <c r="F928" s="34"/>
      <c r="G928" s="33"/>
      <c r="I928" s="34"/>
      <c r="J928" s="33"/>
      <c r="K928" s="33"/>
      <c r="L928" s="34"/>
      <c r="M928" s="34"/>
      <c r="N928" s="34"/>
      <c r="Q928" s="35"/>
      <c r="R928" s="36"/>
      <c r="S928" s="34"/>
      <c r="T928" s="34"/>
      <c r="AF928" s="39"/>
      <c r="AG928" s="39"/>
      <c r="AH928" s="34"/>
      <c r="AI928" s="34"/>
      <c r="AJ928" s="34"/>
      <c r="AK928" s="34"/>
      <c r="AN928" t="str">
        <f t="shared" si="1"/>
        <v/>
      </c>
    </row>
    <row r="929">
      <c r="A929" s="33"/>
      <c r="B929" s="33"/>
      <c r="C929" s="33"/>
      <c r="D929" s="34"/>
      <c r="E929" s="34"/>
      <c r="F929" s="34"/>
      <c r="G929" s="33"/>
      <c r="I929" s="34"/>
      <c r="J929" s="33"/>
      <c r="K929" s="33"/>
      <c r="L929" s="34"/>
      <c r="M929" s="34"/>
      <c r="N929" s="34"/>
      <c r="Q929" s="35"/>
      <c r="R929" s="36"/>
      <c r="S929" s="34"/>
      <c r="T929" s="34"/>
      <c r="AF929" s="39"/>
      <c r="AG929" s="39"/>
      <c r="AH929" s="34"/>
      <c r="AI929" s="34"/>
      <c r="AJ929" s="34"/>
      <c r="AK929" s="34"/>
      <c r="AN929" t="str">
        <f t="shared" si="1"/>
        <v/>
      </c>
    </row>
    <row r="930">
      <c r="A930" s="33"/>
      <c r="B930" s="33"/>
      <c r="C930" s="33"/>
      <c r="D930" s="34"/>
      <c r="E930" s="34"/>
      <c r="F930" s="34"/>
      <c r="G930" s="33"/>
      <c r="I930" s="34"/>
      <c r="J930" s="33"/>
      <c r="K930" s="33"/>
      <c r="L930" s="34"/>
      <c r="M930" s="34"/>
      <c r="N930" s="34"/>
      <c r="Q930" s="35"/>
      <c r="R930" s="36"/>
      <c r="S930" s="34"/>
      <c r="T930" s="34"/>
      <c r="AF930" s="39"/>
      <c r="AG930" s="39"/>
      <c r="AH930" s="34"/>
      <c r="AI930" s="34"/>
      <c r="AJ930" s="34"/>
      <c r="AK930" s="34"/>
      <c r="AN930" t="str">
        <f t="shared" si="1"/>
        <v/>
      </c>
    </row>
    <row r="931">
      <c r="A931" s="33"/>
      <c r="B931" s="33"/>
      <c r="C931" s="33"/>
      <c r="D931" s="34"/>
      <c r="E931" s="34"/>
      <c r="F931" s="34"/>
      <c r="G931" s="33"/>
      <c r="I931" s="34"/>
      <c r="J931" s="33"/>
      <c r="K931" s="33"/>
      <c r="L931" s="34"/>
      <c r="M931" s="34"/>
      <c r="N931" s="34"/>
      <c r="Q931" s="35"/>
      <c r="R931" s="36"/>
      <c r="S931" s="34"/>
      <c r="T931" s="34"/>
      <c r="AF931" s="39"/>
      <c r="AG931" s="39"/>
      <c r="AH931" s="34"/>
      <c r="AI931" s="34"/>
      <c r="AJ931" s="34"/>
      <c r="AK931" s="34"/>
      <c r="AN931" t="str">
        <f t="shared" si="1"/>
        <v/>
      </c>
    </row>
    <row r="932">
      <c r="A932" s="33"/>
      <c r="B932" s="33"/>
      <c r="C932" s="33"/>
      <c r="D932" s="34"/>
      <c r="E932" s="34"/>
      <c r="F932" s="34"/>
      <c r="G932" s="33"/>
      <c r="I932" s="34"/>
      <c r="J932" s="33"/>
      <c r="K932" s="33"/>
      <c r="L932" s="34"/>
      <c r="M932" s="34"/>
      <c r="N932" s="34"/>
      <c r="Q932" s="35"/>
      <c r="R932" s="36"/>
      <c r="S932" s="34"/>
      <c r="T932" s="34"/>
      <c r="AF932" s="39"/>
      <c r="AG932" s="39"/>
      <c r="AH932" s="34"/>
      <c r="AI932" s="34"/>
      <c r="AJ932" s="34"/>
      <c r="AK932" s="34"/>
      <c r="AN932" t="str">
        <f t="shared" si="1"/>
        <v/>
      </c>
    </row>
    <row r="933">
      <c r="A933" s="33"/>
      <c r="B933" s="33"/>
      <c r="C933" s="33"/>
      <c r="D933" s="34"/>
      <c r="E933" s="34"/>
      <c r="F933" s="34"/>
      <c r="G933" s="33"/>
      <c r="I933" s="34"/>
      <c r="J933" s="33"/>
      <c r="K933" s="33"/>
      <c r="L933" s="34"/>
      <c r="M933" s="34"/>
      <c r="N933" s="34"/>
      <c r="Q933" s="35"/>
      <c r="R933" s="36"/>
      <c r="S933" s="34"/>
      <c r="T933" s="34"/>
      <c r="AF933" s="39"/>
      <c r="AG933" s="39"/>
      <c r="AH933" s="34"/>
      <c r="AI933" s="34"/>
      <c r="AJ933" s="34"/>
      <c r="AK933" s="34"/>
      <c r="AN933" t="str">
        <f t="shared" si="1"/>
        <v/>
      </c>
    </row>
    <row r="934">
      <c r="A934" s="33"/>
      <c r="B934" s="33"/>
      <c r="C934" s="33"/>
      <c r="D934" s="34"/>
      <c r="E934" s="34"/>
      <c r="F934" s="34"/>
      <c r="G934" s="33"/>
      <c r="I934" s="34"/>
      <c r="J934" s="33"/>
      <c r="K934" s="33"/>
      <c r="L934" s="34"/>
      <c r="M934" s="34"/>
      <c r="N934" s="34"/>
      <c r="Q934" s="35"/>
      <c r="R934" s="36"/>
      <c r="S934" s="34"/>
      <c r="T934" s="34"/>
      <c r="AF934" s="39"/>
      <c r="AG934" s="39"/>
      <c r="AH934" s="34"/>
      <c r="AI934" s="34"/>
      <c r="AJ934" s="34"/>
      <c r="AK934" s="34"/>
      <c r="AN934" t="str">
        <f t="shared" si="1"/>
        <v/>
      </c>
    </row>
    <row r="935">
      <c r="A935" s="33"/>
      <c r="B935" s="33"/>
      <c r="C935" s="33"/>
      <c r="D935" s="34"/>
      <c r="E935" s="34"/>
      <c r="F935" s="34"/>
      <c r="G935" s="33"/>
      <c r="I935" s="34"/>
      <c r="J935" s="33"/>
      <c r="K935" s="33"/>
      <c r="L935" s="34"/>
      <c r="M935" s="34"/>
      <c r="N935" s="34"/>
      <c r="Q935" s="35"/>
      <c r="R935" s="36"/>
      <c r="S935" s="34"/>
      <c r="T935" s="34"/>
      <c r="AF935" s="39"/>
      <c r="AG935" s="39"/>
      <c r="AH935" s="34"/>
      <c r="AI935" s="34"/>
      <c r="AJ935" s="34"/>
      <c r="AK935" s="34"/>
      <c r="AN935" t="str">
        <f t="shared" si="1"/>
        <v/>
      </c>
    </row>
    <row r="936">
      <c r="A936" s="33"/>
      <c r="B936" s="33"/>
      <c r="C936" s="33"/>
      <c r="D936" s="34"/>
      <c r="E936" s="34"/>
      <c r="F936" s="34"/>
      <c r="G936" s="33"/>
      <c r="I936" s="34"/>
      <c r="J936" s="33"/>
      <c r="K936" s="33"/>
      <c r="L936" s="34"/>
      <c r="M936" s="34"/>
      <c r="N936" s="34"/>
      <c r="Q936" s="35"/>
      <c r="R936" s="36"/>
      <c r="S936" s="34"/>
      <c r="T936" s="34"/>
      <c r="AF936" s="39"/>
      <c r="AG936" s="39"/>
      <c r="AH936" s="34"/>
      <c r="AI936" s="34"/>
      <c r="AJ936" s="34"/>
      <c r="AK936" s="34"/>
      <c r="AN936" t="str">
        <f t="shared" si="1"/>
        <v/>
      </c>
    </row>
    <row r="937">
      <c r="A937" s="33"/>
      <c r="B937" s="33"/>
      <c r="C937" s="33"/>
      <c r="D937" s="34"/>
      <c r="E937" s="34"/>
      <c r="F937" s="34"/>
      <c r="G937" s="33"/>
      <c r="I937" s="34"/>
      <c r="J937" s="33"/>
      <c r="K937" s="33"/>
      <c r="L937" s="34"/>
      <c r="M937" s="34"/>
      <c r="N937" s="34"/>
      <c r="Q937" s="35"/>
      <c r="R937" s="36"/>
      <c r="S937" s="34"/>
      <c r="T937" s="34"/>
      <c r="AF937" s="39"/>
      <c r="AG937" s="39"/>
      <c r="AH937" s="34"/>
      <c r="AI937" s="34"/>
      <c r="AJ937" s="34"/>
      <c r="AK937" s="34"/>
      <c r="AN937" t="str">
        <f t="shared" si="1"/>
        <v/>
      </c>
    </row>
    <row r="938">
      <c r="A938" s="33"/>
      <c r="B938" s="33"/>
      <c r="C938" s="33"/>
      <c r="D938" s="34"/>
      <c r="E938" s="34"/>
      <c r="F938" s="34"/>
      <c r="G938" s="33"/>
      <c r="I938" s="34"/>
      <c r="J938" s="33"/>
      <c r="K938" s="33"/>
      <c r="L938" s="34"/>
      <c r="M938" s="34"/>
      <c r="N938" s="34"/>
      <c r="Q938" s="35"/>
      <c r="R938" s="36"/>
      <c r="S938" s="34"/>
      <c r="T938" s="34"/>
      <c r="AF938" s="39"/>
      <c r="AG938" s="39"/>
      <c r="AH938" s="34"/>
      <c r="AI938" s="34"/>
      <c r="AJ938" s="34"/>
      <c r="AK938" s="34"/>
      <c r="AN938" t="str">
        <f t="shared" si="1"/>
        <v/>
      </c>
    </row>
    <row r="939">
      <c r="A939" s="33"/>
      <c r="B939" s="33"/>
      <c r="C939" s="33"/>
      <c r="D939" s="34"/>
      <c r="E939" s="34"/>
      <c r="F939" s="34"/>
      <c r="G939" s="33"/>
      <c r="I939" s="34"/>
      <c r="J939" s="33"/>
      <c r="K939" s="33"/>
      <c r="L939" s="34"/>
      <c r="M939" s="34"/>
      <c r="N939" s="34"/>
      <c r="Q939" s="35"/>
      <c r="R939" s="36"/>
      <c r="S939" s="34"/>
      <c r="T939" s="34"/>
      <c r="AF939" s="39"/>
      <c r="AG939" s="39"/>
      <c r="AH939" s="34"/>
      <c r="AI939" s="34"/>
      <c r="AJ939" s="34"/>
      <c r="AK939" s="34"/>
      <c r="AN939" t="str">
        <f t="shared" si="1"/>
        <v/>
      </c>
    </row>
    <row r="940">
      <c r="A940" s="33"/>
      <c r="B940" s="33"/>
      <c r="C940" s="33"/>
      <c r="D940" s="34"/>
      <c r="E940" s="34"/>
      <c r="F940" s="34"/>
      <c r="G940" s="33"/>
      <c r="I940" s="34"/>
      <c r="J940" s="33"/>
      <c r="K940" s="33"/>
      <c r="L940" s="34"/>
      <c r="M940" s="34"/>
      <c r="N940" s="34"/>
      <c r="Q940" s="35"/>
      <c r="R940" s="36"/>
      <c r="S940" s="34"/>
      <c r="T940" s="34"/>
      <c r="AF940" s="39"/>
      <c r="AG940" s="39"/>
      <c r="AH940" s="34"/>
      <c r="AI940" s="34"/>
      <c r="AJ940" s="34"/>
      <c r="AK940" s="34"/>
      <c r="AN940" t="str">
        <f t="shared" si="1"/>
        <v/>
      </c>
    </row>
    <row r="941">
      <c r="A941" s="33"/>
      <c r="B941" s="33"/>
      <c r="C941" s="33"/>
      <c r="D941" s="34"/>
      <c r="E941" s="34"/>
      <c r="F941" s="34"/>
      <c r="G941" s="33"/>
      <c r="I941" s="34"/>
      <c r="J941" s="33"/>
      <c r="K941" s="33"/>
      <c r="L941" s="34"/>
      <c r="M941" s="34"/>
      <c r="N941" s="34"/>
      <c r="Q941" s="35"/>
      <c r="R941" s="36"/>
      <c r="S941" s="34"/>
      <c r="T941" s="34"/>
      <c r="AF941" s="39"/>
      <c r="AG941" s="39"/>
      <c r="AH941" s="34"/>
      <c r="AI941" s="34"/>
      <c r="AJ941" s="34"/>
      <c r="AK941" s="34"/>
      <c r="AN941" t="str">
        <f t="shared" si="1"/>
        <v/>
      </c>
    </row>
    <row r="942">
      <c r="A942" s="33"/>
      <c r="B942" s="33"/>
      <c r="C942" s="33"/>
      <c r="D942" s="34"/>
      <c r="E942" s="34"/>
      <c r="F942" s="34"/>
      <c r="G942" s="33"/>
      <c r="I942" s="34"/>
      <c r="J942" s="33"/>
      <c r="K942" s="33"/>
      <c r="L942" s="34"/>
      <c r="M942" s="34"/>
      <c r="N942" s="34"/>
      <c r="Q942" s="35"/>
      <c r="R942" s="36"/>
      <c r="S942" s="34"/>
      <c r="T942" s="34"/>
      <c r="AF942" s="39"/>
      <c r="AG942" s="39"/>
      <c r="AH942" s="34"/>
      <c r="AI942" s="34"/>
      <c r="AJ942" s="34"/>
      <c r="AK942" s="34"/>
      <c r="AN942" t="str">
        <f t="shared" si="1"/>
        <v/>
      </c>
    </row>
    <row r="943">
      <c r="A943" s="33"/>
      <c r="B943" s="33"/>
      <c r="C943" s="33"/>
      <c r="D943" s="34"/>
      <c r="E943" s="34"/>
      <c r="F943" s="34"/>
      <c r="G943" s="33"/>
      <c r="I943" s="34"/>
      <c r="J943" s="33"/>
      <c r="K943" s="33"/>
      <c r="L943" s="34"/>
      <c r="M943" s="34"/>
      <c r="N943" s="34"/>
      <c r="Q943" s="35"/>
      <c r="R943" s="36"/>
      <c r="S943" s="34"/>
      <c r="T943" s="34"/>
      <c r="AF943" s="39"/>
      <c r="AG943" s="39"/>
      <c r="AH943" s="34"/>
      <c r="AI943" s="34"/>
      <c r="AJ943" s="34"/>
      <c r="AK943" s="34"/>
      <c r="AN943" t="str">
        <f t="shared" si="1"/>
        <v/>
      </c>
    </row>
    <row r="944">
      <c r="A944" s="33"/>
      <c r="B944" s="33"/>
      <c r="C944" s="33"/>
      <c r="D944" s="34"/>
      <c r="E944" s="34"/>
      <c r="F944" s="34"/>
      <c r="G944" s="33"/>
      <c r="I944" s="34"/>
      <c r="J944" s="33"/>
      <c r="K944" s="33"/>
      <c r="L944" s="34"/>
      <c r="M944" s="34"/>
      <c r="N944" s="34"/>
      <c r="Q944" s="35"/>
      <c r="R944" s="36"/>
      <c r="S944" s="34"/>
      <c r="T944" s="34"/>
      <c r="AF944" s="39"/>
      <c r="AG944" s="39"/>
      <c r="AH944" s="34"/>
      <c r="AI944" s="34"/>
      <c r="AJ944" s="34"/>
      <c r="AK944" s="34"/>
      <c r="AN944" t="str">
        <f t="shared" si="1"/>
        <v/>
      </c>
    </row>
    <row r="945">
      <c r="A945" s="33"/>
      <c r="B945" s="33"/>
      <c r="C945" s="33"/>
      <c r="D945" s="34"/>
      <c r="E945" s="34"/>
      <c r="F945" s="34"/>
      <c r="G945" s="33"/>
      <c r="I945" s="34"/>
      <c r="J945" s="33"/>
      <c r="K945" s="33"/>
      <c r="L945" s="34"/>
      <c r="M945" s="34"/>
      <c r="N945" s="34"/>
      <c r="Q945" s="35"/>
      <c r="R945" s="36"/>
      <c r="S945" s="34"/>
      <c r="T945" s="34"/>
      <c r="AF945" s="39"/>
      <c r="AG945" s="39"/>
      <c r="AH945" s="34"/>
      <c r="AI945" s="34"/>
      <c r="AJ945" s="34"/>
      <c r="AK945" s="34"/>
      <c r="AN945" t="str">
        <f t="shared" si="1"/>
        <v/>
      </c>
    </row>
    <row r="946">
      <c r="A946" s="33"/>
      <c r="B946" s="33"/>
      <c r="C946" s="33"/>
      <c r="D946" s="34"/>
      <c r="E946" s="34"/>
      <c r="F946" s="34"/>
      <c r="G946" s="33"/>
      <c r="I946" s="34"/>
      <c r="J946" s="33"/>
      <c r="K946" s="33"/>
      <c r="L946" s="34"/>
      <c r="M946" s="34"/>
      <c r="N946" s="34"/>
      <c r="Q946" s="35"/>
      <c r="R946" s="36"/>
      <c r="S946" s="34"/>
      <c r="T946" s="34"/>
      <c r="AF946" s="39"/>
      <c r="AG946" s="39"/>
      <c r="AH946" s="34"/>
      <c r="AI946" s="34"/>
      <c r="AJ946" s="34"/>
      <c r="AK946" s="34"/>
      <c r="AN946" t="str">
        <f t="shared" si="1"/>
        <v/>
      </c>
    </row>
    <row r="947">
      <c r="A947" s="33"/>
      <c r="B947" s="33"/>
      <c r="C947" s="33"/>
      <c r="D947" s="34"/>
      <c r="E947" s="34"/>
      <c r="F947" s="34"/>
      <c r="G947" s="33"/>
      <c r="I947" s="34"/>
      <c r="J947" s="33"/>
      <c r="K947" s="33"/>
      <c r="L947" s="34"/>
      <c r="M947" s="34"/>
      <c r="N947" s="34"/>
      <c r="Q947" s="35"/>
      <c r="R947" s="36"/>
      <c r="S947" s="34"/>
      <c r="T947" s="34"/>
      <c r="AF947" s="39"/>
      <c r="AG947" s="39"/>
      <c r="AH947" s="34"/>
      <c r="AI947" s="34"/>
      <c r="AJ947" s="34"/>
      <c r="AK947" s="34"/>
      <c r="AN947" t="str">
        <f t="shared" si="1"/>
        <v/>
      </c>
    </row>
    <row r="948">
      <c r="A948" s="33"/>
      <c r="B948" s="33"/>
      <c r="C948" s="33"/>
      <c r="D948" s="34"/>
      <c r="E948" s="34"/>
      <c r="F948" s="34"/>
      <c r="G948" s="33"/>
      <c r="I948" s="34"/>
      <c r="J948" s="33"/>
      <c r="K948" s="33"/>
      <c r="L948" s="34"/>
      <c r="M948" s="34"/>
      <c r="N948" s="34"/>
      <c r="Q948" s="35"/>
      <c r="R948" s="36"/>
      <c r="S948" s="34"/>
      <c r="T948" s="34"/>
      <c r="AF948" s="39"/>
      <c r="AG948" s="39"/>
      <c r="AH948" s="34"/>
      <c r="AI948" s="34"/>
      <c r="AJ948" s="34"/>
      <c r="AK948" s="34"/>
      <c r="AN948" t="str">
        <f t="shared" si="1"/>
        <v/>
      </c>
    </row>
    <row r="949">
      <c r="A949" s="33"/>
      <c r="B949" s="33"/>
      <c r="C949" s="33"/>
      <c r="D949" s="34"/>
      <c r="E949" s="34"/>
      <c r="F949" s="34"/>
      <c r="G949" s="33"/>
      <c r="I949" s="34"/>
      <c r="J949" s="33"/>
      <c r="K949" s="33"/>
      <c r="L949" s="34"/>
      <c r="M949" s="34"/>
      <c r="N949" s="34"/>
      <c r="Q949" s="35"/>
      <c r="R949" s="36"/>
      <c r="S949" s="34"/>
      <c r="T949" s="34"/>
      <c r="AF949" s="39"/>
      <c r="AG949" s="39"/>
      <c r="AH949" s="34"/>
      <c r="AI949" s="34"/>
      <c r="AJ949" s="34"/>
      <c r="AK949" s="34"/>
      <c r="AN949" t="str">
        <f t="shared" si="1"/>
        <v/>
      </c>
    </row>
    <row r="950">
      <c r="A950" s="33"/>
      <c r="B950" s="33"/>
      <c r="C950" s="33"/>
      <c r="D950" s="34"/>
      <c r="E950" s="34"/>
      <c r="F950" s="34"/>
      <c r="G950" s="33"/>
      <c r="I950" s="34"/>
      <c r="J950" s="33"/>
      <c r="K950" s="33"/>
      <c r="L950" s="34"/>
      <c r="M950" s="34"/>
      <c r="N950" s="34"/>
      <c r="Q950" s="35"/>
      <c r="R950" s="36"/>
      <c r="S950" s="34"/>
      <c r="T950" s="34"/>
      <c r="AF950" s="39"/>
      <c r="AG950" s="39"/>
      <c r="AH950" s="34"/>
      <c r="AI950" s="34"/>
      <c r="AJ950" s="34"/>
      <c r="AK950" s="34"/>
      <c r="AN950" t="str">
        <f t="shared" si="1"/>
        <v/>
      </c>
    </row>
    <row r="951">
      <c r="A951" s="33"/>
      <c r="B951" s="33"/>
      <c r="C951" s="33"/>
      <c r="D951" s="34"/>
      <c r="E951" s="34"/>
      <c r="F951" s="34"/>
      <c r="G951" s="33"/>
      <c r="I951" s="34"/>
      <c r="J951" s="33"/>
      <c r="K951" s="33"/>
      <c r="L951" s="34"/>
      <c r="M951" s="34"/>
      <c r="N951" s="34"/>
      <c r="Q951" s="35"/>
      <c r="R951" s="36"/>
      <c r="S951" s="34"/>
      <c r="T951" s="34"/>
      <c r="AF951" s="39"/>
      <c r="AG951" s="39"/>
      <c r="AH951" s="34"/>
      <c r="AI951" s="34"/>
      <c r="AJ951" s="34"/>
      <c r="AK951" s="34"/>
      <c r="AN951" t="str">
        <f t="shared" si="1"/>
        <v/>
      </c>
    </row>
    <row r="952">
      <c r="A952" s="33"/>
      <c r="B952" s="33"/>
      <c r="C952" s="33"/>
      <c r="D952" s="34"/>
      <c r="E952" s="34"/>
      <c r="F952" s="34"/>
      <c r="G952" s="33"/>
      <c r="I952" s="34"/>
      <c r="J952" s="33"/>
      <c r="K952" s="33"/>
      <c r="L952" s="34"/>
      <c r="M952" s="34"/>
      <c r="N952" s="34"/>
      <c r="Q952" s="35"/>
      <c r="R952" s="36"/>
      <c r="S952" s="34"/>
      <c r="T952" s="34"/>
      <c r="AF952" s="39"/>
      <c r="AG952" s="39"/>
      <c r="AH952" s="34"/>
      <c r="AI952" s="34"/>
      <c r="AJ952" s="34"/>
      <c r="AK952" s="34"/>
      <c r="AN952" t="str">
        <f t="shared" si="1"/>
        <v/>
      </c>
    </row>
    <row r="953">
      <c r="A953" s="33"/>
      <c r="B953" s="33"/>
      <c r="C953" s="33"/>
      <c r="D953" s="34"/>
      <c r="E953" s="34"/>
      <c r="F953" s="34"/>
      <c r="G953" s="33"/>
      <c r="I953" s="34"/>
      <c r="J953" s="33"/>
      <c r="K953" s="33"/>
      <c r="L953" s="34"/>
      <c r="M953" s="34"/>
      <c r="N953" s="34"/>
      <c r="Q953" s="35"/>
      <c r="R953" s="36"/>
      <c r="S953" s="34"/>
      <c r="T953" s="34"/>
      <c r="AF953" s="39"/>
      <c r="AG953" s="39"/>
      <c r="AH953" s="34"/>
      <c r="AI953" s="34"/>
      <c r="AJ953" s="34"/>
      <c r="AK953" s="34"/>
      <c r="AN953" t="str">
        <f t="shared" si="1"/>
        <v/>
      </c>
    </row>
    <row r="954">
      <c r="A954" s="33"/>
      <c r="B954" s="33"/>
      <c r="C954" s="33"/>
      <c r="D954" s="34"/>
      <c r="E954" s="34"/>
      <c r="F954" s="34"/>
      <c r="G954" s="33"/>
      <c r="I954" s="34"/>
      <c r="J954" s="33"/>
      <c r="K954" s="33"/>
      <c r="L954" s="34"/>
      <c r="M954" s="34"/>
      <c r="N954" s="34"/>
      <c r="Q954" s="35"/>
      <c r="R954" s="36"/>
      <c r="S954" s="34"/>
      <c r="T954" s="34"/>
      <c r="AF954" s="39"/>
      <c r="AG954" s="39"/>
      <c r="AH954" s="34"/>
      <c r="AI954" s="34"/>
      <c r="AJ954" s="34"/>
      <c r="AK954" s="34"/>
      <c r="AN954" t="str">
        <f t="shared" si="1"/>
        <v/>
      </c>
    </row>
    <row r="955">
      <c r="A955" s="33"/>
      <c r="B955" s="33"/>
      <c r="C955" s="33"/>
      <c r="D955" s="34"/>
      <c r="E955" s="34"/>
      <c r="F955" s="34"/>
      <c r="G955" s="33"/>
      <c r="I955" s="34"/>
      <c r="J955" s="33"/>
      <c r="K955" s="33"/>
      <c r="L955" s="34"/>
      <c r="M955" s="34"/>
      <c r="N955" s="34"/>
      <c r="Q955" s="35"/>
      <c r="R955" s="36"/>
      <c r="S955" s="34"/>
      <c r="T955" s="34"/>
      <c r="AF955" s="39"/>
      <c r="AG955" s="39"/>
      <c r="AH955" s="34"/>
      <c r="AI955" s="34"/>
      <c r="AJ955" s="34"/>
      <c r="AK955" s="34"/>
      <c r="AN955" t="str">
        <f t="shared" si="1"/>
        <v/>
      </c>
    </row>
    <row r="956">
      <c r="A956" s="33"/>
      <c r="B956" s="33"/>
      <c r="C956" s="33"/>
      <c r="D956" s="34"/>
      <c r="E956" s="34"/>
      <c r="F956" s="34"/>
      <c r="G956" s="33"/>
      <c r="I956" s="34"/>
      <c r="J956" s="33"/>
      <c r="K956" s="33"/>
      <c r="L956" s="34"/>
      <c r="M956" s="34"/>
      <c r="N956" s="34"/>
      <c r="Q956" s="35"/>
      <c r="R956" s="36"/>
      <c r="S956" s="34"/>
      <c r="T956" s="34"/>
      <c r="AF956" s="39"/>
      <c r="AG956" s="39"/>
      <c r="AH956" s="34"/>
      <c r="AI956" s="34"/>
      <c r="AJ956" s="34"/>
      <c r="AK956" s="34"/>
      <c r="AN956" t="str">
        <f t="shared" si="1"/>
        <v/>
      </c>
    </row>
    <row r="957">
      <c r="A957" s="33"/>
      <c r="B957" s="33"/>
      <c r="C957" s="33"/>
      <c r="D957" s="34"/>
      <c r="E957" s="34"/>
      <c r="F957" s="34"/>
      <c r="G957" s="33"/>
      <c r="I957" s="34"/>
      <c r="J957" s="33"/>
      <c r="K957" s="33"/>
      <c r="L957" s="34"/>
      <c r="M957" s="34"/>
      <c r="N957" s="34"/>
      <c r="Q957" s="35"/>
      <c r="R957" s="36"/>
      <c r="S957" s="34"/>
      <c r="T957" s="34"/>
      <c r="AF957" s="39"/>
      <c r="AG957" s="39"/>
      <c r="AH957" s="34"/>
      <c r="AI957" s="34"/>
      <c r="AJ957" s="34"/>
      <c r="AK957" s="34"/>
      <c r="AN957" t="str">
        <f t="shared" si="1"/>
        <v/>
      </c>
    </row>
    <row r="958">
      <c r="A958" s="33"/>
      <c r="B958" s="33"/>
      <c r="C958" s="33"/>
      <c r="D958" s="34"/>
      <c r="E958" s="34"/>
      <c r="F958" s="34"/>
      <c r="G958" s="33"/>
      <c r="I958" s="34"/>
      <c r="J958" s="33"/>
      <c r="K958" s="33"/>
      <c r="L958" s="34"/>
      <c r="M958" s="34"/>
      <c r="N958" s="34"/>
      <c r="Q958" s="35"/>
      <c r="R958" s="36"/>
      <c r="S958" s="34"/>
      <c r="T958" s="34"/>
      <c r="AF958" s="39"/>
      <c r="AG958" s="39"/>
      <c r="AH958" s="34"/>
      <c r="AI958" s="34"/>
      <c r="AJ958" s="34"/>
      <c r="AK958" s="34"/>
      <c r="AN958" t="str">
        <f t="shared" si="1"/>
        <v/>
      </c>
    </row>
    <row r="959">
      <c r="A959" s="33"/>
      <c r="B959" s="33"/>
      <c r="C959" s="33"/>
      <c r="D959" s="34"/>
      <c r="E959" s="34"/>
      <c r="F959" s="34"/>
      <c r="G959" s="33"/>
      <c r="I959" s="34"/>
      <c r="J959" s="33"/>
      <c r="K959" s="33"/>
      <c r="L959" s="34"/>
      <c r="M959" s="34"/>
      <c r="N959" s="34"/>
      <c r="Q959" s="35"/>
      <c r="R959" s="36"/>
      <c r="S959" s="34"/>
      <c r="T959" s="34"/>
      <c r="AF959" s="39"/>
      <c r="AG959" s="39"/>
      <c r="AH959" s="34"/>
      <c r="AI959" s="34"/>
      <c r="AJ959" s="34"/>
      <c r="AK959" s="34"/>
      <c r="AN959" t="str">
        <f t="shared" si="1"/>
        <v/>
      </c>
    </row>
    <row r="960">
      <c r="A960" s="33"/>
      <c r="B960" s="33"/>
      <c r="C960" s="33"/>
      <c r="D960" s="34"/>
      <c r="E960" s="34"/>
      <c r="F960" s="34"/>
      <c r="G960" s="33"/>
      <c r="I960" s="34"/>
      <c r="J960" s="33"/>
      <c r="K960" s="33"/>
      <c r="L960" s="34"/>
      <c r="M960" s="34"/>
      <c r="N960" s="34"/>
      <c r="Q960" s="35"/>
      <c r="R960" s="36"/>
      <c r="S960" s="34"/>
      <c r="T960" s="34"/>
      <c r="AF960" s="39"/>
      <c r="AG960" s="39"/>
      <c r="AH960" s="34"/>
      <c r="AI960" s="34"/>
      <c r="AJ960" s="34"/>
      <c r="AK960" s="34"/>
      <c r="AN960" t="str">
        <f t="shared" si="1"/>
        <v/>
      </c>
    </row>
    <row r="961">
      <c r="A961" s="33"/>
      <c r="B961" s="33"/>
      <c r="C961" s="33"/>
      <c r="D961" s="34"/>
      <c r="E961" s="34"/>
      <c r="F961" s="34"/>
      <c r="G961" s="33"/>
      <c r="I961" s="34"/>
      <c r="J961" s="33"/>
      <c r="K961" s="33"/>
      <c r="L961" s="34"/>
      <c r="M961" s="34"/>
      <c r="N961" s="34"/>
      <c r="Q961" s="35"/>
      <c r="R961" s="36"/>
      <c r="S961" s="34"/>
      <c r="T961" s="34"/>
      <c r="AF961" s="39"/>
      <c r="AG961" s="39"/>
      <c r="AH961" s="34"/>
      <c r="AI961" s="34"/>
      <c r="AJ961" s="34"/>
      <c r="AK961" s="34"/>
      <c r="AN961" t="str">
        <f t="shared" si="1"/>
        <v/>
      </c>
    </row>
    <row r="962">
      <c r="A962" s="33"/>
      <c r="B962" s="33"/>
      <c r="C962" s="33"/>
      <c r="D962" s="34"/>
      <c r="E962" s="34"/>
      <c r="F962" s="34"/>
      <c r="G962" s="33"/>
      <c r="I962" s="34"/>
      <c r="J962" s="33"/>
      <c r="K962" s="33"/>
      <c r="L962" s="34"/>
      <c r="M962" s="34"/>
      <c r="N962" s="34"/>
      <c r="Q962" s="35"/>
      <c r="R962" s="36"/>
      <c r="S962" s="34"/>
      <c r="T962" s="34"/>
      <c r="AF962" s="39"/>
      <c r="AG962" s="39"/>
      <c r="AH962" s="34"/>
      <c r="AI962" s="34"/>
      <c r="AJ962" s="34"/>
      <c r="AK962" s="34"/>
      <c r="AN962" t="str">
        <f t="shared" si="1"/>
        <v/>
      </c>
    </row>
    <row r="963">
      <c r="A963" s="33"/>
      <c r="B963" s="33"/>
      <c r="C963" s="33"/>
      <c r="D963" s="34"/>
      <c r="E963" s="34"/>
      <c r="F963" s="34"/>
      <c r="G963" s="33"/>
      <c r="I963" s="34"/>
      <c r="J963" s="33"/>
      <c r="K963" s="33"/>
      <c r="L963" s="34"/>
      <c r="M963" s="34"/>
      <c r="N963" s="34"/>
      <c r="Q963" s="35"/>
      <c r="R963" s="36"/>
      <c r="S963" s="34"/>
      <c r="T963" s="34"/>
      <c r="AF963" s="39"/>
      <c r="AG963" s="39"/>
      <c r="AH963" s="34"/>
      <c r="AI963" s="34"/>
      <c r="AJ963" s="34"/>
      <c r="AK963" s="34"/>
      <c r="AN963" t="str">
        <f t="shared" si="1"/>
        <v/>
      </c>
    </row>
    <row r="964">
      <c r="A964" s="33"/>
      <c r="B964" s="33"/>
      <c r="C964" s="33"/>
      <c r="D964" s="34"/>
      <c r="E964" s="34"/>
      <c r="F964" s="34"/>
      <c r="G964" s="33"/>
      <c r="I964" s="34"/>
      <c r="J964" s="33"/>
      <c r="K964" s="33"/>
      <c r="L964" s="34"/>
      <c r="M964" s="34"/>
      <c r="N964" s="34"/>
      <c r="Q964" s="35"/>
      <c r="R964" s="36"/>
      <c r="S964" s="34"/>
      <c r="T964" s="34"/>
      <c r="AF964" s="39"/>
      <c r="AG964" s="39"/>
      <c r="AH964" s="34"/>
      <c r="AI964" s="34"/>
      <c r="AJ964" s="34"/>
      <c r="AK964" s="34"/>
      <c r="AN964" t="str">
        <f t="shared" si="1"/>
        <v/>
      </c>
    </row>
    <row r="965">
      <c r="A965" s="33"/>
      <c r="B965" s="33"/>
      <c r="C965" s="33"/>
      <c r="D965" s="34"/>
      <c r="E965" s="34"/>
      <c r="F965" s="34"/>
      <c r="G965" s="33"/>
      <c r="I965" s="34"/>
      <c r="J965" s="33"/>
      <c r="K965" s="33"/>
      <c r="L965" s="34"/>
      <c r="M965" s="34"/>
      <c r="N965" s="34"/>
      <c r="Q965" s="35"/>
      <c r="R965" s="36"/>
      <c r="S965" s="34"/>
      <c r="T965" s="34"/>
      <c r="AF965" s="39"/>
      <c r="AG965" s="39"/>
      <c r="AH965" s="34"/>
      <c r="AI965" s="34"/>
      <c r="AJ965" s="34"/>
      <c r="AK965" s="34"/>
      <c r="AN965" t="str">
        <f t="shared" si="1"/>
        <v/>
      </c>
    </row>
    <row r="966">
      <c r="A966" s="33"/>
      <c r="B966" s="33"/>
      <c r="C966" s="33"/>
      <c r="D966" s="34"/>
      <c r="E966" s="34"/>
      <c r="F966" s="34"/>
      <c r="G966" s="33"/>
      <c r="I966" s="34"/>
      <c r="J966" s="33"/>
      <c r="K966" s="33"/>
      <c r="L966" s="34"/>
      <c r="M966" s="34"/>
      <c r="N966" s="34"/>
      <c r="Q966" s="35"/>
      <c r="R966" s="36"/>
      <c r="S966" s="34"/>
      <c r="T966" s="34"/>
      <c r="AF966" s="39"/>
      <c r="AG966" s="39"/>
      <c r="AH966" s="34"/>
      <c r="AI966" s="34"/>
      <c r="AJ966" s="34"/>
      <c r="AK966" s="34"/>
      <c r="AN966" t="str">
        <f t="shared" si="1"/>
        <v/>
      </c>
    </row>
    <row r="967">
      <c r="A967" s="33"/>
      <c r="B967" s="33"/>
      <c r="C967" s="33"/>
      <c r="D967" s="34"/>
      <c r="E967" s="34"/>
      <c r="F967" s="34"/>
      <c r="G967" s="33"/>
      <c r="I967" s="34"/>
      <c r="J967" s="33"/>
      <c r="K967" s="33"/>
      <c r="L967" s="34"/>
      <c r="M967" s="34"/>
      <c r="N967" s="34"/>
      <c r="Q967" s="35"/>
      <c r="R967" s="36"/>
      <c r="S967" s="34"/>
      <c r="T967" s="34"/>
      <c r="AF967" s="39"/>
      <c r="AG967" s="39"/>
      <c r="AH967" s="34"/>
      <c r="AI967" s="34"/>
      <c r="AJ967" s="34"/>
      <c r="AK967" s="34"/>
      <c r="AN967" t="str">
        <f t="shared" si="1"/>
        <v/>
      </c>
    </row>
    <row r="968">
      <c r="A968" s="33"/>
      <c r="B968" s="33"/>
      <c r="C968" s="33"/>
      <c r="D968" s="34"/>
      <c r="E968" s="34"/>
      <c r="F968" s="34"/>
      <c r="G968" s="33"/>
      <c r="I968" s="34"/>
      <c r="J968" s="33"/>
      <c r="K968" s="33"/>
      <c r="L968" s="34"/>
      <c r="M968" s="34"/>
      <c r="N968" s="34"/>
      <c r="Q968" s="35"/>
      <c r="R968" s="36"/>
      <c r="S968" s="34"/>
      <c r="T968" s="34"/>
      <c r="AF968" s="39"/>
      <c r="AG968" s="39"/>
      <c r="AH968" s="34"/>
      <c r="AI968" s="34"/>
      <c r="AJ968" s="34"/>
      <c r="AK968" s="34"/>
      <c r="AN968" t="str">
        <f t="shared" si="1"/>
        <v/>
      </c>
    </row>
    <row r="969">
      <c r="A969" s="33"/>
      <c r="B969" s="33"/>
      <c r="C969" s="33"/>
      <c r="D969" s="34"/>
      <c r="E969" s="34"/>
      <c r="F969" s="34"/>
      <c r="G969" s="33"/>
      <c r="I969" s="34"/>
      <c r="J969" s="33"/>
      <c r="K969" s="33"/>
      <c r="L969" s="34"/>
      <c r="M969" s="34"/>
      <c r="N969" s="34"/>
      <c r="Q969" s="35"/>
      <c r="R969" s="36"/>
      <c r="S969" s="34"/>
      <c r="T969" s="34"/>
      <c r="AF969" s="39"/>
      <c r="AG969" s="39"/>
      <c r="AH969" s="34"/>
      <c r="AI969" s="34"/>
      <c r="AJ969" s="34"/>
      <c r="AK969" s="34"/>
      <c r="AN969" t="str">
        <f t="shared" si="1"/>
        <v/>
      </c>
    </row>
    <row r="970">
      <c r="A970" s="33"/>
      <c r="B970" s="33"/>
      <c r="C970" s="33"/>
      <c r="D970" s="34"/>
      <c r="E970" s="34"/>
      <c r="F970" s="34"/>
      <c r="G970" s="33"/>
      <c r="I970" s="34"/>
      <c r="J970" s="33"/>
      <c r="K970" s="33"/>
      <c r="L970" s="34"/>
      <c r="M970" s="34"/>
      <c r="N970" s="34"/>
      <c r="Q970" s="35"/>
      <c r="R970" s="36"/>
      <c r="S970" s="34"/>
      <c r="T970" s="34"/>
      <c r="AF970" s="39"/>
      <c r="AG970" s="39"/>
      <c r="AH970" s="34"/>
      <c r="AI970" s="34"/>
      <c r="AJ970" s="34"/>
      <c r="AK970" s="34"/>
      <c r="AN970" t="str">
        <f t="shared" si="1"/>
        <v/>
      </c>
    </row>
    <row r="971">
      <c r="A971" s="33"/>
      <c r="B971" s="33"/>
      <c r="C971" s="33"/>
      <c r="D971" s="34"/>
      <c r="E971" s="34"/>
      <c r="F971" s="34"/>
      <c r="G971" s="33"/>
      <c r="I971" s="34"/>
      <c r="J971" s="33"/>
      <c r="K971" s="33"/>
      <c r="L971" s="34"/>
      <c r="M971" s="34"/>
      <c r="N971" s="34"/>
      <c r="Q971" s="35"/>
      <c r="R971" s="36"/>
      <c r="S971" s="34"/>
      <c r="T971" s="34"/>
      <c r="AF971" s="39"/>
      <c r="AG971" s="39"/>
      <c r="AH971" s="34"/>
      <c r="AI971" s="34"/>
      <c r="AJ971" s="34"/>
      <c r="AK971" s="34"/>
      <c r="AN971" t="str">
        <f t="shared" si="1"/>
        <v/>
      </c>
    </row>
    <row r="972">
      <c r="A972" s="33"/>
      <c r="B972" s="33"/>
      <c r="C972" s="33"/>
      <c r="D972" s="34"/>
      <c r="E972" s="34"/>
      <c r="F972" s="34"/>
      <c r="G972" s="33"/>
      <c r="I972" s="34"/>
      <c r="J972" s="33"/>
      <c r="K972" s="33"/>
      <c r="L972" s="34"/>
      <c r="M972" s="34"/>
      <c r="N972" s="34"/>
      <c r="Q972" s="35"/>
      <c r="R972" s="36"/>
      <c r="S972" s="34"/>
      <c r="T972" s="34"/>
      <c r="AF972" s="39"/>
      <c r="AG972" s="39"/>
      <c r="AH972" s="34"/>
      <c r="AI972" s="34"/>
      <c r="AJ972" s="34"/>
      <c r="AK972" s="34"/>
      <c r="AN972" t="str">
        <f t="shared" si="1"/>
        <v/>
      </c>
    </row>
    <row r="973">
      <c r="A973" s="33"/>
      <c r="B973" s="33"/>
      <c r="C973" s="33"/>
      <c r="D973" s="34"/>
      <c r="E973" s="34"/>
      <c r="F973" s="34"/>
      <c r="G973" s="33"/>
      <c r="I973" s="34"/>
      <c r="J973" s="33"/>
      <c r="K973" s="33"/>
      <c r="L973" s="34"/>
      <c r="M973" s="34"/>
      <c r="N973" s="34"/>
      <c r="Q973" s="35"/>
      <c r="R973" s="36"/>
      <c r="S973" s="34"/>
      <c r="T973" s="34"/>
      <c r="AF973" s="39"/>
      <c r="AG973" s="39"/>
      <c r="AH973" s="34"/>
      <c r="AI973" s="34"/>
      <c r="AJ973" s="34"/>
      <c r="AK973" s="34"/>
      <c r="AN973" t="str">
        <f t="shared" si="1"/>
        <v/>
      </c>
    </row>
    <row r="974">
      <c r="A974" s="33"/>
      <c r="B974" s="33"/>
      <c r="C974" s="33"/>
      <c r="D974" s="34"/>
      <c r="E974" s="34"/>
      <c r="F974" s="34"/>
      <c r="G974" s="33"/>
      <c r="I974" s="34"/>
      <c r="J974" s="33"/>
      <c r="K974" s="33"/>
      <c r="L974" s="34"/>
      <c r="M974" s="34"/>
      <c r="N974" s="34"/>
      <c r="Q974" s="35"/>
      <c r="R974" s="36"/>
      <c r="S974" s="34"/>
      <c r="T974" s="34"/>
      <c r="AF974" s="39"/>
      <c r="AG974" s="39"/>
      <c r="AH974" s="34"/>
      <c r="AI974" s="34"/>
      <c r="AJ974" s="34"/>
      <c r="AK974" s="34"/>
      <c r="AN974" t="str">
        <f t="shared" si="1"/>
        <v/>
      </c>
    </row>
    <row r="975">
      <c r="A975" s="33"/>
      <c r="B975" s="33"/>
      <c r="C975" s="33"/>
      <c r="D975" s="34"/>
      <c r="E975" s="34"/>
      <c r="F975" s="34"/>
      <c r="G975" s="33"/>
      <c r="I975" s="34"/>
      <c r="J975" s="33"/>
      <c r="K975" s="33"/>
      <c r="L975" s="34"/>
      <c r="M975" s="34"/>
      <c r="N975" s="34"/>
      <c r="Q975" s="35"/>
      <c r="R975" s="36"/>
      <c r="S975" s="34"/>
      <c r="T975" s="34"/>
      <c r="AF975" s="39"/>
      <c r="AG975" s="39"/>
      <c r="AH975" s="34"/>
      <c r="AI975" s="34"/>
      <c r="AJ975" s="34"/>
      <c r="AK975" s="34"/>
      <c r="AN975" t="str">
        <f t="shared" si="1"/>
        <v/>
      </c>
    </row>
    <row r="976">
      <c r="A976" s="33"/>
      <c r="B976" s="33"/>
      <c r="C976" s="33"/>
      <c r="D976" s="34"/>
      <c r="E976" s="34"/>
      <c r="F976" s="34"/>
      <c r="G976" s="33"/>
      <c r="I976" s="34"/>
      <c r="J976" s="33"/>
      <c r="K976" s="33"/>
      <c r="L976" s="34"/>
      <c r="M976" s="34"/>
      <c r="N976" s="34"/>
      <c r="Q976" s="35"/>
      <c r="R976" s="36"/>
      <c r="S976" s="34"/>
      <c r="T976" s="34"/>
      <c r="AF976" s="39"/>
      <c r="AG976" s="39"/>
      <c r="AH976" s="34"/>
      <c r="AI976" s="34"/>
      <c r="AJ976" s="34"/>
      <c r="AK976" s="34"/>
      <c r="AN976" t="str">
        <f t="shared" si="1"/>
        <v/>
      </c>
    </row>
    <row r="977">
      <c r="A977" s="33"/>
      <c r="B977" s="33"/>
      <c r="C977" s="33"/>
      <c r="D977" s="34"/>
      <c r="E977" s="34"/>
      <c r="F977" s="34"/>
      <c r="G977" s="33"/>
      <c r="I977" s="34"/>
      <c r="J977" s="33"/>
      <c r="K977" s="33"/>
      <c r="L977" s="34"/>
      <c r="M977" s="34"/>
      <c r="N977" s="34"/>
      <c r="Q977" s="35"/>
      <c r="R977" s="36"/>
      <c r="S977" s="34"/>
      <c r="T977" s="34"/>
      <c r="AF977" s="39"/>
      <c r="AG977" s="39"/>
      <c r="AH977" s="34"/>
      <c r="AI977" s="34"/>
      <c r="AJ977" s="34"/>
      <c r="AK977" s="34"/>
      <c r="AN977" t="str">
        <f t="shared" si="1"/>
        <v/>
      </c>
    </row>
    <row r="978">
      <c r="A978" s="33"/>
      <c r="B978" s="33"/>
      <c r="C978" s="33"/>
      <c r="D978" s="34"/>
      <c r="E978" s="34"/>
      <c r="F978" s="34"/>
      <c r="G978" s="33"/>
      <c r="I978" s="34"/>
      <c r="J978" s="33"/>
      <c r="K978" s="33"/>
      <c r="L978" s="34"/>
      <c r="M978" s="34"/>
      <c r="N978" s="34"/>
      <c r="Q978" s="35"/>
      <c r="R978" s="36"/>
      <c r="S978" s="34"/>
      <c r="T978" s="34"/>
      <c r="AF978" s="39"/>
      <c r="AG978" s="39"/>
      <c r="AH978" s="34"/>
      <c r="AI978" s="34"/>
      <c r="AJ978" s="34"/>
      <c r="AK978" s="34"/>
      <c r="AN978" t="str">
        <f t="shared" si="1"/>
        <v/>
      </c>
    </row>
    <row r="979">
      <c r="A979" s="33"/>
      <c r="B979" s="33"/>
      <c r="C979" s="33"/>
      <c r="D979" s="34"/>
      <c r="E979" s="34"/>
      <c r="F979" s="34"/>
      <c r="G979" s="33"/>
      <c r="I979" s="34"/>
      <c r="J979" s="33"/>
      <c r="K979" s="33"/>
      <c r="L979" s="34"/>
      <c r="M979" s="34"/>
      <c r="N979" s="34"/>
      <c r="Q979" s="35"/>
      <c r="R979" s="36"/>
      <c r="S979" s="34"/>
      <c r="T979" s="34"/>
      <c r="AF979" s="39"/>
      <c r="AG979" s="39"/>
      <c r="AH979" s="34"/>
      <c r="AI979" s="34"/>
      <c r="AJ979" s="34"/>
      <c r="AK979" s="34"/>
      <c r="AN979" t="str">
        <f t="shared" si="1"/>
        <v/>
      </c>
    </row>
    <row r="980">
      <c r="A980" s="33"/>
      <c r="B980" s="33"/>
      <c r="C980" s="33"/>
      <c r="D980" s="34"/>
      <c r="E980" s="34"/>
      <c r="F980" s="34"/>
      <c r="G980" s="33"/>
      <c r="I980" s="34"/>
      <c r="J980" s="33"/>
      <c r="K980" s="33"/>
      <c r="L980" s="34"/>
      <c r="M980" s="34"/>
      <c r="N980" s="34"/>
      <c r="Q980" s="35"/>
      <c r="R980" s="36"/>
      <c r="S980" s="34"/>
      <c r="T980" s="34"/>
      <c r="AF980" s="39"/>
      <c r="AG980" s="39"/>
      <c r="AH980" s="34"/>
      <c r="AI980" s="34"/>
      <c r="AJ980" s="34"/>
      <c r="AK980" s="34"/>
      <c r="AN980" t="str">
        <f t="shared" si="1"/>
        <v/>
      </c>
    </row>
    <row r="981">
      <c r="A981" s="33"/>
      <c r="B981" s="33"/>
      <c r="C981" s="33"/>
      <c r="D981" s="34"/>
      <c r="E981" s="34"/>
      <c r="F981" s="34"/>
      <c r="G981" s="33"/>
      <c r="I981" s="34"/>
      <c r="J981" s="33"/>
      <c r="K981" s="33"/>
      <c r="L981" s="34"/>
      <c r="M981" s="34"/>
      <c r="N981" s="34"/>
      <c r="Q981" s="35"/>
      <c r="R981" s="36"/>
      <c r="S981" s="34"/>
      <c r="T981" s="34"/>
      <c r="AF981" s="39"/>
      <c r="AG981" s="39"/>
      <c r="AH981" s="34"/>
      <c r="AI981" s="34"/>
      <c r="AJ981" s="34"/>
      <c r="AK981" s="34"/>
      <c r="AN981" t="str">
        <f t="shared" si="1"/>
        <v/>
      </c>
    </row>
    <row r="982">
      <c r="A982" s="33"/>
      <c r="B982" s="33"/>
      <c r="C982" s="33"/>
      <c r="D982" s="34"/>
      <c r="E982" s="34"/>
      <c r="F982" s="34"/>
      <c r="G982" s="33"/>
      <c r="I982" s="34"/>
      <c r="J982" s="33"/>
      <c r="K982" s="33"/>
      <c r="L982" s="34"/>
      <c r="M982" s="34"/>
      <c r="N982" s="34"/>
      <c r="Q982" s="35"/>
      <c r="R982" s="36"/>
      <c r="S982" s="34"/>
      <c r="T982" s="34"/>
      <c r="AF982" s="39"/>
      <c r="AG982" s="39"/>
      <c r="AH982" s="34"/>
      <c r="AI982" s="34"/>
      <c r="AJ982" s="34"/>
      <c r="AK982" s="34"/>
      <c r="AN982" t="str">
        <f t="shared" si="1"/>
        <v/>
      </c>
    </row>
    <row r="983">
      <c r="A983" s="33"/>
      <c r="B983" s="33"/>
      <c r="C983" s="33"/>
      <c r="D983" s="34"/>
      <c r="E983" s="34"/>
      <c r="F983" s="34"/>
      <c r="G983" s="33"/>
      <c r="I983" s="34"/>
      <c r="J983" s="33"/>
      <c r="K983" s="33"/>
      <c r="L983" s="34"/>
      <c r="M983" s="34"/>
      <c r="N983" s="34"/>
      <c r="Q983" s="35"/>
      <c r="R983" s="36"/>
      <c r="S983" s="34"/>
      <c r="T983" s="34"/>
      <c r="AF983" s="39"/>
      <c r="AG983" s="39"/>
      <c r="AH983" s="34"/>
      <c r="AI983" s="34"/>
      <c r="AJ983" s="34"/>
      <c r="AK983" s="34"/>
      <c r="AN983" t="str">
        <f t="shared" si="1"/>
        <v/>
      </c>
    </row>
    <row r="984">
      <c r="A984" s="33"/>
      <c r="B984" s="33"/>
      <c r="C984" s="33"/>
      <c r="D984" s="34"/>
      <c r="E984" s="34"/>
      <c r="F984" s="34"/>
      <c r="G984" s="33"/>
      <c r="I984" s="34"/>
      <c r="J984" s="33"/>
      <c r="K984" s="33"/>
      <c r="L984" s="34"/>
      <c r="M984" s="34"/>
      <c r="N984" s="34"/>
      <c r="Q984" s="35"/>
      <c r="R984" s="36"/>
      <c r="S984" s="34"/>
      <c r="T984" s="34"/>
      <c r="AF984" s="39"/>
      <c r="AG984" s="39"/>
      <c r="AH984" s="34"/>
      <c r="AI984" s="34"/>
      <c r="AJ984" s="34"/>
      <c r="AK984" s="34"/>
      <c r="AN984" t="str">
        <f t="shared" si="1"/>
        <v/>
      </c>
    </row>
    <row r="985">
      <c r="A985" s="33"/>
      <c r="B985" s="33"/>
      <c r="C985" s="33"/>
      <c r="D985" s="34"/>
      <c r="E985" s="34"/>
      <c r="F985" s="34"/>
      <c r="G985" s="33"/>
      <c r="I985" s="34"/>
      <c r="J985" s="33"/>
      <c r="K985" s="33"/>
      <c r="L985" s="34"/>
      <c r="M985" s="34"/>
      <c r="N985" s="34"/>
      <c r="Q985" s="35"/>
      <c r="R985" s="36"/>
      <c r="S985" s="34"/>
      <c r="T985" s="34"/>
      <c r="AF985" s="39"/>
      <c r="AG985" s="39"/>
      <c r="AH985" s="34"/>
      <c r="AI985" s="34"/>
      <c r="AJ985" s="34"/>
      <c r="AK985" s="34"/>
      <c r="AN985" t="str">
        <f t="shared" si="1"/>
        <v/>
      </c>
    </row>
    <row r="986">
      <c r="A986" s="33"/>
      <c r="B986" s="33"/>
      <c r="C986" s="33"/>
      <c r="D986" s="34"/>
      <c r="E986" s="34"/>
      <c r="F986" s="34"/>
      <c r="G986" s="33"/>
      <c r="I986" s="34"/>
      <c r="J986" s="33"/>
      <c r="K986" s="33"/>
      <c r="L986" s="34"/>
      <c r="M986" s="34"/>
      <c r="N986" s="34"/>
      <c r="Q986" s="35"/>
      <c r="R986" s="36"/>
      <c r="S986" s="34"/>
      <c r="T986" s="34"/>
      <c r="AF986" s="39"/>
      <c r="AG986" s="39"/>
      <c r="AH986" s="34"/>
      <c r="AI986" s="34"/>
      <c r="AJ986" s="34"/>
      <c r="AK986" s="34"/>
      <c r="AN986" t="str">
        <f t="shared" si="1"/>
        <v/>
      </c>
    </row>
    <row r="987">
      <c r="A987" s="33"/>
      <c r="B987" s="33"/>
      <c r="C987" s="33"/>
      <c r="D987" s="34"/>
      <c r="E987" s="34"/>
      <c r="F987" s="34"/>
      <c r="G987" s="33"/>
      <c r="I987" s="34"/>
      <c r="J987" s="33"/>
      <c r="K987" s="33"/>
      <c r="L987" s="34"/>
      <c r="M987" s="34"/>
      <c r="N987" s="34"/>
      <c r="Q987" s="35"/>
      <c r="R987" s="36"/>
      <c r="S987" s="34"/>
      <c r="T987" s="34"/>
      <c r="AF987" s="39"/>
      <c r="AG987" s="39"/>
      <c r="AH987" s="34"/>
      <c r="AI987" s="34"/>
      <c r="AJ987" s="34"/>
      <c r="AK987" s="34"/>
      <c r="AN987" t="str">
        <f t="shared" si="1"/>
        <v/>
      </c>
    </row>
    <row r="988">
      <c r="A988" s="33"/>
      <c r="B988" s="33"/>
      <c r="C988" s="33"/>
      <c r="D988" s="34"/>
      <c r="E988" s="34"/>
      <c r="F988" s="34"/>
      <c r="G988" s="33"/>
      <c r="I988" s="34"/>
      <c r="J988" s="33"/>
      <c r="K988" s="33"/>
      <c r="L988" s="34"/>
      <c r="M988" s="34"/>
      <c r="N988" s="34"/>
      <c r="Q988" s="35"/>
      <c r="R988" s="36"/>
      <c r="S988" s="34"/>
      <c r="T988" s="34"/>
      <c r="AF988" s="39"/>
      <c r="AG988" s="39"/>
      <c r="AH988" s="34"/>
      <c r="AI988" s="34"/>
      <c r="AJ988" s="34"/>
      <c r="AK988" s="34"/>
      <c r="AN988" t="str">
        <f t="shared" si="1"/>
        <v/>
      </c>
    </row>
    <row r="989">
      <c r="A989" s="33"/>
      <c r="B989" s="33"/>
      <c r="C989" s="33"/>
      <c r="D989" s="34"/>
      <c r="E989" s="34"/>
      <c r="F989" s="34"/>
      <c r="G989" s="33"/>
      <c r="I989" s="34"/>
      <c r="J989" s="33"/>
      <c r="K989" s="33"/>
      <c r="L989" s="34"/>
      <c r="M989" s="34"/>
      <c r="N989" s="34"/>
      <c r="Q989" s="35"/>
      <c r="R989" s="36"/>
      <c r="S989" s="34"/>
      <c r="T989" s="34"/>
      <c r="AF989" s="39"/>
      <c r="AG989" s="39"/>
      <c r="AH989" s="34"/>
      <c r="AI989" s="34"/>
      <c r="AJ989" s="34"/>
      <c r="AK989" s="34"/>
      <c r="AN989" t="str">
        <f t="shared" si="1"/>
        <v/>
      </c>
    </row>
    <row r="990">
      <c r="A990" s="33"/>
      <c r="B990" s="33"/>
      <c r="C990" s="33"/>
      <c r="D990" s="34"/>
      <c r="E990" s="34"/>
      <c r="F990" s="34"/>
      <c r="G990" s="33"/>
      <c r="I990" s="34"/>
      <c r="J990" s="33"/>
      <c r="K990" s="33"/>
      <c r="L990" s="34"/>
      <c r="M990" s="34"/>
      <c r="N990" s="34"/>
      <c r="Q990" s="35"/>
      <c r="R990" s="36"/>
      <c r="S990" s="34"/>
      <c r="T990" s="34"/>
      <c r="AF990" s="39"/>
      <c r="AG990" s="39"/>
      <c r="AH990" s="34"/>
      <c r="AI990" s="34"/>
      <c r="AJ990" s="34"/>
      <c r="AK990" s="34"/>
      <c r="AN990" t="str">
        <f t="shared" si="1"/>
        <v/>
      </c>
    </row>
    <row r="991">
      <c r="A991" s="33"/>
      <c r="B991" s="33"/>
      <c r="C991" s="33"/>
      <c r="D991" s="34"/>
      <c r="E991" s="34"/>
      <c r="F991" s="34"/>
      <c r="G991" s="33"/>
      <c r="I991" s="34"/>
      <c r="J991" s="33"/>
      <c r="K991" s="33"/>
      <c r="L991" s="34"/>
      <c r="M991" s="34"/>
      <c r="N991" s="34"/>
      <c r="Q991" s="35"/>
      <c r="R991" s="36"/>
      <c r="S991" s="34"/>
      <c r="T991" s="34"/>
      <c r="AF991" s="39"/>
      <c r="AG991" s="39"/>
      <c r="AH991" s="34"/>
      <c r="AI991" s="34"/>
      <c r="AJ991" s="34"/>
      <c r="AK991" s="34"/>
      <c r="AN991" t="str">
        <f t="shared" si="1"/>
        <v/>
      </c>
    </row>
    <row r="992">
      <c r="A992" s="33"/>
      <c r="B992" s="33"/>
      <c r="C992" s="33"/>
      <c r="D992" s="34"/>
      <c r="E992" s="34"/>
      <c r="F992" s="34"/>
      <c r="G992" s="33"/>
      <c r="I992" s="34"/>
      <c r="J992" s="33"/>
      <c r="K992" s="33"/>
      <c r="L992" s="34"/>
      <c r="M992" s="34"/>
      <c r="N992" s="34"/>
      <c r="Q992" s="35"/>
      <c r="R992" s="36"/>
      <c r="S992" s="34"/>
      <c r="T992" s="34"/>
      <c r="AF992" s="39"/>
      <c r="AG992" s="39"/>
      <c r="AH992" s="34"/>
      <c r="AI992" s="34"/>
      <c r="AJ992" s="34"/>
      <c r="AK992" s="34"/>
      <c r="AN992" t="str">
        <f t="shared" si="1"/>
        <v/>
      </c>
    </row>
    <row r="993">
      <c r="A993" s="33"/>
      <c r="B993" s="33"/>
      <c r="C993" s="33"/>
      <c r="D993" s="34"/>
      <c r="E993" s="34"/>
      <c r="F993" s="34"/>
      <c r="G993" s="33"/>
      <c r="I993" s="34"/>
      <c r="J993" s="33"/>
      <c r="K993" s="33"/>
      <c r="L993" s="34"/>
      <c r="M993" s="34"/>
      <c r="N993" s="34"/>
      <c r="Q993" s="35"/>
      <c r="R993" s="36"/>
      <c r="S993" s="34"/>
      <c r="T993" s="34"/>
      <c r="AF993" s="39"/>
      <c r="AG993" s="39"/>
      <c r="AH993" s="34"/>
      <c r="AI993" s="34"/>
      <c r="AJ993" s="34"/>
      <c r="AK993" s="34"/>
      <c r="AN993" t="str">
        <f t="shared" si="1"/>
        <v/>
      </c>
    </row>
    <row r="994">
      <c r="A994" s="33"/>
      <c r="B994" s="33"/>
      <c r="C994" s="33"/>
      <c r="D994" s="34"/>
      <c r="E994" s="34"/>
      <c r="F994" s="34"/>
      <c r="G994" s="33"/>
      <c r="I994" s="34"/>
      <c r="J994" s="33"/>
      <c r="K994" s="33"/>
      <c r="L994" s="34"/>
      <c r="M994" s="34"/>
      <c r="N994" s="34"/>
      <c r="Q994" s="35"/>
      <c r="R994" s="36"/>
      <c r="S994" s="34"/>
      <c r="T994" s="34"/>
      <c r="AF994" s="39"/>
      <c r="AG994" s="39"/>
      <c r="AH994" s="34"/>
      <c r="AI994" s="34"/>
      <c r="AJ994" s="34"/>
      <c r="AK994" s="34"/>
      <c r="AN994" t="str">
        <f t="shared" si="1"/>
        <v/>
      </c>
    </row>
    <row r="995">
      <c r="A995" s="33"/>
      <c r="B995" s="33"/>
      <c r="C995" s="33"/>
      <c r="D995" s="34"/>
      <c r="E995" s="34"/>
      <c r="F995" s="34"/>
      <c r="G995" s="33"/>
      <c r="I995" s="34"/>
      <c r="J995" s="33"/>
      <c r="K995" s="33"/>
      <c r="L995" s="34"/>
      <c r="M995" s="34"/>
      <c r="N995" s="34"/>
      <c r="Q995" s="35"/>
      <c r="R995" s="36"/>
      <c r="S995" s="34"/>
      <c r="T995" s="34"/>
      <c r="AF995" s="39"/>
      <c r="AG995" s="39"/>
      <c r="AH995" s="34"/>
      <c r="AI995" s="34"/>
      <c r="AJ995" s="34"/>
      <c r="AK995" s="34"/>
      <c r="AN995" t="str">
        <f t="shared" si="1"/>
        <v/>
      </c>
    </row>
    <row r="996">
      <c r="A996" s="33"/>
      <c r="B996" s="33"/>
      <c r="C996" s="33"/>
      <c r="D996" s="34"/>
      <c r="E996" s="34"/>
      <c r="F996" s="34"/>
      <c r="G996" s="33"/>
      <c r="I996" s="34"/>
      <c r="J996" s="33"/>
      <c r="K996" s="33"/>
      <c r="L996" s="34"/>
      <c r="M996" s="34"/>
      <c r="N996" s="34"/>
      <c r="Q996" s="35"/>
      <c r="R996" s="36"/>
      <c r="S996" s="34"/>
      <c r="T996" s="34"/>
      <c r="AF996" s="39"/>
      <c r="AG996" s="39"/>
      <c r="AH996" s="34"/>
      <c r="AI996" s="34"/>
      <c r="AJ996" s="34"/>
      <c r="AK996" s="34"/>
      <c r="AN996" t="str">
        <f t="shared" si="1"/>
        <v/>
      </c>
    </row>
    <row r="997">
      <c r="A997" s="33"/>
      <c r="B997" s="33"/>
      <c r="C997" s="33"/>
      <c r="D997" s="34"/>
      <c r="E997" s="34"/>
      <c r="F997" s="34"/>
      <c r="G997" s="33"/>
      <c r="I997" s="34"/>
      <c r="J997" s="33"/>
      <c r="K997" s="33"/>
      <c r="L997" s="34"/>
      <c r="M997" s="34"/>
      <c r="N997" s="34"/>
      <c r="Q997" s="35"/>
      <c r="R997" s="36"/>
      <c r="S997" s="34"/>
      <c r="T997" s="34"/>
      <c r="AF997" s="39"/>
      <c r="AG997" s="39"/>
      <c r="AH997" s="34"/>
      <c r="AI997" s="34"/>
      <c r="AJ997" s="34"/>
      <c r="AK997" s="34"/>
      <c r="AN997" t="str">
        <f t="shared" si="1"/>
        <v/>
      </c>
    </row>
    <row r="998">
      <c r="A998" s="33"/>
      <c r="B998" s="33"/>
      <c r="C998" s="33"/>
      <c r="D998" s="34"/>
      <c r="E998" s="34"/>
      <c r="F998" s="34"/>
      <c r="G998" s="33"/>
      <c r="I998" s="34"/>
      <c r="J998" s="33"/>
      <c r="K998" s="33"/>
      <c r="L998" s="34"/>
      <c r="M998" s="34"/>
      <c r="N998" s="34"/>
      <c r="Q998" s="35"/>
      <c r="R998" s="36"/>
      <c r="S998" s="34"/>
      <c r="T998" s="34"/>
      <c r="AF998" s="39"/>
      <c r="AG998" s="39"/>
      <c r="AH998" s="34"/>
      <c r="AI998" s="34"/>
      <c r="AJ998" s="34"/>
      <c r="AK998" s="34"/>
      <c r="AN998" t="str">
        <f t="shared" si="1"/>
        <v/>
      </c>
    </row>
    <row r="999">
      <c r="A999" s="33"/>
      <c r="B999" s="33"/>
      <c r="C999" s="33"/>
      <c r="D999" s="34"/>
      <c r="E999" s="34"/>
      <c r="F999" s="34"/>
      <c r="G999" s="33"/>
      <c r="I999" s="34"/>
      <c r="J999" s="33"/>
      <c r="K999" s="33"/>
      <c r="L999" s="34"/>
      <c r="M999" s="34"/>
      <c r="N999" s="34"/>
      <c r="Q999" s="35"/>
      <c r="R999" s="36"/>
      <c r="S999" s="34"/>
      <c r="T999" s="34"/>
      <c r="AF999" s="39"/>
      <c r="AG999" s="39"/>
      <c r="AH999" s="34"/>
      <c r="AI999" s="34"/>
      <c r="AJ999" s="34"/>
      <c r="AK999" s="34"/>
      <c r="AN999" t="str">
        <f t="shared" si="1"/>
        <v/>
      </c>
    </row>
    <row r="1000">
      <c r="A1000" s="33"/>
      <c r="B1000" s="33"/>
      <c r="C1000" s="33"/>
      <c r="D1000" s="34"/>
      <c r="E1000" s="34"/>
      <c r="F1000" s="34"/>
      <c r="G1000" s="33"/>
      <c r="I1000" s="34"/>
      <c r="J1000" s="33"/>
      <c r="K1000" s="33"/>
      <c r="L1000" s="34"/>
      <c r="M1000" s="34"/>
      <c r="N1000" s="34"/>
      <c r="Q1000" s="35"/>
      <c r="R1000" s="36"/>
      <c r="S1000" s="34"/>
      <c r="T1000" s="34"/>
      <c r="AF1000" s="39"/>
      <c r="AG1000" s="39"/>
      <c r="AH1000" s="34"/>
      <c r="AI1000" s="34"/>
      <c r="AJ1000" s="34"/>
      <c r="AK1000" s="34"/>
      <c r="AN1000" t="str">
        <f t="shared" si="1"/>
        <v/>
      </c>
    </row>
    <row r="1001">
      <c r="A1001" s="33"/>
      <c r="B1001" s="33"/>
      <c r="C1001" s="33"/>
      <c r="D1001" s="34"/>
      <c r="E1001" s="34"/>
      <c r="F1001" s="34"/>
      <c r="G1001" s="33"/>
      <c r="I1001" s="34"/>
      <c r="J1001" s="33"/>
      <c r="K1001" s="33"/>
      <c r="L1001" s="34"/>
      <c r="M1001" s="34"/>
      <c r="N1001" s="34"/>
      <c r="Q1001" s="35"/>
      <c r="R1001" s="36"/>
      <c r="S1001" s="34"/>
      <c r="T1001" s="34"/>
      <c r="AF1001" s="39"/>
      <c r="AG1001" s="39"/>
      <c r="AH1001" s="34"/>
      <c r="AI1001" s="34"/>
      <c r="AJ1001" s="34"/>
      <c r="AK1001" s="34"/>
      <c r="AN1001" t="str">
        <f t="shared" si="1"/>
        <v/>
      </c>
    </row>
    <row r="1002">
      <c r="A1002" s="33"/>
      <c r="B1002" s="33"/>
      <c r="C1002" s="33"/>
      <c r="D1002" s="34"/>
      <c r="E1002" s="34"/>
      <c r="F1002" s="34"/>
      <c r="G1002" s="33"/>
      <c r="I1002" s="34"/>
      <c r="J1002" s="33"/>
      <c r="K1002" s="33"/>
      <c r="L1002" s="34"/>
      <c r="M1002" s="34"/>
      <c r="N1002" s="34"/>
      <c r="Q1002" s="35"/>
      <c r="R1002" s="36"/>
      <c r="S1002" s="34"/>
      <c r="T1002" s="34"/>
      <c r="AF1002" s="39"/>
      <c r="AG1002" s="39"/>
      <c r="AH1002" s="34"/>
      <c r="AI1002" s="34"/>
      <c r="AJ1002" s="34"/>
      <c r="AK1002" s="34"/>
      <c r="AN1002" t="str">
        <f t="shared" si="1"/>
        <v/>
      </c>
    </row>
  </sheetData>
  <autoFilter ref="$A$1:$AM$609"/>
  <dataValidations>
    <dataValidation type="custom" allowBlank="1" showInputMessage="1" prompt="Indicar si reemplaza a algún funcionario. Esto puede aparecer en los documentos de autorización presupestaria, en cartas de renuncia archivadas al proceso o en pone término o no-renovación.   SI NO REEMPLAZA A NADIE, FAVOR COLOCAR EL SIGNO &quot;-&quot;." sqref="AI1">
      <formula1>ISERROR(SEARCH((""/""),(AI1)))</formula1>
    </dataValidation>
    <dataValidation type="custom" allowBlank="1" showInputMessage="1" prompt="En caso de que el proceso haya concluido con un interno, ingresar datos relativos al grado anterior, el estamento al cual pertenecía (Administrativo, Técnico, Profesional, Auxiliar) y la Unidad de Desempeño Anterior." sqref="AC1 AF1">
      <formula1>ISERROR(SEARCH((""/""),(AC1)))</formula1>
    </dataValidation>
    <dataValidation type="custom" allowBlank="1" showInputMessage="1" prompt="NO TOCAR ESTA COLUMNA" sqref="A1">
      <formula1>ISERROR(SEARCH(("/"),(A1)))</formula1>
    </dataValidation>
    <dataValidation type="custom" allowBlank="1" showInputMessage="1" prompt="Escriba el Departamento, Unidad, Facultad o Vicerrectoría, según corresponda en cada caso usando MAYÚSCULA Y SIN TILDE." sqref="E1">
      <formula1>ISERROR(SEARCH((""/""),(E1)))</formula1>
    </dataValidation>
    <dataValidation type="custom" allowBlank="1" showInputMessage="1" prompt="Escribir la Vicerrectoría, Facultad o Prorrectoría que corresponda según sea el caso usando MAYÚSCULA Y SIN TILDE." sqref="C1:D1">
      <formula1>ISERROR(SEARCH((""/""),(C1)))</formula1>
    </dataValidation>
    <dataValidation type="custom" allowBlank="1" showInputMessage="1" prompt="Ingresar RUT en el formato indicado. Si esta celda está en rojo es porque la persona ya ha resultado seleccionada a lo largo del año, o bien porque se ha ingresado un proceso idéntico a la base de datos." sqref="V1">
      <formula1>LEN(10)</formula1>
    </dataValidation>
    <dataValidation type="custom" allowBlank="1" showInputMessage="1" prompt="Escribalo con mayúscula y sin tilde." sqref="F1">
      <formula1>ISERROR(SEARCH((""/""),(F1)))</formula1>
    </dataValidation>
    <dataValidation type="custom" allowBlank="1" showInputMessage="1" prompt="Ingresar primer nombre y apellidos en mayúscula, sin tilde y sin Ñ." sqref="T1:U1">
      <formula1>ISERROR(SEARCH((""/""),(T1)))</formula1>
    </dataValidation>
    <dataValidation type="custom" allowBlank="1" showInputMessage="1" prompt="Ingrese las competencias en que es necesario capacitar al primer candidato de acuerdo al orden de importancia (1crítica-3necesaria). " sqref="X1:Z1">
      <formula1>ISERROR(SEARCH((""/""),(X1)))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B0F00"/>
    <outlinePr summaryBelow="0" summaryRight="0"/>
  </sheetPr>
  <sheetViews>
    <sheetView workbookViewId="0"/>
  </sheetViews>
  <sheetFormatPr customHeight="1" defaultColWidth="17.29" defaultRowHeight="15.0"/>
  <sheetData>
    <row r="1" ht="51.0" customHeight="1">
      <c r="A1" s="26" t="s">
        <v>1542</v>
      </c>
      <c r="B1" s="27" t="s">
        <v>1543</v>
      </c>
      <c r="C1" s="28" t="s">
        <v>1544</v>
      </c>
      <c r="D1" s="29" t="s">
        <v>1545</v>
      </c>
      <c r="E1" s="29" t="s">
        <v>1546</v>
      </c>
      <c r="F1" s="30" t="s">
        <v>1547</v>
      </c>
      <c r="G1" s="28" t="s">
        <v>1548</v>
      </c>
      <c r="H1" s="29" t="s">
        <v>1549</v>
      </c>
      <c r="I1" s="29" t="s">
        <v>1550</v>
      </c>
      <c r="J1" s="29" t="s">
        <v>1551</v>
      </c>
      <c r="K1" s="29" t="s">
        <v>1552</v>
      </c>
      <c r="L1" s="29" t="s">
        <v>1553</v>
      </c>
      <c r="M1" s="29" t="s">
        <v>1554</v>
      </c>
      <c r="N1" s="29" t="s">
        <v>1555</v>
      </c>
      <c r="O1" s="29" t="s">
        <v>1556</v>
      </c>
      <c r="P1" s="29" t="s">
        <v>1557</v>
      </c>
      <c r="Q1" s="28" t="s">
        <v>1558</v>
      </c>
      <c r="R1" s="29" t="s">
        <v>1559</v>
      </c>
      <c r="S1" s="31" t="s">
        <v>1560</v>
      </c>
      <c r="T1" s="29" t="s">
        <v>1561</v>
      </c>
      <c r="U1" s="28" t="s">
        <v>1562</v>
      </c>
      <c r="V1" s="29" t="s">
        <v>1541</v>
      </c>
      <c r="W1" s="29" t="s">
        <v>1563</v>
      </c>
      <c r="X1" s="29" t="s">
        <v>1564</v>
      </c>
      <c r="Y1" s="29" t="s">
        <v>1565</v>
      </c>
      <c r="Z1" s="29" t="s">
        <v>1566</v>
      </c>
      <c r="AA1" s="31" t="s">
        <v>1567</v>
      </c>
      <c r="AB1" s="31" t="s">
        <v>1568</v>
      </c>
      <c r="AC1" s="29" t="s">
        <v>1569</v>
      </c>
      <c r="AD1" s="29" t="s">
        <v>1570</v>
      </c>
      <c r="AE1" s="29" t="s">
        <v>1571</v>
      </c>
      <c r="AF1" s="29" t="s">
        <v>1572</v>
      </c>
      <c r="AG1" s="32" t="s">
        <v>1573</v>
      </c>
      <c r="AH1" s="29" t="s">
        <v>1574</v>
      </c>
      <c r="AI1" s="29" t="s">
        <v>1575</v>
      </c>
      <c r="AJ1" s="28" t="s">
        <v>1576</v>
      </c>
      <c r="AK1" s="29" t="s">
        <v>1577</v>
      </c>
      <c r="AL1" s="29" t="s">
        <v>1578</v>
      </c>
      <c r="AM1" s="42" t="s">
        <v>1579</v>
      </c>
    </row>
    <row r="2">
      <c r="A2" s="26" t="s">
        <v>1580</v>
      </c>
      <c r="B2" s="27" t="s">
        <v>1581</v>
      </c>
      <c r="C2" s="28" t="s">
        <v>1581</v>
      </c>
      <c r="D2" s="43" t="s">
        <v>1582</v>
      </c>
      <c r="E2" s="43" t="s">
        <v>1582</v>
      </c>
      <c r="F2" s="30"/>
      <c r="G2" s="28" t="s">
        <v>1581</v>
      </c>
      <c r="H2" s="28" t="s">
        <v>1583</v>
      </c>
      <c r="I2" s="28" t="s">
        <v>1583</v>
      </c>
      <c r="J2" s="28" t="s">
        <v>1583</v>
      </c>
      <c r="K2" s="28" t="s">
        <v>1583</v>
      </c>
      <c r="L2" s="28" t="s">
        <v>1581</v>
      </c>
      <c r="M2" s="28" t="s">
        <v>1581</v>
      </c>
      <c r="N2" s="28" t="s">
        <v>1581</v>
      </c>
      <c r="O2" s="28" t="s">
        <v>1581</v>
      </c>
      <c r="P2" s="28" t="s">
        <v>1581</v>
      </c>
      <c r="Q2" s="28" t="s">
        <v>1581</v>
      </c>
      <c r="R2" s="28" t="s">
        <v>1581</v>
      </c>
      <c r="S2" s="28" t="s">
        <v>1584</v>
      </c>
      <c r="T2" s="26" t="s">
        <v>1585</v>
      </c>
      <c r="U2" s="26" t="s">
        <v>1585</v>
      </c>
      <c r="V2" s="29"/>
      <c r="W2" s="28" t="s">
        <v>1583</v>
      </c>
      <c r="X2" s="28" t="s">
        <v>1583</v>
      </c>
      <c r="Y2" s="28" t="s">
        <v>1583</v>
      </c>
      <c r="Z2" s="28" t="s">
        <v>1583</v>
      </c>
      <c r="AA2" s="28" t="s">
        <v>1583</v>
      </c>
      <c r="AB2" s="28" t="s">
        <v>1583</v>
      </c>
      <c r="AC2" s="28" t="s">
        <v>1583</v>
      </c>
      <c r="AD2" s="28" t="s">
        <v>1583</v>
      </c>
      <c r="AE2" s="28" t="s">
        <v>1583</v>
      </c>
      <c r="AF2" s="28" t="s">
        <v>1583</v>
      </c>
      <c r="AG2" s="28" t="s">
        <v>1583</v>
      </c>
      <c r="AH2" s="29"/>
      <c r="AI2" s="26" t="s">
        <v>1585</v>
      </c>
      <c r="AJ2" s="28" t="s">
        <v>1583</v>
      </c>
      <c r="AK2" s="28" t="s">
        <v>1583</v>
      </c>
      <c r="AL2" s="28" t="s">
        <v>1583</v>
      </c>
      <c r="AM2" s="44" t="s">
        <v>1586</v>
      </c>
    </row>
    <row r="3">
      <c r="A3">
        <f>IFERROR(__xludf.DUMMYFUNCTION("importrange(""https://docs.google.com/spreadsheets/d/1DS7an8TTanqiNrHSLLeprjWa5J4l6Ot9dBpyk6dCTqA/edit"",""CONSOLIDADO!A2:AM1002"")"),1.7803186E7)</f>
        <v>17803186</v>
      </c>
      <c r="B3">
        <f>IFERROR(__xludf.DUMMYFUNCTION("""COMPUTED_VALUE"""),1.0)</f>
        <v>1</v>
      </c>
      <c r="C3" t="str">
        <f>IFERROR(__xludf.DUMMYFUNCTION("""COMPUTED_VALUE"""),"A283")</f>
        <v>A283</v>
      </c>
      <c r="D3" t="str">
        <f>IFERROR(__xludf.DUMMYFUNCTION("""COMPUTED_VALUE"""),"3")</f>
        <v>3</v>
      </c>
      <c r="E3" t="str">
        <f>IFERROR(__xludf.DUMMYFUNCTION("""COMPUTED_VALUE"""),"DPTO. DE FINANZAS Y TESORERIA")</f>
        <v>DPTO. DE FINANZAS Y TESORERIA</v>
      </c>
      <c r="F3" t="str">
        <f>IFERROR(__xludf.DUMMYFUNCTION("""COMPUTED_VALUE"""),"Jefe(a) de Sección")</f>
        <v>Jefe(a) de Sección</v>
      </c>
      <c r="G3" t="str">
        <f>IFERROR(__xludf.DUMMYFUNCTION("""COMPUTED_VALUE"""),"JEFA DE SECCIÓN ANALISIS DE CUENTAS")</f>
        <v>JEFA DE SECCIÓN ANALISIS DE CUENTAS</v>
      </c>
      <c r="H3">
        <f>IFERROR(__xludf.DUMMYFUNCTION("""COMPUTED_VALUE"""),8.0)</f>
        <v>8</v>
      </c>
      <c r="I3" t="str">
        <f>IFERROR(__xludf.DUMMYFUNCTION("""COMPUTED_VALUE"""),"Jornada Completa")</f>
        <v>Jornada Completa</v>
      </c>
      <c r="J3" t="str">
        <f>IFERROR(__xludf.DUMMYFUNCTION("""COMPUTED_VALUE"""),"A CONTRATA")</f>
        <v>A CONTRATA</v>
      </c>
      <c r="K3" t="str">
        <f>IFERROR(__xludf.DUMMYFUNCTION("""COMPUTED_VALUE"""),"PROFESIONAL")</f>
        <v>PROFESIONAL</v>
      </c>
      <c r="L3" t="str">
        <f>IFERROR(__xludf.DUMMYFUNCTION("""COMPUTED_VALUE"""),"INTERNO")</f>
        <v>INTERNO</v>
      </c>
      <c r="M3">
        <f>IFERROR(__xludf.DUMMYFUNCTION("""COMPUTED_VALUE"""),3.0)</f>
        <v>3</v>
      </c>
      <c r="N3" t="str">
        <f>IFERROR(__xludf.DUMMYFUNCTION("""COMPUTED_VALUE"""),"NO")</f>
        <v>NO</v>
      </c>
      <c r="O3">
        <f>IFERROR(__xludf.DUMMYFUNCTION("""COMPUTED_VALUE"""),3.0)</f>
        <v>3</v>
      </c>
      <c r="P3">
        <f>IFERROR(__xludf.DUMMYFUNCTION("""COMPUTED_VALUE"""),3.0)</f>
        <v>3</v>
      </c>
      <c r="Q3">
        <f>IFERROR(__xludf.DUMMYFUNCTION("""COMPUTED_VALUE"""),0.0)</f>
        <v>0</v>
      </c>
      <c r="R3" s="45" t="str">
        <f>IFERROR(__xludf.DUMMYFUNCTION("""COMPUTED_VALUE"""),"SELECCIONADA")</f>
        <v>SELECCIONADA</v>
      </c>
      <c r="S3" s="38">
        <f>IFERROR(__xludf.DUMMYFUNCTION("""COMPUTED_VALUE"""),43577.0)</f>
        <v>43577</v>
      </c>
      <c r="T3" t="str">
        <f>IFERROR(__xludf.DUMMYFUNCTION("""COMPUTED_VALUE"""),"TORO FLORES KARLA VALESKA TERESA")</f>
        <v>TORO FLORES KARLA VALESKA TERESA</v>
      </c>
      <c r="V3" t="str">
        <f>IFERROR(__xludf.DUMMYFUNCTION("""COMPUTED_VALUE"""),"17803186-4")</f>
        <v>17803186-4</v>
      </c>
      <c r="W3" t="str">
        <f>IFERROR(__xludf.DUMMYFUNCTION("""COMPUTED_VALUE"""),"SI")</f>
        <v>SI</v>
      </c>
      <c r="AA3" s="38">
        <f>IFERROR(__xludf.DUMMYFUNCTION("""COMPUTED_VALUE"""),43549.0)</f>
        <v>43549</v>
      </c>
      <c r="AB3" s="38">
        <f>IFERROR(__xludf.DUMMYFUNCTION("""COMPUTED_VALUE"""),43556.0)</f>
        <v>43556</v>
      </c>
      <c r="AH3" t="str">
        <f>IFERROR(__xludf.DUMMYFUNCTION("""COMPUTED_VALUE"""),"PROCESO DE SELECCIÓN")</f>
        <v>PROCESO DE SELECCIÓN</v>
      </c>
      <c r="AI3" t="str">
        <f>IFERROR(__xludf.DUMMYFUNCTION("""COMPUTED_VALUE"""),"DONOSO PAVEZ MARION")</f>
        <v>DONOSO PAVEZ MARION</v>
      </c>
      <c r="AK3" t="str">
        <f>IFERROR(__xludf.DUMMYFUNCTION("""COMPUTED_VALUE"""),"C")</f>
        <v>C</v>
      </c>
      <c r="AL3">
        <f>IFERROR(__xludf.DUMMYFUNCTION("""COMPUTED_VALUE"""),16.0)</f>
        <v>16</v>
      </c>
      <c r="AM3">
        <f>IFERROR(__xludf.DUMMYFUNCTION("""COMPUTED_VALUE"""),2019.0)</f>
        <v>2019</v>
      </c>
    </row>
    <row r="4">
      <c r="A4">
        <f>IFERROR(__xludf.DUMMYFUNCTION("""COMPUTED_VALUE"""),1.0080885E7)</f>
        <v>10080885</v>
      </c>
      <c r="B4">
        <f>IFERROR(__xludf.DUMMYFUNCTION("""COMPUTED_VALUE"""),2.0)</f>
        <v>2</v>
      </c>
      <c r="C4" t="str">
        <f>IFERROR(__xludf.DUMMYFUNCTION("""COMPUTED_VALUE"""),"A271")</f>
        <v>A271</v>
      </c>
      <c r="D4" t="str">
        <f>IFERROR(__xludf.DUMMYFUNCTION("""COMPUTED_VALUE"""),"22")</f>
        <v>22</v>
      </c>
      <c r="E4" t="str">
        <f>IFERROR(__xludf.DUMMYFUNCTION("""COMPUTED_VALUE"""),"UNIDAD DE ATENCION DE SALUD")</f>
        <v>UNIDAD DE ATENCION DE SALUD</v>
      </c>
      <c r="F4" t="str">
        <f>IFERROR(__xludf.DUMMYFUNCTION("""COMPUTED_VALUE"""),"Chofer de Ambulancia")</f>
        <v>Chofer de Ambulancia</v>
      </c>
      <c r="G4" t="str">
        <f>IFERROR(__xludf.DUMMYFUNCTION("""COMPUTED_VALUE"""),"CHOFER DE AMBULANCIA")</f>
        <v>CHOFER DE AMBULANCIA</v>
      </c>
      <c r="H4">
        <f>IFERROR(__xludf.DUMMYFUNCTION("""COMPUTED_VALUE"""),19.0)</f>
        <v>19</v>
      </c>
      <c r="I4" t="str">
        <f>IFERROR(__xludf.DUMMYFUNCTION("""COMPUTED_VALUE"""),"Jornada Completa")</f>
        <v>Jornada Completa</v>
      </c>
      <c r="J4" t="str">
        <f>IFERROR(__xludf.DUMMYFUNCTION("""COMPUTED_VALUE"""),"A CONTRATA")</f>
        <v>A CONTRATA</v>
      </c>
      <c r="K4" t="str">
        <f>IFERROR(__xludf.DUMMYFUNCTION("""COMPUTED_VALUE"""),"TECNICO")</f>
        <v>TECNICO</v>
      </c>
      <c r="L4" t="str">
        <f>IFERROR(__xludf.DUMMYFUNCTION("""COMPUTED_VALUE"""),"INTERNO")</f>
        <v>INTERNO</v>
      </c>
      <c r="M4">
        <f>IFERROR(__xludf.DUMMYFUNCTION("""COMPUTED_VALUE"""),1.0)</f>
        <v>1</v>
      </c>
      <c r="N4" t="str">
        <f>IFERROR(__xludf.DUMMYFUNCTION("""COMPUTED_VALUE"""),"EXTERNO")</f>
        <v>EXTERNO</v>
      </c>
      <c r="O4">
        <f>IFERROR(__xludf.DUMMYFUNCTION("""COMPUTED_VALUE"""),4.0)</f>
        <v>4</v>
      </c>
      <c r="P4">
        <f>IFERROR(__xludf.DUMMYFUNCTION("""COMPUTED_VALUE"""),3.0)</f>
        <v>3</v>
      </c>
      <c r="Q4">
        <f>IFERROR(__xludf.DUMMYFUNCTION("""COMPUTED_VALUE"""),0.0)</f>
        <v>0</v>
      </c>
      <c r="R4" s="45" t="str">
        <f>IFERROR(__xludf.DUMMYFUNCTION("""COMPUTED_VALUE"""),"SELECCIONADO")</f>
        <v>SELECCIONADO</v>
      </c>
      <c r="S4" s="38">
        <f>IFERROR(__xludf.DUMMYFUNCTION("""COMPUTED_VALUE"""),43570.0)</f>
        <v>43570</v>
      </c>
      <c r="U4" t="str">
        <f>IFERROR(__xludf.DUMMYFUNCTION("""COMPUTED_VALUE"""),"MORALES ACEVEDO DANIEL")</f>
        <v>MORALES ACEVEDO DANIEL</v>
      </c>
      <c r="V4" t="str">
        <f>IFERROR(__xludf.DUMMYFUNCTION("""COMPUTED_VALUE"""),"10080885-4")</f>
        <v>10080885-4</v>
      </c>
      <c r="W4" t="str">
        <f>IFERROR(__xludf.DUMMYFUNCTION("""COMPUTED_VALUE"""),"SI")</f>
        <v>SI</v>
      </c>
      <c r="X4" t="str">
        <f>IFERROR(__xludf.DUMMYFUNCTION("""COMPUTED_VALUE"""),"Orientacion a los Resultados")</f>
        <v>Orientacion a los Resultados</v>
      </c>
      <c r="Y4" t="str">
        <f>IFERROR(__xludf.DUMMYFUNCTION("""COMPUTED_VALUE"""),"Capacidad de Planificacion y Organizacion")</f>
        <v>Capacidad de Planificacion y Organizacion</v>
      </c>
      <c r="AA4" s="38">
        <f>IFERROR(__xludf.DUMMYFUNCTION("""COMPUTED_VALUE"""),43535.0)</f>
        <v>43535</v>
      </c>
      <c r="AB4" s="38">
        <f>IFERROR(__xludf.DUMMYFUNCTION("""COMPUTED_VALUE"""),43542.0)</f>
        <v>43542</v>
      </c>
      <c r="AH4" t="str">
        <f>IFERROR(__xludf.DUMMYFUNCTION("""COMPUTED_VALUE"""),"PROCESO DE SELECCIÓN")</f>
        <v>PROCESO DE SELECCIÓN</v>
      </c>
      <c r="AI4" t="str">
        <f>IFERROR(__xludf.DUMMYFUNCTION("""COMPUTED_VALUE"""),"CALDERON BARRIOS MAURICIO")</f>
        <v>CALDERON BARRIOS MAURICIO</v>
      </c>
      <c r="AK4" t="str">
        <f>IFERROR(__xludf.DUMMYFUNCTION("""COMPUTED_VALUE"""),"E")</f>
        <v>E</v>
      </c>
      <c r="AL4">
        <f>IFERROR(__xludf.DUMMYFUNCTION("""COMPUTED_VALUE"""),21.0)</f>
        <v>21</v>
      </c>
      <c r="AM4">
        <f>IFERROR(__xludf.DUMMYFUNCTION("""COMPUTED_VALUE"""),2019.0)</f>
        <v>2019</v>
      </c>
    </row>
    <row r="5">
      <c r="A5">
        <f>IFERROR(__xludf.DUMMYFUNCTION("""COMPUTED_VALUE"""),1.9385989E7)</f>
        <v>19385989</v>
      </c>
      <c r="B5">
        <f>IFERROR(__xludf.DUMMYFUNCTION("""COMPUTED_VALUE"""),3.0)</f>
        <v>3</v>
      </c>
      <c r="C5" t="str">
        <f>IFERROR(__xludf.DUMMYFUNCTION("""COMPUTED_VALUE"""),"A264")</f>
        <v>A264</v>
      </c>
      <c r="D5" t="str">
        <f>IFERROR(__xludf.DUMMYFUNCTION("""COMPUTED_VALUE"""),"3")</f>
        <v>3</v>
      </c>
      <c r="E5" t="str">
        <f>IFERROR(__xludf.DUMMYFUNCTION("""COMPUTED_VALUE"""),"DPTO. DE RECURSOS HUMANOS")</f>
        <v>DPTO. DE RECURSOS HUMANOS</v>
      </c>
      <c r="F5" t="str">
        <f>IFERROR(__xludf.DUMMYFUNCTION("""COMPUTED_VALUE"""),"Administrativo(a) de Recursos Humanos")</f>
        <v>Administrativo(a) de Recursos Humanos</v>
      </c>
      <c r="G5" t="str">
        <f>IFERROR(__xludf.DUMMYFUNCTION("""COMPUTED_VALUE"""),"ADMINISTRATIVA DE RECURSOS HUMANOS")</f>
        <v>ADMINISTRATIVA DE RECURSOS HUMANOS</v>
      </c>
      <c r="H5">
        <f>IFERROR(__xludf.DUMMYFUNCTION("""COMPUTED_VALUE"""),17.0)</f>
        <v>17</v>
      </c>
      <c r="I5" t="str">
        <f>IFERROR(__xludf.DUMMYFUNCTION("""COMPUTED_VALUE"""),"Jornada Completa")</f>
        <v>Jornada Completa</v>
      </c>
      <c r="J5" t="str">
        <f>IFERROR(__xludf.DUMMYFUNCTION("""COMPUTED_VALUE"""),"A CONTRATA")</f>
        <v>A CONTRATA</v>
      </c>
      <c r="K5" t="str">
        <f>IFERROR(__xludf.DUMMYFUNCTION("""COMPUTED_VALUE"""),"ADMINISTRATIVO")</f>
        <v>ADMINISTRATIVO</v>
      </c>
      <c r="L5" t="str">
        <f>IFERROR(__xludf.DUMMYFUNCTION("""COMPUTED_VALUE"""),"INTERNO")</f>
        <v>INTERNO</v>
      </c>
      <c r="M5">
        <f>IFERROR(__xludf.DUMMYFUNCTION("""COMPUTED_VALUE"""),5.0)</f>
        <v>5</v>
      </c>
      <c r="N5" t="str">
        <f>IFERROR(__xludf.DUMMYFUNCTION("""COMPUTED_VALUE"""),"NO")</f>
        <v>NO</v>
      </c>
      <c r="P5">
        <f>IFERROR(__xludf.DUMMYFUNCTION("""COMPUTED_VALUE"""),1.0)</f>
        <v>1</v>
      </c>
      <c r="Q5">
        <f>IFERROR(__xludf.DUMMYFUNCTION("""COMPUTED_VALUE"""),0.0)</f>
        <v>0</v>
      </c>
      <c r="R5" s="45" t="str">
        <f>IFERROR(__xludf.DUMMYFUNCTION("""COMPUTED_VALUE"""),"SELECCIONADA")</f>
        <v>SELECCIONADA</v>
      </c>
      <c r="S5" s="38">
        <f>IFERROR(__xludf.DUMMYFUNCTION("""COMPUTED_VALUE"""),43591.0)</f>
        <v>43591</v>
      </c>
      <c r="T5" t="str">
        <f>IFERROR(__xludf.DUMMYFUNCTION("""COMPUTED_VALUE"""),"ORTEGA ARAYA ROCIO DE LOS ANGELES")</f>
        <v>ORTEGA ARAYA ROCIO DE LOS ANGELES</v>
      </c>
      <c r="V5" t="str">
        <f>IFERROR(__xludf.DUMMYFUNCTION("""COMPUTED_VALUE"""),"19385989-5")</f>
        <v>19385989-5</v>
      </c>
      <c r="W5" t="str">
        <f>IFERROR(__xludf.DUMMYFUNCTION("""COMPUTED_VALUE"""),"SI")</f>
        <v>SI</v>
      </c>
      <c r="X5" t="str">
        <f>IFERROR(__xludf.DUMMYFUNCTION("""COMPUTED_VALUE"""),"Preocupacion por el Orden y la Claridad")</f>
        <v>Preocupacion por el Orden y la Claridad</v>
      </c>
      <c r="AA5" s="38">
        <f>IFERROR(__xludf.DUMMYFUNCTION("""COMPUTED_VALUE"""),43529.0)</f>
        <v>43529</v>
      </c>
      <c r="AB5" s="38">
        <f>IFERROR(__xludf.DUMMYFUNCTION("""COMPUTED_VALUE"""),43534.0)</f>
        <v>43534</v>
      </c>
      <c r="AH5" t="str">
        <f>IFERROR(__xludf.DUMMYFUNCTION("""COMPUTED_VALUE"""),"PROCESO DE SELECCIÓN")</f>
        <v>PROCESO DE SELECCIÓN</v>
      </c>
      <c r="AI5" t="str">
        <f>IFERROR(__xludf.DUMMYFUNCTION("""COMPUTED_VALUE"""),"AGUILAR AVENDAÑO RODRIGO")</f>
        <v>AGUILAR AVENDAÑO RODRIGO</v>
      </c>
      <c r="AK5" t="str">
        <f>IFERROR(__xludf.DUMMYFUNCTION("""COMPUTED_VALUE"""),"C")</f>
        <v>C</v>
      </c>
      <c r="AL5">
        <f>IFERROR(__xludf.DUMMYFUNCTION("""COMPUTED_VALUE"""),41.0)</f>
        <v>41</v>
      </c>
      <c r="AM5">
        <f>IFERROR(__xludf.DUMMYFUNCTION("""COMPUTED_VALUE"""),2019.0)</f>
        <v>2019</v>
      </c>
    </row>
    <row r="6">
      <c r="A6">
        <f>IFERROR(__xludf.DUMMYFUNCTION("""COMPUTED_VALUE"""),1.3265762E7)</f>
        <v>13265762</v>
      </c>
      <c r="B6">
        <f>IFERROR(__xludf.DUMMYFUNCTION("""COMPUTED_VALUE"""),4.0)</f>
        <v>4</v>
      </c>
      <c r="C6" t="str">
        <f>IFERROR(__xludf.DUMMYFUNCTION("""COMPUTED_VALUE"""),"ACTA2019-29")</f>
        <v>ACTA2019-29</v>
      </c>
      <c r="D6" t="str">
        <f>IFERROR(__xludf.DUMMYFUNCTION("""COMPUTED_VALUE"""),"3")</f>
        <v>3</v>
      </c>
      <c r="E6" t="str">
        <f>IFERROR(__xludf.DUMMYFUNCTION("""COMPUTED_VALUE"""),"UNIDAD DE ADQUISICIONES")</f>
        <v>UNIDAD DE ADQUISICIONES</v>
      </c>
      <c r="F6" t="str">
        <f>IFERROR(__xludf.DUMMYFUNCTION("""COMPUTED_VALUE"""),"Técnico(a) de Compras")</f>
        <v>Técnico(a) de Compras</v>
      </c>
      <c r="G6" t="str">
        <f>IFERROR(__xludf.DUMMYFUNCTION("""COMPUTED_VALUE"""),"TECNICO DE COMPRAS")</f>
        <v>TECNICO DE COMPRAS</v>
      </c>
      <c r="H6">
        <f>IFERROR(__xludf.DUMMYFUNCTION("""COMPUTED_VALUE"""),14.0)</f>
        <v>14</v>
      </c>
      <c r="I6" t="str">
        <f>IFERROR(__xludf.DUMMYFUNCTION("""COMPUTED_VALUE"""),"Jornada Completa")</f>
        <v>Jornada Completa</v>
      </c>
      <c r="J6" t="str">
        <f>IFERROR(__xludf.DUMMYFUNCTION("""COMPUTED_VALUE"""),"A CONTRATA")</f>
        <v>A CONTRATA</v>
      </c>
      <c r="K6" t="str">
        <f>IFERROR(__xludf.DUMMYFUNCTION("""COMPUTED_VALUE"""),"TECNICO")</f>
        <v>TECNICO</v>
      </c>
      <c r="L6" t="str">
        <f>IFERROR(__xludf.DUMMYFUNCTION("""COMPUTED_VALUE"""),"INTERNO")</f>
        <v>INTERNO</v>
      </c>
      <c r="M6">
        <f>IFERROR(__xludf.DUMMYFUNCTION("""COMPUTED_VALUE"""),4.0)</f>
        <v>4</v>
      </c>
      <c r="N6" t="str">
        <f>IFERROR(__xludf.DUMMYFUNCTION("""COMPUTED_VALUE"""),"NO")</f>
        <v>NO</v>
      </c>
      <c r="P6">
        <f>IFERROR(__xludf.DUMMYFUNCTION("""COMPUTED_VALUE"""),2.0)</f>
        <v>2</v>
      </c>
      <c r="Q6">
        <f>IFERROR(__xludf.DUMMYFUNCTION("""COMPUTED_VALUE"""),0.0)</f>
        <v>0</v>
      </c>
      <c r="R6" s="45" t="str">
        <f>IFERROR(__xludf.DUMMYFUNCTION("""COMPUTED_VALUE"""),"SELECCIONADA")</f>
        <v>SELECCIONADA</v>
      </c>
      <c r="S6" s="38">
        <f>IFERROR(__xludf.DUMMYFUNCTION("""COMPUTED_VALUE"""),43584.0)</f>
        <v>43584</v>
      </c>
      <c r="T6" t="str">
        <f>IFERROR(__xludf.DUMMYFUNCTION("""COMPUTED_VALUE"""),"BEECHER PARRA GUISELLA CAROLINA")</f>
        <v>BEECHER PARRA GUISELLA CAROLINA</v>
      </c>
      <c r="V6" t="str">
        <f>IFERROR(__xludf.DUMMYFUNCTION("""COMPUTED_VALUE"""),"13265762-9")</f>
        <v>13265762-9</v>
      </c>
      <c r="W6" t="str">
        <f>IFERROR(__xludf.DUMMYFUNCTION("""COMPUTED_VALUE"""),"NO")</f>
        <v>NO</v>
      </c>
      <c r="AA6" s="38">
        <f>IFERROR(__xludf.DUMMYFUNCTION("""COMPUTED_VALUE"""),43530.0)</f>
        <v>43530</v>
      </c>
      <c r="AB6" s="38">
        <f>IFERROR(__xludf.DUMMYFUNCTION("""COMPUTED_VALUE"""),43538.0)</f>
        <v>43538</v>
      </c>
      <c r="AH6" t="str">
        <f>IFERROR(__xludf.DUMMYFUNCTION("""COMPUTED_VALUE"""),"PROCESO DE SELECCIÓN")</f>
        <v>PROCESO DE SELECCIÓN</v>
      </c>
      <c r="AI6" t="str">
        <f>IFERROR(__xludf.DUMMYFUNCTION("""COMPUTED_VALUE""")," - ")</f>
        <v> - </v>
      </c>
      <c r="AK6" t="str">
        <f>IFERROR(__xludf.DUMMYFUNCTION("""COMPUTED_VALUE"""),"C")</f>
        <v>C</v>
      </c>
      <c r="AL6">
        <f>IFERROR(__xludf.DUMMYFUNCTION("""COMPUTED_VALUE"""),33.0)</f>
        <v>33</v>
      </c>
      <c r="AM6">
        <f>IFERROR(__xludf.DUMMYFUNCTION("""COMPUTED_VALUE"""),2019.0)</f>
        <v>2019</v>
      </c>
    </row>
    <row r="7">
      <c r="A7">
        <f>IFERROR(__xludf.DUMMYFUNCTION("""COMPUTED_VALUE"""),1.6129369E7)</f>
        <v>16129369</v>
      </c>
      <c r="B7">
        <f>IFERROR(__xludf.DUMMYFUNCTION("""COMPUTED_VALUE"""),5.0)</f>
        <v>5</v>
      </c>
      <c r="C7" t="str">
        <f>IFERROR(__xludf.DUMMYFUNCTION("""COMPUTED_VALUE"""),"A277")</f>
        <v>A277</v>
      </c>
      <c r="D7" t="str">
        <f>IFERROR(__xludf.DUMMYFUNCTION("""COMPUTED_VALUE"""),"95")</f>
        <v>95</v>
      </c>
      <c r="E7" t="str">
        <f>IFERROR(__xludf.DUMMYFUNCTION("""COMPUTED_VALUE"""),"FACULTAD DE QUIMICA Y BIOLOGIA")</f>
        <v>FACULTAD DE QUIMICA Y BIOLOGIA</v>
      </c>
      <c r="F7" t="str">
        <f>IFERROR(__xludf.DUMMYFUNCTION("""COMPUTED_VALUE"""),"Profesional Especializado(a) de Laboratorio")</f>
        <v>Profesional Especializado(a) de Laboratorio</v>
      </c>
      <c r="G7" t="str">
        <f>IFERROR(__xludf.DUMMYFUNCTION("""COMPUTED_VALUE"""),"PROFESIONAL ESPICIALIZADO DE LABORATORIO / OPERADOR EQUIPOS ESPECTROSCOPICOS Y FT-IR")</f>
        <v>PROFESIONAL ESPICIALIZADO DE LABORATORIO / OPERADOR EQUIPOS ESPECTROSCOPICOS Y FT-IR</v>
      </c>
      <c r="H7">
        <f>IFERROR(__xludf.DUMMYFUNCTION("""COMPUTED_VALUE"""),11.0)</f>
        <v>11</v>
      </c>
      <c r="I7" t="str">
        <f>IFERROR(__xludf.DUMMYFUNCTION("""COMPUTED_VALUE"""),"1/2 Jornada")</f>
        <v>1/2 Jornada</v>
      </c>
      <c r="J7" t="str">
        <f>IFERROR(__xludf.DUMMYFUNCTION("""COMPUTED_VALUE"""),"A CONTRATA")</f>
        <v>A CONTRATA</v>
      </c>
      <c r="K7" t="str">
        <f>IFERROR(__xludf.DUMMYFUNCTION("""COMPUTED_VALUE"""),"PROFESIONAL")</f>
        <v>PROFESIONAL</v>
      </c>
      <c r="L7" t="str">
        <f>IFERROR(__xludf.DUMMYFUNCTION("""COMPUTED_VALUE"""),"INTERNO")</f>
        <v>INTERNO</v>
      </c>
      <c r="M7">
        <f>IFERROR(__xludf.DUMMYFUNCTION("""COMPUTED_VALUE"""),1.0)</f>
        <v>1</v>
      </c>
      <c r="N7" t="str">
        <f>IFERROR(__xludf.DUMMYFUNCTION("""COMPUTED_VALUE"""),"NO")</f>
        <v>NO</v>
      </c>
      <c r="P7">
        <f>IFERROR(__xludf.DUMMYFUNCTION("""COMPUTED_VALUE"""),1.0)</f>
        <v>1</v>
      </c>
      <c r="Q7">
        <f>IFERROR(__xludf.DUMMYFUNCTION("""COMPUTED_VALUE"""),0.0)</f>
        <v>0</v>
      </c>
      <c r="R7" s="45" t="str">
        <f>IFERROR(__xludf.DUMMYFUNCTION("""COMPUTED_VALUE"""),"SELECCIONADA")</f>
        <v>SELECCIONADA</v>
      </c>
      <c r="S7" s="38">
        <f>IFERROR(__xludf.DUMMYFUNCTION("""COMPUTED_VALUE"""),43586.0)</f>
        <v>43586</v>
      </c>
      <c r="T7" t="str">
        <f>IFERROR(__xludf.DUMMYFUNCTION("""COMPUTED_VALUE"""),"CONTENLA SAEZ ROMMINA")</f>
        <v>CONTENLA SAEZ ROMMINA</v>
      </c>
      <c r="V7" t="str">
        <f>IFERROR(__xludf.DUMMYFUNCTION("""COMPUTED_VALUE"""),"16129369-5")</f>
        <v>16129369-5</v>
      </c>
      <c r="W7" t="str">
        <f>IFERROR(__xludf.DUMMYFUNCTION("""COMPUTED_VALUE"""),"SI")</f>
        <v>SI</v>
      </c>
      <c r="X7" t="str">
        <f>IFERROR(__xludf.DUMMYFUNCTION("""COMPUTED_VALUE"""),"Iniciativa")</f>
        <v>Iniciativa</v>
      </c>
      <c r="AA7" s="38">
        <f>IFERROR(__xludf.DUMMYFUNCTION("""COMPUTED_VALUE"""),43537.0)</f>
        <v>43537</v>
      </c>
      <c r="AB7" s="38">
        <f>IFERROR(__xludf.DUMMYFUNCTION("""COMPUTED_VALUE"""),43544.0)</f>
        <v>43544</v>
      </c>
      <c r="AH7" t="str">
        <f>IFERROR(__xludf.DUMMYFUNCTION("""COMPUTED_VALUE"""),"PROCESO DE SELECCIÓN")</f>
        <v>PROCESO DE SELECCIÓN</v>
      </c>
      <c r="AI7" t="str">
        <f>IFERROR(__xludf.DUMMYFUNCTION("""COMPUTED_VALUE"""),"KLEIN GRUN ENRIQUETA")</f>
        <v>KLEIN GRUN ENRIQUETA</v>
      </c>
      <c r="AK7" t="str">
        <f>IFERROR(__xludf.DUMMYFUNCTION("""COMPUTED_VALUE"""),"C")</f>
        <v>C</v>
      </c>
      <c r="AL7">
        <f>IFERROR(__xludf.DUMMYFUNCTION("""COMPUTED_VALUE"""),31.0)</f>
        <v>31</v>
      </c>
      <c r="AM7">
        <f>IFERROR(__xludf.DUMMYFUNCTION("""COMPUTED_VALUE"""),2019.0)</f>
        <v>2019</v>
      </c>
    </row>
    <row r="8">
      <c r="A8">
        <f>IFERROR(__xludf.DUMMYFUNCTION("""COMPUTED_VALUE"""),1.5797419E7)</f>
        <v>15797419</v>
      </c>
      <c r="B8">
        <f>IFERROR(__xludf.DUMMYFUNCTION("""COMPUTED_VALUE"""),6.0)</f>
        <v>6</v>
      </c>
      <c r="C8" t="str">
        <f>IFERROR(__xludf.DUMMYFUNCTION("""COMPUTED_VALUE"""),"ACTA2019-10")</f>
        <v>ACTA2019-10</v>
      </c>
      <c r="D8" t="str">
        <f>IFERROR(__xludf.DUMMYFUNCTION("""COMPUTED_VALUE"""),"3")</f>
        <v>3</v>
      </c>
      <c r="E8" t="str">
        <f>IFERROR(__xludf.DUMMYFUNCTION("""COMPUTED_VALUE"""),"UNIDAD DE ADQUISICIONES")</f>
        <v>UNIDAD DE ADQUISICIONES</v>
      </c>
      <c r="F8" t="str">
        <f>IFERROR(__xludf.DUMMYFUNCTION("""COMPUTED_VALUE"""),"Jefe(a) de Área")</f>
        <v>Jefe(a) de Área</v>
      </c>
      <c r="G8" t="str">
        <f>IFERROR(__xludf.DUMMYFUNCTION("""COMPUTED_VALUE"""),"JEFE DE AREA ( LICITACION Y CONTRATOS)")</f>
        <v>JEFE DE AREA ( LICITACION Y CONTRATOS)</v>
      </c>
      <c r="H8">
        <f>IFERROR(__xludf.DUMMYFUNCTION("""COMPUTED_VALUE"""),8.0)</f>
        <v>8</v>
      </c>
      <c r="I8" t="str">
        <f>IFERROR(__xludf.DUMMYFUNCTION("""COMPUTED_VALUE"""),"Jornada Completa")</f>
        <v>Jornada Completa</v>
      </c>
      <c r="J8" t="str">
        <f>IFERROR(__xludf.DUMMYFUNCTION("""COMPUTED_VALUE"""),"A CONTRATA")</f>
        <v>A CONTRATA</v>
      </c>
      <c r="K8" t="str">
        <f>IFERROR(__xludf.DUMMYFUNCTION("""COMPUTED_VALUE"""),"PROFESIONAL")</f>
        <v>PROFESIONAL</v>
      </c>
      <c r="L8" t="str">
        <f>IFERROR(__xludf.DUMMYFUNCTION("""COMPUTED_VALUE"""),"INTERNO")</f>
        <v>INTERNO</v>
      </c>
      <c r="M8">
        <f>IFERROR(__xludf.DUMMYFUNCTION("""COMPUTED_VALUE"""),5.0)</f>
        <v>5</v>
      </c>
      <c r="N8" t="str">
        <f>IFERROR(__xludf.DUMMYFUNCTION("""COMPUTED_VALUE"""),"NO")</f>
        <v>NO</v>
      </c>
      <c r="P8">
        <f>IFERROR(__xludf.DUMMYFUNCTION("""COMPUTED_VALUE"""),3.0)</f>
        <v>3</v>
      </c>
      <c r="Q8">
        <f>IFERROR(__xludf.DUMMYFUNCTION("""COMPUTED_VALUE"""),0.0)</f>
        <v>0</v>
      </c>
      <c r="R8" s="45" t="str">
        <f>IFERROR(__xludf.DUMMYFUNCTION("""COMPUTED_VALUE"""),"SELECCIONADA")</f>
        <v>SELECCIONADA</v>
      </c>
      <c r="S8" s="38">
        <f>IFERROR(__xludf.DUMMYFUNCTION("""COMPUTED_VALUE"""),43605.0)</f>
        <v>43605</v>
      </c>
      <c r="T8" t="str">
        <f>IFERROR(__xludf.DUMMYFUNCTION("""COMPUTED_VALUE"""),"ARRIAGADA RIVAS KAREN STHEPHANIE")</f>
        <v>ARRIAGADA RIVAS KAREN STHEPHANIE</v>
      </c>
      <c r="V8" t="str">
        <f>IFERROR(__xludf.DUMMYFUNCTION("""COMPUTED_VALUE"""),"15797419-K")</f>
        <v>15797419-K</v>
      </c>
      <c r="W8" t="str">
        <f>IFERROR(__xludf.DUMMYFUNCTION("""COMPUTED_VALUE"""),"SI")</f>
        <v>SI</v>
      </c>
      <c r="X8" t="str">
        <f>IFERROR(__xludf.DUMMYFUNCTION("""COMPUTED_VALUE"""),"Liderazgo")</f>
        <v>Liderazgo</v>
      </c>
      <c r="AA8" s="38">
        <f>IFERROR(__xludf.DUMMYFUNCTION("""COMPUTED_VALUE"""),43535.0)</f>
        <v>43535</v>
      </c>
      <c r="AB8" s="38">
        <f>IFERROR(__xludf.DUMMYFUNCTION("""COMPUTED_VALUE"""),43542.0)</f>
        <v>43542</v>
      </c>
      <c r="AH8" t="str">
        <f>IFERROR(__xludf.DUMMYFUNCTION("""COMPUTED_VALUE"""),"PROCESO DE SELECCIÓN")</f>
        <v>PROCESO DE SELECCIÓN</v>
      </c>
      <c r="AI8" t="str">
        <f>IFERROR(__xludf.DUMMYFUNCTION("""COMPUTED_VALUE""")," - ")</f>
        <v> - </v>
      </c>
      <c r="AK8" t="str">
        <f>IFERROR(__xludf.DUMMYFUNCTION("""COMPUTED_VALUE"""),"C")</f>
        <v>C</v>
      </c>
      <c r="AL8">
        <f>IFERROR(__xludf.DUMMYFUNCTION("""COMPUTED_VALUE"""),46.0)</f>
        <v>46</v>
      </c>
      <c r="AM8">
        <f>IFERROR(__xludf.DUMMYFUNCTION("""COMPUTED_VALUE"""),2019.0)</f>
        <v>2019</v>
      </c>
    </row>
    <row r="9">
      <c r="A9">
        <f>IFERROR(__xludf.DUMMYFUNCTION("""COMPUTED_VALUE"""),1.6861876E7)</f>
        <v>16861876</v>
      </c>
      <c r="B9">
        <f>IFERROR(__xludf.DUMMYFUNCTION("""COMPUTED_VALUE"""),7.0)</f>
        <v>7</v>
      </c>
      <c r="C9" t="str">
        <f>IFERROR(__xludf.DUMMYFUNCTION("""COMPUTED_VALUE"""),"A247")</f>
        <v>A247</v>
      </c>
      <c r="D9" t="str">
        <f>IFERROR(__xludf.DUMMYFUNCTION("""COMPUTED_VALUE"""),"120")</f>
        <v>120</v>
      </c>
      <c r="E9" t="str">
        <f>IFERROR(__xludf.DUMMYFUNCTION("""COMPUTED_VALUE"""),"SELLO EDITORIAL")</f>
        <v>SELLO EDITORIAL</v>
      </c>
      <c r="F9" t="str">
        <f>IFERROR(__xludf.DUMMYFUNCTION("""COMPUTED_VALUE"""),"Encargado(a) de Bodega, Bienes y Servicios")</f>
        <v>Encargado(a) de Bodega, Bienes y Servicios</v>
      </c>
      <c r="G9" t="str">
        <f>IFERROR(__xludf.DUMMYFUNCTION("""COMPUTED_VALUE"""),"ENCARGADO DE BODEGA, BIENES Y SERVICIOS")</f>
        <v>ENCARGADO DE BODEGA, BIENES Y SERVICIOS</v>
      </c>
      <c r="H9">
        <f>IFERROR(__xludf.DUMMYFUNCTION("""COMPUTED_VALUE"""),20.0)</f>
        <v>20</v>
      </c>
      <c r="I9" t="str">
        <f>IFERROR(__xludf.DUMMYFUNCTION("""COMPUTED_VALUE"""),"Jornada Completa")</f>
        <v>Jornada Completa</v>
      </c>
      <c r="J9" t="str">
        <f>IFERROR(__xludf.DUMMYFUNCTION("""COMPUTED_VALUE"""),"A CONTRATA")</f>
        <v>A CONTRATA</v>
      </c>
      <c r="K9" t="str">
        <f>IFERROR(__xludf.DUMMYFUNCTION("""COMPUTED_VALUE"""),"ADMINISTRATIVO")</f>
        <v>ADMINISTRATIVO</v>
      </c>
      <c r="L9" t="str">
        <f>IFERROR(__xludf.DUMMYFUNCTION("""COMPUTED_VALUE"""),"INTERNO")</f>
        <v>INTERNO</v>
      </c>
      <c r="M9">
        <f>IFERROR(__xludf.DUMMYFUNCTION("""COMPUTED_VALUE"""),2.0)</f>
        <v>2</v>
      </c>
      <c r="N9" t="str">
        <f>IFERROR(__xludf.DUMMYFUNCTION("""COMPUTED_VALUE"""),"EXTERNO")</f>
        <v>EXTERNO</v>
      </c>
      <c r="O9">
        <f>IFERROR(__xludf.DUMMYFUNCTION("""COMPUTED_VALUE"""),11.0)</f>
        <v>11</v>
      </c>
      <c r="P9">
        <f>IFERROR(__xludf.DUMMYFUNCTION("""COMPUTED_VALUE"""),1.0)</f>
        <v>1</v>
      </c>
      <c r="Q9">
        <f>IFERROR(__xludf.DUMMYFUNCTION("""COMPUTED_VALUE"""),1.0)</f>
        <v>1</v>
      </c>
      <c r="R9" s="45" t="str">
        <f>IFERROR(__xludf.DUMMYFUNCTION("""COMPUTED_VALUE"""),"SELECCIONADO")</f>
        <v>SELECCIONADO</v>
      </c>
      <c r="S9" s="38">
        <f>IFERROR(__xludf.DUMMYFUNCTION("""COMPUTED_VALUE"""),43633.0)</f>
        <v>43633</v>
      </c>
      <c r="T9" t="str">
        <f>IFERROR(__xludf.DUMMYFUNCTION("""COMPUTED_VALUE"""),"VALENZUELA ARANCIBIA MAURICIO ANDRES")</f>
        <v>VALENZUELA ARANCIBIA MAURICIO ANDRES</v>
      </c>
      <c r="V9" t="str">
        <f>IFERROR(__xludf.DUMMYFUNCTION("""COMPUTED_VALUE"""),"16861876-K")</f>
        <v>16861876-K</v>
      </c>
      <c r="W9" t="str">
        <f>IFERROR(__xludf.DUMMYFUNCTION("""COMPUTED_VALUE"""),"SI")</f>
        <v>SI</v>
      </c>
      <c r="X9" t="str">
        <f>IFERROR(__xludf.DUMMYFUNCTION("""COMPUTED_VALUE"""),"Preocupacion por el Orden y la Claridad")</f>
        <v>Preocupacion por el Orden y la Claridad</v>
      </c>
      <c r="AA9" s="38">
        <f>IFERROR(__xludf.DUMMYFUNCTION("""COMPUTED_VALUE"""),43535.0)</f>
        <v>43535</v>
      </c>
      <c r="AB9" s="38">
        <f>IFERROR(__xludf.DUMMYFUNCTION("""COMPUTED_VALUE"""),43542.0)</f>
        <v>43542</v>
      </c>
      <c r="AH9" t="str">
        <f>IFERROR(__xludf.DUMMYFUNCTION("""COMPUTED_VALUE"""),"PROCESO DE SELECCIÓN")</f>
        <v>PROCESO DE SELECCIÓN</v>
      </c>
      <c r="AI9" t="str">
        <f>IFERROR(__xludf.DUMMYFUNCTION("""COMPUTED_VALUE"""),"SOLIS PEREZ JAVIER")</f>
        <v>SOLIS PEREZ JAVIER</v>
      </c>
      <c r="AK9" t="str">
        <f>IFERROR(__xludf.DUMMYFUNCTION("""COMPUTED_VALUE"""),"C")</f>
        <v>C</v>
      </c>
      <c r="AL9">
        <f>IFERROR(__xludf.DUMMYFUNCTION("""COMPUTED_VALUE"""),66.0)</f>
        <v>66</v>
      </c>
      <c r="AM9">
        <f>IFERROR(__xludf.DUMMYFUNCTION("""COMPUTED_VALUE"""),2019.0)</f>
        <v>2019</v>
      </c>
    </row>
    <row r="10">
      <c r="A10">
        <f>IFERROR(__xludf.DUMMYFUNCTION("""COMPUTED_VALUE"""),1.8432874E7)</f>
        <v>18432874</v>
      </c>
      <c r="B10">
        <f>IFERROR(__xludf.DUMMYFUNCTION("""COMPUTED_VALUE"""),8.0)</f>
        <v>8</v>
      </c>
      <c r="C10" t="str">
        <f>IFERROR(__xludf.DUMMYFUNCTION("""COMPUTED_VALUE"""),"A274")</f>
        <v>A274</v>
      </c>
      <c r="D10" t="str">
        <f>IFERROR(__xludf.DUMMYFUNCTION("""COMPUTED_VALUE"""),"95")</f>
        <v>95</v>
      </c>
      <c r="E10" t="str">
        <f>IFERROR(__xludf.DUMMYFUNCTION("""COMPUTED_VALUE"""),"DPTO. DE BIOLOGIA")</f>
        <v>DPTO. DE BIOLOGIA</v>
      </c>
      <c r="F10" t="str">
        <f>IFERROR(__xludf.DUMMYFUNCTION("""COMPUTED_VALUE"""),"Técnico(a) de Laboratorio")</f>
        <v>Técnico(a) de Laboratorio</v>
      </c>
      <c r="G10" t="str">
        <f>IFERROR(__xludf.DUMMYFUNCTION("""COMPUTED_VALUE"""),"TECNICA DE LABORATORIO")</f>
        <v>TECNICA DE LABORATORIO</v>
      </c>
      <c r="H10">
        <f>IFERROR(__xludf.DUMMYFUNCTION("""COMPUTED_VALUE"""),17.0)</f>
        <v>17</v>
      </c>
      <c r="I10" t="str">
        <f>IFERROR(__xludf.DUMMYFUNCTION("""COMPUTED_VALUE"""),"1/2 Jornada")</f>
        <v>1/2 Jornada</v>
      </c>
      <c r="J10" t="str">
        <f>IFERROR(__xludf.DUMMYFUNCTION("""COMPUTED_VALUE"""),"A CONTRATA")</f>
        <v>A CONTRATA</v>
      </c>
      <c r="K10" t="str">
        <f>IFERROR(__xludf.DUMMYFUNCTION("""COMPUTED_VALUE"""),"TECNICO")</f>
        <v>TECNICO</v>
      </c>
      <c r="L10" t="str">
        <f>IFERROR(__xludf.DUMMYFUNCTION("""COMPUTED_VALUE"""),"INTERNO")</f>
        <v>INTERNO</v>
      </c>
      <c r="M10">
        <f>IFERROR(__xludf.DUMMYFUNCTION("""COMPUTED_VALUE"""),0.0)</f>
        <v>0</v>
      </c>
      <c r="N10" t="str">
        <f>IFERROR(__xludf.DUMMYFUNCTION("""COMPUTED_VALUE"""),"EXTERNO")</f>
        <v>EXTERNO</v>
      </c>
      <c r="O10">
        <f>IFERROR(__xludf.DUMMYFUNCTION("""COMPUTED_VALUE"""),4.0)</f>
        <v>4</v>
      </c>
      <c r="P10">
        <f>IFERROR(__xludf.DUMMYFUNCTION("""COMPUTED_VALUE"""),2.0)</f>
        <v>2</v>
      </c>
      <c r="Q10">
        <f>IFERROR(__xludf.DUMMYFUNCTION("""COMPUTED_VALUE"""),0.0)</f>
        <v>0</v>
      </c>
      <c r="R10" s="45" t="str">
        <f>IFERROR(__xludf.DUMMYFUNCTION("""COMPUTED_VALUE"""),"SELECCIONADA")</f>
        <v>SELECCIONADA</v>
      </c>
      <c r="S10" s="38">
        <f>IFERROR(__xludf.DUMMYFUNCTION("""COMPUTED_VALUE"""),43620.0)</f>
        <v>43620</v>
      </c>
      <c r="U10" t="str">
        <f>IFERROR(__xludf.DUMMYFUNCTION("""COMPUTED_VALUE"""),"EPUYAO SALGADO NADIA ")</f>
        <v>EPUYAO SALGADO NADIA </v>
      </c>
      <c r="V10" t="str">
        <f>IFERROR(__xludf.DUMMYFUNCTION("""COMPUTED_VALUE"""),"18432874-7")</f>
        <v>18432874-7</v>
      </c>
      <c r="W10" t="str">
        <f>IFERROR(__xludf.DUMMYFUNCTION("""COMPUTED_VALUE"""),"NO")</f>
        <v>NO</v>
      </c>
      <c r="AA10" s="38">
        <f>IFERROR(__xludf.DUMMYFUNCTION("""COMPUTED_VALUE"""),43558.0)</f>
        <v>43558</v>
      </c>
      <c r="AB10" s="38">
        <f>IFERROR(__xludf.DUMMYFUNCTION("""COMPUTED_VALUE"""),43565.0)</f>
        <v>43565</v>
      </c>
      <c r="AH10" t="str">
        <f>IFERROR(__xludf.DUMMYFUNCTION("""COMPUTED_VALUE"""),"PROCESO DE SELECCIÓN")</f>
        <v>PROCESO DE SELECCIÓN</v>
      </c>
      <c r="AI10" t="str">
        <f>IFERROR(__xludf.DUMMYFUNCTION("""COMPUTED_VALUE"""),"DEL CANTO ORTEGA SEBASTIAN")</f>
        <v>DEL CANTO ORTEGA SEBASTIAN</v>
      </c>
      <c r="AK10" t="str">
        <f>IFERROR(__xludf.DUMMYFUNCTION("""COMPUTED_VALUE"""),"E")</f>
        <v>E</v>
      </c>
      <c r="AL10">
        <f>IFERROR(__xludf.DUMMYFUNCTION("""COMPUTED_VALUE"""),40.0)</f>
        <v>40</v>
      </c>
      <c r="AM10">
        <f>IFERROR(__xludf.DUMMYFUNCTION("""COMPUTED_VALUE"""),2019.0)</f>
        <v>2019</v>
      </c>
    </row>
    <row r="11">
      <c r="A11">
        <f>IFERROR(__xludf.DUMMYFUNCTION("""COMPUTED_VALUE"""),9966232.0)</f>
        <v>9966232</v>
      </c>
      <c r="B11">
        <f>IFERROR(__xludf.DUMMYFUNCTION("""COMPUTED_VALUE"""),9.0)</f>
        <v>9</v>
      </c>
      <c r="C11" t="str">
        <f>IFERROR(__xludf.DUMMYFUNCTION("""COMPUTED_VALUE"""),"ACTA2019-15")</f>
        <v>ACTA2019-15</v>
      </c>
      <c r="D11" t="str">
        <f>IFERROR(__xludf.DUMMYFUNCTION("""COMPUTED_VALUE"""),"40")</f>
        <v>40</v>
      </c>
      <c r="E11" t="str">
        <f>IFERROR(__xludf.DUMMYFUNCTION("""COMPUTED_VALUE"""),"DPTO. DE INGENIERIA INDUSTRIAL")</f>
        <v>DPTO. DE INGENIERIA INDUSTRIAL</v>
      </c>
      <c r="F11" t="str">
        <f>IFERROR(__xludf.DUMMYFUNCTION("""COMPUTED_VALUE"""),"Encargado(a) de Vinculación con el Medio")</f>
        <v>Encargado(a) de Vinculación con el Medio</v>
      </c>
      <c r="G11" t="str">
        <f>IFERROR(__xludf.DUMMYFUNCTION("""COMPUTED_VALUE"""),"ENCARGADA DE VINCULACION CON EL MEDIO")</f>
        <v>ENCARGADA DE VINCULACION CON EL MEDIO</v>
      </c>
      <c r="H11">
        <f>IFERROR(__xludf.DUMMYFUNCTION("""COMPUTED_VALUE"""),13.0)</f>
        <v>13</v>
      </c>
      <c r="I11" t="str">
        <f>IFERROR(__xludf.DUMMYFUNCTION("""COMPUTED_VALUE"""),"Jornada Completa")</f>
        <v>Jornada Completa</v>
      </c>
      <c r="J11" t="str">
        <f>IFERROR(__xludf.DUMMYFUNCTION("""COMPUTED_VALUE"""),"A CONTRATA")</f>
        <v>A CONTRATA</v>
      </c>
      <c r="K11" t="str">
        <f>IFERROR(__xludf.DUMMYFUNCTION("""COMPUTED_VALUE"""),"PROFESIONAL")</f>
        <v>PROFESIONAL</v>
      </c>
      <c r="L11" t="str">
        <f>IFERROR(__xludf.DUMMYFUNCTION("""COMPUTED_VALUE"""),"INTERNO")</f>
        <v>INTERNO</v>
      </c>
      <c r="M11">
        <f>IFERROR(__xludf.DUMMYFUNCTION("""COMPUTED_VALUE"""),2.0)</f>
        <v>2</v>
      </c>
      <c r="N11" t="str">
        <f>IFERROR(__xludf.DUMMYFUNCTION("""COMPUTED_VALUE"""),"EXTERNO")</f>
        <v>EXTERNO</v>
      </c>
      <c r="O11">
        <f>IFERROR(__xludf.DUMMYFUNCTION("""COMPUTED_VALUE"""),4.0)</f>
        <v>4</v>
      </c>
      <c r="P11">
        <f>IFERROR(__xludf.DUMMYFUNCTION("""COMPUTED_VALUE"""),2.0)</f>
        <v>2</v>
      </c>
      <c r="Q11">
        <f>IFERROR(__xludf.DUMMYFUNCTION("""COMPUTED_VALUE"""),0.0)</f>
        <v>0</v>
      </c>
      <c r="R11" s="45" t="str">
        <f>IFERROR(__xludf.DUMMYFUNCTION("""COMPUTED_VALUE"""),"SELECCIONADA")</f>
        <v>SELECCIONADA</v>
      </c>
      <c r="S11" s="38">
        <f>IFERROR(__xludf.DUMMYFUNCTION("""COMPUTED_VALUE"""),43619.0)</f>
        <v>43619</v>
      </c>
      <c r="U11" t="str">
        <f>IFERROR(__xludf.DUMMYFUNCTION("""COMPUTED_VALUE"""),"CORTES OLIVARES CYNTHIA")</f>
        <v>CORTES OLIVARES CYNTHIA</v>
      </c>
      <c r="V11" t="str">
        <f>IFERROR(__xludf.DUMMYFUNCTION("""COMPUTED_VALUE"""),"9966232-8")</f>
        <v>9966232-8</v>
      </c>
      <c r="W11" t="str">
        <f>IFERROR(__xludf.DUMMYFUNCTION("""COMPUTED_VALUE"""),"NO")</f>
        <v>NO</v>
      </c>
      <c r="AA11" s="38">
        <f>IFERROR(__xludf.DUMMYFUNCTION("""COMPUTED_VALUE"""),43560.0)</f>
        <v>43560</v>
      </c>
      <c r="AB11" s="38">
        <f>IFERROR(__xludf.DUMMYFUNCTION("""COMPUTED_VALUE"""),43567.0)</f>
        <v>43567</v>
      </c>
      <c r="AH11" t="str">
        <f>IFERROR(__xludf.DUMMYFUNCTION("""COMPUTED_VALUE"""),"PROCESO DE SELECCIÓN")</f>
        <v>PROCESO DE SELECCIÓN</v>
      </c>
      <c r="AI11" t="str">
        <f>IFERROR(__xludf.DUMMYFUNCTION("""COMPUTED_VALUE""")," - ")</f>
        <v> - </v>
      </c>
      <c r="AK11" t="str">
        <f>IFERROR(__xludf.DUMMYFUNCTION("""COMPUTED_VALUE"""),"E")</f>
        <v>E</v>
      </c>
      <c r="AL11">
        <f>IFERROR(__xludf.DUMMYFUNCTION("""COMPUTED_VALUE"""),37.0)</f>
        <v>37</v>
      </c>
      <c r="AM11">
        <f>IFERROR(__xludf.DUMMYFUNCTION("""COMPUTED_VALUE"""),2019.0)</f>
        <v>2019</v>
      </c>
    </row>
    <row r="12">
      <c r="A12">
        <f>IFERROR(__xludf.DUMMYFUNCTION("""COMPUTED_VALUE"""),1.4192009E7)</f>
        <v>14192009</v>
      </c>
      <c r="B12">
        <f>IFERROR(__xludf.DUMMYFUNCTION("""COMPUTED_VALUE"""),10.0)</f>
        <v>10</v>
      </c>
      <c r="C12" t="str">
        <f>IFERROR(__xludf.DUMMYFUNCTION("""COMPUTED_VALUE"""),"A304")</f>
        <v>A304</v>
      </c>
      <c r="D12" t="str">
        <f>IFERROR(__xludf.DUMMYFUNCTION("""COMPUTED_VALUE"""),"15")</f>
        <v>15</v>
      </c>
      <c r="E12" t="str">
        <f>IFERROR(__xludf.DUMMYFUNCTION("""COMPUTED_VALUE"""),"UNIDAD DE REGISTRO ACADEMICO Y CURRICULAR")</f>
        <v>UNIDAD DE REGISTRO ACADEMICO Y CURRICULAR</v>
      </c>
      <c r="F12" t="str">
        <f>IFERROR(__xludf.DUMMYFUNCTION("""COMPUTED_VALUE"""),"Analista de Gestión Administrativa")</f>
        <v>Analista de Gestión Administrativa</v>
      </c>
      <c r="G12" t="str">
        <f>IFERROR(__xludf.DUMMYFUNCTION("""COMPUTED_VALUE"""),"ANALISTA DE GESTION ADMINISTRATIVA")</f>
        <v>ANALISTA DE GESTION ADMINISTRATIVA</v>
      </c>
      <c r="H12">
        <f>IFERROR(__xludf.DUMMYFUNCTION("""COMPUTED_VALUE"""),14.0)</f>
        <v>14</v>
      </c>
      <c r="I12" t="str">
        <f>IFERROR(__xludf.DUMMYFUNCTION("""COMPUTED_VALUE"""),"Jornada Completa")</f>
        <v>Jornada Completa</v>
      </c>
      <c r="J12" t="str">
        <f>IFERROR(__xludf.DUMMYFUNCTION("""COMPUTED_VALUE"""),"A CONTRATA")</f>
        <v>A CONTRATA</v>
      </c>
      <c r="K12" t="str">
        <f>IFERROR(__xludf.DUMMYFUNCTION("""COMPUTED_VALUE"""),"PROFESIONAL")</f>
        <v>PROFESIONAL</v>
      </c>
      <c r="L12" t="str">
        <f>IFERROR(__xludf.DUMMYFUNCTION("""COMPUTED_VALUE"""),"INTERNO")</f>
        <v>INTERNO</v>
      </c>
      <c r="M12">
        <f>IFERROR(__xludf.DUMMYFUNCTION("""COMPUTED_VALUE"""),6.0)</f>
        <v>6</v>
      </c>
      <c r="N12" t="str">
        <f>IFERROR(__xludf.DUMMYFUNCTION("""COMPUTED_VALUE"""),"NO")</f>
        <v>NO</v>
      </c>
      <c r="P12">
        <f>IFERROR(__xludf.DUMMYFUNCTION("""COMPUTED_VALUE"""),2.0)</f>
        <v>2</v>
      </c>
      <c r="Q12">
        <f>IFERROR(__xludf.DUMMYFUNCTION("""COMPUTED_VALUE"""),0.0)</f>
        <v>0</v>
      </c>
      <c r="R12" s="45" t="str">
        <f>IFERROR(__xludf.DUMMYFUNCTION("""COMPUTED_VALUE"""),"SELECCIONADA")</f>
        <v>SELECCIONADA</v>
      </c>
      <c r="S12" s="38">
        <f>IFERROR(__xludf.DUMMYFUNCTION("""COMPUTED_VALUE"""),43622.0)</f>
        <v>43622</v>
      </c>
      <c r="T12" t="str">
        <f>IFERROR(__xludf.DUMMYFUNCTION("""COMPUTED_VALUE"""),"SANDOVAL MUNOZ PAMELA SUSANA")</f>
        <v>SANDOVAL MUNOZ PAMELA SUSANA</v>
      </c>
      <c r="V12" t="str">
        <f>IFERROR(__xludf.DUMMYFUNCTION("""COMPUTED_VALUE"""),"14192009-K")</f>
        <v>14192009-K</v>
      </c>
      <c r="W12" t="str">
        <f>IFERROR(__xludf.DUMMYFUNCTION("""COMPUTED_VALUE"""),"SI")</f>
        <v>SI</v>
      </c>
      <c r="X12" t="str">
        <f>IFERROR(__xludf.DUMMYFUNCTION("""COMPUTED_VALUE"""),"Capacidad de Planificacion y Organizacion")</f>
        <v>Capacidad de Planificacion y Organizacion</v>
      </c>
      <c r="AA12" s="38">
        <f>IFERROR(__xludf.DUMMYFUNCTION("""COMPUTED_VALUE"""),43563.0)</f>
        <v>43563</v>
      </c>
      <c r="AB12" s="38">
        <f>IFERROR(__xludf.DUMMYFUNCTION("""COMPUTED_VALUE"""),43570.0)</f>
        <v>43570</v>
      </c>
      <c r="AH12" t="str">
        <f>IFERROR(__xludf.DUMMYFUNCTION("""COMPUTED_VALUE"""),"PROCESO DE SELECCIÓN")</f>
        <v>PROCESO DE SELECCIÓN</v>
      </c>
      <c r="AI12" t="str">
        <f>IFERROR(__xludf.DUMMYFUNCTION("""COMPUTED_VALUE"""),"-")</f>
        <v>-</v>
      </c>
      <c r="AK12" t="str">
        <f>IFERROR(__xludf.DUMMYFUNCTION("""COMPUTED_VALUE"""),"C")</f>
        <v>C</v>
      </c>
      <c r="AL12">
        <f>IFERROR(__xludf.DUMMYFUNCTION("""COMPUTED_VALUE"""),39.0)</f>
        <v>39</v>
      </c>
      <c r="AM12">
        <f>IFERROR(__xludf.DUMMYFUNCTION("""COMPUTED_VALUE"""),2019.0)</f>
        <v>2019</v>
      </c>
    </row>
    <row r="13">
      <c r="A13">
        <f>IFERROR(__xludf.DUMMYFUNCTION("""COMPUTED_VALUE"""),1.5374087E7)</f>
        <v>15374087</v>
      </c>
      <c r="B13">
        <f>IFERROR(__xludf.DUMMYFUNCTION("""COMPUTED_VALUE"""),11.0)</f>
        <v>11</v>
      </c>
      <c r="C13" t="str">
        <f>IFERROR(__xludf.DUMMYFUNCTION("""COMPUTED_VALUE"""),"A315")</f>
        <v>A315</v>
      </c>
      <c r="D13" t="str">
        <f>IFERROR(__xludf.DUMMYFUNCTION("""COMPUTED_VALUE"""),"15")</f>
        <v>15</v>
      </c>
      <c r="E13" t="str">
        <f>IFERROR(__xludf.DUMMYFUNCTION("""COMPUTED_VALUE"""),"UNIDAD DE REGISTRO ACADEMICO Y CURRICULAR")</f>
        <v>UNIDAD DE REGISTRO ACADEMICO Y CURRICULAR</v>
      </c>
      <c r="F13" t="str">
        <f>IFERROR(__xludf.DUMMYFUNCTION("""COMPUTED_VALUE"""),"Analista Informático")</f>
        <v>Analista Informático</v>
      </c>
      <c r="G13" t="str">
        <f>IFERROR(__xludf.DUMMYFUNCTION("""COMPUTED_VALUE"""),"ANALISTA INFORMÁTICO")</f>
        <v>ANALISTA INFORMÁTICO</v>
      </c>
      <c r="H13">
        <f>IFERROR(__xludf.DUMMYFUNCTION("""COMPUTED_VALUE"""),10.0)</f>
        <v>10</v>
      </c>
      <c r="I13" t="str">
        <f>IFERROR(__xludf.DUMMYFUNCTION("""COMPUTED_VALUE"""),"Jornada Completa")</f>
        <v>Jornada Completa</v>
      </c>
      <c r="J13" t="str">
        <f>IFERROR(__xludf.DUMMYFUNCTION("""COMPUTED_VALUE"""),"A CONTRATA")</f>
        <v>A CONTRATA</v>
      </c>
      <c r="K13" t="str">
        <f>IFERROR(__xludf.DUMMYFUNCTION("""COMPUTED_VALUE"""),"PROFESIONAL")</f>
        <v>PROFESIONAL</v>
      </c>
      <c r="L13" t="str">
        <f>IFERROR(__xludf.DUMMYFUNCTION("""COMPUTED_VALUE"""),"INTERNO")</f>
        <v>INTERNO</v>
      </c>
      <c r="M13">
        <f>IFERROR(__xludf.DUMMYFUNCTION("""COMPUTED_VALUE"""),2.0)</f>
        <v>2</v>
      </c>
      <c r="N13" t="str">
        <f>IFERROR(__xludf.DUMMYFUNCTION("""COMPUTED_VALUE"""),"NO")</f>
        <v>NO</v>
      </c>
      <c r="P13">
        <f>IFERROR(__xludf.DUMMYFUNCTION("""COMPUTED_VALUE"""),1.0)</f>
        <v>1</v>
      </c>
      <c r="Q13">
        <f>IFERROR(__xludf.DUMMYFUNCTION("""COMPUTED_VALUE"""),0.0)</f>
        <v>0</v>
      </c>
      <c r="R13" s="45" t="str">
        <f>IFERROR(__xludf.DUMMYFUNCTION("""COMPUTED_VALUE"""),"SELECCIONADA")</f>
        <v>SELECCIONADA</v>
      </c>
      <c r="S13" s="38">
        <f>IFERROR(__xludf.DUMMYFUNCTION("""COMPUTED_VALUE"""),43621.0)</f>
        <v>43621</v>
      </c>
      <c r="T13" t="str">
        <f>IFERROR(__xludf.DUMMYFUNCTION("""COMPUTED_VALUE"""),"CUEVAS GALLARDO MARIA LUISA")</f>
        <v>CUEVAS GALLARDO MARIA LUISA</v>
      </c>
      <c r="V13" t="str">
        <f>IFERROR(__xludf.DUMMYFUNCTION("""COMPUTED_VALUE"""),"15374087-9")</f>
        <v>15374087-9</v>
      </c>
      <c r="W13" t="str">
        <f>IFERROR(__xludf.DUMMYFUNCTION("""COMPUTED_VALUE"""),"SI")</f>
        <v>SI</v>
      </c>
      <c r="X13" t="str">
        <f>IFERROR(__xludf.DUMMYFUNCTION("""COMPUTED_VALUE"""),"Capacidad de Planificacion y Organizacion")</f>
        <v>Capacidad de Planificacion y Organizacion</v>
      </c>
      <c r="Y13" t="str">
        <f>IFERROR(__xludf.DUMMYFUNCTION("""COMPUTED_VALUE"""),"Pensamiento Analitico")</f>
        <v>Pensamiento Analitico</v>
      </c>
      <c r="AA13" s="38">
        <f>IFERROR(__xludf.DUMMYFUNCTION("""COMPUTED_VALUE"""),43565.0)</f>
        <v>43565</v>
      </c>
      <c r="AB13" s="38">
        <f>IFERROR(__xludf.DUMMYFUNCTION("""COMPUTED_VALUE"""),43572.0)</f>
        <v>43572</v>
      </c>
      <c r="AH13" t="str">
        <f>IFERROR(__xludf.DUMMYFUNCTION("""COMPUTED_VALUE"""),"PROCESO DE SELECCIÓN")</f>
        <v>PROCESO DE SELECCIÓN</v>
      </c>
      <c r="AI13" t="str">
        <f>IFERROR(__xludf.DUMMYFUNCTION("""COMPUTED_VALUE"""),"-")</f>
        <v>-</v>
      </c>
      <c r="AK13" t="str">
        <f>IFERROR(__xludf.DUMMYFUNCTION("""COMPUTED_VALUE"""),"C")</f>
        <v>C</v>
      </c>
      <c r="AL13">
        <f>IFERROR(__xludf.DUMMYFUNCTION("""COMPUTED_VALUE"""),36.0)</f>
        <v>36</v>
      </c>
      <c r="AM13">
        <f>IFERROR(__xludf.DUMMYFUNCTION("""COMPUTED_VALUE"""),2019.0)</f>
        <v>2019</v>
      </c>
    </row>
    <row r="14">
      <c r="A14">
        <f>IFERROR(__xludf.DUMMYFUNCTION("""COMPUTED_VALUE"""),1.6648725E7)</f>
        <v>16648725</v>
      </c>
      <c r="B14">
        <f>IFERROR(__xludf.DUMMYFUNCTION("""COMPUTED_VALUE"""),12.0)</f>
        <v>12</v>
      </c>
      <c r="C14" t="str">
        <f>IFERROR(__xludf.DUMMYFUNCTION("""COMPUTED_VALUE"""),"A314")</f>
        <v>A314</v>
      </c>
      <c r="D14" t="str">
        <f>IFERROR(__xludf.DUMMYFUNCTION("""COMPUTED_VALUE"""),"5")</f>
        <v>5</v>
      </c>
      <c r="E14" t="str">
        <f>IFERROR(__xludf.DUMMYFUNCTION("""COMPUTED_VALUE"""),"SECRETARIA GENERAL")</f>
        <v>SECRETARIA GENERAL</v>
      </c>
      <c r="F14" t="str">
        <f>IFERROR(__xludf.DUMMYFUNCTION("""COMPUTED_VALUE"""),"Secretario(a) B")</f>
        <v>Secretario(a) B</v>
      </c>
      <c r="G14" t="str">
        <f>IFERROR(__xludf.DUMMYFUNCTION("""COMPUTED_VALUE"""),"SECRETARIA B")</f>
        <v>SECRETARIA B</v>
      </c>
      <c r="H14">
        <f>IFERROR(__xludf.DUMMYFUNCTION("""COMPUTED_VALUE"""),17.0)</f>
        <v>17</v>
      </c>
      <c r="I14" t="str">
        <f>IFERROR(__xludf.DUMMYFUNCTION("""COMPUTED_VALUE"""),"Jornada Completa")</f>
        <v>Jornada Completa</v>
      </c>
      <c r="J14" t="str">
        <f>IFERROR(__xludf.DUMMYFUNCTION("""COMPUTED_VALUE"""),"A CONTRATA")</f>
        <v>A CONTRATA</v>
      </c>
      <c r="K14" t="str">
        <f>IFERROR(__xludf.DUMMYFUNCTION("""COMPUTED_VALUE"""),"ADMINISTRATIVO")</f>
        <v>ADMINISTRATIVO</v>
      </c>
      <c r="L14" t="str">
        <f>IFERROR(__xludf.DUMMYFUNCTION("""COMPUTED_VALUE"""),"INTERNO")</f>
        <v>INTERNO</v>
      </c>
      <c r="M14">
        <f>IFERROR(__xludf.DUMMYFUNCTION("""COMPUTED_VALUE"""),4.0)</f>
        <v>4</v>
      </c>
      <c r="N14" t="str">
        <f>IFERROR(__xludf.DUMMYFUNCTION("""COMPUTED_VALUE"""),"NO")</f>
        <v>NO</v>
      </c>
      <c r="P14">
        <f>IFERROR(__xludf.DUMMYFUNCTION("""COMPUTED_VALUE"""),1.0)</f>
        <v>1</v>
      </c>
      <c r="Q14">
        <f>IFERROR(__xludf.DUMMYFUNCTION("""COMPUTED_VALUE"""),0.0)</f>
        <v>0</v>
      </c>
      <c r="R14" s="45" t="str">
        <f>IFERROR(__xludf.DUMMYFUNCTION("""COMPUTED_VALUE"""),"SELECCIONADA")</f>
        <v>SELECCIONADA</v>
      </c>
      <c r="S14" s="38">
        <f>IFERROR(__xludf.DUMMYFUNCTION("""COMPUTED_VALUE"""),43626.0)</f>
        <v>43626</v>
      </c>
      <c r="T14" t="str">
        <f>IFERROR(__xludf.DUMMYFUNCTION("""COMPUTED_VALUE"""),"SEPULVEDA ROJAS DANIELA NICOLE")</f>
        <v>SEPULVEDA ROJAS DANIELA NICOLE</v>
      </c>
      <c r="V14" t="str">
        <f>IFERROR(__xludf.DUMMYFUNCTION("""COMPUTED_VALUE"""),"16648725-0")</f>
        <v>16648725-0</v>
      </c>
      <c r="W14" t="str">
        <f>IFERROR(__xludf.DUMMYFUNCTION("""COMPUTED_VALUE"""),"SI")</f>
        <v>SI</v>
      </c>
      <c r="X14" t="str">
        <f>IFERROR(__xludf.DUMMYFUNCTION("""COMPUTED_VALUE"""),"Franqueza- Confiabilidad- Integridad")</f>
        <v>Franqueza- Confiabilidad- Integridad</v>
      </c>
      <c r="AA14" s="38">
        <f>IFERROR(__xludf.DUMMYFUNCTION("""COMPUTED_VALUE"""),43565.0)</f>
        <v>43565</v>
      </c>
      <c r="AB14" s="38">
        <f>IFERROR(__xludf.DUMMYFUNCTION("""COMPUTED_VALUE"""),43572.0)</f>
        <v>43572</v>
      </c>
      <c r="AH14" t="str">
        <f>IFERROR(__xludf.DUMMYFUNCTION("""COMPUTED_VALUE"""),"PROCESO DE SELECCIÓN")</f>
        <v>PROCESO DE SELECCIÓN</v>
      </c>
      <c r="AI14" t="str">
        <f>IFERROR(__xludf.DUMMYFUNCTION("""COMPUTED_VALUE"""),"-")</f>
        <v>-</v>
      </c>
      <c r="AK14" t="str">
        <f>IFERROR(__xludf.DUMMYFUNCTION("""COMPUTED_VALUE"""),"C")</f>
        <v>C</v>
      </c>
      <c r="AL14">
        <f>IFERROR(__xludf.DUMMYFUNCTION("""COMPUTED_VALUE"""),39.0)</f>
        <v>39</v>
      </c>
      <c r="AM14">
        <f>IFERROR(__xludf.DUMMYFUNCTION("""COMPUTED_VALUE"""),2019.0)</f>
        <v>2019</v>
      </c>
    </row>
    <row r="15">
      <c r="A15">
        <f>IFERROR(__xludf.DUMMYFUNCTION("""COMPUTED_VALUE"""),1.9183281E7)</f>
        <v>19183281</v>
      </c>
      <c r="B15">
        <f>IFERROR(__xludf.DUMMYFUNCTION("""COMPUTED_VALUE"""),13.0)</f>
        <v>13</v>
      </c>
      <c r="C15" t="str">
        <f>IFERROR(__xludf.DUMMYFUNCTION("""COMPUTED_VALUE"""),"A302")</f>
        <v>A302</v>
      </c>
      <c r="D15" t="str">
        <f>IFERROR(__xludf.DUMMYFUNCTION("""COMPUTED_VALUE"""),"15")</f>
        <v>15</v>
      </c>
      <c r="E15" t="str">
        <f>IFERROR(__xludf.DUMMYFUNCTION("""COMPUTED_VALUE"""),"UNIDAD DE REGISTRO ACADEMICO Y CURRICULAR")</f>
        <v>UNIDAD DE REGISTRO ACADEMICO Y CURRICULAR</v>
      </c>
      <c r="F15" t="str">
        <f>IFERROR(__xludf.DUMMYFUNCTION("""COMPUTED_VALUE"""),"Administrativo(a) de Registro Curricular")</f>
        <v>Administrativo(a) de Registro Curricular</v>
      </c>
      <c r="G15" t="str">
        <f>IFERROR(__xludf.DUMMYFUNCTION("""COMPUTED_VALUE"""),"ADMINISTRATIVA DE REGISTRO CURRICULAR ( TITULADORA)")</f>
        <v>ADMINISTRATIVA DE REGISTRO CURRICULAR ( TITULADORA)</v>
      </c>
      <c r="H15">
        <f>IFERROR(__xludf.DUMMYFUNCTION("""COMPUTED_VALUE"""),17.0)</f>
        <v>17</v>
      </c>
      <c r="I15" t="str">
        <f>IFERROR(__xludf.DUMMYFUNCTION("""COMPUTED_VALUE"""),"Jornada Completa")</f>
        <v>Jornada Completa</v>
      </c>
      <c r="J15" t="str">
        <f>IFERROR(__xludf.DUMMYFUNCTION("""COMPUTED_VALUE"""),"A CONTRATA")</f>
        <v>A CONTRATA</v>
      </c>
      <c r="K15" t="str">
        <f>IFERROR(__xludf.DUMMYFUNCTION("""COMPUTED_VALUE"""),"ADMINISTRATIVO")</f>
        <v>ADMINISTRATIVO</v>
      </c>
      <c r="L15" t="str">
        <f>IFERROR(__xludf.DUMMYFUNCTION("""COMPUTED_VALUE"""),"INTERNO")</f>
        <v>INTERNO</v>
      </c>
      <c r="M15">
        <f>IFERROR(__xludf.DUMMYFUNCTION("""COMPUTED_VALUE"""),5.0)</f>
        <v>5</v>
      </c>
      <c r="N15" t="str">
        <f>IFERROR(__xludf.DUMMYFUNCTION("""COMPUTED_VALUE"""),"NO")</f>
        <v>NO</v>
      </c>
      <c r="P15">
        <f>IFERROR(__xludf.DUMMYFUNCTION("""COMPUTED_VALUE"""),3.0)</f>
        <v>3</v>
      </c>
      <c r="Q15">
        <f>IFERROR(__xludf.DUMMYFUNCTION("""COMPUTED_VALUE"""),0.0)</f>
        <v>0</v>
      </c>
      <c r="R15" s="45" t="str">
        <f>IFERROR(__xludf.DUMMYFUNCTION("""COMPUTED_VALUE"""),"SELECCIONADA")</f>
        <v>SELECCIONADA</v>
      </c>
      <c r="S15" s="38">
        <f>IFERROR(__xludf.DUMMYFUNCTION("""COMPUTED_VALUE"""),43621.0)</f>
        <v>43621</v>
      </c>
      <c r="T15" t="str">
        <f>IFERROR(__xludf.DUMMYFUNCTION("""COMPUTED_VALUE"""),"RODRIGUEZ MARTINEZ FRANCISCA GIOVANNA")</f>
        <v>RODRIGUEZ MARTINEZ FRANCISCA GIOVANNA</v>
      </c>
      <c r="V15" t="str">
        <f>IFERROR(__xludf.DUMMYFUNCTION("""COMPUTED_VALUE"""),"19183281-7")</f>
        <v>19183281-7</v>
      </c>
      <c r="W15" t="str">
        <f>IFERROR(__xludf.DUMMYFUNCTION("""COMPUTED_VALUE"""),"SI")</f>
        <v>SI</v>
      </c>
      <c r="X15" t="str">
        <f>IFERROR(__xludf.DUMMYFUNCTION("""COMPUTED_VALUE"""),"Trabajo en Equipo")</f>
        <v>Trabajo en Equipo</v>
      </c>
      <c r="AA15" s="38">
        <f>IFERROR(__xludf.DUMMYFUNCTION("""COMPUTED_VALUE"""),43563.0)</f>
        <v>43563</v>
      </c>
      <c r="AB15" s="38">
        <f>IFERROR(__xludf.DUMMYFUNCTION("""COMPUTED_VALUE"""),43570.0)</f>
        <v>43570</v>
      </c>
      <c r="AH15" t="str">
        <f>IFERROR(__xludf.DUMMYFUNCTION("""COMPUTED_VALUE"""),"PROCESO DE SELECCIÓN")</f>
        <v>PROCESO DE SELECCIÓN</v>
      </c>
      <c r="AI15" t="str">
        <f>IFERROR(__xludf.DUMMYFUNCTION("""COMPUTED_VALUE"""),"-")</f>
        <v>-</v>
      </c>
      <c r="AK15" t="str">
        <f>IFERROR(__xludf.DUMMYFUNCTION("""COMPUTED_VALUE"""),"C")</f>
        <v>C</v>
      </c>
      <c r="AL15">
        <f>IFERROR(__xludf.DUMMYFUNCTION("""COMPUTED_VALUE"""),38.0)</f>
        <v>38</v>
      </c>
      <c r="AM15">
        <f>IFERROR(__xludf.DUMMYFUNCTION("""COMPUTED_VALUE"""),2019.0)</f>
        <v>2019</v>
      </c>
    </row>
    <row r="16">
      <c r="A16">
        <f>IFERROR(__xludf.DUMMYFUNCTION("""COMPUTED_VALUE"""),1.7106896E7)</f>
        <v>17106896</v>
      </c>
      <c r="B16">
        <f>IFERROR(__xludf.DUMMYFUNCTION("""COMPUTED_VALUE"""),14.0)</f>
        <v>14</v>
      </c>
      <c r="C16" t="str">
        <f>IFERROR(__xludf.DUMMYFUNCTION("""COMPUTED_VALUE"""),"ACTA2019-29")</f>
        <v>ACTA2019-29</v>
      </c>
      <c r="D16" t="str">
        <f>IFERROR(__xludf.DUMMYFUNCTION("""COMPUTED_VALUE"""),"3")</f>
        <v>3</v>
      </c>
      <c r="E16" t="str">
        <f>IFERROR(__xludf.DUMMYFUNCTION("""COMPUTED_VALUE"""),"UNIDAD DE ADQUISICIONES")</f>
        <v>UNIDAD DE ADQUISICIONES</v>
      </c>
      <c r="F16" t="str">
        <f>IFERROR(__xludf.DUMMYFUNCTION("""COMPUTED_VALUE"""),"Técnico(a) de Compras")</f>
        <v>Técnico(a) de Compras</v>
      </c>
      <c r="G16" t="str">
        <f>IFERROR(__xludf.DUMMYFUNCTION("""COMPUTED_VALUE"""),"TECNICA DE COMPRAS")</f>
        <v>TECNICA DE COMPRAS</v>
      </c>
      <c r="H16">
        <f>IFERROR(__xludf.DUMMYFUNCTION("""COMPUTED_VALUE"""),14.0)</f>
        <v>14</v>
      </c>
      <c r="I16" t="str">
        <f>IFERROR(__xludf.DUMMYFUNCTION("""COMPUTED_VALUE"""),"Jornada Completa")</f>
        <v>Jornada Completa</v>
      </c>
      <c r="J16" t="str">
        <f>IFERROR(__xludf.DUMMYFUNCTION("""COMPUTED_VALUE"""),"A CONTRATA")</f>
        <v>A CONTRATA</v>
      </c>
      <c r="K16" t="str">
        <f>IFERROR(__xludf.DUMMYFUNCTION("""COMPUTED_VALUE"""),"TECNICO")</f>
        <v>TECNICO</v>
      </c>
      <c r="L16" t="str">
        <f>IFERROR(__xludf.DUMMYFUNCTION("""COMPUTED_VALUE"""),"INTERNO")</f>
        <v>INTERNO</v>
      </c>
      <c r="M16">
        <f>IFERROR(__xludf.DUMMYFUNCTION("""COMPUTED_VALUE"""),4.0)</f>
        <v>4</v>
      </c>
      <c r="N16" t="str">
        <f>IFERROR(__xludf.DUMMYFUNCTION("""COMPUTED_VALUE"""),"NO")</f>
        <v>NO</v>
      </c>
      <c r="P16">
        <f>IFERROR(__xludf.DUMMYFUNCTION("""COMPUTED_VALUE"""),2.0)</f>
        <v>2</v>
      </c>
      <c r="Q16">
        <f>IFERROR(__xludf.DUMMYFUNCTION("""COMPUTED_VALUE"""),0.0)</f>
        <v>0</v>
      </c>
      <c r="R16" s="45" t="str">
        <f>IFERROR(__xludf.DUMMYFUNCTION("""COMPUTED_VALUE"""),"SELECCIONADA")</f>
        <v>SELECCIONADA</v>
      </c>
      <c r="S16" s="38">
        <f>IFERROR(__xludf.DUMMYFUNCTION("""COMPUTED_VALUE"""),43647.0)</f>
        <v>43647</v>
      </c>
      <c r="T16" t="str">
        <f>IFERROR(__xludf.DUMMYFUNCTION("""COMPUTED_VALUE"""),"GARCIA LOPEZ CAMILA MARGARITA")</f>
        <v>GARCIA LOPEZ CAMILA MARGARITA</v>
      </c>
      <c r="V16" t="str">
        <f>IFERROR(__xludf.DUMMYFUNCTION("""COMPUTED_VALUE"""),"17106896-7")</f>
        <v>17106896-7</v>
      </c>
      <c r="W16" t="str">
        <f>IFERROR(__xludf.DUMMYFUNCTION("""COMPUTED_VALUE"""),"SI")</f>
        <v>SI</v>
      </c>
      <c r="X16" t="str">
        <f>IFERROR(__xludf.DUMMYFUNCTION("""COMPUTED_VALUE"""),"Orientacion a los Resultados")</f>
        <v>Orientacion a los Resultados</v>
      </c>
      <c r="AA16" s="38">
        <f>IFERROR(__xludf.DUMMYFUNCTION("""COMPUTED_VALUE"""),43530.0)</f>
        <v>43530</v>
      </c>
      <c r="AB16" s="38">
        <f>IFERROR(__xludf.DUMMYFUNCTION("""COMPUTED_VALUE"""),43538.0)</f>
        <v>43538</v>
      </c>
      <c r="AH16" t="str">
        <f>IFERROR(__xludf.DUMMYFUNCTION("""COMPUTED_VALUE"""),"PROCESO DE SELECCIÓN")</f>
        <v>PROCESO DE SELECCIÓN</v>
      </c>
      <c r="AI16" t="str">
        <f>IFERROR(__xludf.DUMMYFUNCTION("""COMPUTED_VALUE"""),"PAVEZ MIRANDA CAROLYN")</f>
        <v>PAVEZ MIRANDA CAROLYN</v>
      </c>
      <c r="AK16" t="str">
        <f>IFERROR(__xludf.DUMMYFUNCTION("""COMPUTED_VALUE"""),"P")</f>
        <v>P</v>
      </c>
      <c r="AL16">
        <f>IFERROR(__xludf.DUMMYFUNCTION("""COMPUTED_VALUE"""),78.0)</f>
        <v>78</v>
      </c>
      <c r="AM16">
        <f>IFERROR(__xludf.DUMMYFUNCTION("""COMPUTED_VALUE"""),2019.0)</f>
        <v>2019</v>
      </c>
    </row>
    <row r="17">
      <c r="A17">
        <f>IFERROR(__xludf.DUMMYFUNCTION("""COMPUTED_VALUE"""),1.0874837E7)</f>
        <v>10874837</v>
      </c>
      <c r="B17">
        <f>IFERROR(__xludf.DUMMYFUNCTION("""COMPUTED_VALUE"""),15.0)</f>
        <v>15</v>
      </c>
      <c r="C17" t="str">
        <f>IFERROR(__xludf.DUMMYFUNCTION("""COMPUTED_VALUE"""),"A323")</f>
        <v>A323</v>
      </c>
      <c r="D17" t="str">
        <f>IFERROR(__xludf.DUMMYFUNCTION("""COMPUTED_VALUE"""),"15")</f>
        <v>15</v>
      </c>
      <c r="E17" t="str">
        <f>IFERROR(__xludf.DUMMYFUNCTION("""COMPUTED_VALUE"""),"VR. ACADEMICA")</f>
        <v>VR. ACADEMICA</v>
      </c>
      <c r="F17" t="str">
        <f>IFERROR(__xludf.DUMMYFUNCTION("""COMPUTED_VALUE"""),"Secretario(a) C")</f>
        <v>Secretario(a) C</v>
      </c>
      <c r="G17" t="str">
        <f>IFERROR(__xludf.DUMMYFUNCTION("""COMPUTED_VALUE"""),"SECRETARIA C ( PABELLON FORMA)")</f>
        <v>SECRETARIA C ( PABELLON FORMA)</v>
      </c>
      <c r="H17">
        <f>IFERROR(__xludf.DUMMYFUNCTION("""COMPUTED_VALUE"""),20.0)</f>
        <v>20</v>
      </c>
      <c r="I17" t="str">
        <f>IFERROR(__xludf.DUMMYFUNCTION("""COMPUTED_VALUE"""),"Jornada Completa")</f>
        <v>Jornada Completa</v>
      </c>
      <c r="J17" t="str">
        <f>IFERROR(__xludf.DUMMYFUNCTION("""COMPUTED_VALUE"""),"A CONTRATA")</f>
        <v>A CONTRATA</v>
      </c>
      <c r="K17" t="str">
        <f>IFERROR(__xludf.DUMMYFUNCTION("""COMPUTED_VALUE"""),"ADMINISTRATIVO")</f>
        <v>ADMINISTRATIVO</v>
      </c>
      <c r="L17" t="str">
        <f>IFERROR(__xludf.DUMMYFUNCTION("""COMPUTED_VALUE"""),"INTERNO")</f>
        <v>INTERNO</v>
      </c>
      <c r="M17">
        <f>IFERROR(__xludf.DUMMYFUNCTION("""COMPUTED_VALUE"""),1.0)</f>
        <v>1</v>
      </c>
      <c r="N17" t="str">
        <f>IFERROR(__xludf.DUMMYFUNCTION("""COMPUTED_VALUE"""),"NO")</f>
        <v>NO</v>
      </c>
      <c r="P17">
        <f>IFERROR(__xludf.DUMMYFUNCTION("""COMPUTED_VALUE"""),1.0)</f>
        <v>1</v>
      </c>
      <c r="Q17">
        <f>IFERROR(__xludf.DUMMYFUNCTION("""COMPUTED_VALUE"""),0.0)</f>
        <v>0</v>
      </c>
      <c r="R17" s="45" t="str">
        <f>IFERROR(__xludf.DUMMYFUNCTION("""COMPUTED_VALUE"""),"SELECCIONADA")</f>
        <v>SELECCIONADA</v>
      </c>
      <c r="S17" s="38">
        <f>IFERROR(__xludf.DUMMYFUNCTION("""COMPUTED_VALUE"""),43637.0)</f>
        <v>43637</v>
      </c>
      <c r="T17" t="str">
        <f>IFERROR(__xludf.DUMMYFUNCTION("""COMPUTED_VALUE"""),"FLORES FERNANDEZ ANGELICA MARIA")</f>
        <v>FLORES FERNANDEZ ANGELICA MARIA</v>
      </c>
      <c r="V17" t="str">
        <f>IFERROR(__xludf.DUMMYFUNCTION("""COMPUTED_VALUE"""),"10874837-0")</f>
        <v>10874837-0</v>
      </c>
      <c r="W17" t="str">
        <f>IFERROR(__xludf.DUMMYFUNCTION("""COMPUTED_VALUE"""),"SI")</f>
        <v>SI</v>
      </c>
      <c r="X17" t="str">
        <f>IFERROR(__xludf.DUMMYFUNCTION("""COMPUTED_VALUE"""),"Franqueza- Confiabilidad- Integridad")</f>
        <v>Franqueza- Confiabilidad- Integridad</v>
      </c>
      <c r="AA17" s="38">
        <f>IFERROR(__xludf.DUMMYFUNCTION("""COMPUTED_VALUE"""),43581.0)</f>
        <v>43581</v>
      </c>
      <c r="AB17" s="38">
        <f>IFERROR(__xludf.DUMMYFUNCTION("""COMPUTED_VALUE"""),43588.0)</f>
        <v>43588</v>
      </c>
      <c r="AH17" t="str">
        <f>IFERROR(__xludf.DUMMYFUNCTION("""COMPUTED_VALUE"""),"PROCESO DE SELECCIÓN")</f>
        <v>PROCESO DE SELECCIÓN</v>
      </c>
      <c r="AI17" t="str">
        <f>IFERROR(__xludf.DUMMYFUNCTION("""COMPUTED_VALUE"""),"- ")</f>
        <v>- </v>
      </c>
      <c r="AK17" t="str">
        <f>IFERROR(__xludf.DUMMYFUNCTION("""COMPUTED_VALUE"""),"C")</f>
        <v>C</v>
      </c>
      <c r="AL17">
        <f>IFERROR(__xludf.DUMMYFUNCTION("""COMPUTED_VALUE"""),36.0)</f>
        <v>36</v>
      </c>
      <c r="AM17">
        <f>IFERROR(__xludf.DUMMYFUNCTION("""COMPUTED_VALUE"""),2019.0)</f>
        <v>2019</v>
      </c>
    </row>
    <row r="18">
      <c r="A18">
        <f>IFERROR(__xludf.DUMMYFUNCTION("""COMPUTED_VALUE"""),1.5426721E7)</f>
        <v>15426721</v>
      </c>
      <c r="B18">
        <f>IFERROR(__xludf.DUMMYFUNCTION("""COMPUTED_VALUE"""),16.0)</f>
        <v>16</v>
      </c>
      <c r="C18" t="str">
        <f>IFERROR(__xludf.DUMMYFUNCTION("""COMPUTED_VALUE"""),"A324")</f>
        <v>A324</v>
      </c>
      <c r="D18" t="str">
        <f>IFERROR(__xludf.DUMMYFUNCTION("""COMPUTED_VALUE"""),"15")</f>
        <v>15</v>
      </c>
      <c r="E18" t="str">
        <f>IFERROR(__xludf.DUMMYFUNCTION("""COMPUTED_VALUE"""),"VR. ACADEMICA")</f>
        <v>VR. ACADEMICA</v>
      </c>
      <c r="F18" t="str">
        <f>IFERROR(__xludf.DUMMYFUNCTION("""COMPUTED_VALUE"""),"Mayordomo(a)")</f>
        <v>Mayordomo(a)</v>
      </c>
      <c r="G18" t="str">
        <f>IFERROR(__xludf.DUMMYFUNCTION("""COMPUTED_VALUE"""),"MAYORDOMO PAÑOLERO ( PABELLON FORMA) DIURNO")</f>
        <v>MAYORDOMO PAÑOLERO ( PABELLON FORMA) DIURNO</v>
      </c>
      <c r="H18">
        <f>IFERROR(__xludf.DUMMYFUNCTION("""COMPUTED_VALUE"""),21.0)</f>
        <v>21</v>
      </c>
      <c r="I18" t="str">
        <f>IFERROR(__xludf.DUMMYFUNCTION("""COMPUTED_VALUE"""),"Jornada Completa")</f>
        <v>Jornada Completa</v>
      </c>
      <c r="J18" t="str">
        <f>IFERROR(__xludf.DUMMYFUNCTION("""COMPUTED_VALUE"""),"A CONTRATA")</f>
        <v>A CONTRATA</v>
      </c>
      <c r="K18" t="str">
        <f>IFERROR(__xludf.DUMMYFUNCTION("""COMPUTED_VALUE"""),"AUXILIAR")</f>
        <v>AUXILIAR</v>
      </c>
      <c r="L18" t="str">
        <f>IFERROR(__xludf.DUMMYFUNCTION("""COMPUTED_VALUE"""),"INTERNO")</f>
        <v>INTERNO</v>
      </c>
      <c r="M18">
        <f>IFERROR(__xludf.DUMMYFUNCTION("""COMPUTED_VALUE"""),1.0)</f>
        <v>1</v>
      </c>
      <c r="N18" t="str">
        <f>IFERROR(__xludf.DUMMYFUNCTION("""COMPUTED_VALUE"""),"NO")</f>
        <v>NO</v>
      </c>
      <c r="P18">
        <f>IFERROR(__xludf.DUMMYFUNCTION("""COMPUTED_VALUE"""),1.0)</f>
        <v>1</v>
      </c>
      <c r="Q18">
        <f>IFERROR(__xludf.DUMMYFUNCTION("""COMPUTED_VALUE"""),0.0)</f>
        <v>0</v>
      </c>
      <c r="R18" s="45" t="str">
        <f>IFERROR(__xludf.DUMMYFUNCTION("""COMPUTED_VALUE"""),"SELECCIONADO")</f>
        <v>SELECCIONADO</v>
      </c>
      <c r="S18" s="38">
        <f>IFERROR(__xludf.DUMMYFUNCTION("""COMPUTED_VALUE"""),43637.0)</f>
        <v>43637</v>
      </c>
      <c r="T18" t="str">
        <f>IFERROR(__xludf.DUMMYFUNCTION("""COMPUTED_VALUE"""),"RIFFO CAMPOS ALEXIS LEONARDO")</f>
        <v>RIFFO CAMPOS ALEXIS LEONARDO</v>
      </c>
      <c r="V18" t="str">
        <f>IFERROR(__xludf.DUMMYFUNCTION("""COMPUTED_VALUE"""),"15426721-2")</f>
        <v>15426721-2</v>
      </c>
      <c r="W18" t="str">
        <f>IFERROR(__xludf.DUMMYFUNCTION("""COMPUTED_VALUE"""),"SI")</f>
        <v>SI</v>
      </c>
      <c r="X18" t="str">
        <f>IFERROR(__xludf.DUMMYFUNCTION("""COMPUTED_VALUE"""),"Iniciativa")</f>
        <v>Iniciativa</v>
      </c>
      <c r="AA18" s="38">
        <f>IFERROR(__xludf.DUMMYFUNCTION("""COMPUTED_VALUE"""),43581.0)</f>
        <v>43581</v>
      </c>
      <c r="AB18" s="38">
        <f>IFERROR(__xludf.DUMMYFUNCTION("""COMPUTED_VALUE"""),43588.0)</f>
        <v>43588</v>
      </c>
      <c r="AH18" t="str">
        <f>IFERROR(__xludf.DUMMYFUNCTION("""COMPUTED_VALUE"""),"PROCESO DE SELECCIÓN")</f>
        <v>PROCESO DE SELECCIÓN</v>
      </c>
      <c r="AI18" t="str">
        <f>IFERROR(__xludf.DUMMYFUNCTION("""COMPUTED_VALUE"""),"-")</f>
        <v>-</v>
      </c>
      <c r="AK18" t="str">
        <f>IFERROR(__xludf.DUMMYFUNCTION("""COMPUTED_VALUE"""),"C")</f>
        <v>C</v>
      </c>
      <c r="AL18">
        <f>IFERROR(__xludf.DUMMYFUNCTION("""COMPUTED_VALUE"""),36.0)</f>
        <v>36</v>
      </c>
      <c r="AM18">
        <f>IFERROR(__xludf.DUMMYFUNCTION("""COMPUTED_VALUE"""),2019.0)</f>
        <v>2019</v>
      </c>
    </row>
    <row r="19">
      <c r="A19">
        <f>IFERROR(__xludf.DUMMYFUNCTION("""COMPUTED_VALUE"""),1.7831879E7)</f>
        <v>17831879</v>
      </c>
      <c r="B19">
        <f>IFERROR(__xludf.DUMMYFUNCTION("""COMPUTED_VALUE"""),17.0)</f>
        <v>17</v>
      </c>
      <c r="C19" t="str">
        <f>IFERROR(__xludf.DUMMYFUNCTION("""COMPUTED_VALUE"""),"IR2018-19")</f>
        <v>IR2018-19</v>
      </c>
      <c r="D19" t="str">
        <f>IFERROR(__xludf.DUMMYFUNCTION("""COMPUTED_VALUE"""),"3")</f>
        <v>3</v>
      </c>
      <c r="E19" t="str">
        <f>IFERROR(__xludf.DUMMYFUNCTION("""COMPUTED_VALUE"""),"UNIDAD DE GESTION DEL CAMPUS")</f>
        <v>UNIDAD DE GESTION DEL CAMPUS</v>
      </c>
      <c r="F19" t="str">
        <f>IFERROR(__xludf.DUMMYFUNCTION("""COMPUTED_VALUE"""),"Asistente de Mantención")</f>
        <v>Asistente de Mantención</v>
      </c>
      <c r="G19" t="str">
        <f>IFERROR(__xludf.DUMMYFUNCTION("""COMPUTED_VALUE"""),"ASISTENTE DE MANTENCIÓN ( CERRAJERO)")</f>
        <v>ASISTENTE DE MANTENCIÓN ( CERRAJERO)</v>
      </c>
      <c r="H19">
        <f>IFERROR(__xludf.DUMMYFUNCTION("""COMPUTED_VALUE"""),20.0)</f>
        <v>20</v>
      </c>
      <c r="I19" t="str">
        <f>IFERROR(__xludf.DUMMYFUNCTION("""COMPUTED_VALUE"""),"Jornada Completa")</f>
        <v>Jornada Completa</v>
      </c>
      <c r="J19" t="str">
        <f>IFERROR(__xludf.DUMMYFUNCTION("""COMPUTED_VALUE"""),"A CONTRATA")</f>
        <v>A CONTRATA</v>
      </c>
      <c r="K19" t="str">
        <f>IFERROR(__xludf.DUMMYFUNCTION("""COMPUTED_VALUE"""),"TECNICO")</f>
        <v>TECNICO</v>
      </c>
      <c r="L19" t="str">
        <f>IFERROR(__xludf.DUMMYFUNCTION("""COMPUTED_VALUE"""),"INTERNO")</f>
        <v>INTERNO</v>
      </c>
      <c r="M19">
        <f>IFERROR(__xludf.DUMMYFUNCTION("""COMPUTED_VALUE"""),1.0)</f>
        <v>1</v>
      </c>
      <c r="N19" t="str">
        <f>IFERROR(__xludf.DUMMYFUNCTION("""COMPUTED_VALUE"""),"EXTERNO")</f>
        <v>EXTERNO</v>
      </c>
      <c r="O19">
        <f>IFERROR(__xludf.DUMMYFUNCTION("""COMPUTED_VALUE"""),10.0)</f>
        <v>10</v>
      </c>
      <c r="P19">
        <f>IFERROR(__xludf.DUMMYFUNCTION("""COMPUTED_VALUE"""),6.0)</f>
        <v>6</v>
      </c>
      <c r="Q19">
        <f>IFERROR(__xludf.DUMMYFUNCTION("""COMPUTED_VALUE"""),1.0)</f>
        <v>1</v>
      </c>
      <c r="R19" s="45" t="str">
        <f>IFERROR(__xludf.DUMMYFUNCTION("""COMPUTED_VALUE"""),"SELECCIONADO")</f>
        <v>SELECCIONADO</v>
      </c>
      <c r="S19" s="38">
        <f>IFERROR(__xludf.DUMMYFUNCTION("""COMPUTED_VALUE"""),43626.0)</f>
        <v>43626</v>
      </c>
      <c r="U19" t="str">
        <f>IFERROR(__xludf.DUMMYFUNCTION("""COMPUTED_VALUE"""),"RIQUELME RIQUELME DANIEL")</f>
        <v>RIQUELME RIQUELME DANIEL</v>
      </c>
      <c r="V19" t="str">
        <f>IFERROR(__xludf.DUMMYFUNCTION("""COMPUTED_VALUE"""),"17831879-9")</f>
        <v>17831879-9</v>
      </c>
      <c r="W19" t="str">
        <f>IFERROR(__xludf.DUMMYFUNCTION("""COMPUTED_VALUE"""),"NO")</f>
        <v>NO</v>
      </c>
      <c r="AA19" s="38">
        <f>IFERROR(__xludf.DUMMYFUNCTION("""COMPUTED_VALUE"""),43577.0)</f>
        <v>43577</v>
      </c>
      <c r="AB19" s="38">
        <f>IFERROR(__xludf.DUMMYFUNCTION("""COMPUTED_VALUE"""),43584.0)</f>
        <v>43584</v>
      </c>
      <c r="AH19" t="str">
        <f>IFERROR(__xludf.DUMMYFUNCTION("""COMPUTED_VALUE"""),"PROCESO DE SELECCIÓN")</f>
        <v>PROCESO DE SELECCIÓN</v>
      </c>
      <c r="AI19" t="str">
        <f>IFERROR(__xludf.DUMMYFUNCTION("""COMPUTED_VALUE"""),"MENARES ARRIAGADA GUILLERMO")</f>
        <v>MENARES ARRIAGADA GUILLERMO</v>
      </c>
      <c r="AK19" t="str">
        <f>IFERROR(__xludf.DUMMYFUNCTION("""COMPUTED_VALUE"""),"E")</f>
        <v>E</v>
      </c>
      <c r="AL19">
        <f>IFERROR(__xludf.DUMMYFUNCTION("""COMPUTED_VALUE"""),31.0)</f>
        <v>31</v>
      </c>
      <c r="AM19">
        <f>IFERROR(__xludf.DUMMYFUNCTION("""COMPUTED_VALUE"""),2019.0)</f>
        <v>2019</v>
      </c>
    </row>
    <row r="20">
      <c r="A20">
        <f>IFERROR(__xludf.DUMMYFUNCTION("""COMPUTED_VALUE"""),1.6655351E7)</f>
        <v>16655351</v>
      </c>
      <c r="B20">
        <f>IFERROR(__xludf.DUMMYFUNCTION("""COMPUTED_VALUE"""),18.0)</f>
        <v>18</v>
      </c>
      <c r="C20" t="str">
        <f>IFERROR(__xludf.DUMMYFUNCTION("""COMPUTED_VALUE"""),"A270_A")</f>
        <v>A270_A</v>
      </c>
      <c r="D20" t="str">
        <f>IFERROR(__xludf.DUMMYFUNCTION("""COMPUTED_VALUE"""),"22")</f>
        <v>22</v>
      </c>
      <c r="E20" t="str">
        <f>IFERROR(__xludf.DUMMYFUNCTION("""COMPUTED_VALUE"""),"UNIDAD DE VOCACION ARTISTICA")</f>
        <v>UNIDAD DE VOCACION ARTISTICA</v>
      </c>
      <c r="F20" t="str">
        <f>IFERROR(__xludf.DUMMYFUNCTION("""COMPUTED_VALUE"""),"Profesional de Extensión")</f>
        <v>Profesional de Extensión</v>
      </c>
      <c r="G20" t="str">
        <f>IFERROR(__xludf.DUMMYFUNCTION("""COMPUTED_VALUE"""),"PROFESIONAL DE EXTENSION ( DIRECTOR MUSICAL BALLET FOLCLORICO)")</f>
        <v>PROFESIONAL DE EXTENSION ( DIRECTOR MUSICAL BALLET FOLCLORICO)</v>
      </c>
      <c r="H20">
        <f>IFERROR(__xludf.DUMMYFUNCTION("""COMPUTED_VALUE"""),13.0)</f>
        <v>13</v>
      </c>
      <c r="I20" t="str">
        <f>IFERROR(__xludf.DUMMYFUNCTION("""COMPUTED_VALUE"""),"1/2 Jornada")</f>
        <v>1/2 Jornada</v>
      </c>
      <c r="J20" t="str">
        <f>IFERROR(__xludf.DUMMYFUNCTION("""COMPUTED_VALUE"""),"A CONTRATA")</f>
        <v>A CONTRATA</v>
      </c>
      <c r="K20" t="str">
        <f>IFERROR(__xludf.DUMMYFUNCTION("""COMPUTED_VALUE"""),"PROFESIONAL")</f>
        <v>PROFESIONAL</v>
      </c>
      <c r="L20" t="str">
        <f>IFERROR(__xludf.DUMMYFUNCTION("""COMPUTED_VALUE"""),"INTERNO")</f>
        <v>INTERNO</v>
      </c>
      <c r="M20">
        <f>IFERROR(__xludf.DUMMYFUNCTION("""COMPUTED_VALUE"""),1.0)</f>
        <v>1</v>
      </c>
      <c r="N20" t="str">
        <f>IFERROR(__xludf.DUMMYFUNCTION("""COMPUTED_VALUE"""),"EXTERNO")</f>
        <v>EXTERNO</v>
      </c>
      <c r="O20">
        <f>IFERROR(__xludf.DUMMYFUNCTION("""COMPUTED_VALUE"""),5.0)</f>
        <v>5</v>
      </c>
      <c r="P20">
        <f>IFERROR(__xludf.DUMMYFUNCTION("""COMPUTED_VALUE"""),3.0)</f>
        <v>3</v>
      </c>
      <c r="Q20">
        <f>IFERROR(__xludf.DUMMYFUNCTION("""COMPUTED_VALUE"""),0.0)</f>
        <v>0</v>
      </c>
      <c r="R20" s="45" t="str">
        <f>IFERROR(__xludf.DUMMYFUNCTION("""COMPUTED_VALUE"""),"SELECCIONADA")</f>
        <v>SELECCIONADA</v>
      </c>
      <c r="S20" s="38">
        <f>IFERROR(__xludf.DUMMYFUNCTION("""COMPUTED_VALUE"""),43647.0)</f>
        <v>43647</v>
      </c>
      <c r="U20" t="str">
        <f>IFERROR(__xludf.DUMMYFUNCTION("""COMPUTED_VALUE"""),"CORNEJO JARA OLGA")</f>
        <v>CORNEJO JARA OLGA</v>
      </c>
      <c r="V20" t="str">
        <f>IFERROR(__xludf.DUMMYFUNCTION("""COMPUTED_VALUE"""),"16655351-2")</f>
        <v>16655351-2</v>
      </c>
      <c r="W20" t="str">
        <f>IFERROR(__xludf.DUMMYFUNCTION("""COMPUTED_VALUE"""),"SI")</f>
        <v>SI</v>
      </c>
      <c r="X20" t="str">
        <f>IFERROR(__xludf.DUMMYFUNCTION("""COMPUTED_VALUE"""),"Conciencia organizacional")</f>
        <v>Conciencia organizacional</v>
      </c>
      <c r="AA20" s="38">
        <f>IFERROR(__xludf.DUMMYFUNCTION("""COMPUTED_VALUE"""),43588.0)</f>
        <v>43588</v>
      </c>
      <c r="AB20" s="38">
        <f>IFERROR(__xludf.DUMMYFUNCTION("""COMPUTED_VALUE"""),43597.0)</f>
        <v>43597</v>
      </c>
      <c r="AH20" t="str">
        <f>IFERROR(__xludf.DUMMYFUNCTION("""COMPUTED_VALUE"""),"PROCESO DE SELECCIÓN")</f>
        <v>PROCESO DE SELECCIÓN</v>
      </c>
      <c r="AI20" t="str">
        <f>IFERROR(__xludf.DUMMYFUNCTION("""COMPUTED_VALUE"""),"ARIAS ALBORNOZ JOSE")</f>
        <v>ARIAS ALBORNOZ JOSE</v>
      </c>
      <c r="AK20" t="str">
        <f>IFERROR(__xludf.DUMMYFUNCTION("""COMPUTED_VALUE"""),"E")</f>
        <v>E</v>
      </c>
      <c r="AL20">
        <f>IFERROR(__xludf.DUMMYFUNCTION("""COMPUTED_VALUE"""),36.0)</f>
        <v>36</v>
      </c>
      <c r="AM20">
        <f>IFERROR(__xludf.DUMMYFUNCTION("""COMPUTED_VALUE"""),2019.0)</f>
        <v>2019</v>
      </c>
    </row>
    <row r="21">
      <c r="A21">
        <f>IFERROR(__xludf.DUMMYFUNCTION("""COMPUTED_VALUE"""),1.0309289E7)</f>
        <v>10309289</v>
      </c>
      <c r="B21">
        <f>IFERROR(__xludf.DUMMYFUNCTION("""COMPUTED_VALUE"""),19.0)</f>
        <v>19</v>
      </c>
      <c r="C21" t="str">
        <f>IFERROR(__xludf.DUMMYFUNCTION("""COMPUTED_VALUE"""),"ACTA2019-04")</f>
        <v>ACTA2019-04</v>
      </c>
      <c r="D21" t="str">
        <f>IFERROR(__xludf.DUMMYFUNCTION("""COMPUTED_VALUE"""),"15")</f>
        <v>15</v>
      </c>
      <c r="E21" t="str">
        <f>IFERROR(__xludf.DUMMYFUNCTION("""COMPUTED_VALUE"""),"UNIDAD DE BIBLIOTECAS")</f>
        <v>UNIDAD DE BIBLIOTECAS</v>
      </c>
      <c r="F21" t="str">
        <f>IFERROR(__xludf.DUMMYFUNCTION("""COMPUTED_VALUE"""),"Bibliotecario(a)")</f>
        <v>Bibliotecario(a)</v>
      </c>
      <c r="G21" t="str">
        <f>IFERROR(__xludf.DUMMYFUNCTION("""COMPUTED_VALUE"""),"BIBLIOTECARIO")</f>
        <v>BIBLIOTECARIO</v>
      </c>
      <c r="H21">
        <f>IFERROR(__xludf.DUMMYFUNCTION("""COMPUTED_VALUE"""),14.0)</f>
        <v>14</v>
      </c>
      <c r="I21" t="str">
        <f>IFERROR(__xludf.DUMMYFUNCTION("""COMPUTED_VALUE"""),"Jornada Completa")</f>
        <v>Jornada Completa</v>
      </c>
      <c r="J21" t="str">
        <f>IFERROR(__xludf.DUMMYFUNCTION("""COMPUTED_VALUE"""),"A CONTRATA")</f>
        <v>A CONTRATA</v>
      </c>
      <c r="K21" t="str">
        <f>IFERROR(__xludf.DUMMYFUNCTION("""COMPUTED_VALUE"""),"PROFESIONAL")</f>
        <v>PROFESIONAL</v>
      </c>
      <c r="L21" t="str">
        <f>IFERROR(__xludf.DUMMYFUNCTION("""COMPUTED_VALUE"""),"INTERNO")</f>
        <v>INTERNO</v>
      </c>
      <c r="M21">
        <f>IFERROR(__xludf.DUMMYFUNCTION("""COMPUTED_VALUE"""),0.0)</f>
        <v>0</v>
      </c>
      <c r="N21" t="str">
        <f>IFERROR(__xludf.DUMMYFUNCTION("""COMPUTED_VALUE"""),"EXTERNO")</f>
        <v>EXTERNO</v>
      </c>
      <c r="O21">
        <f>IFERROR(__xludf.DUMMYFUNCTION("""COMPUTED_VALUE"""),19.0)</f>
        <v>19</v>
      </c>
      <c r="P21">
        <f>IFERROR(__xludf.DUMMYFUNCTION("""COMPUTED_VALUE"""),1.0)</f>
        <v>1</v>
      </c>
      <c r="Q21">
        <f>IFERROR(__xludf.DUMMYFUNCTION("""COMPUTED_VALUE"""),0.0)</f>
        <v>0</v>
      </c>
      <c r="R21" s="45" t="str">
        <f>IFERROR(__xludf.DUMMYFUNCTION("""COMPUTED_VALUE"""),"SELECCIONADA")</f>
        <v>SELECCIONADA</v>
      </c>
      <c r="S21" s="38">
        <f>IFERROR(__xludf.DUMMYFUNCTION("""COMPUTED_VALUE"""),43640.0)</f>
        <v>43640</v>
      </c>
      <c r="U21" t="str">
        <f>IFERROR(__xludf.DUMMYFUNCTION("""COMPUTED_VALUE"""),"CALDERON SOTO VERONICA")</f>
        <v>CALDERON SOTO VERONICA</v>
      </c>
      <c r="V21" t="str">
        <f>IFERROR(__xludf.DUMMYFUNCTION("""COMPUTED_VALUE"""),"10309289-2")</f>
        <v>10309289-2</v>
      </c>
      <c r="W21" t="str">
        <f>IFERROR(__xludf.DUMMYFUNCTION("""COMPUTED_VALUE"""),"SI")</f>
        <v>SI</v>
      </c>
      <c r="X21" t="str">
        <f>IFERROR(__xludf.DUMMYFUNCTION("""COMPUTED_VALUE"""),"Trabajo en Equipo")</f>
        <v>Trabajo en Equipo</v>
      </c>
      <c r="AA21" s="38">
        <f>IFERROR(__xludf.DUMMYFUNCTION("""COMPUTED_VALUE"""),43593.0)</f>
        <v>43593</v>
      </c>
      <c r="AB21" s="38">
        <f>IFERROR(__xludf.DUMMYFUNCTION("""COMPUTED_VALUE"""),43600.0)</f>
        <v>43600</v>
      </c>
      <c r="AH21" t="str">
        <f>IFERROR(__xludf.DUMMYFUNCTION("""COMPUTED_VALUE"""),"PROCESO DE SELECCIÓN")</f>
        <v>PROCESO DE SELECCIÓN</v>
      </c>
      <c r="AI21" t="str">
        <f>IFERROR(__xludf.DUMMYFUNCTION("""COMPUTED_VALUE"""),"-")</f>
        <v>-</v>
      </c>
      <c r="AK21" t="str">
        <f>IFERROR(__xludf.DUMMYFUNCTION("""COMPUTED_VALUE"""),"E")</f>
        <v>E</v>
      </c>
      <c r="AL21">
        <f>IFERROR(__xludf.DUMMYFUNCTION("""COMPUTED_VALUE"""),29.0)</f>
        <v>29</v>
      </c>
      <c r="AM21">
        <f>IFERROR(__xludf.DUMMYFUNCTION("""COMPUTED_VALUE"""),2019.0)</f>
        <v>2019</v>
      </c>
    </row>
    <row r="22">
      <c r="A22">
        <f>IFERROR(__xludf.DUMMYFUNCTION("""COMPUTED_VALUE"""),1.3297941E7)</f>
        <v>13297941</v>
      </c>
      <c r="B22">
        <f>IFERROR(__xludf.DUMMYFUNCTION("""COMPUTED_VALUE"""),20.0)</f>
        <v>20</v>
      </c>
      <c r="C22" t="str">
        <f>IFERROR(__xludf.DUMMYFUNCTION("""COMPUTED_VALUE"""),"A286")</f>
        <v>A286</v>
      </c>
      <c r="D22" t="str">
        <f>IFERROR(__xludf.DUMMYFUNCTION("""COMPUTED_VALUE"""),"3")</f>
        <v>3</v>
      </c>
      <c r="E22" t="str">
        <f>IFERROR(__xludf.DUMMYFUNCTION("""COMPUTED_VALUE"""),"DPTO. DE RECURSOS HUMANOS")</f>
        <v>DPTO. DE RECURSOS HUMANOS</v>
      </c>
      <c r="F22" t="str">
        <f>IFERROR(__xludf.DUMMYFUNCTION("""COMPUTED_VALUE"""),"Administrativo(a) de Recursos Humanos")</f>
        <v>Administrativo(a) de Recursos Humanos</v>
      </c>
      <c r="G22" t="str">
        <f>IFERROR(__xludf.DUMMYFUNCTION("""COMPUTED_VALUE"""),"ADMINISTRATIVO DE RECURSOS HUMANOS")</f>
        <v>ADMINISTRATIVO DE RECURSOS HUMANOS</v>
      </c>
      <c r="H22">
        <f>IFERROR(__xludf.DUMMYFUNCTION("""COMPUTED_VALUE"""),17.0)</f>
        <v>17</v>
      </c>
      <c r="I22" t="str">
        <f>IFERROR(__xludf.DUMMYFUNCTION("""COMPUTED_VALUE"""),"Jornada Completa")</f>
        <v>Jornada Completa</v>
      </c>
      <c r="J22" t="str">
        <f>IFERROR(__xludf.DUMMYFUNCTION("""COMPUTED_VALUE"""),"A CONTRATA")</f>
        <v>A CONTRATA</v>
      </c>
      <c r="K22" t="str">
        <f>IFERROR(__xludf.DUMMYFUNCTION("""COMPUTED_VALUE"""),"ADMINISTRATIVO")</f>
        <v>ADMINISTRATIVO</v>
      </c>
      <c r="L22" t="str">
        <f>IFERROR(__xludf.DUMMYFUNCTION("""COMPUTED_VALUE"""),"INTERNO")</f>
        <v>INTERNO</v>
      </c>
      <c r="M22">
        <f>IFERROR(__xludf.DUMMYFUNCTION("""COMPUTED_VALUE"""),4.0)</f>
        <v>4</v>
      </c>
      <c r="N22" t="str">
        <f>IFERROR(__xludf.DUMMYFUNCTION("""COMPUTED_VALUE"""),"NO")</f>
        <v>NO</v>
      </c>
      <c r="P22">
        <f>IFERROR(__xludf.DUMMYFUNCTION("""COMPUTED_VALUE"""),3.0)</f>
        <v>3</v>
      </c>
      <c r="Q22">
        <f>IFERROR(__xludf.DUMMYFUNCTION("""COMPUTED_VALUE"""),0.0)</f>
        <v>0</v>
      </c>
      <c r="R22" s="45" t="str">
        <f>IFERROR(__xludf.DUMMYFUNCTION("""COMPUTED_VALUE"""),"SELECCIONADO")</f>
        <v>SELECCIONADO</v>
      </c>
      <c r="S22" s="38">
        <f>IFERROR(__xludf.DUMMYFUNCTION("""COMPUTED_VALUE"""),43647.0)</f>
        <v>43647</v>
      </c>
      <c r="T22" t="str">
        <f>IFERROR(__xludf.DUMMYFUNCTION("""COMPUTED_VALUE"""),"CONTRERAS GONZALEZ LUIS CLAUDIO")</f>
        <v>CONTRERAS GONZALEZ LUIS CLAUDIO</v>
      </c>
      <c r="V22" t="str">
        <f>IFERROR(__xludf.DUMMYFUNCTION("""COMPUTED_VALUE"""),"13297941-3")</f>
        <v>13297941-3</v>
      </c>
      <c r="W22" t="str">
        <f>IFERROR(__xludf.DUMMYFUNCTION("""COMPUTED_VALUE"""),"SI")</f>
        <v>SI</v>
      </c>
      <c r="X22" t="str">
        <f>IFERROR(__xludf.DUMMYFUNCTION("""COMPUTED_VALUE"""),"Trabajo en Equipo")</f>
        <v>Trabajo en Equipo</v>
      </c>
      <c r="AA22" s="38">
        <f>IFERROR(__xludf.DUMMYFUNCTION("""COMPUTED_VALUE"""),43584.0)</f>
        <v>43584</v>
      </c>
      <c r="AB22" s="38">
        <f>IFERROR(__xludf.DUMMYFUNCTION("""COMPUTED_VALUE"""),43594.0)</f>
        <v>43594</v>
      </c>
      <c r="AH22" t="str">
        <f>IFERROR(__xludf.DUMMYFUNCTION("""COMPUTED_VALUE"""),"PROCESO DE SELECCIÓN")</f>
        <v>PROCESO DE SELECCIÓN</v>
      </c>
      <c r="AI22" t="str">
        <f>IFERROR(__xludf.DUMMYFUNCTION("""COMPUTED_VALUE"""),"MAULEN MANRIQUEZ JOSELYN")</f>
        <v>MAULEN MANRIQUEZ JOSELYN</v>
      </c>
      <c r="AK22" t="str">
        <f>IFERROR(__xludf.DUMMYFUNCTION("""COMPUTED_VALUE"""),"C")</f>
        <v>C</v>
      </c>
      <c r="AL22">
        <f>IFERROR(__xludf.DUMMYFUNCTION("""COMPUTED_VALUE"""),38.0)</f>
        <v>38</v>
      </c>
      <c r="AM22">
        <f>IFERROR(__xludf.DUMMYFUNCTION("""COMPUTED_VALUE"""),2019.0)</f>
        <v>2019</v>
      </c>
    </row>
    <row r="23">
      <c r="A23">
        <f>IFERROR(__xludf.DUMMYFUNCTION("""COMPUTED_VALUE"""),1.184827E7)</f>
        <v>11848270</v>
      </c>
      <c r="B23">
        <f>IFERROR(__xludf.DUMMYFUNCTION("""COMPUTED_VALUE"""),21.0)</f>
        <v>21</v>
      </c>
      <c r="C23" t="str">
        <f>IFERROR(__xludf.DUMMYFUNCTION("""COMPUTED_VALUE"""),"A267")</f>
        <v>A267</v>
      </c>
      <c r="D23" t="str">
        <f>IFERROR(__xludf.DUMMYFUNCTION("""COMPUTED_VALUE"""),"55")</f>
        <v>55</v>
      </c>
      <c r="E23" t="str">
        <f>IFERROR(__xludf.DUMMYFUNCTION("""COMPUTED_VALUE"""),"DPTO. DE LINGUISTICA Y LITERATURA")</f>
        <v>DPTO. DE LINGUISTICA Y LITERATURA</v>
      </c>
      <c r="F23" t="str">
        <f>IFERROR(__xludf.DUMMYFUNCTION("""COMPUTED_VALUE"""),"Administrativo(a) Especializado")</f>
        <v>Administrativo(a) Especializado</v>
      </c>
      <c r="G23" t="str">
        <f>IFERROR(__xludf.DUMMYFUNCTION("""COMPUTED_VALUE"""),"ADMINISTRATIVA ESPECIALIZADA")</f>
        <v>ADMINISTRATIVA ESPECIALIZADA</v>
      </c>
      <c r="H23">
        <f>IFERROR(__xludf.DUMMYFUNCTION("""COMPUTED_VALUE"""),12.0)</f>
        <v>12</v>
      </c>
      <c r="I23" t="str">
        <f>IFERROR(__xludf.DUMMYFUNCTION("""COMPUTED_VALUE"""),"Jornada Completa")</f>
        <v>Jornada Completa</v>
      </c>
      <c r="J23" t="str">
        <f>IFERROR(__xludf.DUMMYFUNCTION("""COMPUTED_VALUE"""),"A CONTRATA")</f>
        <v>A CONTRATA</v>
      </c>
      <c r="K23" t="str">
        <f>IFERROR(__xludf.DUMMYFUNCTION("""COMPUTED_VALUE"""),"ADMINISTRATIVO")</f>
        <v>ADMINISTRATIVO</v>
      </c>
      <c r="L23" t="str">
        <f>IFERROR(__xludf.DUMMYFUNCTION("""COMPUTED_VALUE"""),"INTERNO")</f>
        <v>INTERNO</v>
      </c>
      <c r="M23">
        <f>IFERROR(__xludf.DUMMYFUNCTION("""COMPUTED_VALUE"""),11.0)</f>
        <v>11</v>
      </c>
      <c r="N23" t="str">
        <f>IFERROR(__xludf.DUMMYFUNCTION("""COMPUTED_VALUE"""),"NO")</f>
        <v>NO</v>
      </c>
      <c r="P23">
        <f>IFERROR(__xludf.DUMMYFUNCTION("""COMPUTED_VALUE"""),2.0)</f>
        <v>2</v>
      </c>
      <c r="Q23">
        <f>IFERROR(__xludf.DUMMYFUNCTION("""COMPUTED_VALUE"""),0.0)</f>
        <v>0</v>
      </c>
      <c r="R23" s="45" t="str">
        <f>IFERROR(__xludf.DUMMYFUNCTION("""COMPUTED_VALUE"""),"SELECCIONADA")</f>
        <v>SELECCIONADA</v>
      </c>
      <c r="S23" s="38">
        <f>IFERROR(__xludf.DUMMYFUNCTION("""COMPUTED_VALUE"""),43647.0)</f>
        <v>43647</v>
      </c>
      <c r="T23" t="str">
        <f>IFERROR(__xludf.DUMMYFUNCTION("""COMPUTED_VALUE"""),"SARTORI ESCOBAR ALICIA DEL CARMEN")</f>
        <v>SARTORI ESCOBAR ALICIA DEL CARMEN</v>
      </c>
      <c r="V23" t="str">
        <f>IFERROR(__xludf.DUMMYFUNCTION("""COMPUTED_VALUE"""),"11848270-0")</f>
        <v>11848270-0</v>
      </c>
      <c r="W23" t="str">
        <f>IFERROR(__xludf.DUMMYFUNCTION("""COMPUTED_VALUE"""),"SI")</f>
        <v>SI</v>
      </c>
      <c r="X23" t="str">
        <f>IFERROR(__xludf.DUMMYFUNCTION("""COMPUTED_VALUE"""),"Busqueda de Informacion")</f>
        <v>Busqueda de Informacion</v>
      </c>
      <c r="AA23" s="38">
        <f>IFERROR(__xludf.DUMMYFUNCTION("""COMPUTED_VALUE"""),43581.0)</f>
        <v>43581</v>
      </c>
      <c r="AB23" s="38">
        <f>IFERROR(__xludf.DUMMYFUNCTION("""COMPUTED_VALUE"""),43592.0)</f>
        <v>43592</v>
      </c>
      <c r="AH23" t="str">
        <f>IFERROR(__xludf.DUMMYFUNCTION("""COMPUTED_VALUE"""),"PROCESO DE SELECCIÓN")</f>
        <v>PROCESO DE SELECCIÓN</v>
      </c>
      <c r="AI23" t="str">
        <f>IFERROR(__xludf.DUMMYFUNCTION("""COMPUTED_VALUE"""),"ZENTENO VILLAGRAN MARCIA")</f>
        <v>ZENTENO VILLAGRAN MARCIA</v>
      </c>
      <c r="AK23" t="str">
        <f>IFERROR(__xludf.DUMMYFUNCTION("""COMPUTED_VALUE"""),"C")</f>
        <v>C</v>
      </c>
      <c r="AL23">
        <f>IFERROR(__xludf.DUMMYFUNCTION("""COMPUTED_VALUE"""),40.0)</f>
        <v>40</v>
      </c>
      <c r="AM23">
        <f>IFERROR(__xludf.DUMMYFUNCTION("""COMPUTED_VALUE"""),2019.0)</f>
        <v>2019</v>
      </c>
    </row>
    <row r="24">
      <c r="A24">
        <f>IFERROR(__xludf.DUMMYFUNCTION("""COMPUTED_VALUE"""),1.6146459E7)</f>
        <v>16146459</v>
      </c>
      <c r="B24">
        <f>IFERROR(__xludf.DUMMYFUNCTION("""COMPUTED_VALUE"""),22.0)</f>
        <v>22</v>
      </c>
      <c r="C24" t="str">
        <f>IFERROR(__xludf.DUMMYFUNCTION("""COMPUTED_VALUE"""),"A325")</f>
        <v>A325</v>
      </c>
      <c r="D24" t="str">
        <f>IFERROR(__xludf.DUMMYFUNCTION("""COMPUTED_VALUE"""),"15")</f>
        <v>15</v>
      </c>
      <c r="E24" t="str">
        <f>IFERROR(__xludf.DUMMYFUNCTION("""COMPUTED_VALUE"""),"VR. ACADEMICA")</f>
        <v>VR. ACADEMICA</v>
      </c>
      <c r="F24" t="str">
        <f>IFERROR(__xludf.DUMMYFUNCTION("""COMPUTED_VALUE"""),"Mayordomo(a)")</f>
        <v>Mayordomo(a)</v>
      </c>
      <c r="G24" t="str">
        <f>IFERROR(__xludf.DUMMYFUNCTION("""COMPUTED_VALUE"""),"MAYORDOMO PAÑOLERO ( PABELLON FORMA) VESPERTINO")</f>
        <v>MAYORDOMO PAÑOLERO ( PABELLON FORMA) VESPERTINO</v>
      </c>
      <c r="H24">
        <f>IFERROR(__xludf.DUMMYFUNCTION("""COMPUTED_VALUE"""),21.0)</f>
        <v>21</v>
      </c>
      <c r="I24" t="str">
        <f>IFERROR(__xludf.DUMMYFUNCTION("""COMPUTED_VALUE"""),"Jornada Completa")</f>
        <v>Jornada Completa</v>
      </c>
      <c r="J24" t="str">
        <f>IFERROR(__xludf.DUMMYFUNCTION("""COMPUTED_VALUE"""),"A CONTRATA")</f>
        <v>A CONTRATA</v>
      </c>
      <c r="K24" t="str">
        <f>IFERROR(__xludf.DUMMYFUNCTION("""COMPUTED_VALUE"""),"AUXILIAR")</f>
        <v>AUXILIAR</v>
      </c>
      <c r="L24" t="str">
        <f>IFERROR(__xludf.DUMMYFUNCTION("""COMPUTED_VALUE"""),"INTERNO")</f>
        <v>INTERNO</v>
      </c>
      <c r="M24">
        <f>IFERROR(__xludf.DUMMYFUNCTION("""COMPUTED_VALUE"""),1.0)</f>
        <v>1</v>
      </c>
      <c r="N24" t="str">
        <f>IFERROR(__xludf.DUMMYFUNCTION("""COMPUTED_VALUE"""),"NO")</f>
        <v>NO</v>
      </c>
      <c r="P24">
        <f>IFERROR(__xludf.DUMMYFUNCTION("""COMPUTED_VALUE"""),1.0)</f>
        <v>1</v>
      </c>
      <c r="Q24">
        <f>IFERROR(__xludf.DUMMYFUNCTION("""COMPUTED_VALUE"""),0.0)</f>
        <v>0</v>
      </c>
      <c r="R24" s="45" t="str">
        <f>IFERROR(__xludf.DUMMYFUNCTION("""COMPUTED_VALUE"""),"SELECCIONADO")</f>
        <v>SELECCIONADO</v>
      </c>
      <c r="S24" s="38">
        <f>IFERROR(__xludf.DUMMYFUNCTION("""COMPUTED_VALUE"""),43647.0)</f>
        <v>43647</v>
      </c>
      <c r="T24" t="str">
        <f>IFERROR(__xludf.DUMMYFUNCTION("""COMPUTED_VALUE"""),"TOLEDO VILLEGAS GERARDO ENRIQUE")</f>
        <v>TOLEDO VILLEGAS GERARDO ENRIQUE</v>
      </c>
      <c r="V24" t="str">
        <f>IFERROR(__xludf.DUMMYFUNCTION("""COMPUTED_VALUE"""),"16146459-7")</f>
        <v>16146459-7</v>
      </c>
      <c r="W24" t="str">
        <f>IFERROR(__xludf.DUMMYFUNCTION("""COMPUTED_VALUE"""),"SI")</f>
        <v>SI</v>
      </c>
      <c r="X24" t="str">
        <f>IFERROR(__xludf.DUMMYFUNCTION("""COMPUTED_VALUE"""),"Trabajo en Equipo")</f>
        <v>Trabajo en Equipo</v>
      </c>
      <c r="AA24" s="38">
        <f>IFERROR(__xludf.DUMMYFUNCTION("""COMPUTED_VALUE"""),43599.0)</f>
        <v>43599</v>
      </c>
      <c r="AB24" s="38">
        <f>IFERROR(__xludf.DUMMYFUNCTION("""COMPUTED_VALUE"""),43608.0)</f>
        <v>43608</v>
      </c>
      <c r="AH24" t="str">
        <f>IFERROR(__xludf.DUMMYFUNCTION("""COMPUTED_VALUE"""),"PROCESO DE SELECCIÓN")</f>
        <v>PROCESO DE SELECCIÓN</v>
      </c>
      <c r="AI24" t="str">
        <f>IFERROR(__xludf.DUMMYFUNCTION("""COMPUTED_VALUE"""),"-")</f>
        <v>-</v>
      </c>
      <c r="AK24" t="str">
        <f>IFERROR(__xludf.DUMMYFUNCTION("""COMPUTED_VALUE"""),"C")</f>
        <v>C</v>
      </c>
      <c r="AL24">
        <f>IFERROR(__xludf.DUMMYFUNCTION("""COMPUTED_VALUE"""),28.0)</f>
        <v>28</v>
      </c>
      <c r="AM24">
        <f>IFERROR(__xludf.DUMMYFUNCTION("""COMPUTED_VALUE"""),2019.0)</f>
        <v>2019</v>
      </c>
    </row>
    <row r="25">
      <c r="A25">
        <f>IFERROR(__xludf.DUMMYFUNCTION("""COMPUTED_VALUE"""),1.5608779E7)</f>
        <v>15608779</v>
      </c>
      <c r="B25">
        <f>IFERROR(__xludf.DUMMYFUNCTION("""COMPUTED_VALUE"""),23.0)</f>
        <v>23</v>
      </c>
      <c r="C25" t="str">
        <f>IFERROR(__xludf.DUMMYFUNCTION("""COMPUTED_VALUE"""),"A326")</f>
        <v>A326</v>
      </c>
      <c r="D25" t="str">
        <f>IFERROR(__xludf.DUMMYFUNCTION("""COMPUTED_VALUE"""),"95")</f>
        <v>95</v>
      </c>
      <c r="E25" t="str">
        <f>IFERROR(__xludf.DUMMYFUNCTION("""COMPUTED_VALUE"""),"FACULTAD DE QUIMICA Y BIOLOGIA")</f>
        <v>FACULTAD DE QUIMICA Y BIOLOGIA</v>
      </c>
      <c r="F25" t="str">
        <f>IFERROR(__xludf.DUMMYFUNCTION("""COMPUTED_VALUE"""),"Profesional Especializado(a) de Laboratorio")</f>
        <v>Profesional Especializado(a) de Laboratorio</v>
      </c>
      <c r="G25" t="str">
        <f>IFERROR(__xludf.DUMMYFUNCTION("""COMPUTED_VALUE"""),"PROFESIONAL ESPECIALIZADO DE LABORATORIO ( ESPECIALISTA EQUIPO EQM 160036)")</f>
        <v>PROFESIONAL ESPECIALIZADO DE LABORATORIO ( ESPECIALISTA EQUIPO EQM 160036)</v>
      </c>
      <c r="H25">
        <f>IFERROR(__xludf.DUMMYFUNCTION("""COMPUTED_VALUE"""),11.0)</f>
        <v>11</v>
      </c>
      <c r="I25" t="str">
        <f>IFERROR(__xludf.DUMMYFUNCTION("""COMPUTED_VALUE"""),"1/2 Jornada")</f>
        <v>1/2 Jornada</v>
      </c>
      <c r="J25" t="str">
        <f>IFERROR(__xludf.DUMMYFUNCTION("""COMPUTED_VALUE"""),"A CONTRATA")</f>
        <v>A CONTRATA</v>
      </c>
      <c r="K25" t="str">
        <f>IFERROR(__xludf.DUMMYFUNCTION("""COMPUTED_VALUE"""),"PROFESIONAL")</f>
        <v>PROFESIONAL</v>
      </c>
      <c r="L25" t="str">
        <f>IFERROR(__xludf.DUMMYFUNCTION("""COMPUTED_VALUE"""),"INTERNO")</f>
        <v>INTERNO</v>
      </c>
      <c r="M25">
        <f>IFERROR(__xludf.DUMMYFUNCTION("""COMPUTED_VALUE"""),1.0)</f>
        <v>1</v>
      </c>
      <c r="N25" t="str">
        <f>IFERROR(__xludf.DUMMYFUNCTION("""COMPUTED_VALUE"""),"NO")</f>
        <v>NO</v>
      </c>
      <c r="P25">
        <f>IFERROR(__xludf.DUMMYFUNCTION("""COMPUTED_VALUE"""),1.0)</f>
        <v>1</v>
      </c>
      <c r="Q25">
        <f>IFERROR(__xludf.DUMMYFUNCTION("""COMPUTED_VALUE"""),0.0)</f>
        <v>0</v>
      </c>
      <c r="R25" s="45" t="str">
        <f>IFERROR(__xludf.DUMMYFUNCTION("""COMPUTED_VALUE"""),"SELECCIONADO")</f>
        <v>SELECCIONADO</v>
      </c>
      <c r="S25" s="38">
        <f>IFERROR(__xludf.DUMMYFUNCTION("""COMPUTED_VALUE"""),43647.0)</f>
        <v>43647</v>
      </c>
      <c r="T25" t="str">
        <f>IFERROR(__xludf.DUMMYFUNCTION("""COMPUTED_VALUE"""),"SILVA MOLINA CARLOS")</f>
        <v>SILVA MOLINA CARLOS</v>
      </c>
      <c r="V25" t="str">
        <f>IFERROR(__xludf.DUMMYFUNCTION("""COMPUTED_VALUE"""),"15608779-3")</f>
        <v>15608779-3</v>
      </c>
      <c r="W25" t="str">
        <f>IFERROR(__xludf.DUMMYFUNCTION("""COMPUTED_VALUE"""),"SI")</f>
        <v>SI</v>
      </c>
      <c r="X25" t="str">
        <f>IFERROR(__xludf.DUMMYFUNCTION("""COMPUTED_VALUE"""),"Capacidad de Planificacion y Organizacion")</f>
        <v>Capacidad de Planificacion y Organizacion</v>
      </c>
      <c r="AA25" s="38">
        <f>IFERROR(__xludf.DUMMYFUNCTION("""COMPUTED_VALUE"""),43584.0)</f>
        <v>43584</v>
      </c>
      <c r="AB25" s="38">
        <f>IFERROR(__xludf.DUMMYFUNCTION("""COMPUTED_VALUE"""),43594.0)</f>
        <v>43594</v>
      </c>
      <c r="AH25" t="str">
        <f>IFERROR(__xludf.DUMMYFUNCTION("""COMPUTED_VALUE"""),"PROCESO DE SELECCIÓN")</f>
        <v>PROCESO DE SELECCIÓN</v>
      </c>
      <c r="AI25" t="str">
        <f>IFERROR(__xludf.DUMMYFUNCTION("""COMPUTED_VALUE"""),"-")</f>
        <v>-</v>
      </c>
      <c r="AK25" t="str">
        <f>IFERROR(__xludf.DUMMYFUNCTION("""COMPUTED_VALUE"""),"C")</f>
        <v>C</v>
      </c>
      <c r="AL25">
        <f>IFERROR(__xludf.DUMMYFUNCTION("""COMPUTED_VALUE"""),38.0)</f>
        <v>38</v>
      </c>
      <c r="AM25">
        <f>IFERROR(__xludf.DUMMYFUNCTION("""COMPUTED_VALUE"""),2019.0)</f>
        <v>2019</v>
      </c>
    </row>
    <row r="26">
      <c r="A26">
        <f>IFERROR(__xludf.DUMMYFUNCTION("""COMPUTED_VALUE"""),1.6331696E7)</f>
        <v>16331696</v>
      </c>
      <c r="B26">
        <f>IFERROR(__xludf.DUMMYFUNCTION("""COMPUTED_VALUE"""),24.0)</f>
        <v>24</v>
      </c>
      <c r="C26" t="str">
        <f>IFERROR(__xludf.DUMMYFUNCTION("""COMPUTED_VALUE"""),"A290")</f>
        <v>A290</v>
      </c>
      <c r="D26" t="str">
        <f>IFERROR(__xludf.DUMMYFUNCTION("""COMPUTED_VALUE"""),"15")</f>
        <v>15</v>
      </c>
      <c r="E26" t="str">
        <f>IFERROR(__xludf.DUMMYFUNCTION("""COMPUTED_VALUE"""),"UNIDAD DE BIBLIOTECAS")</f>
        <v>UNIDAD DE BIBLIOTECAS</v>
      </c>
      <c r="F26" t="str">
        <f>IFERROR(__xludf.DUMMYFUNCTION("""COMPUTED_VALUE"""),"Bibliotecario(a)")</f>
        <v>Bibliotecario(a)</v>
      </c>
      <c r="G26" t="str">
        <f>IFERROR(__xludf.DUMMYFUNCTION("""COMPUTED_VALUE"""),"BIBLIOTECARIO")</f>
        <v>BIBLIOTECARIO</v>
      </c>
      <c r="H26">
        <f>IFERROR(__xludf.DUMMYFUNCTION("""COMPUTED_VALUE"""),14.0)</f>
        <v>14</v>
      </c>
      <c r="I26" t="str">
        <f>IFERROR(__xludf.DUMMYFUNCTION("""COMPUTED_VALUE"""),"Jornada Completa")</f>
        <v>Jornada Completa</v>
      </c>
      <c r="J26" t="str">
        <f>IFERROR(__xludf.DUMMYFUNCTION("""COMPUTED_VALUE"""),"A CONTRATA")</f>
        <v>A CONTRATA</v>
      </c>
      <c r="K26" t="str">
        <f>IFERROR(__xludf.DUMMYFUNCTION("""COMPUTED_VALUE"""),"PROFESIONAL")</f>
        <v>PROFESIONAL</v>
      </c>
      <c r="L26" t="str">
        <f>IFERROR(__xludf.DUMMYFUNCTION("""COMPUTED_VALUE"""),"INTERNO")</f>
        <v>INTERNO</v>
      </c>
      <c r="M26">
        <f>IFERROR(__xludf.DUMMYFUNCTION("""COMPUTED_VALUE"""),2.0)</f>
        <v>2</v>
      </c>
      <c r="N26" t="str">
        <f>IFERROR(__xludf.DUMMYFUNCTION("""COMPUTED_VALUE"""),"NO")</f>
        <v>NO</v>
      </c>
      <c r="P26">
        <f>IFERROR(__xludf.DUMMYFUNCTION("""COMPUTED_VALUE"""),1.0)</f>
        <v>1</v>
      </c>
      <c r="Q26">
        <f>IFERROR(__xludf.DUMMYFUNCTION("""COMPUTED_VALUE"""),0.0)</f>
        <v>0</v>
      </c>
      <c r="R26" s="45" t="str">
        <f>IFERROR(__xludf.DUMMYFUNCTION("""COMPUTED_VALUE"""),"SELECCIONADO")</f>
        <v>SELECCIONADO</v>
      </c>
      <c r="S26" s="38">
        <f>IFERROR(__xludf.DUMMYFUNCTION("""COMPUTED_VALUE"""),43656.0)</f>
        <v>43656</v>
      </c>
      <c r="T26" t="str">
        <f>IFERROR(__xludf.DUMMYFUNCTION("""COMPUTED_VALUE"""),"FARIAS LARENAS DANILO")</f>
        <v>FARIAS LARENAS DANILO</v>
      </c>
      <c r="V26" t="str">
        <f>IFERROR(__xludf.DUMMYFUNCTION("""COMPUTED_VALUE"""),"16331696-K")</f>
        <v>16331696-K</v>
      </c>
      <c r="W26" t="str">
        <f>IFERROR(__xludf.DUMMYFUNCTION("""COMPUTED_VALUE"""),"SI")</f>
        <v>SI</v>
      </c>
      <c r="X26" t="str">
        <f>IFERROR(__xludf.DUMMYFUNCTION("""COMPUTED_VALUE"""),"Trabajo en Equipo")</f>
        <v>Trabajo en Equipo</v>
      </c>
      <c r="Y26" t="str">
        <f>IFERROR(__xludf.DUMMYFUNCTION("""COMPUTED_VALUE"""),"Preocupacion por el Orden y la Claridad")</f>
        <v>Preocupacion por el Orden y la Claridad</v>
      </c>
      <c r="AA26" s="38">
        <f>IFERROR(__xludf.DUMMYFUNCTION("""COMPUTED_VALUE"""),43598.0)</f>
        <v>43598</v>
      </c>
      <c r="AB26" s="38">
        <f>IFERROR(__xludf.DUMMYFUNCTION("""COMPUTED_VALUE"""),43607.0)</f>
        <v>43607</v>
      </c>
      <c r="AH26" t="str">
        <f>IFERROR(__xludf.DUMMYFUNCTION("""COMPUTED_VALUE"""),"PROCESO DE SELECCIÓN")</f>
        <v>PROCESO DE SELECCIÓN</v>
      </c>
      <c r="AI26" t="str">
        <f>IFERROR(__xludf.DUMMYFUNCTION("""COMPUTED_VALUE"""),"PICHIHUECHE VIERA PAULINA")</f>
        <v>PICHIHUECHE VIERA PAULINA</v>
      </c>
      <c r="AK26" t="str">
        <f>IFERROR(__xludf.DUMMYFUNCTION("""COMPUTED_VALUE"""),"C")</f>
        <v>C</v>
      </c>
      <c r="AL26">
        <f>IFERROR(__xludf.DUMMYFUNCTION("""COMPUTED_VALUE"""),36.0)</f>
        <v>36</v>
      </c>
      <c r="AM26">
        <f>IFERROR(__xludf.DUMMYFUNCTION("""COMPUTED_VALUE"""),2019.0)</f>
        <v>2019</v>
      </c>
    </row>
    <row r="27">
      <c r="A27">
        <f>IFERROR(__xludf.DUMMYFUNCTION("""COMPUTED_VALUE"""),1.3151557E7)</f>
        <v>13151557</v>
      </c>
      <c r="B27">
        <f>IFERROR(__xludf.DUMMYFUNCTION("""COMPUTED_VALUE"""),25.0)</f>
        <v>25</v>
      </c>
      <c r="C27" t="str">
        <f>IFERROR(__xludf.DUMMYFUNCTION("""COMPUTED_VALUE"""),"A281")</f>
        <v>A281</v>
      </c>
      <c r="D27" t="str">
        <f>IFERROR(__xludf.DUMMYFUNCTION("""COMPUTED_VALUE"""),"3")</f>
        <v>3</v>
      </c>
      <c r="E27" t="str">
        <f>IFERROR(__xludf.DUMMYFUNCTION("""COMPUTED_VALUE"""),"DPTO. DE FINANZAS Y TESORERIA")</f>
        <v>DPTO. DE FINANZAS Y TESORERIA</v>
      </c>
      <c r="F27" t="str">
        <f>IFERROR(__xludf.DUMMYFUNCTION("""COMPUTED_VALUE"""),"Analista Contable II")</f>
        <v>Analista Contable II</v>
      </c>
      <c r="G27" t="str">
        <f>IFERROR(__xludf.DUMMYFUNCTION("""COMPUTED_VALUE"""),"ANALISTA CONTABLE II")</f>
        <v>ANALISTA CONTABLE II</v>
      </c>
      <c r="H27">
        <f>IFERROR(__xludf.DUMMYFUNCTION("""COMPUTED_VALUE"""),13.0)</f>
        <v>13</v>
      </c>
      <c r="I27" t="str">
        <f>IFERROR(__xludf.DUMMYFUNCTION("""COMPUTED_VALUE"""),"Jornada Completa")</f>
        <v>Jornada Completa</v>
      </c>
      <c r="J27" t="str">
        <f>IFERROR(__xludf.DUMMYFUNCTION("""COMPUTED_VALUE"""),"A CONTRATA")</f>
        <v>A CONTRATA</v>
      </c>
      <c r="K27" t="str">
        <f>IFERROR(__xludf.DUMMYFUNCTION("""COMPUTED_VALUE"""),"PROFESIONAL")</f>
        <v>PROFESIONAL</v>
      </c>
      <c r="L27" t="str">
        <f>IFERROR(__xludf.DUMMYFUNCTION("""COMPUTED_VALUE"""),"INTERNO")</f>
        <v>INTERNO</v>
      </c>
      <c r="M27">
        <f>IFERROR(__xludf.DUMMYFUNCTION("""COMPUTED_VALUE"""),0.0)</f>
        <v>0</v>
      </c>
      <c r="N27" t="str">
        <f>IFERROR(__xludf.DUMMYFUNCTION("""COMPUTED_VALUE"""),"EXTERNO")</f>
        <v>EXTERNO</v>
      </c>
      <c r="O27">
        <f>IFERROR(__xludf.DUMMYFUNCTION("""COMPUTED_VALUE"""),17.0)</f>
        <v>17</v>
      </c>
      <c r="P27">
        <f>IFERROR(__xludf.DUMMYFUNCTION("""COMPUTED_VALUE"""),4.0)</f>
        <v>4</v>
      </c>
      <c r="Q27">
        <f>IFERROR(__xludf.DUMMYFUNCTION("""COMPUTED_VALUE"""),0.0)</f>
        <v>0</v>
      </c>
      <c r="R27" s="45" t="str">
        <f>IFERROR(__xludf.DUMMYFUNCTION("""COMPUTED_VALUE"""),"SELECCIONADO")</f>
        <v>SELECCIONADO</v>
      </c>
      <c r="S27" s="38">
        <f>IFERROR(__xludf.DUMMYFUNCTION("""COMPUTED_VALUE"""),43654.0)</f>
        <v>43654</v>
      </c>
      <c r="U27" t="str">
        <f>IFERROR(__xludf.DUMMYFUNCTION("""COMPUTED_VALUE"""),"DIAZ HUENCHULLAN VICTOR")</f>
        <v>DIAZ HUENCHULLAN VICTOR</v>
      </c>
      <c r="V27" t="str">
        <f>IFERROR(__xludf.DUMMYFUNCTION("""COMPUTED_VALUE"""),"13151557-K")</f>
        <v>13151557-K</v>
      </c>
      <c r="W27" t="str">
        <f>IFERROR(__xludf.DUMMYFUNCTION("""COMPUTED_VALUE"""),"SI")</f>
        <v>SI</v>
      </c>
      <c r="X27" t="str">
        <f>IFERROR(__xludf.DUMMYFUNCTION("""COMPUTED_VALUE"""),"Capacidad de Planificacion y Organizacion")</f>
        <v>Capacidad de Planificacion y Organizacion</v>
      </c>
      <c r="Y27" t="str">
        <f>IFERROR(__xludf.DUMMYFUNCTION("""COMPUTED_VALUE"""),"Iniciativa")</f>
        <v>Iniciativa</v>
      </c>
      <c r="AA27" s="38">
        <f>IFERROR(__xludf.DUMMYFUNCTION("""COMPUTED_VALUE"""),43577.0)</f>
        <v>43577</v>
      </c>
      <c r="AB27" s="38">
        <f>IFERROR(__xludf.DUMMYFUNCTION("""COMPUTED_VALUE"""),43584.0)</f>
        <v>43584</v>
      </c>
      <c r="AH27" t="str">
        <f>IFERROR(__xludf.DUMMYFUNCTION("""COMPUTED_VALUE"""),"PROCESO DE SELECCIÓN")</f>
        <v>PROCESO DE SELECCIÓN</v>
      </c>
      <c r="AI27" t="str">
        <f>IFERROR(__xludf.DUMMYFUNCTION("""COMPUTED_VALUE"""),"DIAZ MORALES CAROLINA")</f>
        <v>DIAZ MORALES CAROLINA</v>
      </c>
      <c r="AK27" t="str">
        <f>IFERROR(__xludf.DUMMYFUNCTION("""COMPUTED_VALUE"""),"E")</f>
        <v>E</v>
      </c>
      <c r="AL27">
        <f>IFERROR(__xludf.DUMMYFUNCTION("""COMPUTED_VALUE"""),51.0)</f>
        <v>51</v>
      </c>
      <c r="AM27">
        <f>IFERROR(__xludf.DUMMYFUNCTION("""COMPUTED_VALUE"""),2019.0)</f>
        <v>2019</v>
      </c>
    </row>
    <row r="28">
      <c r="A28">
        <f>IFERROR(__xludf.DUMMYFUNCTION("""COMPUTED_VALUE"""),1.4905714E7)</f>
        <v>14905714</v>
      </c>
      <c r="B28">
        <f>IFERROR(__xludf.DUMMYFUNCTION("""COMPUTED_VALUE"""),26.0)</f>
        <v>26</v>
      </c>
      <c r="C28" t="str">
        <f>IFERROR(__xludf.DUMMYFUNCTION("""COMPUTED_VALUE"""),"A259")</f>
        <v>A259</v>
      </c>
      <c r="D28" t="str">
        <f>IFERROR(__xludf.DUMMYFUNCTION("""COMPUTED_VALUE"""),"40")</f>
        <v>40</v>
      </c>
      <c r="E28" t="str">
        <f>IFERROR(__xludf.DUMMYFUNCTION("""COMPUTED_VALUE"""),"DPTO. DE INGENIERIA INFORMATICA")</f>
        <v>DPTO. DE INGENIERIA INFORMATICA</v>
      </c>
      <c r="F28" t="str">
        <f>IFERROR(__xludf.DUMMYFUNCTION("""COMPUTED_VALUE"""),"Mayordomo(a)")</f>
        <v>Mayordomo(a)</v>
      </c>
      <c r="G28" t="str">
        <f>IFERROR(__xludf.DUMMYFUNCTION("""COMPUTED_VALUE"""),"MAYORDOMO")</f>
        <v>MAYORDOMO</v>
      </c>
      <c r="H28">
        <f>IFERROR(__xludf.DUMMYFUNCTION("""COMPUTED_VALUE"""),21.0)</f>
        <v>21</v>
      </c>
      <c r="I28" t="str">
        <f>IFERROR(__xludf.DUMMYFUNCTION("""COMPUTED_VALUE"""),"Jornada Completa")</f>
        <v>Jornada Completa</v>
      </c>
      <c r="J28" t="str">
        <f>IFERROR(__xludf.DUMMYFUNCTION("""COMPUTED_VALUE"""),"A CONTRATA")</f>
        <v>A CONTRATA</v>
      </c>
      <c r="K28" t="str">
        <f>IFERROR(__xludf.DUMMYFUNCTION("""COMPUTED_VALUE"""),"AUXILIAR")</f>
        <v>AUXILIAR</v>
      </c>
      <c r="L28" t="str">
        <f>IFERROR(__xludf.DUMMYFUNCTION("""COMPUTED_VALUE"""),"INTERNO")</f>
        <v>INTERNO</v>
      </c>
      <c r="M28">
        <f>IFERROR(__xludf.DUMMYFUNCTION("""COMPUTED_VALUE"""),0.0)</f>
        <v>0</v>
      </c>
      <c r="N28" t="str">
        <f>IFERROR(__xludf.DUMMYFUNCTION("""COMPUTED_VALUE"""),"EXTERNO")</f>
        <v>EXTERNO</v>
      </c>
      <c r="O28">
        <f>IFERROR(__xludf.DUMMYFUNCTION("""COMPUTED_VALUE"""),10.0)</f>
        <v>10</v>
      </c>
      <c r="P28">
        <f>IFERROR(__xludf.DUMMYFUNCTION("""COMPUTED_VALUE"""),2.0)</f>
        <v>2</v>
      </c>
      <c r="Q28">
        <f>IFERROR(__xludf.DUMMYFUNCTION("""COMPUTED_VALUE"""),0.0)</f>
        <v>0</v>
      </c>
      <c r="R28" s="45" t="str">
        <f>IFERROR(__xludf.DUMMYFUNCTION("""COMPUTED_VALUE"""),"SELECCIONADO")</f>
        <v>SELECCIONADO</v>
      </c>
      <c r="S28" s="38">
        <f>IFERROR(__xludf.DUMMYFUNCTION("""COMPUTED_VALUE"""),43658.0)</f>
        <v>43658</v>
      </c>
      <c r="U28" t="str">
        <f>IFERROR(__xludf.DUMMYFUNCTION("""COMPUTED_VALUE"""),"VALENZUELA SANDOVAL JONATHAN")</f>
        <v>VALENZUELA SANDOVAL JONATHAN</v>
      </c>
      <c r="V28" t="str">
        <f>IFERROR(__xludf.DUMMYFUNCTION("""COMPUTED_VALUE"""),"14905714-5")</f>
        <v>14905714-5</v>
      </c>
      <c r="W28" t="str">
        <f>IFERROR(__xludf.DUMMYFUNCTION("""COMPUTED_VALUE"""),"NO")</f>
        <v>NO</v>
      </c>
      <c r="AA28" s="38">
        <f>IFERROR(__xludf.DUMMYFUNCTION("""COMPUTED_VALUE"""),43619.0)</f>
        <v>43619</v>
      </c>
      <c r="AB28" s="38">
        <f>IFERROR(__xludf.DUMMYFUNCTION("""COMPUTED_VALUE"""),43626.0)</f>
        <v>43626</v>
      </c>
      <c r="AH28" t="str">
        <f>IFERROR(__xludf.DUMMYFUNCTION("""COMPUTED_VALUE"""),"PROCESO DE SELECCIÓN")</f>
        <v>PROCESO DE SELECCIÓN</v>
      </c>
      <c r="AI28" t="str">
        <f>IFERROR(__xludf.DUMMYFUNCTION("""COMPUTED_VALUE"""),"CASTRO AGUSTO PEDRO")</f>
        <v>CASTRO AGUSTO PEDRO</v>
      </c>
      <c r="AK28" t="str">
        <f>IFERROR(__xludf.DUMMYFUNCTION("""COMPUTED_VALUE"""),"E")</f>
        <v>E</v>
      </c>
      <c r="AL28">
        <f>IFERROR(__xludf.DUMMYFUNCTION("""COMPUTED_VALUE"""),25.0)</f>
        <v>25</v>
      </c>
      <c r="AM28">
        <f>IFERROR(__xludf.DUMMYFUNCTION("""COMPUTED_VALUE"""),2019.0)</f>
        <v>2019</v>
      </c>
    </row>
    <row r="29">
      <c r="A29">
        <f>IFERROR(__xludf.DUMMYFUNCTION("""COMPUTED_VALUE"""),1.1299063E7)</f>
        <v>11299063</v>
      </c>
      <c r="B29">
        <f>IFERROR(__xludf.DUMMYFUNCTION("""COMPUTED_VALUE"""),27.0)</f>
        <v>27</v>
      </c>
      <c r="C29" t="str">
        <f>IFERROR(__xludf.DUMMYFUNCTION("""COMPUTED_VALUE"""),"A302")</f>
        <v>A302</v>
      </c>
      <c r="D29" t="str">
        <f>IFERROR(__xludf.DUMMYFUNCTION("""COMPUTED_VALUE"""),"15")</f>
        <v>15</v>
      </c>
      <c r="E29" t="str">
        <f>IFERROR(__xludf.DUMMYFUNCTION("""COMPUTED_VALUE"""),"UNIDAD DE REGISTRO ACADEMICO Y CURRICULAR")</f>
        <v>UNIDAD DE REGISTRO ACADEMICO Y CURRICULAR</v>
      </c>
      <c r="F29" t="str">
        <f>IFERROR(__xludf.DUMMYFUNCTION("""COMPUTED_VALUE"""),"Administrativo(a) de Registro Curricular")</f>
        <v>Administrativo(a) de Registro Curricular</v>
      </c>
      <c r="G29" t="str">
        <f>IFERROR(__xludf.DUMMYFUNCTION("""COMPUTED_VALUE"""),"ADMINISTRATIVA DE REGISTRO CURRICULAR ( TITULADORA)")</f>
        <v>ADMINISTRATIVA DE REGISTRO CURRICULAR ( TITULADORA)</v>
      </c>
      <c r="H29">
        <f>IFERROR(__xludf.DUMMYFUNCTION("""COMPUTED_VALUE"""),17.0)</f>
        <v>17</v>
      </c>
      <c r="I29" t="str">
        <f>IFERROR(__xludf.DUMMYFUNCTION("""COMPUTED_VALUE"""),"Jornada Completa")</f>
        <v>Jornada Completa</v>
      </c>
      <c r="J29" t="str">
        <f>IFERROR(__xludf.DUMMYFUNCTION("""COMPUTED_VALUE"""),"A CONTRATA")</f>
        <v>A CONTRATA</v>
      </c>
      <c r="K29" t="str">
        <f>IFERROR(__xludf.DUMMYFUNCTION("""COMPUTED_VALUE"""),"ADMINISTRATIVO")</f>
        <v>ADMINISTRATIVO</v>
      </c>
      <c r="L29" t="str">
        <f>IFERROR(__xludf.DUMMYFUNCTION("""COMPUTED_VALUE"""),"INTERNO")</f>
        <v>INTERNO</v>
      </c>
      <c r="M29">
        <f>IFERROR(__xludf.DUMMYFUNCTION("""COMPUTED_VALUE"""),5.0)</f>
        <v>5</v>
      </c>
      <c r="N29" t="str">
        <f>IFERROR(__xludf.DUMMYFUNCTION("""COMPUTED_VALUE"""),"NO")</f>
        <v>NO</v>
      </c>
      <c r="P29">
        <f>IFERROR(__xludf.DUMMYFUNCTION("""COMPUTED_VALUE"""),3.0)</f>
        <v>3</v>
      </c>
      <c r="Q29">
        <f>IFERROR(__xludf.DUMMYFUNCTION("""COMPUTED_VALUE"""),0.0)</f>
        <v>0</v>
      </c>
      <c r="R29" s="45" t="str">
        <f>IFERROR(__xludf.DUMMYFUNCTION("""COMPUTED_VALUE"""),"SELECCIONADA")</f>
        <v>SELECCIONADA</v>
      </c>
      <c r="S29" s="38">
        <f>IFERROR(__xludf.DUMMYFUNCTION("""COMPUTED_VALUE"""),43657.0)</f>
        <v>43657</v>
      </c>
      <c r="T29" t="str">
        <f>IFERROR(__xludf.DUMMYFUNCTION("""COMPUTED_VALUE"""),"VARGAS SERRANO LUIS OSVALDO")</f>
        <v>VARGAS SERRANO LUIS OSVALDO</v>
      </c>
      <c r="V29" t="str">
        <f>IFERROR(__xludf.DUMMYFUNCTION("""COMPUTED_VALUE"""),"11299063-1")</f>
        <v>11299063-1</v>
      </c>
      <c r="W29" t="str">
        <f>IFERROR(__xludf.DUMMYFUNCTION("""COMPUTED_VALUE"""),"SI")</f>
        <v>SI</v>
      </c>
      <c r="X29" t="str">
        <f>IFERROR(__xludf.DUMMYFUNCTION("""COMPUTED_VALUE"""),"Trabajo en Equipo")</f>
        <v>Trabajo en Equipo</v>
      </c>
      <c r="Y29" t="str">
        <f>IFERROR(__xludf.DUMMYFUNCTION("""COMPUTED_VALUE"""),"Orientacion a los Resultados")</f>
        <v>Orientacion a los Resultados</v>
      </c>
      <c r="AA29" s="38">
        <f>IFERROR(__xludf.DUMMYFUNCTION("""COMPUTED_VALUE"""),43563.0)</f>
        <v>43563</v>
      </c>
      <c r="AB29" s="38">
        <f>IFERROR(__xludf.DUMMYFUNCTION("""COMPUTED_VALUE"""),43570.0)</f>
        <v>43570</v>
      </c>
      <c r="AH29" t="str">
        <f>IFERROR(__xludf.DUMMYFUNCTION("""COMPUTED_VALUE"""),"PROCESO DE SELECCIÓN")</f>
        <v>PROCESO DE SELECCIÓN</v>
      </c>
      <c r="AI29" t="str">
        <f>IFERROR(__xludf.DUMMYFUNCTION("""COMPUTED_VALUE"""),"MATUS ARANEDA JUAN")</f>
        <v>MATUS ARANEDA JUAN</v>
      </c>
      <c r="AK29" t="str">
        <f>IFERROR(__xludf.DUMMYFUNCTION("""COMPUTED_VALUE"""),"C")</f>
        <v>C</v>
      </c>
      <c r="AL29">
        <f>IFERROR(__xludf.DUMMYFUNCTION("""COMPUTED_VALUE"""),64.0)</f>
        <v>64</v>
      </c>
      <c r="AM29">
        <f>IFERROR(__xludf.DUMMYFUNCTION("""COMPUTED_VALUE"""),2019.0)</f>
        <v>2019</v>
      </c>
    </row>
    <row r="30">
      <c r="A30">
        <f>IFERROR(__xludf.DUMMYFUNCTION("""COMPUTED_VALUE"""),1.5083887E7)</f>
        <v>15083887</v>
      </c>
      <c r="B30">
        <f>IFERROR(__xludf.DUMMYFUNCTION("""COMPUTED_VALUE"""),28.0)</f>
        <v>28</v>
      </c>
      <c r="C30" t="str">
        <f>IFERROR(__xludf.DUMMYFUNCTION("""COMPUTED_VALUE"""),"A308")</f>
        <v>A308</v>
      </c>
      <c r="D30" t="str">
        <f>IFERROR(__xludf.DUMMYFUNCTION("""COMPUTED_VALUE"""),"83")</f>
        <v>83</v>
      </c>
      <c r="E30" t="str">
        <f>IFERROR(__xludf.DUMMYFUNCTION("""COMPUTED_VALUE"""),"ESCUELA DE MEDICINA")</f>
        <v>ESCUELA DE MEDICINA</v>
      </c>
      <c r="F30" t="str">
        <f>IFERROR(__xludf.DUMMYFUNCTION("""COMPUTED_VALUE"""),"Secretario(a) B")</f>
        <v>Secretario(a) B</v>
      </c>
      <c r="G30" t="str">
        <f>IFERROR(__xludf.DUMMYFUNCTION("""COMPUTED_VALUE"""),"SECRETARIA B")</f>
        <v>SECRETARIA B</v>
      </c>
      <c r="H30">
        <f>IFERROR(__xludf.DUMMYFUNCTION("""COMPUTED_VALUE"""),17.0)</f>
        <v>17</v>
      </c>
      <c r="I30" t="str">
        <f>IFERROR(__xludf.DUMMYFUNCTION("""COMPUTED_VALUE"""),"Jornada Completa")</f>
        <v>Jornada Completa</v>
      </c>
      <c r="J30" t="str">
        <f>IFERROR(__xludf.DUMMYFUNCTION("""COMPUTED_VALUE"""),"A CONTRATA")</f>
        <v>A CONTRATA</v>
      </c>
      <c r="K30" t="str">
        <f>IFERROR(__xludf.DUMMYFUNCTION("""COMPUTED_VALUE"""),"ADMINISTRATIVO")</f>
        <v>ADMINISTRATIVO</v>
      </c>
      <c r="L30" t="str">
        <f>IFERROR(__xludf.DUMMYFUNCTION("""COMPUTED_VALUE"""),"INTERNO")</f>
        <v>INTERNO</v>
      </c>
      <c r="M30">
        <f>IFERROR(__xludf.DUMMYFUNCTION("""COMPUTED_VALUE"""),3.0)</f>
        <v>3</v>
      </c>
      <c r="N30" t="str">
        <f>IFERROR(__xludf.DUMMYFUNCTION("""COMPUTED_VALUE"""),"NO")</f>
        <v>NO</v>
      </c>
      <c r="P30">
        <f>IFERROR(__xludf.DUMMYFUNCTION("""COMPUTED_VALUE"""),1.0)</f>
        <v>1</v>
      </c>
      <c r="Q30">
        <f>IFERROR(__xludf.DUMMYFUNCTION("""COMPUTED_VALUE"""),0.0)</f>
        <v>0</v>
      </c>
      <c r="R30" s="45" t="str">
        <f>IFERROR(__xludf.DUMMYFUNCTION("""COMPUTED_VALUE"""),"SELECCIONADA")</f>
        <v>SELECCIONADA</v>
      </c>
      <c r="S30" s="38">
        <f>IFERROR(__xludf.DUMMYFUNCTION("""COMPUTED_VALUE"""),43654.0)</f>
        <v>43654</v>
      </c>
      <c r="T30" t="str">
        <f>IFERROR(__xludf.DUMMYFUNCTION("""COMPUTED_VALUE"""),"MUÑOZ GUERRA MARIBEL")</f>
        <v>MUÑOZ GUERRA MARIBEL</v>
      </c>
      <c r="V30" t="str">
        <f>IFERROR(__xludf.DUMMYFUNCTION("""COMPUTED_VALUE"""),"15083887-8")</f>
        <v>15083887-8</v>
      </c>
      <c r="W30" t="str">
        <f>IFERROR(__xludf.DUMMYFUNCTION("""COMPUTED_VALUE"""),"SI")</f>
        <v>SI</v>
      </c>
      <c r="X30" t="str">
        <f>IFERROR(__xludf.DUMMYFUNCTION("""COMPUTED_VALUE"""),"Trabajo en Equipo")</f>
        <v>Trabajo en Equipo</v>
      </c>
      <c r="AA30" s="38">
        <f>IFERROR(__xludf.DUMMYFUNCTION("""COMPUTED_VALUE"""),43621.0)</f>
        <v>43621</v>
      </c>
      <c r="AB30" s="38">
        <f>IFERROR(__xludf.DUMMYFUNCTION("""COMPUTED_VALUE"""),43623.0)</f>
        <v>43623</v>
      </c>
      <c r="AH30" t="str">
        <f>IFERROR(__xludf.DUMMYFUNCTION("""COMPUTED_VALUE"""),"PROCESO DE SELECCIÓN")</f>
        <v>PROCESO DE SELECCIÓN</v>
      </c>
      <c r="AI30" t="str">
        <f>IFERROR(__xludf.DUMMYFUNCTION("""COMPUTED_VALUE"""),"OLMEDO QUEVEDO ELIZABETH")</f>
        <v>OLMEDO QUEVEDO ELIZABETH</v>
      </c>
      <c r="AK30" t="str">
        <f>IFERROR(__xludf.DUMMYFUNCTION("""COMPUTED_VALUE"""),"C")</f>
        <v>C</v>
      </c>
      <c r="AL30">
        <f>IFERROR(__xludf.DUMMYFUNCTION("""COMPUTED_VALUE"""),22.0)</f>
        <v>22</v>
      </c>
      <c r="AM30">
        <f>IFERROR(__xludf.DUMMYFUNCTION("""COMPUTED_VALUE"""),2019.0)</f>
        <v>2019</v>
      </c>
    </row>
    <row r="31">
      <c r="A31">
        <f>IFERROR(__xludf.DUMMYFUNCTION("""COMPUTED_VALUE"""),1.8394658E7)</f>
        <v>18394658</v>
      </c>
      <c r="B31">
        <f>IFERROR(__xludf.DUMMYFUNCTION("""COMPUTED_VALUE"""),29.0)</f>
        <v>29</v>
      </c>
      <c r="C31" t="str">
        <f>IFERROR(__xludf.DUMMYFUNCTION("""COMPUTED_VALUE"""),"A353")</f>
        <v>A353</v>
      </c>
      <c r="D31" t="str">
        <f>IFERROR(__xludf.DUMMYFUNCTION("""COMPUTED_VALUE"""),"15")</f>
        <v>15</v>
      </c>
      <c r="E31" t="str">
        <f>IFERROR(__xludf.DUMMYFUNCTION("""COMPUTED_VALUE"""),"UNIDAD DE REGISTRO ACADEMICO Y CURRICULAR")</f>
        <v>UNIDAD DE REGISTRO ACADEMICO Y CURRICULAR</v>
      </c>
      <c r="F31" t="str">
        <f>IFERROR(__xludf.DUMMYFUNCTION("""COMPUTED_VALUE"""),"Analista de Gestión II")</f>
        <v>Analista de Gestión II</v>
      </c>
      <c r="G31" t="str">
        <f>IFERROR(__xludf.DUMMYFUNCTION("""COMPUTED_VALUE"""),"ANALISTA DE GESTION II ( ANALISTA CURRICULAR)")</f>
        <v>ANALISTA DE GESTION II ( ANALISTA CURRICULAR)</v>
      </c>
      <c r="H31">
        <f>IFERROR(__xludf.DUMMYFUNCTION("""COMPUTED_VALUE"""),13.0)</f>
        <v>13</v>
      </c>
      <c r="I31" t="str">
        <f>IFERROR(__xludf.DUMMYFUNCTION("""COMPUTED_VALUE"""),"Jornada Completa")</f>
        <v>Jornada Completa</v>
      </c>
      <c r="J31" t="str">
        <f>IFERROR(__xludf.DUMMYFUNCTION("""COMPUTED_VALUE"""),"A CONTRATA")</f>
        <v>A CONTRATA</v>
      </c>
      <c r="K31" t="str">
        <f>IFERROR(__xludf.DUMMYFUNCTION("""COMPUTED_VALUE"""),"PROFESIONAL")</f>
        <v>PROFESIONAL</v>
      </c>
      <c r="L31" t="str">
        <f>IFERROR(__xludf.DUMMYFUNCTION("""COMPUTED_VALUE"""),"INTERNO")</f>
        <v>INTERNO</v>
      </c>
      <c r="M31">
        <f>IFERROR(__xludf.DUMMYFUNCTION("""COMPUTED_VALUE"""),7.0)</f>
        <v>7</v>
      </c>
      <c r="N31" t="str">
        <f>IFERROR(__xludf.DUMMYFUNCTION("""COMPUTED_VALUE"""),"NO")</f>
        <v>NO</v>
      </c>
      <c r="P31">
        <f>IFERROR(__xludf.DUMMYFUNCTION("""COMPUTED_VALUE"""),1.0)</f>
        <v>1</v>
      </c>
      <c r="Q31">
        <f>IFERROR(__xludf.DUMMYFUNCTION("""COMPUTED_VALUE"""),0.0)</f>
        <v>0</v>
      </c>
      <c r="R31" s="45" t="str">
        <f>IFERROR(__xludf.DUMMYFUNCTION("""COMPUTED_VALUE"""),"SELECCIONADO")</f>
        <v>SELECCIONADO</v>
      </c>
      <c r="S31" s="38">
        <f>IFERROR(__xludf.DUMMYFUNCTION("""COMPUTED_VALUE"""),43663.0)</f>
        <v>43663</v>
      </c>
      <c r="T31" t="str">
        <f>IFERROR(__xludf.DUMMYFUNCTION("""COMPUTED_VALUE"""),"CALDERON QUEZADA MATIAS")</f>
        <v>CALDERON QUEZADA MATIAS</v>
      </c>
      <c r="V31" t="str">
        <f>IFERROR(__xludf.DUMMYFUNCTION("""COMPUTED_VALUE"""),"18394658-7")</f>
        <v>18394658-7</v>
      </c>
      <c r="W31" t="str">
        <f>IFERROR(__xludf.DUMMYFUNCTION("""COMPUTED_VALUE"""),"NO")</f>
        <v>NO</v>
      </c>
      <c r="X31" t="str">
        <f>IFERROR(__xludf.DUMMYFUNCTION("""COMPUTED_VALUE"""),"Iniciativa")</f>
        <v>Iniciativa</v>
      </c>
      <c r="AA31" s="38">
        <f>IFERROR(__xludf.DUMMYFUNCTION("""COMPUTED_VALUE"""),43621.0)</f>
        <v>43621</v>
      </c>
      <c r="AB31" s="38">
        <f>IFERROR(__xludf.DUMMYFUNCTION("""COMPUTED_VALUE"""),43628.0)</f>
        <v>43628</v>
      </c>
      <c r="AH31" t="str">
        <f>IFERROR(__xludf.DUMMYFUNCTION("""COMPUTED_VALUE"""),"PROCESO DE SELECCIÓN")</f>
        <v>PROCESO DE SELECCIÓN</v>
      </c>
      <c r="AI31" t="str">
        <f>IFERROR(__xludf.DUMMYFUNCTION("""COMPUTED_VALUE"""),"CUEVAS GALLARDO MARIA")</f>
        <v>CUEVAS GALLARDO MARIA</v>
      </c>
      <c r="AK31" t="str">
        <f>IFERROR(__xludf.DUMMYFUNCTION("""COMPUTED_VALUE"""),"C")</f>
        <v>C</v>
      </c>
      <c r="AL31">
        <f>IFERROR(__xludf.DUMMYFUNCTION("""COMPUTED_VALUE"""),26.0)</f>
        <v>26</v>
      </c>
      <c r="AM31">
        <f>IFERROR(__xludf.DUMMYFUNCTION("""COMPUTED_VALUE"""),2019.0)</f>
        <v>2019</v>
      </c>
    </row>
    <row r="32">
      <c r="A32">
        <f>IFERROR(__xludf.DUMMYFUNCTION("""COMPUTED_VALUE"""),1.4431876E7)</f>
        <v>14431876</v>
      </c>
      <c r="B32">
        <f>IFERROR(__xludf.DUMMYFUNCTION("""COMPUTED_VALUE"""),30.0)</f>
        <v>30</v>
      </c>
      <c r="C32" t="str">
        <f>IFERROR(__xludf.DUMMYFUNCTION("""COMPUTED_VALUE"""),"A317")</f>
        <v>A317</v>
      </c>
      <c r="D32" t="str">
        <f>IFERROR(__xludf.DUMMYFUNCTION("""COMPUTED_VALUE"""),"3")</f>
        <v>3</v>
      </c>
      <c r="E32" t="str">
        <f>IFERROR(__xludf.DUMMYFUNCTION("""COMPUTED_VALUE"""),"PRORRECTORIA")</f>
        <v>PRORRECTORIA</v>
      </c>
      <c r="F32" t="str">
        <f>IFERROR(__xludf.DUMMYFUNCTION("""COMPUTED_VALUE"""),"Mayordomo(a)")</f>
        <v>Mayordomo(a)</v>
      </c>
      <c r="G32" t="str">
        <f>IFERROR(__xludf.DUMMYFUNCTION("""COMPUTED_VALUE"""),"MAYORDOMO")</f>
        <v>MAYORDOMO</v>
      </c>
      <c r="H32">
        <f>IFERROR(__xludf.DUMMYFUNCTION("""COMPUTED_VALUE"""),21.0)</f>
        <v>21</v>
      </c>
      <c r="I32" t="str">
        <f>IFERROR(__xludf.DUMMYFUNCTION("""COMPUTED_VALUE"""),"Jornada Completa")</f>
        <v>Jornada Completa</v>
      </c>
      <c r="J32" t="str">
        <f>IFERROR(__xludf.DUMMYFUNCTION("""COMPUTED_VALUE"""),"A CONTRATA")</f>
        <v>A CONTRATA</v>
      </c>
      <c r="K32" t="str">
        <f>IFERROR(__xludf.DUMMYFUNCTION("""COMPUTED_VALUE"""),"AUXILIAR")</f>
        <v>AUXILIAR</v>
      </c>
      <c r="L32" t="str">
        <f>IFERROR(__xludf.DUMMYFUNCTION("""COMPUTED_VALUE"""),"INTERNO")</f>
        <v>INTERNO</v>
      </c>
      <c r="M32">
        <f>IFERROR(__xludf.DUMMYFUNCTION("""COMPUTED_VALUE"""),0.0)</f>
        <v>0</v>
      </c>
      <c r="N32" t="str">
        <f>IFERROR(__xludf.DUMMYFUNCTION("""COMPUTED_VALUE"""),"EXTERNO")</f>
        <v>EXTERNO</v>
      </c>
      <c r="O32">
        <f>IFERROR(__xludf.DUMMYFUNCTION("""COMPUTED_VALUE"""),13.0)</f>
        <v>13</v>
      </c>
      <c r="P32">
        <f>IFERROR(__xludf.DUMMYFUNCTION("""COMPUTED_VALUE"""),3.0)</f>
        <v>3</v>
      </c>
      <c r="Q32">
        <f>IFERROR(__xludf.DUMMYFUNCTION("""COMPUTED_VALUE"""),0.0)</f>
        <v>0</v>
      </c>
      <c r="R32" s="45" t="str">
        <f>IFERROR(__xludf.DUMMYFUNCTION("""COMPUTED_VALUE"""),"SELECCIONADO")</f>
        <v>SELECCIONADO</v>
      </c>
      <c r="S32" s="38">
        <f>IFERROR(__xludf.DUMMYFUNCTION("""COMPUTED_VALUE"""),43668.0)</f>
        <v>43668</v>
      </c>
      <c r="U32" t="str">
        <f>IFERROR(__xludf.DUMMYFUNCTION("""COMPUTED_VALUE"""),"GAMBOA SILVA SERGIO")</f>
        <v>GAMBOA SILVA SERGIO</v>
      </c>
      <c r="V32" t="str">
        <f>IFERROR(__xludf.DUMMYFUNCTION("""COMPUTED_VALUE"""),"14431876-5")</f>
        <v>14431876-5</v>
      </c>
      <c r="W32" t="str">
        <f>IFERROR(__xludf.DUMMYFUNCTION("""COMPUTED_VALUE"""),"SI")</f>
        <v>SI</v>
      </c>
      <c r="X32" t="str">
        <f>IFERROR(__xludf.DUMMYFUNCTION("""COMPUTED_VALUE"""),"Capacidad de Planificacion y Organizacion")</f>
        <v>Capacidad de Planificacion y Organizacion</v>
      </c>
      <c r="AA32" s="38">
        <f>IFERROR(__xludf.DUMMYFUNCTION("""COMPUTED_VALUE"""),43598.0)</f>
        <v>43598</v>
      </c>
      <c r="AB32" s="38">
        <f>IFERROR(__xludf.DUMMYFUNCTION("""COMPUTED_VALUE"""),43606.0)</f>
        <v>43606</v>
      </c>
      <c r="AH32" t="str">
        <f>IFERROR(__xludf.DUMMYFUNCTION("""COMPUTED_VALUE"""),"PROCESO DE SELECCIÓN")</f>
        <v>PROCESO DE SELECCIÓN</v>
      </c>
      <c r="AI32" t="str">
        <f>IFERROR(__xludf.DUMMYFUNCTION("""COMPUTED_VALUE"""),"MUÑOZ CESPEDES FERNANDO")</f>
        <v>MUÑOZ CESPEDES FERNANDO</v>
      </c>
      <c r="AK32" t="str">
        <f>IFERROR(__xludf.DUMMYFUNCTION("""COMPUTED_VALUE"""),"E")</f>
        <v>E</v>
      </c>
      <c r="AL32">
        <f>IFERROR(__xludf.DUMMYFUNCTION("""COMPUTED_VALUE"""),45.0)</f>
        <v>45</v>
      </c>
      <c r="AM32">
        <f>IFERROR(__xludf.DUMMYFUNCTION("""COMPUTED_VALUE"""),2019.0)</f>
        <v>2019</v>
      </c>
    </row>
    <row r="33">
      <c r="A33">
        <f>IFERROR(__xludf.DUMMYFUNCTION("""COMPUTED_VALUE"""),1.6115052E7)</f>
        <v>16115052</v>
      </c>
      <c r="B33">
        <f>IFERROR(__xludf.DUMMYFUNCTION("""COMPUTED_VALUE"""),31.0)</f>
        <v>31</v>
      </c>
      <c r="C33" t="str">
        <f>IFERROR(__xludf.DUMMYFUNCTION("""COMPUTED_VALUE"""),"A243")</f>
        <v>A243</v>
      </c>
      <c r="D33" t="str">
        <f>IFERROR(__xludf.DUMMYFUNCTION("""COMPUTED_VALUE"""),"15")</f>
        <v>15</v>
      </c>
      <c r="E33" t="str">
        <f>IFERROR(__xludf.DUMMYFUNCTION("""COMPUTED_VALUE"""),"UNIDAD DE BIBLIOTECAS")</f>
        <v>UNIDAD DE BIBLIOTECAS</v>
      </c>
      <c r="F33" t="str">
        <f>IFERROR(__xludf.DUMMYFUNCTION("""COMPUTED_VALUE"""),"Mayordomo(a)")</f>
        <v>Mayordomo(a)</v>
      </c>
      <c r="G33" t="str">
        <f>IFERROR(__xludf.DUMMYFUNCTION("""COMPUTED_VALUE"""),"MAYORDOMO")</f>
        <v>MAYORDOMO</v>
      </c>
      <c r="H33">
        <f>IFERROR(__xludf.DUMMYFUNCTION("""COMPUTED_VALUE"""),21.0)</f>
        <v>21</v>
      </c>
      <c r="I33" t="str">
        <f>IFERROR(__xludf.DUMMYFUNCTION("""COMPUTED_VALUE"""),"Jornada Completa")</f>
        <v>Jornada Completa</v>
      </c>
      <c r="J33" t="str">
        <f>IFERROR(__xludf.DUMMYFUNCTION("""COMPUTED_VALUE"""),"A CONTRATA")</f>
        <v>A CONTRATA</v>
      </c>
      <c r="K33" t="str">
        <f>IFERROR(__xludf.DUMMYFUNCTION("""COMPUTED_VALUE"""),"AUXILIAR")</f>
        <v>AUXILIAR</v>
      </c>
      <c r="L33" t="str">
        <f>IFERROR(__xludf.DUMMYFUNCTION("""COMPUTED_VALUE"""),"INTERNO")</f>
        <v>INTERNO</v>
      </c>
      <c r="M33">
        <f>IFERROR(__xludf.DUMMYFUNCTION("""COMPUTED_VALUE"""),0.0)</f>
        <v>0</v>
      </c>
      <c r="N33" t="str">
        <f>IFERROR(__xludf.DUMMYFUNCTION("""COMPUTED_VALUE"""),"EXTERNO")</f>
        <v>EXTERNO</v>
      </c>
      <c r="O33">
        <f>IFERROR(__xludf.DUMMYFUNCTION("""COMPUTED_VALUE"""),13.0)</f>
        <v>13</v>
      </c>
      <c r="P33">
        <f>IFERROR(__xludf.DUMMYFUNCTION("""COMPUTED_VALUE"""),1.0)</f>
        <v>1</v>
      </c>
      <c r="Q33">
        <f>IFERROR(__xludf.DUMMYFUNCTION("""COMPUTED_VALUE"""),0.0)</f>
        <v>0</v>
      </c>
      <c r="R33" s="45" t="str">
        <f>IFERROR(__xludf.DUMMYFUNCTION("""COMPUTED_VALUE"""),"SELECCIONADO")</f>
        <v>SELECCIONADO</v>
      </c>
      <c r="S33" s="38">
        <f>IFERROR(__xludf.DUMMYFUNCTION("""COMPUTED_VALUE"""),43675.0)</f>
        <v>43675</v>
      </c>
      <c r="U33" t="str">
        <f>IFERROR(__xludf.DUMMYFUNCTION("""COMPUTED_VALUE"""),"SILVA SILVA ANTONIO")</f>
        <v>SILVA SILVA ANTONIO</v>
      </c>
      <c r="V33" t="str">
        <f>IFERROR(__xludf.DUMMYFUNCTION("""COMPUTED_VALUE"""),"16115052-5")</f>
        <v>16115052-5</v>
      </c>
      <c r="W33" t="str">
        <f>IFERROR(__xludf.DUMMYFUNCTION("""COMPUTED_VALUE"""),"SI")</f>
        <v>SI</v>
      </c>
      <c r="X33" t="str">
        <f>IFERROR(__xludf.DUMMYFUNCTION("""COMPUTED_VALUE"""),"Iniciativa")</f>
        <v>Iniciativa</v>
      </c>
      <c r="AA33" s="38">
        <f>IFERROR(__xludf.DUMMYFUNCTION("""COMPUTED_VALUE"""),43619.0)</f>
        <v>43619</v>
      </c>
      <c r="AB33" s="38">
        <f>IFERROR(__xludf.DUMMYFUNCTION("""COMPUTED_VALUE"""),43626.0)</f>
        <v>43626</v>
      </c>
      <c r="AH33" t="str">
        <f>IFERROR(__xludf.DUMMYFUNCTION("""COMPUTED_VALUE"""),"PROCESO DE SELECCIÓN")</f>
        <v>PROCESO DE SELECCIÓN</v>
      </c>
      <c r="AI33" t="str">
        <f>IFERROR(__xludf.DUMMYFUNCTION("""COMPUTED_VALUE"""),"CERDA ARANCIBIA SUSANA")</f>
        <v>CERDA ARANCIBIA SUSANA</v>
      </c>
      <c r="AK33" t="str">
        <f>IFERROR(__xludf.DUMMYFUNCTION("""COMPUTED_VALUE"""),"E")</f>
        <v>E</v>
      </c>
      <c r="AL33">
        <f>IFERROR(__xludf.DUMMYFUNCTION("""COMPUTED_VALUE"""),36.0)</f>
        <v>36</v>
      </c>
      <c r="AM33">
        <f>IFERROR(__xludf.DUMMYFUNCTION("""COMPUTED_VALUE"""),2019.0)</f>
        <v>2019</v>
      </c>
    </row>
    <row r="34">
      <c r="A34">
        <f>IFERROR(__xludf.DUMMYFUNCTION("""COMPUTED_VALUE"""),1.5444672E7)</f>
        <v>15444672</v>
      </c>
      <c r="B34">
        <f>IFERROR(__xludf.DUMMYFUNCTION("""COMPUTED_VALUE"""),17.0)</f>
        <v>17</v>
      </c>
      <c r="C34" t="str">
        <f>IFERROR(__xludf.DUMMYFUNCTION("""COMPUTED_VALUE"""),"IR2018-19")</f>
        <v>IR2018-19</v>
      </c>
      <c r="D34" t="str">
        <f>IFERROR(__xludf.DUMMYFUNCTION("""COMPUTED_VALUE"""),"3")</f>
        <v>3</v>
      </c>
      <c r="E34" t="str">
        <f>IFERROR(__xludf.DUMMYFUNCTION("""COMPUTED_VALUE"""),"UNIDAD DE GESTION DEL CAMPUS")</f>
        <v>UNIDAD DE GESTION DEL CAMPUS</v>
      </c>
      <c r="F34" t="str">
        <f>IFERROR(__xludf.DUMMYFUNCTION("""COMPUTED_VALUE"""),"Asistente de Mantención")</f>
        <v>Asistente de Mantención</v>
      </c>
      <c r="G34" t="str">
        <f>IFERROR(__xludf.DUMMYFUNCTION("""COMPUTED_VALUE"""),"ASISTENTE DE MANTENCIÓN ( CERRAJERO)")</f>
        <v>ASISTENTE DE MANTENCIÓN ( CERRAJERO)</v>
      </c>
      <c r="H34">
        <f>IFERROR(__xludf.DUMMYFUNCTION("""COMPUTED_VALUE"""),20.0)</f>
        <v>20</v>
      </c>
      <c r="I34" t="str">
        <f>IFERROR(__xludf.DUMMYFUNCTION("""COMPUTED_VALUE"""),"Jornada Completa")</f>
        <v>Jornada Completa</v>
      </c>
      <c r="J34" t="str">
        <f>IFERROR(__xludf.DUMMYFUNCTION("""COMPUTED_VALUE"""),"A CONTRATA")</f>
        <v>A CONTRATA</v>
      </c>
      <c r="K34" t="str">
        <f>IFERROR(__xludf.DUMMYFUNCTION("""COMPUTED_VALUE"""),"TECNICO")</f>
        <v>TECNICO</v>
      </c>
      <c r="L34" t="str">
        <f>IFERROR(__xludf.DUMMYFUNCTION("""COMPUTED_VALUE"""),"INTERNO")</f>
        <v>INTERNO</v>
      </c>
      <c r="M34">
        <f>IFERROR(__xludf.DUMMYFUNCTION("""COMPUTED_VALUE"""),1.0)</f>
        <v>1</v>
      </c>
      <c r="N34" t="str">
        <f>IFERROR(__xludf.DUMMYFUNCTION("""COMPUTED_VALUE"""),"EXTERNO")</f>
        <v>EXTERNO</v>
      </c>
      <c r="O34">
        <f>IFERROR(__xludf.DUMMYFUNCTION("""COMPUTED_VALUE"""),10.0)</f>
        <v>10</v>
      </c>
      <c r="P34">
        <f>IFERROR(__xludf.DUMMYFUNCTION("""COMPUTED_VALUE"""),6.0)</f>
        <v>6</v>
      </c>
      <c r="Q34">
        <f>IFERROR(__xludf.DUMMYFUNCTION("""COMPUTED_VALUE"""),1.0)</f>
        <v>1</v>
      </c>
      <c r="R34" s="45" t="str">
        <f>IFERROR(__xludf.DUMMYFUNCTION("""COMPUTED_VALUE"""),"SELECCIONADO")</f>
        <v>SELECCIONADO</v>
      </c>
      <c r="S34" s="38">
        <f>IFERROR(__xludf.DUMMYFUNCTION("""COMPUTED_VALUE"""),43626.0)</f>
        <v>43626</v>
      </c>
      <c r="U34" t="str">
        <f>IFERROR(__xludf.DUMMYFUNCTION("""COMPUTED_VALUE"""),"CACERES BASTIAS MANUEL")</f>
        <v>CACERES BASTIAS MANUEL</v>
      </c>
      <c r="V34" t="str">
        <f>IFERROR(__xludf.DUMMYFUNCTION("""COMPUTED_VALUE"""),"15444672-9")</f>
        <v>15444672-9</v>
      </c>
      <c r="W34" t="str">
        <f>IFERROR(__xludf.DUMMYFUNCTION("""COMPUTED_VALUE"""),"SI")</f>
        <v>SI</v>
      </c>
      <c r="X34" t="str">
        <f>IFERROR(__xludf.DUMMYFUNCTION("""COMPUTED_VALUE"""),"Orientacion a los Resultados")</f>
        <v>Orientacion a los Resultados</v>
      </c>
      <c r="AA34" s="38">
        <f>IFERROR(__xludf.DUMMYFUNCTION("""COMPUTED_VALUE"""),43577.0)</f>
        <v>43577</v>
      </c>
      <c r="AB34" s="38">
        <f>IFERROR(__xludf.DUMMYFUNCTION("""COMPUTED_VALUE"""),43584.0)</f>
        <v>43584</v>
      </c>
      <c r="AH34" t="str">
        <f>IFERROR(__xludf.DUMMYFUNCTION("""COMPUTED_VALUE"""),"PROCESO DE SELECCIÓN")</f>
        <v>PROCESO DE SELECCIÓN</v>
      </c>
      <c r="AI34" t="str">
        <f>IFERROR(__xludf.DUMMYFUNCTION("""COMPUTED_VALUE"""),"MUÑOZ SILVA LUIS")</f>
        <v>MUÑOZ SILVA LUIS</v>
      </c>
      <c r="AK34" t="str">
        <f>IFERROR(__xludf.DUMMYFUNCTION("""COMPUTED_VALUE"""),"E")</f>
        <v>E</v>
      </c>
      <c r="AL34">
        <f>IFERROR(__xludf.DUMMYFUNCTION("""COMPUTED_VALUE"""),31.0)</f>
        <v>31</v>
      </c>
      <c r="AM34">
        <f>IFERROR(__xludf.DUMMYFUNCTION("""COMPUTED_VALUE"""),2019.0)</f>
        <v>2019</v>
      </c>
    </row>
    <row r="35">
      <c r="A35">
        <f>IFERROR(__xludf.DUMMYFUNCTION("""COMPUTED_VALUE"""),1.8060136E7)</f>
        <v>18060136</v>
      </c>
      <c r="B35">
        <f>IFERROR(__xludf.DUMMYFUNCTION("""COMPUTED_VALUE"""),33.0)</f>
        <v>33</v>
      </c>
      <c r="C35" t="str">
        <f>IFERROR(__xludf.DUMMYFUNCTION("""COMPUTED_VALUE"""),"A316")</f>
        <v>A316</v>
      </c>
      <c r="D35" t="str">
        <f>IFERROR(__xludf.DUMMYFUNCTION("""COMPUTED_VALUE"""),"3")</f>
        <v>3</v>
      </c>
      <c r="E35" t="str">
        <f>IFERROR(__xludf.DUMMYFUNCTION("""COMPUTED_VALUE"""),"UNIDAD DE BIENESTAR DEL PERSONAL")</f>
        <v>UNIDAD DE BIENESTAR DEL PERSONAL</v>
      </c>
      <c r="F35" t="str">
        <f>IFERROR(__xludf.DUMMYFUNCTION("""COMPUTED_VALUE"""),"Jefe(a) de Sección")</f>
        <v>Jefe(a) de Sección</v>
      </c>
      <c r="G35" t="str">
        <f>IFERROR(__xludf.DUMMYFUNCTION("""COMPUTED_VALUE"""),"JEFA DE SECCIÓN SERVICIO SOCIAL")</f>
        <v>JEFA DE SECCIÓN SERVICIO SOCIAL</v>
      </c>
      <c r="H35">
        <f>IFERROR(__xludf.DUMMYFUNCTION("""COMPUTED_VALUE"""),10.0)</f>
        <v>10</v>
      </c>
      <c r="I35" t="str">
        <f>IFERROR(__xludf.DUMMYFUNCTION("""COMPUTED_VALUE"""),"Jornada Completa")</f>
        <v>Jornada Completa</v>
      </c>
      <c r="J35" t="str">
        <f>IFERROR(__xludf.DUMMYFUNCTION("""COMPUTED_VALUE"""),"A CONTRATA")</f>
        <v>A CONTRATA</v>
      </c>
      <c r="K35" t="str">
        <f>IFERROR(__xludf.DUMMYFUNCTION("""COMPUTED_VALUE"""),"PROFESIONAL")</f>
        <v>PROFESIONAL</v>
      </c>
      <c r="L35" t="str">
        <f>IFERROR(__xludf.DUMMYFUNCTION("""COMPUTED_VALUE"""),"INTERNO")</f>
        <v>INTERNO</v>
      </c>
      <c r="M35">
        <f>IFERROR(__xludf.DUMMYFUNCTION("""COMPUTED_VALUE"""),2.0)</f>
        <v>2</v>
      </c>
      <c r="N35" t="str">
        <f>IFERROR(__xludf.DUMMYFUNCTION("""COMPUTED_VALUE"""),"NO")</f>
        <v>NO</v>
      </c>
      <c r="O35">
        <f>IFERROR(__xludf.DUMMYFUNCTION("""COMPUTED_VALUE"""),0.0)</f>
        <v>0</v>
      </c>
      <c r="P35">
        <f>IFERROR(__xludf.DUMMYFUNCTION("""COMPUTED_VALUE"""),1.0)</f>
        <v>1</v>
      </c>
      <c r="Q35">
        <f>IFERROR(__xludf.DUMMYFUNCTION("""COMPUTED_VALUE"""),0.0)</f>
        <v>0</v>
      </c>
      <c r="R35" s="45" t="str">
        <f>IFERROR(__xludf.DUMMYFUNCTION("""COMPUTED_VALUE"""),"SELECCIONADA")</f>
        <v>SELECCIONADA</v>
      </c>
      <c r="S35" s="38">
        <f>IFERROR(__xludf.DUMMYFUNCTION("""COMPUTED_VALUE"""),43682.0)</f>
        <v>43682</v>
      </c>
      <c r="T35" t="str">
        <f>IFERROR(__xludf.DUMMYFUNCTION("""COMPUTED_VALUE"""),"MULLER GOMEZ SILVIA PATRICIA")</f>
        <v>MULLER GOMEZ SILVIA PATRICIA</v>
      </c>
      <c r="V35" t="str">
        <f>IFERROR(__xludf.DUMMYFUNCTION("""COMPUTED_VALUE"""),"18.060.136-8")</f>
        <v>18.060.136-8</v>
      </c>
      <c r="W35" t="str">
        <f>IFERROR(__xludf.DUMMYFUNCTION("""COMPUTED_VALUE"""),"SI")</f>
        <v>SI</v>
      </c>
      <c r="X35" t="str">
        <f>IFERROR(__xludf.DUMMYFUNCTION("""COMPUTED_VALUE"""),"Trabajo en Equipo")</f>
        <v>Trabajo en Equipo</v>
      </c>
      <c r="AA35" s="38">
        <f>IFERROR(__xludf.DUMMYFUNCTION("""COMPUTED_VALUE"""),43600.0)</f>
        <v>43600</v>
      </c>
      <c r="AB35" s="38">
        <f>IFERROR(__xludf.DUMMYFUNCTION("""COMPUTED_VALUE"""),43608.0)</f>
        <v>43608</v>
      </c>
      <c r="AH35" t="str">
        <f>IFERROR(__xludf.DUMMYFUNCTION("""COMPUTED_VALUE"""),"PROCESO DE SELECCIÓN")</f>
        <v>PROCESO DE SELECCIÓN</v>
      </c>
      <c r="AI35" t="str">
        <f>IFERROR(__xludf.DUMMYFUNCTION("""COMPUTED_VALUE"""),"DIAZ LARA DANIELA")</f>
        <v>DIAZ LARA DANIELA</v>
      </c>
      <c r="AK35" t="str">
        <f>IFERROR(__xludf.DUMMYFUNCTION("""COMPUTED_VALUE"""),"C")</f>
        <v>C</v>
      </c>
      <c r="AL35">
        <f>IFERROR(__xludf.DUMMYFUNCTION("""COMPUTED_VALUE"""),53.0)</f>
        <v>53</v>
      </c>
      <c r="AM35">
        <f>IFERROR(__xludf.DUMMYFUNCTION("""COMPUTED_VALUE"""),2019.0)</f>
        <v>2019</v>
      </c>
    </row>
    <row r="36">
      <c r="A36">
        <f>IFERROR(__xludf.DUMMYFUNCTION("""COMPUTED_VALUE"""),1.0487286E7)</f>
        <v>10487286</v>
      </c>
      <c r="B36">
        <f>IFERROR(__xludf.DUMMYFUNCTION("""COMPUTED_VALUE"""),34.0)</f>
        <v>34</v>
      </c>
      <c r="C36" t="str">
        <f>IFERROR(__xludf.DUMMYFUNCTION("""COMPUTED_VALUE"""),"A382")</f>
        <v>A382</v>
      </c>
      <c r="D36" t="str">
        <f>IFERROR(__xludf.DUMMYFUNCTION("""COMPUTED_VALUE"""),"120")</f>
        <v>120</v>
      </c>
      <c r="E36" t="str">
        <f>IFERROR(__xludf.DUMMYFUNCTION("""COMPUTED_VALUE"""),"DPTO. DE COMUNICACIONES")</f>
        <v>DPTO. DE COMUNICACIONES</v>
      </c>
      <c r="F36" t="str">
        <f>IFERROR(__xludf.DUMMYFUNCTION("""COMPUTED_VALUE"""),"Editor(a)")</f>
        <v>Editor(a)</v>
      </c>
      <c r="G36" t="str">
        <f>IFERROR(__xludf.DUMMYFUNCTION("""COMPUTED_VALUE"""),"EDITOR DIARIO INSTITUCIONAL")</f>
        <v>EDITOR DIARIO INSTITUCIONAL</v>
      </c>
      <c r="H36">
        <f>IFERROR(__xludf.DUMMYFUNCTION("""COMPUTED_VALUE"""),10.0)</f>
        <v>10</v>
      </c>
      <c r="I36" t="str">
        <f>IFERROR(__xludf.DUMMYFUNCTION("""COMPUTED_VALUE"""),"Jornada Completa")</f>
        <v>Jornada Completa</v>
      </c>
      <c r="J36" t="str">
        <f>IFERROR(__xludf.DUMMYFUNCTION("""COMPUTED_VALUE"""),"A CONTRATA")</f>
        <v>A CONTRATA</v>
      </c>
      <c r="K36" t="str">
        <f>IFERROR(__xludf.DUMMYFUNCTION("""COMPUTED_VALUE"""),"PROFESIONAL")</f>
        <v>PROFESIONAL</v>
      </c>
      <c r="L36" t="str">
        <f>IFERROR(__xludf.DUMMYFUNCTION("""COMPUTED_VALUE"""),"NO")</f>
        <v>NO</v>
      </c>
      <c r="M36">
        <f>IFERROR(__xludf.DUMMYFUNCTION("""COMPUTED_VALUE"""),0.0)</f>
        <v>0</v>
      </c>
      <c r="N36" t="str">
        <f>IFERROR(__xludf.DUMMYFUNCTION("""COMPUTED_VALUE"""),"EXTERNO")</f>
        <v>EXTERNO</v>
      </c>
      <c r="O36">
        <f>IFERROR(__xludf.DUMMYFUNCTION("""COMPUTED_VALUE"""),14.0)</f>
        <v>14</v>
      </c>
      <c r="P36">
        <f>IFERROR(__xludf.DUMMYFUNCTION("""COMPUTED_VALUE"""),1.0)</f>
        <v>1</v>
      </c>
      <c r="Q36">
        <f>IFERROR(__xludf.DUMMYFUNCTION("""COMPUTED_VALUE"""),0.0)</f>
        <v>0</v>
      </c>
      <c r="R36" s="45" t="str">
        <f>IFERROR(__xludf.DUMMYFUNCTION("""COMPUTED_VALUE"""),"SELECCIONADO")</f>
        <v>SELECCIONADO</v>
      </c>
      <c r="S36" s="38">
        <f>IFERROR(__xludf.DUMMYFUNCTION("""COMPUTED_VALUE"""),43678.0)</f>
        <v>43678</v>
      </c>
      <c r="U36" t="str">
        <f>IFERROR(__xludf.DUMMYFUNCTION("""COMPUTED_VALUE"""),"FLORES GALVEZ JOSE")</f>
        <v>FLORES GALVEZ JOSE</v>
      </c>
      <c r="V36" t="str">
        <f>IFERROR(__xludf.DUMMYFUNCTION("""COMPUTED_VALUE"""),"10487286-7")</f>
        <v>10487286-7</v>
      </c>
      <c r="W36" t="str">
        <f>IFERROR(__xludf.DUMMYFUNCTION("""COMPUTED_VALUE"""),"SI")</f>
        <v>SI</v>
      </c>
      <c r="X36" t="str">
        <f>IFERROR(__xludf.DUMMYFUNCTION("""COMPUTED_VALUE"""),"Capacidad de Planificacion y Organizacion")</f>
        <v>Capacidad de Planificacion y Organizacion</v>
      </c>
      <c r="AA36" s="38">
        <f>IFERROR(__xludf.DUMMYFUNCTION("""COMPUTED_VALUE"""),43654.0)</f>
        <v>43654</v>
      </c>
      <c r="AB36" s="38">
        <f>IFERROR(__xludf.DUMMYFUNCTION("""COMPUTED_VALUE"""),43656.0)</f>
        <v>43656</v>
      </c>
      <c r="AH36" t="str">
        <f>IFERROR(__xludf.DUMMYFUNCTION("""COMPUTED_VALUE"""),"PROCESO DE SELECCIÓN")</f>
        <v>PROCESO DE SELECCIÓN</v>
      </c>
      <c r="AI36" t="str">
        <f>IFERROR(__xludf.DUMMYFUNCTION("""COMPUTED_VALUE"""),"DOUZET JELDRES PABLO")</f>
        <v>DOUZET JELDRES PABLO</v>
      </c>
      <c r="AK36" t="str">
        <f>IFERROR(__xludf.DUMMYFUNCTION("""COMPUTED_VALUE"""),"C")</f>
        <v>C</v>
      </c>
      <c r="AL36">
        <f>IFERROR(__xludf.DUMMYFUNCTION("""COMPUTED_VALUE"""),17.0)</f>
        <v>17</v>
      </c>
      <c r="AM36">
        <f>IFERROR(__xludf.DUMMYFUNCTION("""COMPUTED_VALUE"""),2019.0)</f>
        <v>2019</v>
      </c>
    </row>
    <row r="37">
      <c r="A37">
        <f>IFERROR(__xludf.DUMMYFUNCTION("""COMPUTED_VALUE"""),1.1627295E7)</f>
        <v>11627295</v>
      </c>
      <c r="B37">
        <f>IFERROR(__xludf.DUMMYFUNCTION("""COMPUTED_VALUE"""),35.0)</f>
        <v>35</v>
      </c>
      <c r="C37" t="str">
        <f>IFERROR(__xludf.DUMMYFUNCTION("""COMPUTED_VALUE"""),"A342")</f>
        <v>A342</v>
      </c>
      <c r="D37" t="str">
        <f>IFERROR(__xludf.DUMMYFUNCTION("""COMPUTED_VALUE"""),"22")</f>
        <v>22</v>
      </c>
      <c r="E37" t="str">
        <f>IFERROR(__xludf.DUMMYFUNCTION("""COMPUTED_VALUE"""),"UNIDAD DE VOCACION ARTISTICA")</f>
        <v>UNIDAD DE VOCACION ARTISTICA</v>
      </c>
      <c r="F37" t="str">
        <f>IFERROR(__xludf.DUMMYFUNCTION("""COMPUTED_VALUE"""),"Jefe(a) de Sección")</f>
        <v>Jefe(a) de Sección</v>
      </c>
      <c r="G37" t="str">
        <f>IFERROR(__xludf.DUMMYFUNCTION("""COMPUTED_VALUE"""),"JEFA DE SECCION ( CURSOS CULTURALES DE FORMACION INTEGRAL CCFI")</f>
        <v>JEFA DE SECCION ( CURSOS CULTURALES DE FORMACION INTEGRAL CCFI</v>
      </c>
      <c r="H37">
        <f>IFERROR(__xludf.DUMMYFUNCTION("""COMPUTED_VALUE"""),10.0)</f>
        <v>10</v>
      </c>
      <c r="I37" t="str">
        <f>IFERROR(__xludf.DUMMYFUNCTION("""COMPUTED_VALUE"""),"1/2 Jornada")</f>
        <v>1/2 Jornada</v>
      </c>
      <c r="J37" t="str">
        <f>IFERROR(__xludf.DUMMYFUNCTION("""COMPUTED_VALUE"""),"A CONTRATA")</f>
        <v>A CONTRATA</v>
      </c>
      <c r="K37" t="str">
        <f>IFERROR(__xludf.DUMMYFUNCTION("""COMPUTED_VALUE"""),"PROFESIONAL")</f>
        <v>PROFESIONAL</v>
      </c>
      <c r="L37" t="str">
        <f>IFERROR(__xludf.DUMMYFUNCTION("""COMPUTED_VALUE"""),"INTERNO")</f>
        <v>INTERNO</v>
      </c>
      <c r="M37">
        <f>IFERROR(__xludf.DUMMYFUNCTION("""COMPUTED_VALUE"""),5.0)</f>
        <v>5</v>
      </c>
      <c r="N37" t="str">
        <f>IFERROR(__xludf.DUMMYFUNCTION("""COMPUTED_VALUE"""),"NO")</f>
        <v>NO</v>
      </c>
      <c r="O37">
        <f>IFERROR(__xludf.DUMMYFUNCTION("""COMPUTED_VALUE"""),5.0)</f>
        <v>5</v>
      </c>
      <c r="P37">
        <f>IFERROR(__xludf.DUMMYFUNCTION("""COMPUTED_VALUE"""),2.0)</f>
        <v>2</v>
      </c>
      <c r="Q37">
        <f>IFERROR(__xludf.DUMMYFUNCTION("""COMPUTED_VALUE"""),0.0)</f>
        <v>0</v>
      </c>
      <c r="R37" s="45" t="str">
        <f>IFERROR(__xludf.DUMMYFUNCTION("""COMPUTED_VALUE"""),"SELECCIONADA")</f>
        <v>SELECCIONADA</v>
      </c>
      <c r="S37" s="38">
        <f>IFERROR(__xludf.DUMMYFUNCTION("""COMPUTED_VALUE"""),43682.0)</f>
        <v>43682</v>
      </c>
      <c r="T37" t="str">
        <f>IFERROR(__xludf.DUMMYFUNCTION("""COMPUTED_VALUE"""),"ARAVENA TORRES SUSANA")</f>
        <v>ARAVENA TORRES SUSANA</v>
      </c>
      <c r="V37" t="str">
        <f>IFERROR(__xludf.DUMMYFUNCTION("""COMPUTED_VALUE"""),"11627295-4")</f>
        <v>11627295-4</v>
      </c>
      <c r="W37" t="str">
        <f>IFERROR(__xludf.DUMMYFUNCTION("""COMPUTED_VALUE"""),"SI")</f>
        <v>SI</v>
      </c>
      <c r="X37" t="str">
        <f>IFERROR(__xludf.DUMMYFUNCTION("""COMPUTED_VALUE"""),"Capacidad de Planificacion y Organizacion")</f>
        <v>Capacidad de Planificacion y Organizacion</v>
      </c>
      <c r="Y37" t="str">
        <f>IFERROR(__xludf.DUMMYFUNCTION("""COMPUTED_VALUE"""),"Trabajo en Equipo")</f>
        <v>Trabajo en Equipo</v>
      </c>
      <c r="AA37" s="38">
        <f>IFERROR(__xludf.DUMMYFUNCTION("""COMPUTED_VALUE"""),43627.0)</f>
        <v>43627</v>
      </c>
      <c r="AB37" s="38">
        <f>IFERROR(__xludf.DUMMYFUNCTION("""COMPUTED_VALUE"""),43630.0)</f>
        <v>43630</v>
      </c>
      <c r="AH37" t="str">
        <f>IFERROR(__xludf.DUMMYFUNCTION("""COMPUTED_VALUE"""),"PROCESO DE SELECCIÓN")</f>
        <v>PROCESO DE SELECCIÓN</v>
      </c>
      <c r="AI37" t="str">
        <f>IFERROR(__xludf.DUMMYFUNCTION("""COMPUTED_VALUE"""),"COVARRUBIAS PIZARRO GLORIA")</f>
        <v>COVARRUBIAS PIZARRO GLORIA</v>
      </c>
      <c r="AK37" t="str">
        <f>IFERROR(__xludf.DUMMYFUNCTION("""COMPUTED_VALUE"""),"C")</f>
        <v>C</v>
      </c>
      <c r="AL37">
        <f>IFERROR(__xludf.DUMMYFUNCTION("""COMPUTED_VALUE"""),37.0)</f>
        <v>37</v>
      </c>
      <c r="AM37">
        <f>IFERROR(__xludf.DUMMYFUNCTION("""COMPUTED_VALUE"""),2019.0)</f>
        <v>2019</v>
      </c>
    </row>
    <row r="38">
      <c r="A38">
        <f>IFERROR(__xludf.DUMMYFUNCTION("""COMPUTED_VALUE"""),1.2109393E7)</f>
        <v>12109393</v>
      </c>
      <c r="B38">
        <f>IFERROR(__xludf.DUMMYFUNCTION("""COMPUTED_VALUE"""),36.0)</f>
        <v>36</v>
      </c>
      <c r="C38" t="str">
        <f>IFERROR(__xludf.DUMMYFUNCTION("""COMPUTED_VALUE"""),"A374")</f>
        <v>A374</v>
      </c>
      <c r="D38" t="str">
        <f>IFERROR(__xludf.DUMMYFUNCTION("""COMPUTED_VALUE"""),"15")</f>
        <v>15</v>
      </c>
      <c r="E38" t="str">
        <f>IFERROR(__xludf.DUMMYFUNCTION("""COMPUTED_VALUE"""),"PROGRAMA BACHILLERATO")</f>
        <v>PROGRAMA BACHILLERATO</v>
      </c>
      <c r="F38" t="str">
        <f>IFERROR(__xludf.DUMMYFUNCTION("""COMPUTED_VALUE"""),"Analista de Gestión I")</f>
        <v>Analista de Gestión I</v>
      </c>
      <c r="G38" t="str">
        <f>IFERROR(__xludf.DUMMYFUNCTION("""COMPUTED_VALUE"""),"ANALISTA DE GESTION I ( COORDINADOR DOCENTE)")</f>
        <v>ANALISTA DE GESTION I ( COORDINADOR DOCENTE)</v>
      </c>
      <c r="H38">
        <f>IFERROR(__xludf.DUMMYFUNCTION("""COMPUTED_VALUE"""),10.0)</f>
        <v>10</v>
      </c>
      <c r="I38" t="str">
        <f>IFERROR(__xludf.DUMMYFUNCTION("""COMPUTED_VALUE"""),"1/2 Jornada")</f>
        <v>1/2 Jornada</v>
      </c>
      <c r="J38" t="str">
        <f>IFERROR(__xludf.DUMMYFUNCTION("""COMPUTED_VALUE"""),"A CONTRATA")</f>
        <v>A CONTRATA</v>
      </c>
      <c r="K38" t="str">
        <f>IFERROR(__xludf.DUMMYFUNCTION("""COMPUTED_VALUE"""),"PROFESIONAL")</f>
        <v>PROFESIONAL</v>
      </c>
      <c r="L38" t="str">
        <f>IFERROR(__xludf.DUMMYFUNCTION("""COMPUTED_VALUE"""),"INTERNO")</f>
        <v>INTERNO</v>
      </c>
      <c r="M38">
        <f>IFERROR(__xludf.DUMMYFUNCTION("""COMPUTED_VALUE"""),3.0)</f>
        <v>3</v>
      </c>
      <c r="N38" t="str">
        <f>IFERROR(__xludf.DUMMYFUNCTION("""COMPUTED_VALUE"""),"NO")</f>
        <v>NO</v>
      </c>
      <c r="P38">
        <f>IFERROR(__xludf.DUMMYFUNCTION("""COMPUTED_VALUE"""),1.0)</f>
        <v>1</v>
      </c>
      <c r="Q38">
        <f>IFERROR(__xludf.DUMMYFUNCTION("""COMPUTED_VALUE"""),0.0)</f>
        <v>0</v>
      </c>
      <c r="R38" s="45" t="str">
        <f>IFERROR(__xludf.DUMMYFUNCTION("""COMPUTED_VALUE"""),"SELECCIONADO")</f>
        <v>SELECCIONADO</v>
      </c>
      <c r="S38" s="38">
        <f>IFERROR(__xludf.DUMMYFUNCTION("""COMPUTED_VALUE"""),43686.0)</f>
        <v>43686</v>
      </c>
      <c r="T38" t="str">
        <f>IFERROR(__xludf.DUMMYFUNCTION("""COMPUTED_VALUE"""),"BOSSART ROJAS JAVIER")</f>
        <v>BOSSART ROJAS JAVIER</v>
      </c>
      <c r="V38" t="str">
        <f>IFERROR(__xludf.DUMMYFUNCTION("""COMPUTED_VALUE"""),"12109393-6")</f>
        <v>12109393-6</v>
      </c>
      <c r="W38" t="str">
        <f>IFERROR(__xludf.DUMMYFUNCTION("""COMPUTED_VALUE"""),"SI")</f>
        <v>SI</v>
      </c>
      <c r="X38" t="str">
        <f>IFERROR(__xludf.DUMMYFUNCTION("""COMPUTED_VALUE"""),"Capacidad de Planificacion y Organizacion")</f>
        <v>Capacidad de Planificacion y Organizacion</v>
      </c>
      <c r="Y38" t="str">
        <f>IFERROR(__xludf.DUMMYFUNCTION("""COMPUTED_VALUE"""),"Orientacion a los Resultados")</f>
        <v>Orientacion a los Resultados</v>
      </c>
      <c r="AA38" s="38">
        <f>IFERROR(__xludf.DUMMYFUNCTION("""COMPUTED_VALUE"""),43643.0)</f>
        <v>43643</v>
      </c>
      <c r="AB38" s="38">
        <f>IFERROR(__xludf.DUMMYFUNCTION("""COMPUTED_VALUE"""),43651.0)</f>
        <v>43651</v>
      </c>
      <c r="AH38" t="str">
        <f>IFERROR(__xludf.DUMMYFUNCTION("""COMPUTED_VALUE"""),"PROCESO DE SELECCIÓN")</f>
        <v>PROCESO DE SELECCIÓN</v>
      </c>
      <c r="AI38" t="str">
        <f>IFERROR(__xludf.DUMMYFUNCTION("""COMPUTED_VALUE"""),"URBINA RODRIGUEZ FRANCISCO")</f>
        <v>URBINA RODRIGUEZ FRANCISCO</v>
      </c>
      <c r="AK38" t="str">
        <f>IFERROR(__xludf.DUMMYFUNCTION("""COMPUTED_VALUE"""),"C")</f>
        <v>C</v>
      </c>
      <c r="AL38">
        <f>IFERROR(__xludf.DUMMYFUNCTION("""COMPUTED_VALUE"""),26.0)</f>
        <v>26</v>
      </c>
      <c r="AM38">
        <f>IFERROR(__xludf.DUMMYFUNCTION("""COMPUTED_VALUE"""),2019.0)</f>
        <v>2019</v>
      </c>
    </row>
    <row r="39">
      <c r="A39">
        <f>IFERROR(__xludf.DUMMYFUNCTION("""COMPUTED_VALUE"""),1.2905498E7)</f>
        <v>12905498</v>
      </c>
      <c r="B39">
        <f>IFERROR(__xludf.DUMMYFUNCTION("""COMPUTED_VALUE"""),37.0)</f>
        <v>37</v>
      </c>
      <c r="C39" t="str">
        <f>IFERROR(__xludf.DUMMYFUNCTION("""COMPUTED_VALUE"""),"A305")</f>
        <v>A305</v>
      </c>
      <c r="D39" t="str">
        <f>IFERROR(__xludf.DUMMYFUNCTION("""COMPUTED_VALUE"""),"15")</f>
        <v>15</v>
      </c>
      <c r="E39" t="str">
        <f>IFERROR(__xludf.DUMMYFUNCTION("""COMPUTED_VALUE"""),"UNIDAD DE REGISTRO ACADEMICO Y CURRICULAR")</f>
        <v>UNIDAD DE REGISTRO ACADEMICO Y CURRICULAR</v>
      </c>
      <c r="F39" t="str">
        <f>IFERROR(__xludf.DUMMYFUNCTION("""COMPUTED_VALUE"""),"Secretario(a) B")</f>
        <v>Secretario(a) B</v>
      </c>
      <c r="G39" t="str">
        <f>IFERROR(__xludf.DUMMYFUNCTION("""COMPUTED_VALUE"""),"SECRETARIA B")</f>
        <v>SECRETARIA B</v>
      </c>
      <c r="H39">
        <f>IFERROR(__xludf.DUMMYFUNCTION("""COMPUTED_VALUE"""),17.0)</f>
        <v>17</v>
      </c>
      <c r="I39" t="str">
        <f>IFERROR(__xludf.DUMMYFUNCTION("""COMPUTED_VALUE"""),"Jornada Completa")</f>
        <v>Jornada Completa</v>
      </c>
      <c r="J39" t="str">
        <f>IFERROR(__xludf.DUMMYFUNCTION("""COMPUTED_VALUE"""),"A CONTRATA")</f>
        <v>A CONTRATA</v>
      </c>
      <c r="K39" t="str">
        <f>IFERROR(__xludf.DUMMYFUNCTION("""COMPUTED_VALUE"""),"ADMINISTRATIVO")</f>
        <v>ADMINISTRATIVO</v>
      </c>
      <c r="L39" t="str">
        <f>IFERROR(__xludf.DUMMYFUNCTION("""COMPUTED_VALUE"""),"INTERNO")</f>
        <v>INTERNO</v>
      </c>
      <c r="M39">
        <f>IFERROR(__xludf.DUMMYFUNCTION("""COMPUTED_VALUE"""),1.0)</f>
        <v>1</v>
      </c>
      <c r="N39" t="str">
        <f>IFERROR(__xludf.DUMMYFUNCTION("""COMPUTED_VALUE"""),"NO")</f>
        <v>NO</v>
      </c>
      <c r="P39">
        <f>IFERROR(__xludf.DUMMYFUNCTION("""COMPUTED_VALUE"""),1.0)</f>
        <v>1</v>
      </c>
      <c r="Q39">
        <f>IFERROR(__xludf.DUMMYFUNCTION("""COMPUTED_VALUE"""),0.0)</f>
        <v>0</v>
      </c>
      <c r="R39" s="45" t="str">
        <f>IFERROR(__xludf.DUMMYFUNCTION("""COMPUTED_VALUE"""),"SELECCIONADA")</f>
        <v>SELECCIONADA</v>
      </c>
      <c r="S39" s="38">
        <f>IFERROR(__xludf.DUMMYFUNCTION("""COMPUTED_VALUE"""),43683.0)</f>
        <v>43683</v>
      </c>
      <c r="T39" t="str">
        <f>IFERROR(__xludf.DUMMYFUNCTION("""COMPUTED_VALUE"""),"ROSALES CARMONA ANA ROSA")</f>
        <v>ROSALES CARMONA ANA ROSA</v>
      </c>
      <c r="V39" t="str">
        <f>IFERROR(__xludf.DUMMYFUNCTION("""COMPUTED_VALUE"""),"12905498-0")</f>
        <v>12905498-0</v>
      </c>
      <c r="W39" t="str">
        <f>IFERROR(__xludf.DUMMYFUNCTION("""COMPUTED_VALUE"""),"SI")</f>
        <v>SI</v>
      </c>
      <c r="X39" t="str">
        <f>IFERROR(__xludf.DUMMYFUNCTION("""COMPUTED_VALUE"""),"Franqueza- Confiabilidad- Integridad")</f>
        <v>Franqueza- Confiabilidad- Integridad</v>
      </c>
      <c r="AA39" s="38">
        <f>IFERROR(__xludf.DUMMYFUNCTION("""COMPUTED_VALUE"""),43637.0)</f>
        <v>43637</v>
      </c>
      <c r="AB39" s="38">
        <f>IFERROR(__xludf.DUMMYFUNCTION("""COMPUTED_VALUE"""),43644.0)</f>
        <v>43644</v>
      </c>
      <c r="AH39" t="str">
        <f>IFERROR(__xludf.DUMMYFUNCTION("""COMPUTED_VALUE"""),"PROCESO DE SELECCIÓN")</f>
        <v>PROCESO DE SELECCIÓN</v>
      </c>
      <c r="AI39" t="str">
        <f>IFERROR(__xludf.DUMMYFUNCTION("""COMPUTED_VALUE"""),"-")</f>
        <v>-</v>
      </c>
      <c r="AK39" t="str">
        <f>IFERROR(__xludf.DUMMYFUNCTION("""COMPUTED_VALUE"""),"C")</f>
        <v>C</v>
      </c>
      <c r="AL39">
        <f>IFERROR(__xludf.DUMMYFUNCTION("""COMPUTED_VALUE"""),28.0)</f>
        <v>28</v>
      </c>
      <c r="AM39">
        <f>IFERROR(__xludf.DUMMYFUNCTION("""COMPUTED_VALUE"""),2019.0)</f>
        <v>2019</v>
      </c>
    </row>
    <row r="40">
      <c r="A40">
        <f>IFERROR(__xludf.DUMMYFUNCTION("""COMPUTED_VALUE"""),1.6379746E7)</f>
        <v>16379746</v>
      </c>
      <c r="B40">
        <f>IFERROR(__xludf.DUMMYFUNCTION("""COMPUTED_VALUE"""),38.0)</f>
        <v>38</v>
      </c>
      <c r="C40" t="str">
        <f>IFERROR(__xludf.DUMMYFUNCTION("""COMPUTED_VALUE"""),"ACTA2019-23")</f>
        <v>ACTA2019-23</v>
      </c>
      <c r="D40" t="str">
        <f>IFERROR(__xludf.DUMMYFUNCTION("""COMPUTED_VALUE"""),"15")</f>
        <v>15</v>
      </c>
      <c r="E40" t="str">
        <f>IFERROR(__xludf.DUMMYFUNCTION("""COMPUTED_VALUE"""),"ESCUELA DE ARQUITECTURA")</f>
        <v>ESCUELA DE ARQUITECTURA</v>
      </c>
      <c r="F40" t="str">
        <f>IFERROR(__xludf.DUMMYFUNCTION("""COMPUTED_VALUE"""),"Asistente de Laboratorio")</f>
        <v>Asistente de Laboratorio</v>
      </c>
      <c r="G40" t="str">
        <f>IFERROR(__xludf.DUMMYFUNCTION("""COMPUTED_VALUE"""),"ASISTENTE DE LABORATORIO")</f>
        <v>ASISTENTE DE LABORATORIO</v>
      </c>
      <c r="H40">
        <f>IFERROR(__xludf.DUMMYFUNCTION("""COMPUTED_VALUE"""),20.0)</f>
        <v>20</v>
      </c>
      <c r="I40" t="str">
        <f>IFERROR(__xludf.DUMMYFUNCTION("""COMPUTED_VALUE"""),"Jornada Completa")</f>
        <v>Jornada Completa</v>
      </c>
      <c r="J40" t="str">
        <f>IFERROR(__xludf.DUMMYFUNCTION("""COMPUTED_VALUE"""),"A CONTRATA")</f>
        <v>A CONTRATA</v>
      </c>
      <c r="K40" t="str">
        <f>IFERROR(__xludf.DUMMYFUNCTION("""COMPUTED_VALUE"""),"TECNICO")</f>
        <v>TECNICO</v>
      </c>
      <c r="L40" t="str">
        <f>IFERROR(__xludf.DUMMYFUNCTION("""COMPUTED_VALUE"""),"INTERNO")</f>
        <v>INTERNO</v>
      </c>
      <c r="M40">
        <f>IFERROR(__xludf.DUMMYFUNCTION("""COMPUTED_VALUE"""),1.0)</f>
        <v>1</v>
      </c>
      <c r="N40" t="str">
        <f>IFERROR(__xludf.DUMMYFUNCTION("""COMPUTED_VALUE"""),"NO")</f>
        <v>NO</v>
      </c>
      <c r="P40">
        <f>IFERROR(__xludf.DUMMYFUNCTION("""COMPUTED_VALUE"""),1.0)</f>
        <v>1</v>
      </c>
      <c r="Q40">
        <f>IFERROR(__xludf.DUMMYFUNCTION("""COMPUTED_VALUE"""),0.0)</f>
        <v>0</v>
      </c>
      <c r="R40" s="45" t="str">
        <f>IFERROR(__xludf.DUMMYFUNCTION("""COMPUTED_VALUE"""),"SELECCIONADO")</f>
        <v>SELECCIONADO</v>
      </c>
      <c r="S40" s="38">
        <f>IFERROR(__xludf.DUMMYFUNCTION("""COMPUTED_VALUE"""),43678.0)</f>
        <v>43678</v>
      </c>
      <c r="T40" t="str">
        <f>IFERROR(__xludf.DUMMYFUNCTION("""COMPUTED_VALUE"""),"LLANOS BARRERA CHRISTIAN ALEXIS")</f>
        <v>LLANOS BARRERA CHRISTIAN ALEXIS</v>
      </c>
      <c r="V40" t="str">
        <f>IFERROR(__xludf.DUMMYFUNCTION("""COMPUTED_VALUE"""),"16379746-1")</f>
        <v>16379746-1</v>
      </c>
      <c r="W40" t="str">
        <f>IFERROR(__xludf.DUMMYFUNCTION("""COMPUTED_VALUE"""),"NO")</f>
        <v>NO</v>
      </c>
      <c r="AA40" s="38">
        <f>IFERROR(__xludf.DUMMYFUNCTION("""COMPUTED_VALUE"""),43588.0)</f>
        <v>43588</v>
      </c>
      <c r="AB40" s="38">
        <f>IFERROR(__xludf.DUMMYFUNCTION("""COMPUTED_VALUE"""),43595.0)</f>
        <v>43595</v>
      </c>
      <c r="AH40" t="str">
        <f>IFERROR(__xludf.DUMMYFUNCTION("""COMPUTED_VALUE"""),"PROCESO DE SELECCIÓN")</f>
        <v>PROCESO DE SELECCIÓN</v>
      </c>
      <c r="AI40" t="str">
        <f>IFERROR(__xludf.DUMMYFUNCTION("""COMPUTED_VALUE"""),"-")</f>
        <v>-</v>
      </c>
      <c r="AK40" t="str">
        <f>IFERROR(__xludf.DUMMYFUNCTION("""COMPUTED_VALUE"""),"C")</f>
        <v>C</v>
      </c>
      <c r="AL40">
        <f>IFERROR(__xludf.DUMMYFUNCTION("""COMPUTED_VALUE"""),60.0)</f>
        <v>60</v>
      </c>
      <c r="AM40">
        <f>IFERROR(__xludf.DUMMYFUNCTION("""COMPUTED_VALUE"""),2019.0)</f>
        <v>2019</v>
      </c>
    </row>
    <row r="41">
      <c r="A41">
        <f>IFERROR(__xludf.DUMMYFUNCTION("""COMPUTED_VALUE"""),1.7845827E7)</f>
        <v>17845827</v>
      </c>
      <c r="B41">
        <f>IFERROR(__xludf.DUMMYFUNCTION("""COMPUTED_VALUE"""),39.0)</f>
        <v>39</v>
      </c>
      <c r="C41" t="str">
        <f>IFERROR(__xludf.DUMMYFUNCTION("""COMPUTED_VALUE"""),"ACTA2019-05")</f>
        <v>ACTA2019-05</v>
      </c>
      <c r="D41" t="str">
        <f>IFERROR(__xludf.DUMMYFUNCTION("""COMPUTED_VALUE"""),"15")</f>
        <v>15</v>
      </c>
      <c r="E41" t="str">
        <f>IFERROR(__xludf.DUMMYFUNCTION("""COMPUTED_VALUE"""),"UNIDAD DE BIBLIOTECAS")</f>
        <v>UNIDAD DE BIBLIOTECAS</v>
      </c>
      <c r="F41" t="str">
        <f>IFERROR(__xludf.DUMMYFUNCTION("""COMPUTED_VALUE"""),"Asistente de Biblioteca")</f>
        <v>Asistente de Biblioteca</v>
      </c>
      <c r="G41" t="str">
        <f>IFERROR(__xludf.DUMMYFUNCTION("""COMPUTED_VALUE"""),"ASISTENTE DE BIBLIOTECA")</f>
        <v>ASISTENTE DE BIBLIOTECA</v>
      </c>
      <c r="H41">
        <f>IFERROR(__xludf.DUMMYFUNCTION("""COMPUTED_VALUE"""),20.0)</f>
        <v>20</v>
      </c>
      <c r="I41" t="str">
        <f>IFERROR(__xludf.DUMMYFUNCTION("""COMPUTED_VALUE"""),"Jornada Completa")</f>
        <v>Jornada Completa</v>
      </c>
      <c r="J41" t="str">
        <f>IFERROR(__xludf.DUMMYFUNCTION("""COMPUTED_VALUE"""),"A CONTRATA")</f>
        <v>A CONTRATA</v>
      </c>
      <c r="K41" t="str">
        <f>IFERROR(__xludf.DUMMYFUNCTION("""COMPUTED_VALUE"""),"ADMINISTRATIVO")</f>
        <v>ADMINISTRATIVO</v>
      </c>
      <c r="L41" t="str">
        <f>IFERROR(__xludf.DUMMYFUNCTION("""COMPUTED_VALUE"""),"INTERNO")</f>
        <v>INTERNO</v>
      </c>
      <c r="M41">
        <f>IFERROR(__xludf.DUMMYFUNCTION("""COMPUTED_VALUE"""),2.0)</f>
        <v>2</v>
      </c>
      <c r="N41" t="str">
        <f>IFERROR(__xludf.DUMMYFUNCTION("""COMPUTED_VALUE"""),"EXTERNO")</f>
        <v>EXTERNO</v>
      </c>
      <c r="O41">
        <f>IFERROR(__xludf.DUMMYFUNCTION("""COMPUTED_VALUE"""),15.0)</f>
        <v>15</v>
      </c>
      <c r="P41">
        <f>IFERROR(__xludf.DUMMYFUNCTION("""COMPUTED_VALUE"""),1.0)</f>
        <v>1</v>
      </c>
      <c r="Q41">
        <f>IFERROR(__xludf.DUMMYFUNCTION("""COMPUTED_VALUE"""),0.0)</f>
        <v>0</v>
      </c>
      <c r="R41" s="45" t="str">
        <f>IFERROR(__xludf.DUMMYFUNCTION("""COMPUTED_VALUE"""),"SELECCIONADA")</f>
        <v>SELECCIONADA</v>
      </c>
      <c r="S41" s="38">
        <f>IFERROR(__xludf.DUMMYFUNCTION("""COMPUTED_VALUE"""),43689.0)</f>
        <v>43689</v>
      </c>
      <c r="U41" t="str">
        <f>IFERROR(__xludf.DUMMYFUNCTION("""COMPUTED_VALUE"""),"HUIRCAN BRAVO SAMARIA")</f>
        <v>HUIRCAN BRAVO SAMARIA</v>
      </c>
      <c r="V41" t="str">
        <f>IFERROR(__xludf.DUMMYFUNCTION("""COMPUTED_VALUE"""),"17845827-2")</f>
        <v>17845827-2</v>
      </c>
      <c r="W41" t="str">
        <f>IFERROR(__xludf.DUMMYFUNCTION("""COMPUTED_VALUE"""),"NO")</f>
        <v>NO</v>
      </c>
      <c r="AA41" s="38">
        <f>IFERROR(__xludf.DUMMYFUNCTION("""COMPUTED_VALUE"""),43619.0)</f>
        <v>43619</v>
      </c>
      <c r="AB41" s="38">
        <f>IFERROR(__xludf.DUMMYFUNCTION("""COMPUTED_VALUE"""),43626.0)</f>
        <v>43626</v>
      </c>
      <c r="AH41" t="str">
        <f>IFERROR(__xludf.DUMMYFUNCTION("""COMPUTED_VALUE"""),"PROCESO DE SELECCIÓN")</f>
        <v>PROCESO DE SELECCIÓN</v>
      </c>
      <c r="AI41" t="str">
        <f>IFERROR(__xludf.DUMMYFUNCTION("""COMPUTED_VALUE"""),"-")</f>
        <v>-</v>
      </c>
      <c r="AK41" t="str">
        <f>IFERROR(__xludf.DUMMYFUNCTION("""COMPUTED_VALUE"""),"E")</f>
        <v>E</v>
      </c>
      <c r="AL41">
        <f>IFERROR(__xludf.DUMMYFUNCTION("""COMPUTED_VALUE"""),46.0)</f>
        <v>46</v>
      </c>
      <c r="AM41">
        <f>IFERROR(__xludf.DUMMYFUNCTION("""COMPUTED_VALUE"""),2019.0)</f>
        <v>2019</v>
      </c>
    </row>
    <row r="42">
      <c r="A42">
        <f>IFERROR(__xludf.DUMMYFUNCTION("""COMPUTED_VALUE"""),1.2661966E7)</f>
        <v>12661966</v>
      </c>
      <c r="B42">
        <f>IFERROR(__xludf.DUMMYFUNCTION("""COMPUTED_VALUE"""),40.0)</f>
        <v>40</v>
      </c>
      <c r="C42" t="str">
        <f>IFERROR(__xludf.DUMMYFUNCTION("""COMPUTED_VALUE"""),"A303")</f>
        <v>A303</v>
      </c>
      <c r="D42" t="str">
        <f>IFERROR(__xludf.DUMMYFUNCTION("""COMPUTED_VALUE"""),"15")</f>
        <v>15</v>
      </c>
      <c r="E42" t="str">
        <f>IFERROR(__xludf.DUMMYFUNCTION("""COMPUTED_VALUE"""),"UNIDAD DE REGISTRO ACADEMICO Y CURRICULAR")</f>
        <v>UNIDAD DE REGISTRO ACADEMICO Y CURRICULAR</v>
      </c>
      <c r="F42" t="str">
        <f>IFERROR(__xludf.DUMMYFUNCTION("""COMPUTED_VALUE"""),"Analista de Gestión I")</f>
        <v>Analista de Gestión I</v>
      </c>
      <c r="G42" t="str">
        <f>IFERROR(__xludf.DUMMYFUNCTION("""COMPUTED_VALUE"""),"ANALISTA DE GESTION I")</f>
        <v>ANALISTA DE GESTION I</v>
      </c>
      <c r="H42">
        <f>IFERROR(__xludf.DUMMYFUNCTION("""COMPUTED_VALUE"""),10.0)</f>
        <v>10</v>
      </c>
      <c r="I42" t="str">
        <f>IFERROR(__xludf.DUMMYFUNCTION("""COMPUTED_VALUE"""),"Jornada Completa")</f>
        <v>Jornada Completa</v>
      </c>
      <c r="J42" t="str">
        <f>IFERROR(__xludf.DUMMYFUNCTION("""COMPUTED_VALUE"""),"A CONTRATA")</f>
        <v>A CONTRATA</v>
      </c>
      <c r="K42" t="str">
        <f>IFERROR(__xludf.DUMMYFUNCTION("""COMPUTED_VALUE"""),"PROFESIONAL")</f>
        <v>PROFESIONAL</v>
      </c>
      <c r="L42" t="str">
        <f>IFERROR(__xludf.DUMMYFUNCTION("""COMPUTED_VALUE"""),"INTERNO")</f>
        <v>INTERNO</v>
      </c>
      <c r="M42">
        <f>IFERROR(__xludf.DUMMYFUNCTION("""COMPUTED_VALUE"""),4.0)</f>
        <v>4</v>
      </c>
      <c r="N42" t="str">
        <f>IFERROR(__xludf.DUMMYFUNCTION("""COMPUTED_VALUE"""),"NO")</f>
        <v>NO</v>
      </c>
      <c r="P42">
        <f>IFERROR(__xludf.DUMMYFUNCTION("""COMPUTED_VALUE"""),2.0)</f>
        <v>2</v>
      </c>
      <c r="Q42">
        <f>IFERROR(__xludf.DUMMYFUNCTION("""COMPUTED_VALUE"""),0.0)</f>
        <v>0</v>
      </c>
      <c r="R42" s="45" t="str">
        <f>IFERROR(__xludf.DUMMYFUNCTION("""COMPUTED_VALUE"""),"SELECCIONADO")</f>
        <v>SELECCIONADO</v>
      </c>
      <c r="S42" s="38">
        <f>IFERROR(__xludf.DUMMYFUNCTION("""COMPUTED_VALUE"""),43698.0)</f>
        <v>43698</v>
      </c>
      <c r="T42" t="str">
        <f>IFERROR(__xludf.DUMMYFUNCTION("""COMPUTED_VALUE"""),"URBINA RODRIGUEZ FRANCISCO")</f>
        <v>URBINA RODRIGUEZ FRANCISCO</v>
      </c>
      <c r="V42" t="str">
        <f>IFERROR(__xludf.DUMMYFUNCTION("""COMPUTED_VALUE"""),"12661966-9")</f>
        <v>12661966-9</v>
      </c>
      <c r="W42" t="str">
        <f>IFERROR(__xludf.DUMMYFUNCTION("""COMPUTED_VALUE"""),"SI")</f>
        <v>SI</v>
      </c>
      <c r="X42" t="str">
        <f>IFERROR(__xludf.DUMMYFUNCTION("""COMPUTED_VALUE"""),"Capacidad de Planificacion y Organizacion")</f>
        <v>Capacidad de Planificacion y Organizacion</v>
      </c>
      <c r="Y42" t="str">
        <f>IFERROR(__xludf.DUMMYFUNCTION("""COMPUTED_VALUE"""),"Pensamiento Analitico")</f>
        <v>Pensamiento Analitico</v>
      </c>
      <c r="AA42" s="38">
        <f>IFERROR(__xludf.DUMMYFUNCTION("""COMPUTED_VALUE"""),43637.0)</f>
        <v>43637</v>
      </c>
      <c r="AB42" s="38">
        <f>IFERROR(__xludf.DUMMYFUNCTION("""COMPUTED_VALUE"""),43644.0)</f>
        <v>43644</v>
      </c>
      <c r="AH42" t="str">
        <f>IFERROR(__xludf.DUMMYFUNCTION("""COMPUTED_VALUE"""),"PROCESO DE SELECCIÓN")</f>
        <v>PROCESO DE SELECCIÓN</v>
      </c>
      <c r="AI42" t="str">
        <f>IFERROR(__xludf.DUMMYFUNCTION("""COMPUTED_VALUE"""),"-")</f>
        <v>-</v>
      </c>
      <c r="AK42" t="str">
        <f>IFERROR(__xludf.DUMMYFUNCTION("""COMPUTED_VALUE"""),"C")</f>
        <v>C</v>
      </c>
      <c r="AL42">
        <f>IFERROR(__xludf.DUMMYFUNCTION("""COMPUTED_VALUE"""),39.0)</f>
        <v>39</v>
      </c>
      <c r="AM42">
        <f>IFERROR(__xludf.DUMMYFUNCTION("""COMPUTED_VALUE"""),2019.0)</f>
        <v>2019</v>
      </c>
    </row>
    <row r="43">
      <c r="A43">
        <f>IFERROR(__xludf.DUMMYFUNCTION("""COMPUTED_VALUE"""),1.5723E7)</f>
        <v>15723000</v>
      </c>
      <c r="B43">
        <f>IFERROR(__xludf.DUMMYFUNCTION("""COMPUTED_VALUE"""),41.0)</f>
        <v>41</v>
      </c>
      <c r="C43" t="str">
        <f>IFERROR(__xludf.DUMMYFUNCTION("""COMPUTED_VALUE"""),"A359")</f>
        <v>A359</v>
      </c>
      <c r="D43" t="str">
        <f>IFERROR(__xludf.DUMMYFUNCTION("""COMPUTED_VALUE"""),"3")</f>
        <v>3</v>
      </c>
      <c r="E43" t="str">
        <f>IFERROR(__xludf.DUMMYFUNCTION("""COMPUTED_VALUE"""),"UNIDAD DE ADQUISICIONES")</f>
        <v>UNIDAD DE ADQUISICIONES</v>
      </c>
      <c r="F43" t="str">
        <f>IFERROR(__xludf.DUMMYFUNCTION("""COMPUTED_VALUE"""),"Analista de Gestión II")</f>
        <v>Analista de Gestión II</v>
      </c>
      <c r="G43" t="str">
        <f>IFERROR(__xludf.DUMMYFUNCTION("""COMPUTED_VALUE"""),"ANALISTA DE GESTION II ( ENCARGADO/A DE COMPRAS)")</f>
        <v>ANALISTA DE GESTION II ( ENCARGADO/A DE COMPRAS)</v>
      </c>
      <c r="H43">
        <f>IFERROR(__xludf.DUMMYFUNCTION("""COMPUTED_VALUE"""),13.0)</f>
        <v>13</v>
      </c>
      <c r="I43" t="str">
        <f>IFERROR(__xludf.DUMMYFUNCTION("""COMPUTED_VALUE"""),"Jornada Completa")</f>
        <v>Jornada Completa</v>
      </c>
      <c r="J43" t="str">
        <f>IFERROR(__xludf.DUMMYFUNCTION("""COMPUTED_VALUE"""),"A CONTRATA")</f>
        <v>A CONTRATA</v>
      </c>
      <c r="K43" t="str">
        <f>IFERROR(__xludf.DUMMYFUNCTION("""COMPUTED_VALUE"""),"PROFESIONAL")</f>
        <v>PROFESIONAL</v>
      </c>
      <c r="L43" t="str">
        <f>IFERROR(__xludf.DUMMYFUNCTION("""COMPUTED_VALUE"""),"INTERNO")</f>
        <v>INTERNO</v>
      </c>
      <c r="M43">
        <f>IFERROR(__xludf.DUMMYFUNCTION("""COMPUTED_VALUE"""),2.0)</f>
        <v>2</v>
      </c>
      <c r="N43" t="str">
        <f>IFERROR(__xludf.DUMMYFUNCTION("""COMPUTED_VALUE"""),"NO")</f>
        <v>NO</v>
      </c>
      <c r="P43">
        <f>IFERROR(__xludf.DUMMYFUNCTION("""COMPUTED_VALUE"""),2.0)</f>
        <v>2</v>
      </c>
      <c r="Q43">
        <f>IFERROR(__xludf.DUMMYFUNCTION("""COMPUTED_VALUE"""),0.0)</f>
        <v>0</v>
      </c>
      <c r="R43" s="45" t="str">
        <f>IFERROR(__xludf.DUMMYFUNCTION("""COMPUTED_VALUE"""),"SELECCIONADA")</f>
        <v>SELECCIONADA</v>
      </c>
      <c r="S43" s="38">
        <f>IFERROR(__xludf.DUMMYFUNCTION("""COMPUTED_VALUE"""),43703.0)</f>
        <v>43703</v>
      </c>
      <c r="T43" t="str">
        <f>IFERROR(__xludf.DUMMYFUNCTION("""COMPUTED_VALUE"""),"RUBIO POLANCO STEPHANIE ROSA MARIA")</f>
        <v>RUBIO POLANCO STEPHANIE ROSA MARIA</v>
      </c>
      <c r="V43" t="str">
        <f>IFERROR(__xludf.DUMMYFUNCTION("""COMPUTED_VALUE"""),"15723000-K")</f>
        <v>15723000-K</v>
      </c>
      <c r="W43" t="str">
        <f>IFERROR(__xludf.DUMMYFUNCTION("""COMPUTED_VALUE"""),"SI")</f>
        <v>SI</v>
      </c>
      <c r="X43" t="str">
        <f>IFERROR(__xludf.DUMMYFUNCTION("""COMPUTED_VALUE"""),"Capacidad de Planificacion y Organizacion")</f>
        <v>Capacidad de Planificacion y Organizacion</v>
      </c>
      <c r="AA43" s="38">
        <f>IFERROR(__xludf.DUMMYFUNCTION("""COMPUTED_VALUE"""),43627.0)</f>
        <v>43627</v>
      </c>
      <c r="AB43" s="38">
        <f>IFERROR(__xludf.DUMMYFUNCTION("""COMPUTED_VALUE"""),43636.0)</f>
        <v>43636</v>
      </c>
      <c r="AH43" t="str">
        <f>IFERROR(__xludf.DUMMYFUNCTION("""COMPUTED_VALUE"""),"PROCESO DE SELECCIÓN")</f>
        <v>PROCESO DE SELECCIÓN</v>
      </c>
      <c r="AI43" t="str">
        <f>IFERROR(__xludf.DUMMYFUNCTION("""COMPUTED_VALUE"""),"ORTIZ DINAMARCA PEDRO ")</f>
        <v>ORTIZ DINAMARCA PEDRO </v>
      </c>
      <c r="AK43" t="str">
        <f>IFERROR(__xludf.DUMMYFUNCTION("""COMPUTED_VALUE"""),"C")</f>
        <v>C</v>
      </c>
      <c r="AL43">
        <f>IFERROR(__xludf.DUMMYFUNCTION("""COMPUTED_VALUE"""),48.0)</f>
        <v>48</v>
      </c>
      <c r="AM43">
        <f>IFERROR(__xludf.DUMMYFUNCTION("""COMPUTED_VALUE"""),2019.0)</f>
        <v>2019</v>
      </c>
    </row>
    <row r="44">
      <c r="A44">
        <f>IFERROR(__xludf.DUMMYFUNCTION("""COMPUTED_VALUE"""),1.5282232E7)</f>
        <v>15282232</v>
      </c>
      <c r="B44">
        <f>IFERROR(__xludf.DUMMYFUNCTION("""COMPUTED_VALUE"""),42.0)</f>
        <v>42</v>
      </c>
      <c r="C44" t="str">
        <f>IFERROR(__xludf.DUMMYFUNCTION("""COMPUTED_VALUE"""),"A358")</f>
        <v>A358</v>
      </c>
      <c r="D44" t="str">
        <f>IFERROR(__xludf.DUMMYFUNCTION("""COMPUTED_VALUE"""),"40")</f>
        <v>40</v>
      </c>
      <c r="E44" t="str">
        <f>IFERROR(__xludf.DUMMYFUNCTION("""COMPUTED_VALUE"""),"FACULTAD DE INGENIERIA")</f>
        <v>FACULTAD DE INGENIERIA</v>
      </c>
      <c r="F44" t="str">
        <f>IFERROR(__xludf.DUMMYFUNCTION("""COMPUTED_VALUE"""),"Jefe(a) de Área")</f>
        <v>Jefe(a) de Área</v>
      </c>
      <c r="G44" t="str">
        <f>IFERROR(__xludf.DUMMYFUNCTION("""COMPUTED_VALUE"""),"JEFE DE AREA ( GESTION ACADEMICA Y PLANES DE ESTUDIO)")</f>
        <v>JEFE DE AREA ( GESTION ACADEMICA Y PLANES DE ESTUDIO)</v>
      </c>
      <c r="H44">
        <f>IFERROR(__xludf.DUMMYFUNCTION("""COMPUTED_VALUE"""),6.0)</f>
        <v>6</v>
      </c>
      <c r="I44" t="str">
        <f>IFERROR(__xludf.DUMMYFUNCTION("""COMPUTED_VALUE"""),"Jornada Completa")</f>
        <v>Jornada Completa</v>
      </c>
      <c r="J44" t="str">
        <f>IFERROR(__xludf.DUMMYFUNCTION("""COMPUTED_VALUE"""),"A CONTRATA")</f>
        <v>A CONTRATA</v>
      </c>
      <c r="K44" t="str">
        <f>IFERROR(__xludf.DUMMYFUNCTION("""COMPUTED_VALUE"""),"PROFESIONAL")</f>
        <v>PROFESIONAL</v>
      </c>
      <c r="L44" t="str">
        <f>IFERROR(__xludf.DUMMYFUNCTION("""COMPUTED_VALUE"""),"INTERNO")</f>
        <v>INTERNO</v>
      </c>
      <c r="M44">
        <f>IFERROR(__xludf.DUMMYFUNCTION("""COMPUTED_VALUE"""),13.0)</f>
        <v>13</v>
      </c>
      <c r="N44" t="str">
        <f>IFERROR(__xludf.DUMMYFUNCTION("""COMPUTED_VALUE"""),"NO")</f>
        <v>NO</v>
      </c>
      <c r="P44">
        <f>IFERROR(__xludf.DUMMYFUNCTION("""COMPUTED_VALUE"""),1.0)</f>
        <v>1</v>
      </c>
      <c r="Q44">
        <f>IFERROR(__xludf.DUMMYFUNCTION("""COMPUTED_VALUE"""),0.0)</f>
        <v>0</v>
      </c>
      <c r="R44" s="45" t="str">
        <f>IFERROR(__xludf.DUMMYFUNCTION("""COMPUTED_VALUE"""),"SELECCIONADO")</f>
        <v>SELECCIONADO</v>
      </c>
      <c r="S44" s="38">
        <f>IFERROR(__xludf.DUMMYFUNCTION("""COMPUTED_VALUE"""),43703.0)</f>
        <v>43703</v>
      </c>
      <c r="T44" t="str">
        <f>IFERROR(__xludf.DUMMYFUNCTION("""COMPUTED_VALUE"""),"GODOY MANSILLA GONZALO")</f>
        <v>GODOY MANSILLA GONZALO</v>
      </c>
      <c r="V44" t="str">
        <f>IFERROR(__xludf.DUMMYFUNCTION("""COMPUTED_VALUE"""),"15282232-4")</f>
        <v>15282232-4</v>
      </c>
      <c r="W44" t="str">
        <f>IFERROR(__xludf.DUMMYFUNCTION("""COMPUTED_VALUE"""),"SI")</f>
        <v>SI</v>
      </c>
      <c r="X44" t="str">
        <f>IFERROR(__xludf.DUMMYFUNCTION("""COMPUTED_VALUE"""),"Orientacion a los Resultados")</f>
        <v>Orientacion a los Resultados</v>
      </c>
      <c r="AA44" s="38">
        <f>IFERROR(__xludf.DUMMYFUNCTION("""COMPUTED_VALUE"""),43637.0)</f>
        <v>43637</v>
      </c>
      <c r="AB44" s="38">
        <f>IFERROR(__xludf.DUMMYFUNCTION("""COMPUTED_VALUE"""),43644.0)</f>
        <v>43644</v>
      </c>
      <c r="AH44" t="str">
        <f>IFERROR(__xludf.DUMMYFUNCTION("""COMPUTED_VALUE"""),"PROCESO DE SELECCIÓN")</f>
        <v>PROCESO DE SELECCIÓN</v>
      </c>
      <c r="AI44" t="str">
        <f>IFERROR(__xludf.DUMMYFUNCTION("""COMPUTED_VALUE"""),"CORON TORRES OSCAR")</f>
        <v>CORON TORRES OSCAR</v>
      </c>
      <c r="AK44" t="str">
        <f>IFERROR(__xludf.DUMMYFUNCTION("""COMPUTED_VALUE"""),"C")</f>
        <v>C</v>
      </c>
      <c r="AL44">
        <f>IFERROR(__xludf.DUMMYFUNCTION("""COMPUTED_VALUE"""),42.0)</f>
        <v>42</v>
      </c>
      <c r="AM44">
        <f>IFERROR(__xludf.DUMMYFUNCTION("""COMPUTED_VALUE"""),2019.0)</f>
        <v>2019</v>
      </c>
    </row>
    <row r="45">
      <c r="A45">
        <f>IFERROR(__xludf.DUMMYFUNCTION("""COMPUTED_VALUE"""),1.8057011E7)</f>
        <v>18057011</v>
      </c>
      <c r="B45">
        <f>IFERROR(__xludf.DUMMYFUNCTION("""COMPUTED_VALUE"""),43.0)</f>
        <v>43</v>
      </c>
      <c r="C45" t="str">
        <f>IFERROR(__xludf.DUMMYFUNCTION("""COMPUTED_VALUE"""),"A364")</f>
        <v>A364</v>
      </c>
      <c r="D45" t="str">
        <f>IFERROR(__xludf.DUMMYFUNCTION("""COMPUTED_VALUE"""),"3")</f>
        <v>3</v>
      </c>
      <c r="E45" t="str">
        <f>IFERROR(__xludf.DUMMYFUNCTION("""COMPUTED_VALUE"""),"UNIDAD DE GESTION DEL CAMPUS")</f>
        <v>UNIDAD DE GESTION DEL CAMPUS</v>
      </c>
      <c r="F45" t="str">
        <f>IFERROR(__xludf.DUMMYFUNCTION("""COMPUTED_VALUE"""),"Técnico(a) Eléctrico")</f>
        <v>Técnico(a) Eléctrico</v>
      </c>
      <c r="G45" t="str">
        <f>IFERROR(__xludf.DUMMYFUNCTION("""COMPUTED_VALUE"""),"TECNICO ELECTRICO")</f>
        <v>TECNICO ELECTRICO</v>
      </c>
      <c r="H45">
        <f>IFERROR(__xludf.DUMMYFUNCTION("""COMPUTED_VALUE"""),17.0)</f>
        <v>17</v>
      </c>
      <c r="I45" t="str">
        <f>IFERROR(__xludf.DUMMYFUNCTION("""COMPUTED_VALUE"""),"Jornada Completa")</f>
        <v>Jornada Completa</v>
      </c>
      <c r="J45" t="str">
        <f>IFERROR(__xludf.DUMMYFUNCTION("""COMPUTED_VALUE"""),"A CONTRATA")</f>
        <v>A CONTRATA</v>
      </c>
      <c r="K45" t="str">
        <f>IFERROR(__xludf.DUMMYFUNCTION("""COMPUTED_VALUE"""),"TECNICO")</f>
        <v>TECNICO</v>
      </c>
      <c r="L45" t="str">
        <f>IFERROR(__xludf.DUMMYFUNCTION("""COMPUTED_VALUE"""),"INTERNO")</f>
        <v>INTERNO</v>
      </c>
      <c r="M45">
        <f>IFERROR(__xludf.DUMMYFUNCTION("""COMPUTED_VALUE"""),1.0)</f>
        <v>1</v>
      </c>
      <c r="N45" t="str">
        <f>IFERROR(__xludf.DUMMYFUNCTION("""COMPUTED_VALUE"""),"NO")</f>
        <v>NO</v>
      </c>
      <c r="P45">
        <f>IFERROR(__xludf.DUMMYFUNCTION("""COMPUTED_VALUE"""),1.0)</f>
        <v>1</v>
      </c>
      <c r="Q45">
        <f>IFERROR(__xludf.DUMMYFUNCTION("""COMPUTED_VALUE"""),0.0)</f>
        <v>0</v>
      </c>
      <c r="R45" s="45" t="str">
        <f>IFERROR(__xludf.DUMMYFUNCTION("""COMPUTED_VALUE"""),"SELECCIONADO")</f>
        <v>SELECCIONADO</v>
      </c>
      <c r="S45" s="38">
        <f>IFERROR(__xludf.DUMMYFUNCTION("""COMPUTED_VALUE"""),43703.0)</f>
        <v>43703</v>
      </c>
      <c r="T45" t="str">
        <f>IFERROR(__xludf.DUMMYFUNCTION("""COMPUTED_VALUE"""),"BORQUEZ SALAZAR SEBASTIAN ANDRES")</f>
        <v>BORQUEZ SALAZAR SEBASTIAN ANDRES</v>
      </c>
      <c r="V45" t="str">
        <f>IFERROR(__xludf.DUMMYFUNCTION("""COMPUTED_VALUE"""),"18057011-K")</f>
        <v>18057011-K</v>
      </c>
      <c r="W45" t="str">
        <f>IFERROR(__xludf.DUMMYFUNCTION("""COMPUTED_VALUE"""),"SI")</f>
        <v>SI</v>
      </c>
      <c r="X45" t="str">
        <f>IFERROR(__xludf.DUMMYFUNCTION("""COMPUTED_VALUE"""),"Orientacion a los Resultados")</f>
        <v>Orientacion a los Resultados</v>
      </c>
      <c r="AA45" s="38">
        <f>IFERROR(__xludf.DUMMYFUNCTION("""COMPUTED_VALUE"""),43633.0)</f>
        <v>43633</v>
      </c>
      <c r="AB45" s="38">
        <f>IFERROR(__xludf.DUMMYFUNCTION("""COMPUTED_VALUE"""),43640.0)</f>
        <v>43640</v>
      </c>
      <c r="AH45" t="str">
        <f>IFERROR(__xludf.DUMMYFUNCTION("""COMPUTED_VALUE"""),"PROCESO DE SELECCIÓN")</f>
        <v>PROCESO DE SELECCIÓN</v>
      </c>
      <c r="AI45" t="str">
        <f>IFERROR(__xludf.DUMMYFUNCTION("""COMPUTED_VALUE"""),"MARABOLI HORMAZABAL CRISTIAN")</f>
        <v>MARABOLI HORMAZABAL CRISTIAN</v>
      </c>
      <c r="AK45" t="str">
        <f>IFERROR(__xludf.DUMMYFUNCTION("""COMPUTED_VALUE"""),"C")</f>
        <v>C</v>
      </c>
      <c r="AL45">
        <f>IFERROR(__xludf.DUMMYFUNCTION("""COMPUTED_VALUE"""),46.0)</f>
        <v>46</v>
      </c>
      <c r="AM45">
        <f>IFERROR(__xludf.DUMMYFUNCTION("""COMPUTED_VALUE"""),2019.0)</f>
        <v>2019</v>
      </c>
    </row>
    <row r="46">
      <c r="A46">
        <f>IFERROR(__xludf.DUMMYFUNCTION("""COMPUTED_VALUE"""),1.8089232E7)</f>
        <v>18089232</v>
      </c>
      <c r="B46">
        <f>IFERROR(__xludf.DUMMYFUNCTION("""COMPUTED_VALUE"""),44.0)</f>
        <v>44</v>
      </c>
      <c r="C46" t="str">
        <f>IFERROR(__xludf.DUMMYFUNCTION("""COMPUTED_VALUE"""),"A368")</f>
        <v>A368</v>
      </c>
      <c r="D46" t="str">
        <f>IFERROR(__xludf.DUMMYFUNCTION("""COMPUTED_VALUE"""),"3")</f>
        <v>3</v>
      </c>
      <c r="E46" t="str">
        <f>IFERROR(__xludf.DUMMYFUNCTION("""COMPUTED_VALUE"""),"UNIDAD DE PROYECTO UNICYT")</f>
        <v>UNIDAD DE PROYECTO UNICYT</v>
      </c>
      <c r="F46" t="str">
        <f>IFERROR(__xludf.DUMMYFUNCTION("""COMPUTED_VALUE"""),"Psicólogo(a)")</f>
        <v>Psicólogo(a)</v>
      </c>
      <c r="G46" t="str">
        <f>IFERROR(__xludf.DUMMYFUNCTION("""COMPUTED_VALUE"""),"PSICOLOGO PROYECTO USA1811")</f>
        <v>PSICOLOGO PROYECTO USA1811</v>
      </c>
      <c r="H46">
        <f>IFERROR(__xludf.DUMMYFUNCTION("""COMPUTED_VALUE"""),9.0)</f>
        <v>9</v>
      </c>
      <c r="I46" t="str">
        <f>IFERROR(__xludf.DUMMYFUNCTION("""COMPUTED_VALUE"""),"1/4 Jornada")</f>
        <v>1/4 Jornada</v>
      </c>
      <c r="J46" t="str">
        <f>IFERROR(__xludf.DUMMYFUNCTION("""COMPUTED_VALUE"""),"A CONTRATA")</f>
        <v>A CONTRATA</v>
      </c>
      <c r="K46" t="str">
        <f>IFERROR(__xludf.DUMMYFUNCTION("""COMPUTED_VALUE"""),"PROFESIONAL")</f>
        <v>PROFESIONAL</v>
      </c>
      <c r="L46" t="str">
        <f>IFERROR(__xludf.DUMMYFUNCTION("""COMPUTED_VALUE"""),"NO")</f>
        <v>NO</v>
      </c>
      <c r="M46">
        <f>IFERROR(__xludf.DUMMYFUNCTION("""COMPUTED_VALUE"""),0.0)</f>
        <v>0</v>
      </c>
      <c r="N46" t="str">
        <f>IFERROR(__xludf.DUMMYFUNCTION("""COMPUTED_VALUE"""),"EXTERNO")</f>
        <v>EXTERNO</v>
      </c>
      <c r="O46">
        <f>IFERROR(__xludf.DUMMYFUNCTION("""COMPUTED_VALUE"""),59.0)</f>
        <v>59</v>
      </c>
      <c r="P46">
        <f>IFERROR(__xludf.DUMMYFUNCTION("""COMPUTED_VALUE"""),2.0)</f>
        <v>2</v>
      </c>
      <c r="Q46">
        <f>IFERROR(__xludf.DUMMYFUNCTION("""COMPUTED_VALUE"""),0.0)</f>
        <v>0</v>
      </c>
      <c r="R46" s="45" t="str">
        <f>IFERROR(__xludf.DUMMYFUNCTION("""COMPUTED_VALUE"""),"SELECCIONADO")</f>
        <v>SELECCIONADO</v>
      </c>
      <c r="S46" s="38">
        <f>IFERROR(__xludf.DUMMYFUNCTION("""COMPUTED_VALUE"""),43698.0)</f>
        <v>43698</v>
      </c>
      <c r="U46" t="str">
        <f>IFERROR(__xludf.DUMMYFUNCTION("""COMPUTED_VALUE"""),"TOLOZA DIAZ FELIPE")</f>
        <v>TOLOZA DIAZ FELIPE</v>
      </c>
      <c r="V46" t="str">
        <f>IFERROR(__xludf.DUMMYFUNCTION("""COMPUTED_VALUE"""),"18089232-K")</f>
        <v>18089232-K</v>
      </c>
      <c r="W46" t="str">
        <f>IFERROR(__xludf.DUMMYFUNCTION("""COMPUTED_VALUE"""),"SI")</f>
        <v>SI</v>
      </c>
      <c r="X46" t="str">
        <f>IFERROR(__xludf.DUMMYFUNCTION("""COMPUTED_VALUE"""),"Capacidad de Planificacion y Organizacion")</f>
        <v>Capacidad de Planificacion y Organizacion</v>
      </c>
      <c r="AA46" s="38">
        <f>IFERROR(__xludf.DUMMYFUNCTION("""COMPUTED_VALUE"""),43627.0)</f>
        <v>43627</v>
      </c>
      <c r="AB46" s="38">
        <f>IFERROR(__xludf.DUMMYFUNCTION("""COMPUTED_VALUE"""),43635.0)</f>
        <v>43635</v>
      </c>
      <c r="AG46" s="46" t="str">
        <f>IFERROR(__xludf.DUMMYFUNCTION("""COMPUTED_VALUE"""),"PROCESO NO PUBLICADO EN PAGINA")</f>
        <v>PROCESO NO PUBLICADO EN PAGINA</v>
      </c>
      <c r="AL46">
        <f>IFERROR(__xludf.DUMMYFUNCTION("""COMPUTED_VALUE"""),46.0)</f>
        <v>46</v>
      </c>
      <c r="AM46">
        <f>IFERROR(__xludf.DUMMYFUNCTION("""COMPUTED_VALUE"""),2019.0)</f>
        <v>2019</v>
      </c>
    </row>
    <row r="47">
      <c r="A47">
        <f>IFERROR(__xludf.DUMMYFUNCTION("""COMPUTED_VALUE"""),1.7677806E7)</f>
        <v>17677806</v>
      </c>
      <c r="B47">
        <f>IFERROR(__xludf.DUMMYFUNCTION("""COMPUTED_VALUE"""),45.0)</f>
        <v>45</v>
      </c>
      <c r="C47" t="str">
        <f>IFERROR(__xludf.DUMMYFUNCTION("""COMPUTED_VALUE"""),"ACTA2019-26")</f>
        <v>ACTA2019-26</v>
      </c>
      <c r="D47" t="str">
        <f>IFERROR(__xludf.DUMMYFUNCTION("""COMPUTED_VALUE"""),"120")</f>
        <v>120</v>
      </c>
      <c r="E47" t="str">
        <f>IFERROR(__xludf.DUMMYFUNCTION("""COMPUTED_VALUE"""),"DPTO. DE COMUNICACIONES")</f>
        <v>DPTO. DE COMUNICACIONES</v>
      </c>
      <c r="F47" t="str">
        <f>IFERROR(__xludf.DUMMYFUNCTION("""COMPUTED_VALUE"""),"Encargado(a) de Vinculación con el Medio")</f>
        <v>Encargado(a) de Vinculación con el Medio</v>
      </c>
      <c r="G47" t="str">
        <f>IFERROR(__xludf.DUMMYFUNCTION("""COMPUTED_VALUE"""),"ENCARGADO DE VINCULACION CON EL MEDIO")</f>
        <v>ENCARGADO DE VINCULACION CON EL MEDIO</v>
      </c>
      <c r="H47">
        <f>IFERROR(__xludf.DUMMYFUNCTION("""COMPUTED_VALUE"""),13.0)</f>
        <v>13</v>
      </c>
      <c r="I47" t="str">
        <f>IFERROR(__xludf.DUMMYFUNCTION("""COMPUTED_VALUE"""),"Jornada Completa")</f>
        <v>Jornada Completa</v>
      </c>
      <c r="J47" t="str">
        <f>IFERROR(__xludf.DUMMYFUNCTION("""COMPUTED_VALUE"""),"A CONTRATA")</f>
        <v>A CONTRATA</v>
      </c>
      <c r="K47" t="str">
        <f>IFERROR(__xludf.DUMMYFUNCTION("""COMPUTED_VALUE"""),"PROFESIONAL")</f>
        <v>PROFESIONAL</v>
      </c>
      <c r="L47" t="str">
        <f>IFERROR(__xludf.DUMMYFUNCTION("""COMPUTED_VALUE"""),"NO")</f>
        <v>NO</v>
      </c>
      <c r="M47">
        <f>IFERROR(__xludf.DUMMYFUNCTION("""COMPUTED_VALUE"""),0.0)</f>
        <v>0</v>
      </c>
      <c r="N47" t="str">
        <f>IFERROR(__xludf.DUMMYFUNCTION("""COMPUTED_VALUE"""),"EXTERNO")</f>
        <v>EXTERNO</v>
      </c>
      <c r="O47">
        <f>IFERROR(__xludf.DUMMYFUNCTION("""COMPUTED_VALUE"""),32.0)</f>
        <v>32</v>
      </c>
      <c r="P47">
        <f>IFERROR(__xludf.DUMMYFUNCTION("""COMPUTED_VALUE"""),3.0)</f>
        <v>3</v>
      </c>
      <c r="Q47">
        <f>IFERROR(__xludf.DUMMYFUNCTION("""COMPUTED_VALUE"""),0.0)</f>
        <v>0</v>
      </c>
      <c r="R47" s="45" t="str">
        <f>IFERROR(__xludf.DUMMYFUNCTION("""COMPUTED_VALUE"""),"SELECCIONADO")</f>
        <v>SELECCIONADO</v>
      </c>
      <c r="S47" s="38">
        <f>IFERROR(__xludf.DUMMYFUNCTION("""COMPUTED_VALUE"""),43598.0)</f>
        <v>43598</v>
      </c>
      <c r="U47" t="str">
        <f>IFERROR(__xludf.DUMMYFUNCTION("""COMPUTED_VALUE"""),"SEPULVEDA FARIAS MATIAS")</f>
        <v>SEPULVEDA FARIAS MATIAS</v>
      </c>
      <c r="V47" t="str">
        <f>IFERROR(__xludf.DUMMYFUNCTION("""COMPUTED_VALUE"""),"17677806-7")</f>
        <v>17677806-7</v>
      </c>
      <c r="W47" t="str">
        <f>IFERROR(__xludf.DUMMYFUNCTION("""COMPUTED_VALUE"""),"SI")</f>
        <v>SI</v>
      </c>
      <c r="X47" t="str">
        <f>IFERROR(__xludf.DUMMYFUNCTION("""COMPUTED_VALUE"""),"Capacidad de Planificacion y Organizacion")</f>
        <v>Capacidad de Planificacion y Organizacion</v>
      </c>
      <c r="AA47" s="38">
        <f>IFERROR(__xludf.DUMMYFUNCTION("""COMPUTED_VALUE"""),43560.0)</f>
        <v>43560</v>
      </c>
      <c r="AB47" s="38">
        <f>IFERROR(__xludf.DUMMYFUNCTION("""COMPUTED_VALUE"""),43567.0)</f>
        <v>43567</v>
      </c>
      <c r="AH47" t="str">
        <f>IFERROR(__xludf.DUMMYFUNCTION("""COMPUTED_VALUE"""),"PROCESO DE SELECCIÓN")</f>
        <v>PROCESO DE SELECCIÓN</v>
      </c>
      <c r="AI47" t="str">
        <f>IFERROR(__xludf.DUMMYFUNCTION("""COMPUTED_VALUE"""),"RIVERA CATALAN JACQUELINE")</f>
        <v>RIVERA CATALAN JACQUELINE</v>
      </c>
      <c r="AK47" t="str">
        <f>IFERROR(__xludf.DUMMYFUNCTION("""COMPUTED_VALUE"""),"E")</f>
        <v>E</v>
      </c>
      <c r="AL47">
        <f>IFERROR(__xludf.DUMMYFUNCTION("""COMPUTED_VALUE"""),22.0)</f>
        <v>22</v>
      </c>
      <c r="AM47">
        <f>IFERROR(__xludf.DUMMYFUNCTION("""COMPUTED_VALUE"""),2019.0)</f>
        <v>2019</v>
      </c>
    </row>
    <row r="48">
      <c r="A48">
        <f>IFERROR(__xludf.DUMMYFUNCTION("""COMPUTED_VALUE"""),1.1851134E7)</f>
        <v>11851134</v>
      </c>
      <c r="B48">
        <f>IFERROR(__xludf.DUMMYFUNCTION("""COMPUTED_VALUE"""),46.0)</f>
        <v>46</v>
      </c>
      <c r="C48" t="str">
        <f>IFERROR(__xludf.DUMMYFUNCTION("""COMPUTED_VALUE"""),"A346")</f>
        <v>A346</v>
      </c>
      <c r="D48" t="str">
        <f>IFERROR(__xludf.DUMMYFUNCTION("""COMPUTED_VALUE"""),"125")</f>
        <v>125</v>
      </c>
      <c r="E48" t="str">
        <f>IFERROR(__xludf.DUMMYFUNCTION("""COMPUTED_VALUE"""),"FACULTAD DE DERECHO")</f>
        <v>FACULTAD DE DERECHO</v>
      </c>
      <c r="F48" t="str">
        <f>IFERROR(__xludf.DUMMYFUNCTION("""COMPUTED_VALUE"""),"Secretario(a) B")</f>
        <v>Secretario(a) B</v>
      </c>
      <c r="G48" t="str">
        <f>IFERROR(__xludf.DUMMYFUNCTION("""COMPUTED_VALUE"""),"SECRETARIA B ( DEPARTAMENTOS DERECHO PUBLICO Y PRIVADO, CIENCIAS DE DERECHO")</f>
        <v>SECRETARIA B ( DEPARTAMENTOS DERECHO PUBLICO Y PRIVADO, CIENCIAS DE DERECHO</v>
      </c>
      <c r="H48">
        <f>IFERROR(__xludf.DUMMYFUNCTION("""COMPUTED_VALUE"""),17.0)</f>
        <v>17</v>
      </c>
      <c r="I48" t="str">
        <f>IFERROR(__xludf.DUMMYFUNCTION("""COMPUTED_VALUE"""),"Jornada Completa")</f>
        <v>Jornada Completa</v>
      </c>
      <c r="J48" t="str">
        <f>IFERROR(__xludf.DUMMYFUNCTION("""COMPUTED_VALUE"""),"A CONTRATA")</f>
        <v>A CONTRATA</v>
      </c>
      <c r="K48" t="str">
        <f>IFERROR(__xludf.DUMMYFUNCTION("""COMPUTED_VALUE"""),"ADMINISTRATIVO")</f>
        <v>ADMINISTRATIVO</v>
      </c>
      <c r="L48" t="str">
        <f>IFERROR(__xludf.DUMMYFUNCTION("""COMPUTED_VALUE"""),"INTERNO")</f>
        <v>INTERNO</v>
      </c>
      <c r="M48">
        <f>IFERROR(__xludf.DUMMYFUNCTION("""COMPUTED_VALUE"""),4.0)</f>
        <v>4</v>
      </c>
      <c r="N48" t="str">
        <f>IFERROR(__xludf.DUMMYFUNCTION("""COMPUTED_VALUE"""),"NO")</f>
        <v>NO</v>
      </c>
      <c r="P48">
        <f>IFERROR(__xludf.DUMMYFUNCTION("""COMPUTED_VALUE"""),2.0)</f>
        <v>2</v>
      </c>
      <c r="Q48">
        <f>IFERROR(__xludf.DUMMYFUNCTION("""COMPUTED_VALUE"""),0.0)</f>
        <v>0</v>
      </c>
      <c r="R48" s="45" t="str">
        <f>IFERROR(__xludf.DUMMYFUNCTION("""COMPUTED_VALUE"""),"SELECCIONADA")</f>
        <v>SELECCIONADA</v>
      </c>
      <c r="S48" s="38">
        <f>IFERROR(__xludf.DUMMYFUNCTION("""COMPUTED_VALUE"""),43689.0)</f>
        <v>43689</v>
      </c>
      <c r="T48" t="str">
        <f>IFERROR(__xludf.DUMMYFUNCTION("""COMPUTED_VALUE"""),"FIGUEROA GONZALEZ TERESA DEL CARMEN")</f>
        <v>FIGUEROA GONZALEZ TERESA DEL CARMEN</v>
      </c>
      <c r="V48" t="str">
        <f>IFERROR(__xludf.DUMMYFUNCTION("""COMPUTED_VALUE"""),"11851134-4")</f>
        <v>11851134-4</v>
      </c>
      <c r="W48" t="str">
        <f>IFERROR(__xludf.DUMMYFUNCTION("""COMPUTED_VALUE"""),"SI")</f>
        <v>SI</v>
      </c>
      <c r="X48" t="str">
        <f>IFERROR(__xludf.DUMMYFUNCTION("""COMPUTED_VALUE"""),"Franqueza- Confiabilidad- Integridad")</f>
        <v>Franqueza- Confiabilidad- Integridad</v>
      </c>
      <c r="AA48" s="38">
        <f>IFERROR(__xludf.DUMMYFUNCTION("""COMPUTED_VALUE"""),43621.0)</f>
        <v>43621</v>
      </c>
      <c r="AB48" s="38">
        <f>IFERROR(__xludf.DUMMYFUNCTION("""COMPUTED_VALUE"""),43628.0)</f>
        <v>43628</v>
      </c>
      <c r="AH48" t="str">
        <f>IFERROR(__xludf.DUMMYFUNCTION("""COMPUTED_VALUE"""),"PROCESO DE SELECCIÓN")</f>
        <v>PROCESO DE SELECCIÓN</v>
      </c>
      <c r="AI48" t="str">
        <f>IFERROR(__xludf.DUMMYFUNCTION("""COMPUTED_VALUE"""),"-")</f>
        <v>-</v>
      </c>
      <c r="AK48" t="str">
        <f>IFERROR(__xludf.DUMMYFUNCTION("""COMPUTED_VALUE"""),"C")</f>
        <v>C</v>
      </c>
      <c r="AL48">
        <f>IFERROR(__xludf.DUMMYFUNCTION("""COMPUTED_VALUE"""),44.0)</f>
        <v>44</v>
      </c>
      <c r="AM48">
        <f>IFERROR(__xludf.DUMMYFUNCTION("""COMPUTED_VALUE"""),2019.0)</f>
        <v>2019</v>
      </c>
    </row>
    <row r="49">
      <c r="A49">
        <f>IFERROR(__xludf.DUMMYFUNCTION("""COMPUTED_VALUE"""),1.550534E7)</f>
        <v>15505340</v>
      </c>
      <c r="B49">
        <f>IFERROR(__xludf.DUMMYFUNCTION("""COMPUTED_VALUE"""),47.0)</f>
        <v>47</v>
      </c>
      <c r="C49" t="str">
        <f>IFERROR(__xludf.DUMMYFUNCTION("""COMPUTED_VALUE"""),"A306")</f>
        <v>A306</v>
      </c>
      <c r="D49" t="str">
        <f>IFERROR(__xludf.DUMMYFUNCTION("""COMPUTED_VALUE"""),"11")</f>
        <v>11</v>
      </c>
      <c r="E49" t="str">
        <f>IFERROR(__xludf.DUMMYFUNCTION("""COMPUTED_VALUE"""),"VR. DE INVEST. DESARR E INNOVACION")</f>
        <v>VR. DE INVEST. DESARR E INNOVACION</v>
      </c>
      <c r="F49" t="str">
        <f>IFERROR(__xludf.DUMMYFUNCTION("""COMPUTED_VALUE"""),"Administrativo(a) de Apoyo")</f>
        <v>Administrativo(a) de Apoyo</v>
      </c>
      <c r="G49" t="str">
        <f>IFERROR(__xludf.DUMMYFUNCTION("""COMPUTED_VALUE"""),"ADMINISTRATIVO DE APOYO")</f>
        <v>ADMINISTRATIVO DE APOYO</v>
      </c>
      <c r="H49">
        <f>IFERROR(__xludf.DUMMYFUNCTION("""COMPUTED_VALUE"""),20.0)</f>
        <v>20</v>
      </c>
      <c r="I49" t="str">
        <f>IFERROR(__xludf.DUMMYFUNCTION("""COMPUTED_VALUE"""),"Jornada Completa")</f>
        <v>Jornada Completa</v>
      </c>
      <c r="J49" t="str">
        <f>IFERROR(__xludf.DUMMYFUNCTION("""COMPUTED_VALUE"""),"A CONTRATA")</f>
        <v>A CONTRATA</v>
      </c>
      <c r="K49" t="str">
        <f>IFERROR(__xludf.DUMMYFUNCTION("""COMPUTED_VALUE"""),"ADMINISTRATIVO")</f>
        <v>ADMINISTRATIVO</v>
      </c>
      <c r="L49" t="str">
        <f>IFERROR(__xludf.DUMMYFUNCTION("""COMPUTED_VALUE"""),"INTERNO")</f>
        <v>INTERNO</v>
      </c>
      <c r="M49">
        <f>IFERROR(__xludf.DUMMYFUNCTION("""COMPUTED_VALUE"""),1.0)</f>
        <v>1</v>
      </c>
      <c r="N49" t="str">
        <f>IFERROR(__xludf.DUMMYFUNCTION("""COMPUTED_VALUE"""),"NO")</f>
        <v>NO</v>
      </c>
      <c r="P49">
        <f>IFERROR(__xludf.DUMMYFUNCTION("""COMPUTED_VALUE"""),1.0)</f>
        <v>1</v>
      </c>
      <c r="Q49">
        <f>IFERROR(__xludf.DUMMYFUNCTION("""COMPUTED_VALUE"""),0.0)</f>
        <v>0</v>
      </c>
      <c r="R49" s="45" t="str">
        <f>IFERROR(__xludf.DUMMYFUNCTION("""COMPUTED_VALUE"""),"SELECCIONADO")</f>
        <v>SELECCIONADO</v>
      </c>
      <c r="S49" s="38">
        <f>IFERROR(__xludf.DUMMYFUNCTION("""COMPUTED_VALUE"""),43675.0)</f>
        <v>43675</v>
      </c>
      <c r="T49" t="str">
        <f>IFERROR(__xludf.DUMMYFUNCTION("""COMPUTED_VALUE"""),"ROJAS MARTINEZ MAURICIO ESTEBAN")</f>
        <v>ROJAS MARTINEZ MAURICIO ESTEBAN</v>
      </c>
      <c r="V49" t="str">
        <f>IFERROR(__xludf.DUMMYFUNCTION("""COMPUTED_VALUE"""),"15505340-2")</f>
        <v>15505340-2</v>
      </c>
      <c r="W49" t="str">
        <f>IFERROR(__xludf.DUMMYFUNCTION("""COMPUTED_VALUE"""),"SI")</f>
        <v>SI</v>
      </c>
      <c r="X49" t="str">
        <f>IFERROR(__xludf.DUMMYFUNCTION("""COMPUTED_VALUE"""),"Trabajo en Equipo")</f>
        <v>Trabajo en Equipo</v>
      </c>
      <c r="AA49" s="38">
        <f>IFERROR(__xludf.DUMMYFUNCTION("""COMPUTED_VALUE"""),43584.0)</f>
        <v>43584</v>
      </c>
      <c r="AB49" s="38">
        <f>IFERROR(__xludf.DUMMYFUNCTION("""COMPUTED_VALUE"""),43594.0)</f>
        <v>43594</v>
      </c>
      <c r="AH49" t="str">
        <f>IFERROR(__xludf.DUMMYFUNCTION("""COMPUTED_VALUE"""),"PROCESO DE SELECCIÓN")</f>
        <v>PROCESO DE SELECCIÓN</v>
      </c>
      <c r="AI49" t="str">
        <f>IFERROR(__xludf.DUMMYFUNCTION("""COMPUTED_VALUE"""),"HORMAZABAL CHAVEZ MAIRA")</f>
        <v>HORMAZABAL CHAVEZ MAIRA</v>
      </c>
      <c r="AK49" t="str">
        <f>IFERROR(__xludf.DUMMYFUNCTION("""COMPUTED_VALUE"""),"C")</f>
        <v>C</v>
      </c>
      <c r="AL49">
        <f>IFERROR(__xludf.DUMMYFUNCTION("""COMPUTED_VALUE"""),58.0)</f>
        <v>58</v>
      </c>
      <c r="AM49">
        <f>IFERROR(__xludf.DUMMYFUNCTION("""COMPUTED_VALUE"""),2019.0)</f>
        <v>2019</v>
      </c>
    </row>
    <row r="50">
      <c r="A50">
        <f>IFERROR(__xludf.DUMMYFUNCTION("""COMPUTED_VALUE"""),1.6300797E7)</f>
        <v>16300797</v>
      </c>
      <c r="B50">
        <f>IFERROR(__xludf.DUMMYFUNCTION("""COMPUTED_VALUE"""),48.0)</f>
        <v>48</v>
      </c>
      <c r="C50" t="str">
        <f>IFERROR(__xludf.DUMMYFUNCTION("""COMPUTED_VALUE"""),"A240")</f>
        <v>A240</v>
      </c>
      <c r="D50" t="str">
        <f>IFERROR(__xludf.DUMMYFUNCTION("""COMPUTED_VALUE"""),"55")</f>
        <v>55</v>
      </c>
      <c r="E50" t="str">
        <f>IFERROR(__xludf.DUMMYFUNCTION("""COMPUTED_VALUE"""),"ESCUELA DE PSICOLOGIA")</f>
        <v>ESCUELA DE PSICOLOGIA</v>
      </c>
      <c r="F50" t="str">
        <f>IFERROR(__xludf.DUMMYFUNCTION("""COMPUTED_VALUE"""),"Psicólogo(a)")</f>
        <v>Psicólogo(a)</v>
      </c>
      <c r="G50" t="str">
        <f>IFERROR(__xludf.DUMMYFUNCTION("""COMPUTED_VALUE"""),"PSICOLOGO (CAP)")</f>
        <v>PSICOLOGO (CAP)</v>
      </c>
      <c r="H50">
        <f>IFERROR(__xludf.DUMMYFUNCTION("""COMPUTED_VALUE"""),13.0)</f>
        <v>13</v>
      </c>
      <c r="I50" t="str">
        <f>IFERROR(__xludf.DUMMYFUNCTION("""COMPUTED_VALUE"""),"1/4 Jornada")</f>
        <v>1/4 Jornada</v>
      </c>
      <c r="J50" t="str">
        <f>IFERROR(__xludf.DUMMYFUNCTION("""COMPUTED_VALUE"""),"A CONTRATA")</f>
        <v>A CONTRATA</v>
      </c>
      <c r="K50" t="str">
        <f>IFERROR(__xludf.DUMMYFUNCTION("""COMPUTED_VALUE"""),"PROFESIONAL")</f>
        <v>PROFESIONAL</v>
      </c>
      <c r="L50" t="str">
        <f>IFERROR(__xludf.DUMMYFUNCTION("""COMPUTED_VALUE"""),"INTERNO")</f>
        <v>INTERNO</v>
      </c>
      <c r="N50" t="str">
        <f>IFERROR(__xludf.DUMMYFUNCTION("""COMPUTED_VALUE"""),"EXTERNO")</f>
        <v>EXTERNO</v>
      </c>
      <c r="O50">
        <f>IFERROR(__xludf.DUMMYFUNCTION("""COMPUTED_VALUE"""),70.0)</f>
        <v>70</v>
      </c>
      <c r="P50">
        <f>IFERROR(__xludf.DUMMYFUNCTION("""COMPUTED_VALUE"""),5.0)</f>
        <v>5</v>
      </c>
      <c r="Q50">
        <f>IFERROR(__xludf.DUMMYFUNCTION("""COMPUTED_VALUE"""),1.0)</f>
        <v>1</v>
      </c>
      <c r="R50" s="45" t="str">
        <f>IFERROR(__xludf.DUMMYFUNCTION("""COMPUTED_VALUE"""),"SELECCIONADO")</f>
        <v>SELECCIONADO</v>
      </c>
      <c r="S50" s="38">
        <f>IFERROR(__xludf.DUMMYFUNCTION("""COMPUTED_VALUE"""),43686.0)</f>
        <v>43686</v>
      </c>
      <c r="U50" t="str">
        <f>IFERROR(__xludf.DUMMYFUNCTION("""COMPUTED_VALUE"""),"REYES LOZANO CLAUDIO")</f>
        <v>REYES LOZANO CLAUDIO</v>
      </c>
      <c r="V50" t="str">
        <f>IFERROR(__xludf.DUMMYFUNCTION("""COMPUTED_VALUE"""),"16300797-5")</f>
        <v>16300797-5</v>
      </c>
      <c r="W50" t="str">
        <f>IFERROR(__xludf.DUMMYFUNCTION("""COMPUTED_VALUE"""),"NO")</f>
        <v>NO</v>
      </c>
      <c r="AA50" s="38">
        <f>IFERROR(__xludf.DUMMYFUNCTION("""COMPUTED_VALUE"""),43627.0)</f>
        <v>43627</v>
      </c>
      <c r="AB50" s="38">
        <f>IFERROR(__xludf.DUMMYFUNCTION("""COMPUTED_VALUE"""),43636.0)</f>
        <v>43636</v>
      </c>
      <c r="AH50" t="str">
        <f>IFERROR(__xludf.DUMMYFUNCTION("""COMPUTED_VALUE"""),"PROCESO DE SELECCIÓN")</f>
        <v>PROCESO DE SELECCIÓN</v>
      </c>
      <c r="AI50" t="str">
        <f>IFERROR(__xludf.DUMMYFUNCTION("""COMPUTED_VALUE"""),"DIAZ GARCIA HUIDOBRO MARCELA")</f>
        <v>DIAZ GARCIA HUIDOBRO MARCELA</v>
      </c>
      <c r="AK50" t="str">
        <f>IFERROR(__xludf.DUMMYFUNCTION("""COMPUTED_VALUE"""),"E")</f>
        <v>E</v>
      </c>
      <c r="AL50">
        <f>IFERROR(__xludf.DUMMYFUNCTION("""COMPUTED_VALUE"""),37.0)</f>
        <v>37</v>
      </c>
      <c r="AM50">
        <f>IFERROR(__xludf.DUMMYFUNCTION("""COMPUTED_VALUE"""),2019.0)</f>
        <v>2019</v>
      </c>
    </row>
    <row r="51">
      <c r="A51">
        <f>IFERROR(__xludf.DUMMYFUNCTION("""COMPUTED_VALUE"""),1.9063037E7)</f>
        <v>19063037</v>
      </c>
      <c r="B51">
        <f>IFERROR(__xludf.DUMMYFUNCTION("""COMPUTED_VALUE"""),49.0)</f>
        <v>49</v>
      </c>
      <c r="C51" t="str">
        <f>IFERROR(__xludf.DUMMYFUNCTION("""COMPUTED_VALUE"""),"ACTA2019-24")</f>
        <v>ACTA2019-24</v>
      </c>
      <c r="D51" t="str">
        <f>IFERROR(__xludf.DUMMYFUNCTION("""COMPUTED_VALUE"""),"83")</f>
        <v>83</v>
      </c>
      <c r="E51" t="str">
        <f>IFERROR(__xludf.DUMMYFUNCTION("""COMPUTED_VALUE"""),"FACULTAD DE CIENCIAS MEDICAS")</f>
        <v>FACULTAD DE CIENCIAS MEDICAS</v>
      </c>
      <c r="F51" t="str">
        <f>IFERROR(__xludf.DUMMYFUNCTION("""COMPUTED_VALUE"""),"Administrativo(a) de Registro Curricular")</f>
        <v>Administrativo(a) de Registro Curricular</v>
      </c>
      <c r="G51" t="str">
        <f>IFERROR(__xludf.DUMMYFUNCTION("""COMPUTED_VALUE"""),"ADMINISTRATIVO DE REGISTRO CURRICULAR")</f>
        <v>ADMINISTRATIVO DE REGISTRO CURRICULAR</v>
      </c>
      <c r="H51">
        <f>IFERROR(__xludf.DUMMYFUNCTION("""COMPUTED_VALUE"""),17.0)</f>
        <v>17</v>
      </c>
      <c r="I51" t="str">
        <f>IFERROR(__xludf.DUMMYFUNCTION("""COMPUTED_VALUE"""),"Jornada Completa")</f>
        <v>Jornada Completa</v>
      </c>
      <c r="J51" t="str">
        <f>IFERROR(__xludf.DUMMYFUNCTION("""COMPUTED_VALUE"""),"A CONTRATA")</f>
        <v>A CONTRATA</v>
      </c>
      <c r="K51" t="str">
        <f>IFERROR(__xludf.DUMMYFUNCTION("""COMPUTED_VALUE"""),"ADMINISTRATIVO")</f>
        <v>ADMINISTRATIVO</v>
      </c>
      <c r="L51" t="str">
        <f>IFERROR(__xludf.DUMMYFUNCTION("""COMPUTED_VALUE"""),"INTERNO")</f>
        <v>INTERNO</v>
      </c>
      <c r="M51">
        <f>IFERROR(__xludf.DUMMYFUNCTION("""COMPUTED_VALUE"""),8.0)</f>
        <v>8</v>
      </c>
      <c r="N51" t="str">
        <f>IFERROR(__xludf.DUMMYFUNCTION("""COMPUTED_VALUE"""),"NO")</f>
        <v>NO</v>
      </c>
      <c r="P51">
        <f>IFERROR(__xludf.DUMMYFUNCTION("""COMPUTED_VALUE"""),3.0)</f>
        <v>3</v>
      </c>
      <c r="Q51">
        <f>IFERROR(__xludf.DUMMYFUNCTION("""COMPUTED_VALUE"""),0.0)</f>
        <v>0</v>
      </c>
      <c r="R51" s="45" t="str">
        <f>IFERROR(__xludf.DUMMYFUNCTION("""COMPUTED_VALUE"""),"SELECCIONADO")</f>
        <v>SELECCIONADO</v>
      </c>
      <c r="S51" s="38">
        <f>IFERROR(__xludf.DUMMYFUNCTION("""COMPUTED_VALUE"""),43650.0)</f>
        <v>43650</v>
      </c>
      <c r="T51" t="str">
        <f>IFERROR(__xludf.DUMMYFUNCTION("""COMPUTED_VALUE"""),"AHUMADA CASTILLO DANILO ALEJANDRO")</f>
        <v>AHUMADA CASTILLO DANILO ALEJANDRO</v>
      </c>
      <c r="V51" t="str">
        <f>IFERROR(__xludf.DUMMYFUNCTION("""COMPUTED_VALUE"""),"19063037-4")</f>
        <v>19063037-4</v>
      </c>
      <c r="W51" t="str">
        <f>IFERROR(__xludf.DUMMYFUNCTION("""COMPUTED_VALUE"""),"SI")</f>
        <v>SI</v>
      </c>
      <c r="X51" t="str">
        <f>IFERROR(__xludf.DUMMYFUNCTION("""COMPUTED_VALUE"""),"Orientacion a los Resultados")</f>
        <v>Orientacion a los Resultados</v>
      </c>
      <c r="AA51" s="38">
        <f>IFERROR(__xludf.DUMMYFUNCTION("""COMPUTED_VALUE"""),43588.0)</f>
        <v>43588</v>
      </c>
      <c r="AB51" s="38">
        <f>IFERROR(__xludf.DUMMYFUNCTION("""COMPUTED_VALUE"""),43594.0)</f>
        <v>43594</v>
      </c>
      <c r="AH51" t="str">
        <f>IFERROR(__xludf.DUMMYFUNCTION("""COMPUTED_VALUE"""),"PROCESO DE SELECCIÓN")</f>
        <v>PROCESO DE SELECCIÓN</v>
      </c>
      <c r="AI51" t="str">
        <f>IFERROR(__xludf.DUMMYFUNCTION("""COMPUTED_VALUE"""),"MARTINEZ NAVIA ALEJANDRO")</f>
        <v>MARTINEZ NAVIA ALEJANDRO</v>
      </c>
      <c r="AK51" t="str">
        <f>IFERROR(__xludf.DUMMYFUNCTION("""COMPUTED_VALUE"""),"C")</f>
        <v>C</v>
      </c>
      <c r="AL51">
        <f>IFERROR(__xludf.DUMMYFUNCTION("""COMPUTED_VALUE"""),41.0)</f>
        <v>41</v>
      </c>
      <c r="AM51">
        <f>IFERROR(__xludf.DUMMYFUNCTION("""COMPUTED_VALUE"""),2019.0)</f>
        <v>2019</v>
      </c>
    </row>
    <row r="52">
      <c r="A52">
        <f>IFERROR(__xludf.DUMMYFUNCTION("""COMPUTED_VALUE"""),1.3839647E7)</f>
        <v>13839647</v>
      </c>
      <c r="B52">
        <f>IFERROR(__xludf.DUMMYFUNCTION("""COMPUTED_VALUE"""),50.0)</f>
        <v>50</v>
      </c>
      <c r="C52" t="str">
        <f>IFERROR(__xludf.DUMMYFUNCTION("""COMPUTED_VALUE"""),"IR2018-20")</f>
        <v>IR2018-20</v>
      </c>
      <c r="D52" t="str">
        <f>IFERROR(__xludf.DUMMYFUNCTION("""COMPUTED_VALUE"""),"40")</f>
        <v>40</v>
      </c>
      <c r="E52" t="str">
        <f>IFERROR(__xludf.DUMMYFUNCTION("""COMPUTED_VALUE"""),"FACULTAD DE INGENIERIA")</f>
        <v>FACULTAD DE INGENIERIA</v>
      </c>
      <c r="F52" t="str">
        <f>IFERROR(__xludf.DUMMYFUNCTION("""COMPUTED_VALUE"""),"Encargado(a) de Unidad Menor")</f>
        <v>Encargado(a) de Unidad Menor</v>
      </c>
      <c r="G52" t="str">
        <f>IFERROR(__xludf.DUMMYFUNCTION("""COMPUTED_VALUE"""),"ENCARGADA DE UNIDAD MENOR")</f>
        <v>ENCARGADA DE UNIDAD MENOR</v>
      </c>
      <c r="H52">
        <f>IFERROR(__xludf.DUMMYFUNCTION("""COMPUTED_VALUE"""),16.0)</f>
        <v>16</v>
      </c>
      <c r="I52" t="str">
        <f>IFERROR(__xludf.DUMMYFUNCTION("""COMPUTED_VALUE"""),"Jornada Completa")</f>
        <v>Jornada Completa</v>
      </c>
      <c r="J52" t="str">
        <f>IFERROR(__xludf.DUMMYFUNCTION("""COMPUTED_VALUE"""),"A CONTRATA")</f>
        <v>A CONTRATA</v>
      </c>
      <c r="K52" t="str">
        <f>IFERROR(__xludf.DUMMYFUNCTION("""COMPUTED_VALUE"""),"ADMINISTRATIVO")</f>
        <v>ADMINISTRATIVO</v>
      </c>
      <c r="L52" t="str">
        <f>IFERROR(__xludf.DUMMYFUNCTION("""COMPUTED_VALUE"""),"INTERNO")</f>
        <v>INTERNO</v>
      </c>
      <c r="M52">
        <f>IFERROR(__xludf.DUMMYFUNCTION("""COMPUTED_VALUE"""),13.0)</f>
        <v>13</v>
      </c>
      <c r="N52" t="str">
        <f>IFERROR(__xludf.DUMMYFUNCTION("""COMPUTED_VALUE"""),"NO")</f>
        <v>NO</v>
      </c>
      <c r="P52">
        <f>IFERROR(__xludf.DUMMYFUNCTION("""COMPUTED_VALUE"""),1.0)</f>
        <v>1</v>
      </c>
      <c r="Q52">
        <f>IFERROR(__xludf.DUMMYFUNCTION("""COMPUTED_VALUE"""),0.0)</f>
        <v>0</v>
      </c>
      <c r="R52" s="45" t="str">
        <f>IFERROR(__xludf.DUMMYFUNCTION("""COMPUTED_VALUE"""),"SELECCIONADA")</f>
        <v>SELECCIONADA</v>
      </c>
      <c r="S52" s="38">
        <f>IFERROR(__xludf.DUMMYFUNCTION("""COMPUTED_VALUE"""),43633.0)</f>
        <v>43633</v>
      </c>
      <c r="T52" t="str">
        <f>IFERROR(__xludf.DUMMYFUNCTION("""COMPUTED_VALUE"""),"SILVA LUQUE GUACOLDA DEL CARMEN")</f>
        <v>SILVA LUQUE GUACOLDA DEL CARMEN</v>
      </c>
      <c r="V52" t="str">
        <f>IFERROR(__xludf.DUMMYFUNCTION("""COMPUTED_VALUE"""),"13839647-9")</f>
        <v>13839647-9</v>
      </c>
      <c r="W52" t="str">
        <f>IFERROR(__xludf.DUMMYFUNCTION("""COMPUTED_VALUE"""),"NO")</f>
        <v>NO</v>
      </c>
      <c r="AA52" s="38">
        <f>IFERROR(__xludf.DUMMYFUNCTION("""COMPUTED_VALUE"""),43549.0)</f>
        <v>43549</v>
      </c>
      <c r="AB52" s="38">
        <f>IFERROR(__xludf.DUMMYFUNCTION("""COMPUTED_VALUE"""),43556.0)</f>
        <v>43556</v>
      </c>
      <c r="AH52" t="str">
        <f>IFERROR(__xludf.DUMMYFUNCTION("""COMPUTED_VALUE"""),"PROCESO DE SELECCIÓN")</f>
        <v>PROCESO DE SELECCIÓN</v>
      </c>
      <c r="AI52" t="str">
        <f>IFERROR(__xludf.DUMMYFUNCTION("""COMPUTED_VALUE"""),"FIGUEROA FLORES BLANCA")</f>
        <v>FIGUEROA FLORES BLANCA</v>
      </c>
      <c r="AK52" t="str">
        <f>IFERROR(__xludf.DUMMYFUNCTION("""COMPUTED_VALUE"""),"C")</f>
        <v>C</v>
      </c>
      <c r="AL52">
        <f>IFERROR(__xludf.DUMMYFUNCTION("""COMPUTED_VALUE"""),56.0)</f>
        <v>56</v>
      </c>
      <c r="AM52">
        <f>IFERROR(__xludf.DUMMYFUNCTION("""COMPUTED_VALUE"""),2019.0)</f>
        <v>2019</v>
      </c>
    </row>
    <row r="53">
      <c r="A53">
        <f>IFERROR(__xludf.DUMMYFUNCTION("""COMPUTED_VALUE"""),1.9270779E7)</f>
        <v>19270779</v>
      </c>
      <c r="B53">
        <f>IFERROR(__xludf.DUMMYFUNCTION("""COMPUTED_VALUE"""),51.0)</f>
        <v>51</v>
      </c>
      <c r="C53" t="str">
        <f>IFERROR(__xludf.DUMMYFUNCTION("""COMPUTED_VALUE"""),"IR2018-28")</f>
        <v>IR2018-28</v>
      </c>
      <c r="D53" t="str">
        <f>IFERROR(__xludf.DUMMYFUNCTION("""COMPUTED_VALUE"""),"3")</f>
        <v>3</v>
      </c>
      <c r="E53" t="str">
        <f>IFERROR(__xludf.DUMMYFUNCTION("""COMPUTED_VALUE"""),"UNIDAD DE BIENESTAR DEL PERSONAL")</f>
        <v>UNIDAD DE BIENESTAR DEL PERSONAL</v>
      </c>
      <c r="F53" t="str">
        <f>IFERROR(__xludf.DUMMYFUNCTION("""COMPUTED_VALUE"""),"Analista de Gestión II")</f>
        <v>Analista de Gestión II</v>
      </c>
      <c r="G53" t="str">
        <f>IFERROR(__xludf.DUMMYFUNCTION("""COMPUTED_VALUE"""),"ANALISTA DE GESTION II")</f>
        <v>ANALISTA DE GESTION II</v>
      </c>
      <c r="H53">
        <f>IFERROR(__xludf.DUMMYFUNCTION("""COMPUTED_VALUE"""),13.0)</f>
        <v>13</v>
      </c>
      <c r="I53" t="str">
        <f>IFERROR(__xludf.DUMMYFUNCTION("""COMPUTED_VALUE"""),"Jornada Completa")</f>
        <v>Jornada Completa</v>
      </c>
      <c r="J53" t="str">
        <f>IFERROR(__xludf.DUMMYFUNCTION("""COMPUTED_VALUE"""),"A CONTRATA")</f>
        <v>A CONTRATA</v>
      </c>
      <c r="K53" t="str">
        <f>IFERROR(__xludf.DUMMYFUNCTION("""COMPUTED_VALUE"""),"PROFESIONAL")</f>
        <v>PROFESIONAL</v>
      </c>
      <c r="L53" t="str">
        <f>IFERROR(__xludf.DUMMYFUNCTION("""COMPUTED_VALUE"""),"INTERNO")</f>
        <v>INTERNO</v>
      </c>
      <c r="M53">
        <f>IFERROR(__xludf.DUMMYFUNCTION("""COMPUTED_VALUE"""),5.0)</f>
        <v>5</v>
      </c>
      <c r="N53" t="str">
        <f>IFERROR(__xludf.DUMMYFUNCTION("""COMPUTED_VALUE"""),"NO")</f>
        <v>NO</v>
      </c>
      <c r="P53">
        <f>IFERROR(__xludf.DUMMYFUNCTION("""COMPUTED_VALUE"""),2.0)</f>
        <v>2</v>
      </c>
      <c r="Q53">
        <f>IFERROR(__xludf.DUMMYFUNCTION("""COMPUTED_VALUE"""),0.0)</f>
        <v>0</v>
      </c>
      <c r="R53" s="45" t="str">
        <f>IFERROR(__xludf.DUMMYFUNCTION("""COMPUTED_VALUE"""),"SELECCIONADA")</f>
        <v>SELECCIONADA</v>
      </c>
      <c r="S53" s="38">
        <f>IFERROR(__xludf.DUMMYFUNCTION("""COMPUTED_VALUE"""),43607.0)</f>
        <v>43607</v>
      </c>
      <c r="T53" t="str">
        <f>IFERROR(__xludf.DUMMYFUNCTION("""COMPUTED_VALUE"""),"SAEZ SALAS ISABEL MARGARITA")</f>
        <v>SAEZ SALAS ISABEL MARGARITA</v>
      </c>
      <c r="V53" t="str">
        <f>IFERROR(__xludf.DUMMYFUNCTION("""COMPUTED_VALUE"""),"19270779-K")</f>
        <v>19270779-K</v>
      </c>
      <c r="W53" t="str">
        <f>IFERROR(__xludf.DUMMYFUNCTION("""COMPUTED_VALUE"""),"SI")</f>
        <v>SI</v>
      </c>
      <c r="X53" t="str">
        <f>IFERROR(__xludf.DUMMYFUNCTION("""COMPUTED_VALUE"""),"Capacidad de Planificacion y Organizacion")</f>
        <v>Capacidad de Planificacion y Organizacion</v>
      </c>
      <c r="AA53" s="38">
        <f>IFERROR(__xludf.DUMMYFUNCTION("""COMPUTED_VALUE"""),43537.0)</f>
        <v>43537</v>
      </c>
      <c r="AB53" s="38">
        <f>IFERROR(__xludf.DUMMYFUNCTION("""COMPUTED_VALUE"""),43544.0)</f>
        <v>43544</v>
      </c>
      <c r="AH53" t="str">
        <f>IFERROR(__xludf.DUMMYFUNCTION("""COMPUTED_VALUE"""),"PROCESO DE SELECCIÓN")</f>
        <v>PROCESO DE SELECCIÓN</v>
      </c>
      <c r="AI53" t="str">
        <f>IFERROR(__xludf.DUMMYFUNCTION("""COMPUTED_VALUE"""),"BELLALTA BERRIOS MARIA")</f>
        <v>BELLALTA BERRIOS MARIA</v>
      </c>
      <c r="AK53" t="str">
        <f>IFERROR(__xludf.DUMMYFUNCTION("""COMPUTED_VALUE"""),"C")</f>
        <v>C</v>
      </c>
      <c r="AL53">
        <f>IFERROR(__xludf.DUMMYFUNCTION("""COMPUTED_VALUE"""),46.0)</f>
        <v>46</v>
      </c>
      <c r="AM53">
        <f>IFERROR(__xludf.DUMMYFUNCTION("""COMPUTED_VALUE"""),2019.0)</f>
        <v>2019</v>
      </c>
    </row>
    <row r="54">
      <c r="A54">
        <f>IFERROR(__xludf.DUMMYFUNCTION("""COMPUTED_VALUE"""),1.6452025E7)</f>
        <v>16452025</v>
      </c>
      <c r="B54">
        <f>IFERROR(__xludf.DUMMYFUNCTION("""COMPUTED_VALUE"""),52.0)</f>
        <v>52</v>
      </c>
      <c r="C54" t="str">
        <f>IFERROR(__xludf.DUMMYFUNCTION("""COMPUTED_VALUE"""),"A311")</f>
        <v>A311</v>
      </c>
      <c r="D54" t="str">
        <f>IFERROR(__xludf.DUMMYFUNCTION("""COMPUTED_VALUE"""),"3")</f>
        <v>3</v>
      </c>
      <c r="E54" t="str">
        <f>IFERROR(__xludf.DUMMYFUNCTION("""COMPUTED_VALUE"""),"UNIDAD DE BIENESTAR DEL PERSONAL")</f>
        <v>UNIDAD DE BIENESTAR DEL PERSONAL</v>
      </c>
      <c r="F54" t="str">
        <f>IFERROR(__xludf.DUMMYFUNCTION("""COMPUTED_VALUE"""),"Técnico(a) en Atención de Párvulos")</f>
        <v>Técnico(a) en Atención de Párvulos</v>
      </c>
      <c r="G54" t="str">
        <f>IFERROR(__xludf.DUMMYFUNCTION("""COMPUTED_VALUE"""),"TECNICO EN ATENCION DE PARVULOS")</f>
        <v>TECNICO EN ATENCION DE PARVULOS</v>
      </c>
      <c r="H54">
        <f>IFERROR(__xludf.DUMMYFUNCTION("""COMPUTED_VALUE"""),17.0)</f>
        <v>17</v>
      </c>
      <c r="I54" t="str">
        <f>IFERROR(__xludf.DUMMYFUNCTION("""COMPUTED_VALUE"""),"Jornada Completa")</f>
        <v>Jornada Completa</v>
      </c>
      <c r="J54" t="str">
        <f>IFERROR(__xludf.DUMMYFUNCTION("""COMPUTED_VALUE"""),"A CONTRATA")</f>
        <v>A CONTRATA</v>
      </c>
      <c r="K54" t="str">
        <f>IFERROR(__xludf.DUMMYFUNCTION("""COMPUTED_VALUE"""),"TECNICO")</f>
        <v>TECNICO</v>
      </c>
      <c r="L54" t="str">
        <f>IFERROR(__xludf.DUMMYFUNCTION("""COMPUTED_VALUE"""),"INTERNO")</f>
        <v>INTERNO</v>
      </c>
      <c r="M54">
        <f>IFERROR(__xludf.DUMMYFUNCTION("""COMPUTED_VALUE"""),0.0)</f>
        <v>0</v>
      </c>
      <c r="N54" t="str">
        <f>IFERROR(__xludf.DUMMYFUNCTION("""COMPUTED_VALUE"""),"EXTERNO")</f>
        <v>EXTERNO</v>
      </c>
      <c r="O54">
        <f>IFERROR(__xludf.DUMMYFUNCTION("""COMPUTED_VALUE"""),13.0)</f>
        <v>13</v>
      </c>
      <c r="P54">
        <f>IFERROR(__xludf.DUMMYFUNCTION("""COMPUTED_VALUE"""),2.0)</f>
        <v>2</v>
      </c>
      <c r="Q54">
        <f>IFERROR(__xludf.DUMMYFUNCTION("""COMPUTED_VALUE"""),0.0)</f>
        <v>0</v>
      </c>
      <c r="R54" s="45" t="str">
        <f>IFERROR(__xludf.DUMMYFUNCTION("""COMPUTED_VALUE"""),"SELECCIONADA")</f>
        <v>SELECCIONADA</v>
      </c>
      <c r="S54" s="38">
        <f>IFERROR(__xludf.DUMMYFUNCTION("""COMPUTED_VALUE"""),43710.0)</f>
        <v>43710</v>
      </c>
      <c r="U54" t="str">
        <f>IFERROR(__xludf.DUMMYFUNCTION("""COMPUTED_VALUE"""),"CANALES MUÑOZ PAMELA")</f>
        <v>CANALES MUÑOZ PAMELA</v>
      </c>
      <c r="V54" t="str">
        <f>IFERROR(__xludf.DUMMYFUNCTION("""COMPUTED_VALUE"""),"16452025-0")</f>
        <v>16452025-0</v>
      </c>
      <c r="W54" t="str">
        <f>IFERROR(__xludf.DUMMYFUNCTION("""COMPUTED_VALUE"""),"SI")</f>
        <v>SI</v>
      </c>
      <c r="X54" t="str">
        <f>IFERROR(__xludf.DUMMYFUNCTION("""COMPUTED_VALUE"""),"Tolerancia a la presion")</f>
        <v>Tolerancia a la presion</v>
      </c>
      <c r="Y54" t="str">
        <f>IFERROR(__xludf.DUMMYFUNCTION("""COMPUTED_VALUE"""),"Autocontrol")</f>
        <v>Autocontrol</v>
      </c>
      <c r="AA54" s="38">
        <f>IFERROR(__xludf.DUMMYFUNCTION("""COMPUTED_VALUE"""),43637.0)</f>
        <v>43637</v>
      </c>
      <c r="AB54" s="38">
        <f>IFERROR(__xludf.DUMMYFUNCTION("""COMPUTED_VALUE"""),43644.0)</f>
        <v>43644</v>
      </c>
      <c r="AH54" t="str">
        <f>IFERROR(__xludf.DUMMYFUNCTION("""COMPUTED_VALUE"""),"PROCESO DE SELECCIÓN")</f>
        <v>PROCESO DE SELECCIÓN</v>
      </c>
      <c r="AI54" t="str">
        <f>IFERROR(__xludf.DUMMYFUNCTION("""COMPUTED_VALUE"""),"FIGUEROA GALVEZ CARMEN")</f>
        <v>FIGUEROA GALVEZ CARMEN</v>
      </c>
      <c r="AK54" t="str">
        <f>IFERROR(__xludf.DUMMYFUNCTION("""COMPUTED_VALUE"""),"E")</f>
        <v>E</v>
      </c>
      <c r="AL54">
        <f>IFERROR(__xludf.DUMMYFUNCTION("""COMPUTED_VALUE"""),47.0)</f>
        <v>47</v>
      </c>
      <c r="AM54">
        <f>IFERROR(__xludf.DUMMYFUNCTION("""COMPUTED_VALUE"""),2019.0)</f>
        <v>2019</v>
      </c>
    </row>
    <row r="55">
      <c r="A55">
        <f>IFERROR(__xludf.DUMMYFUNCTION("""COMPUTED_VALUE"""),1.431813E7)</f>
        <v>14318130</v>
      </c>
      <c r="B55">
        <f>IFERROR(__xludf.DUMMYFUNCTION("""COMPUTED_VALUE"""),53.0)</f>
        <v>53</v>
      </c>
      <c r="C55" t="str">
        <f>IFERROR(__xludf.DUMMYFUNCTION("""COMPUTED_VALUE"""),"A383")</f>
        <v>A383</v>
      </c>
      <c r="D55" t="str">
        <f>IFERROR(__xludf.DUMMYFUNCTION("""COMPUTED_VALUE"""),"60")</f>
        <v>60</v>
      </c>
      <c r="E55" t="str">
        <f>IFERROR(__xludf.DUMMYFUNCTION("""COMPUTED_VALUE"""),"DPTO. DE CONTABILIDAD Y AUDITOR")</f>
        <v>DPTO. DE CONTABILIDAD Y AUDITOR</v>
      </c>
      <c r="F55" t="str">
        <f>IFERROR(__xludf.DUMMYFUNCTION("""COMPUTED_VALUE"""),"Secretario(a) B")</f>
        <v>Secretario(a) B</v>
      </c>
      <c r="G55" t="str">
        <f>IFERROR(__xludf.DUMMYFUNCTION("""COMPUTED_VALUE"""),"SECRETARIA B ( DEPARTAMENTO)  ")</f>
        <v>SECRETARIA B ( DEPARTAMENTO)  </v>
      </c>
      <c r="H55">
        <f>IFERROR(__xludf.DUMMYFUNCTION("""COMPUTED_VALUE"""),17.0)</f>
        <v>17</v>
      </c>
      <c r="I55" t="str">
        <f>IFERROR(__xludf.DUMMYFUNCTION("""COMPUTED_VALUE"""),"Jornada Completa")</f>
        <v>Jornada Completa</v>
      </c>
      <c r="J55" t="str">
        <f>IFERROR(__xludf.DUMMYFUNCTION("""COMPUTED_VALUE"""),"A CONTRATA")</f>
        <v>A CONTRATA</v>
      </c>
      <c r="K55" t="str">
        <f>IFERROR(__xludf.DUMMYFUNCTION("""COMPUTED_VALUE"""),"ADMINISTRATIVO")</f>
        <v>ADMINISTRATIVO</v>
      </c>
      <c r="L55" t="str">
        <f>IFERROR(__xludf.DUMMYFUNCTION("""COMPUTED_VALUE"""),"NO")</f>
        <v>NO</v>
      </c>
      <c r="M55">
        <f>IFERROR(__xludf.DUMMYFUNCTION("""COMPUTED_VALUE"""),13.0)</f>
        <v>13</v>
      </c>
      <c r="N55" t="str">
        <f>IFERROR(__xludf.DUMMYFUNCTION("""COMPUTED_VALUE"""),"NO")</f>
        <v>NO</v>
      </c>
      <c r="P55">
        <f>IFERROR(__xludf.DUMMYFUNCTION("""COMPUTED_VALUE"""),3.0)</f>
        <v>3</v>
      </c>
      <c r="Q55">
        <f>IFERROR(__xludf.DUMMYFUNCTION("""COMPUTED_VALUE"""),0.0)</f>
        <v>0</v>
      </c>
      <c r="R55" s="45" t="str">
        <f>IFERROR(__xludf.DUMMYFUNCTION("""COMPUTED_VALUE"""),"SELECCIONADA")</f>
        <v>SELECCIONADA</v>
      </c>
      <c r="S55" s="38">
        <f>IFERROR(__xludf.DUMMYFUNCTION("""COMPUTED_VALUE"""),43698.0)</f>
        <v>43698</v>
      </c>
      <c r="U55" t="str">
        <f>IFERROR(__xludf.DUMMYFUNCTION("""COMPUTED_VALUE"""),"ORTIZ RAVELO MARCIA")</f>
        <v>ORTIZ RAVELO MARCIA</v>
      </c>
      <c r="V55" t="str">
        <f>IFERROR(__xludf.DUMMYFUNCTION("""COMPUTED_VALUE"""),"14318130-8")</f>
        <v>14318130-8</v>
      </c>
      <c r="W55" t="str">
        <f>IFERROR(__xludf.DUMMYFUNCTION("""COMPUTED_VALUE"""),"SI")</f>
        <v>SI</v>
      </c>
      <c r="X55" t="str">
        <f>IFERROR(__xludf.DUMMYFUNCTION("""COMPUTED_VALUE"""),"Iniciativa")</f>
        <v>Iniciativa</v>
      </c>
      <c r="Y55" t="str">
        <f>IFERROR(__xludf.DUMMYFUNCTION("""COMPUTED_VALUE"""),"Franqueza- Confiabilidad- Integridad")</f>
        <v>Franqueza- Confiabilidad- Integridad</v>
      </c>
      <c r="AA55" s="38">
        <f>IFERROR(__xludf.DUMMYFUNCTION("""COMPUTED_VALUE"""),43655.0)</f>
        <v>43655</v>
      </c>
      <c r="AB55" s="38">
        <f>IFERROR(__xludf.DUMMYFUNCTION("""COMPUTED_VALUE"""),43657.0)</f>
        <v>43657</v>
      </c>
      <c r="AH55" t="str">
        <f>IFERROR(__xludf.DUMMYFUNCTION("""COMPUTED_VALUE"""),"PROCESO DE SELECCIÓN")</f>
        <v>PROCESO DE SELECCIÓN</v>
      </c>
      <c r="AI55" t="str">
        <f>IFERROR(__xludf.DUMMYFUNCTION("""COMPUTED_VALUE"""),"PINO AMPUERO MYRIAM")</f>
        <v>PINO AMPUERO MYRIAM</v>
      </c>
      <c r="AK55" t="str">
        <f>IFERROR(__xludf.DUMMYFUNCTION("""COMPUTED_VALUE"""),"E")</f>
        <v>E</v>
      </c>
      <c r="AL55">
        <f>IFERROR(__xludf.DUMMYFUNCTION("""COMPUTED_VALUE"""),30.0)</f>
        <v>30</v>
      </c>
      <c r="AM55">
        <f>IFERROR(__xludf.DUMMYFUNCTION("""COMPUTED_VALUE"""),2019.0)</f>
        <v>2019</v>
      </c>
    </row>
    <row r="56">
      <c r="A56">
        <f>IFERROR(__xludf.DUMMYFUNCTION("""COMPUTED_VALUE"""),1.9932849E7)</f>
        <v>19932849</v>
      </c>
      <c r="B56">
        <f>IFERROR(__xludf.DUMMYFUNCTION("""COMPUTED_VALUE"""),54.0)</f>
        <v>54</v>
      </c>
      <c r="C56" t="str">
        <f>IFERROR(__xludf.DUMMYFUNCTION("""COMPUTED_VALUE"""),"A321")</f>
        <v>A321</v>
      </c>
      <c r="D56" t="str">
        <f>IFERROR(__xludf.DUMMYFUNCTION("""COMPUTED_VALUE"""),"95")</f>
        <v>95</v>
      </c>
      <c r="E56" t="str">
        <f>IFERROR(__xludf.DUMMYFUNCTION("""COMPUTED_VALUE"""),"FACULTAD DE QUIMICA Y BIOLOGIA")</f>
        <v>FACULTAD DE QUIMICA Y BIOLOGIA</v>
      </c>
      <c r="F56" t="str">
        <f>IFERROR(__xludf.DUMMYFUNCTION("""COMPUTED_VALUE"""),"Auxiliar de Servicios")</f>
        <v>Auxiliar de Servicios</v>
      </c>
      <c r="G56" t="str">
        <f>IFERROR(__xludf.DUMMYFUNCTION("""COMPUTED_VALUE"""),"AUXILIAR DE SERVICIOS")</f>
        <v>AUXILIAR DE SERVICIOS</v>
      </c>
      <c r="H56">
        <f>IFERROR(__xludf.DUMMYFUNCTION("""COMPUTED_VALUE"""),23.0)</f>
        <v>23</v>
      </c>
      <c r="I56" t="str">
        <f>IFERROR(__xludf.DUMMYFUNCTION("""COMPUTED_VALUE"""),"Jornada Completa")</f>
        <v>Jornada Completa</v>
      </c>
      <c r="J56" t="str">
        <f>IFERROR(__xludf.DUMMYFUNCTION("""COMPUTED_VALUE"""),"A CONTRATA")</f>
        <v>A CONTRATA</v>
      </c>
      <c r="K56" t="str">
        <f>IFERROR(__xludf.DUMMYFUNCTION("""COMPUTED_VALUE"""),"AUXILIAR")</f>
        <v>AUXILIAR</v>
      </c>
      <c r="L56" t="str">
        <f>IFERROR(__xludf.DUMMYFUNCTION("""COMPUTED_VALUE"""),"INTERNO")</f>
        <v>INTERNO</v>
      </c>
      <c r="M56">
        <f>IFERROR(__xludf.DUMMYFUNCTION("""COMPUTED_VALUE"""),0.0)</f>
        <v>0</v>
      </c>
      <c r="N56" t="str">
        <f>IFERROR(__xludf.DUMMYFUNCTION("""COMPUTED_VALUE"""),"EXTERNO")</f>
        <v>EXTERNO</v>
      </c>
      <c r="O56">
        <f>IFERROR(__xludf.DUMMYFUNCTION("""COMPUTED_VALUE"""),19.0)</f>
        <v>19</v>
      </c>
      <c r="P56">
        <f>IFERROR(__xludf.DUMMYFUNCTION("""COMPUTED_VALUE"""),1.0)</f>
        <v>1</v>
      </c>
      <c r="Q56">
        <f>IFERROR(__xludf.DUMMYFUNCTION("""COMPUTED_VALUE"""),0.0)</f>
        <v>0</v>
      </c>
      <c r="R56" s="45" t="str">
        <f>IFERROR(__xludf.DUMMYFUNCTION("""COMPUTED_VALUE"""),"SELECCIONADO")</f>
        <v>SELECCIONADO</v>
      </c>
      <c r="S56" s="38">
        <f>IFERROR(__xludf.DUMMYFUNCTION("""COMPUTED_VALUE"""),43710.0)</f>
        <v>43710</v>
      </c>
      <c r="U56" t="str">
        <f>IFERROR(__xludf.DUMMYFUNCTION("""COMPUTED_VALUE"""),"ARANEDA ARIAS RAUL")</f>
        <v>ARANEDA ARIAS RAUL</v>
      </c>
      <c r="V56" t="str">
        <f>IFERROR(__xludf.DUMMYFUNCTION("""COMPUTED_VALUE"""),"19932849-2")</f>
        <v>19932849-2</v>
      </c>
      <c r="W56" t="str">
        <f>IFERROR(__xludf.DUMMYFUNCTION("""COMPUTED_VALUE"""),"SI")</f>
        <v>SI</v>
      </c>
      <c r="X56" t="str">
        <f>IFERROR(__xludf.DUMMYFUNCTION("""COMPUTED_VALUE"""),"Iniciativa")</f>
        <v>Iniciativa</v>
      </c>
      <c r="AA56" s="38">
        <f>IFERROR(__xludf.DUMMYFUNCTION("""COMPUTED_VALUE"""),43627.0)</f>
        <v>43627</v>
      </c>
      <c r="AB56" s="38">
        <f>IFERROR(__xludf.DUMMYFUNCTION("""COMPUTED_VALUE"""),43636.0)</f>
        <v>43636</v>
      </c>
      <c r="AH56" t="str">
        <f>IFERROR(__xludf.DUMMYFUNCTION("""COMPUTED_VALUE"""),"PROCESO DE SELECCIÓN")</f>
        <v>PROCESO DE SELECCIÓN</v>
      </c>
      <c r="AI56" t="str">
        <f>IFERROR(__xludf.DUMMYFUNCTION("""COMPUTED_VALUE"""),"ORELLANA SILVA VICTOR")</f>
        <v>ORELLANA SILVA VICTOR</v>
      </c>
      <c r="AK56" t="str">
        <f>IFERROR(__xludf.DUMMYFUNCTION("""COMPUTED_VALUE"""),"E")</f>
        <v>E</v>
      </c>
      <c r="AL56">
        <f>IFERROR(__xludf.DUMMYFUNCTION("""COMPUTED_VALUE"""),53.0)</f>
        <v>53</v>
      </c>
      <c r="AM56">
        <f>IFERROR(__xludf.DUMMYFUNCTION("""COMPUTED_VALUE"""),2019.0)</f>
        <v>2019</v>
      </c>
    </row>
    <row r="57">
      <c r="A57">
        <f>IFERROR(__xludf.DUMMYFUNCTION("""COMPUTED_VALUE"""),1.6279996E7)</f>
        <v>16279996</v>
      </c>
      <c r="B57">
        <f>IFERROR(__xludf.DUMMYFUNCTION("""COMPUTED_VALUE"""),55.0)</f>
        <v>55</v>
      </c>
      <c r="C57" t="str">
        <f>IFERROR(__xludf.DUMMYFUNCTION("""COMPUTED_VALUE"""),"A307")</f>
        <v>A307</v>
      </c>
      <c r="D57" t="str">
        <f>IFERROR(__xludf.DUMMYFUNCTION("""COMPUTED_VALUE"""),"95")</f>
        <v>95</v>
      </c>
      <c r="E57" t="str">
        <f>IFERROR(__xludf.DUMMYFUNCTION("""COMPUTED_VALUE"""),"FACULTAD DE QUIMICA Y BIOLOGIA")</f>
        <v>FACULTAD DE QUIMICA Y BIOLOGIA</v>
      </c>
      <c r="F57" t="str">
        <f>IFERROR(__xludf.DUMMYFUNCTION("""COMPUTED_VALUE"""),"Administrativo(a) de Apoyo")</f>
        <v>Administrativo(a) de Apoyo</v>
      </c>
      <c r="G57" t="str">
        <f>IFERROR(__xludf.DUMMYFUNCTION("""COMPUTED_VALUE"""),"ADMINISTRATIVA DE APOYO")</f>
        <v>ADMINISTRATIVA DE APOYO</v>
      </c>
      <c r="H57">
        <f>IFERROR(__xludf.DUMMYFUNCTION("""COMPUTED_VALUE"""),20.0)</f>
        <v>20</v>
      </c>
      <c r="I57" t="str">
        <f>IFERROR(__xludf.DUMMYFUNCTION("""COMPUTED_VALUE"""),"Jornada Completa")</f>
        <v>Jornada Completa</v>
      </c>
      <c r="J57" t="str">
        <f>IFERROR(__xludf.DUMMYFUNCTION("""COMPUTED_VALUE"""),"A CONTRATA")</f>
        <v>A CONTRATA</v>
      </c>
      <c r="K57" t="str">
        <f>IFERROR(__xludf.DUMMYFUNCTION("""COMPUTED_VALUE"""),"ADMINISTRATIVO")</f>
        <v>ADMINISTRATIVO</v>
      </c>
      <c r="L57" t="str">
        <f>IFERROR(__xludf.DUMMYFUNCTION("""COMPUTED_VALUE"""),"INTERNO")</f>
        <v>INTERNO</v>
      </c>
      <c r="M57">
        <f>IFERROR(__xludf.DUMMYFUNCTION("""COMPUTED_VALUE"""),1.0)</f>
        <v>1</v>
      </c>
      <c r="N57" t="str">
        <f>IFERROR(__xludf.DUMMYFUNCTION("""COMPUTED_VALUE"""),"EXTERNO")</f>
        <v>EXTERNO</v>
      </c>
      <c r="O57">
        <f>IFERROR(__xludf.DUMMYFUNCTION("""COMPUTED_VALUE"""),14.0)</f>
        <v>14</v>
      </c>
      <c r="P57">
        <f>IFERROR(__xludf.DUMMYFUNCTION("""COMPUTED_VALUE"""),1.0)</f>
        <v>1</v>
      </c>
      <c r="Q57">
        <f>IFERROR(__xludf.DUMMYFUNCTION("""COMPUTED_VALUE"""),0.0)</f>
        <v>0</v>
      </c>
      <c r="R57" s="45" t="str">
        <f>IFERROR(__xludf.DUMMYFUNCTION("""COMPUTED_VALUE"""),"SELECCIONADA")</f>
        <v>SELECCIONADA</v>
      </c>
      <c r="S57" s="38">
        <f>IFERROR(__xludf.DUMMYFUNCTION("""COMPUTED_VALUE"""),43710.0)</f>
        <v>43710</v>
      </c>
      <c r="U57" t="str">
        <f>IFERROR(__xludf.DUMMYFUNCTION("""COMPUTED_VALUE"""),"VASQUEZ MALHUE BARBARA")</f>
        <v>VASQUEZ MALHUE BARBARA</v>
      </c>
      <c r="V57" t="str">
        <f>IFERROR(__xludf.DUMMYFUNCTION("""COMPUTED_VALUE"""),"16279996-7")</f>
        <v>16279996-7</v>
      </c>
      <c r="W57" t="str">
        <f>IFERROR(__xludf.DUMMYFUNCTION("""COMPUTED_VALUE"""),"SI")</f>
        <v>SI</v>
      </c>
      <c r="X57" t="str">
        <f>IFERROR(__xludf.DUMMYFUNCTION("""COMPUTED_VALUE"""),"Trabajo en Equipo")</f>
        <v>Trabajo en Equipo</v>
      </c>
      <c r="Y57" t="str">
        <f>IFERROR(__xludf.DUMMYFUNCTION("""COMPUTED_VALUE"""),"Preocupacion por el Orden y la Claridad")</f>
        <v>Preocupacion por el Orden y la Claridad</v>
      </c>
      <c r="AA57" s="38">
        <f>IFERROR(__xludf.DUMMYFUNCTION("""COMPUTED_VALUE"""),43633.0)</f>
        <v>43633</v>
      </c>
      <c r="AB57" s="38">
        <f>IFERROR(__xludf.DUMMYFUNCTION("""COMPUTED_VALUE"""),43640.0)</f>
        <v>43640</v>
      </c>
      <c r="AH57" t="str">
        <f>IFERROR(__xludf.DUMMYFUNCTION("""COMPUTED_VALUE"""),"PROCESO DE SELECCIÓN")</f>
        <v>PROCESO DE SELECCIÓN</v>
      </c>
      <c r="AI57" t="str">
        <f>IFERROR(__xludf.DUMMYFUNCTION("""COMPUTED_VALUE"""),"ADRIAZOLA MORENO MARTA")</f>
        <v>ADRIAZOLA MORENO MARTA</v>
      </c>
      <c r="AK57" t="str">
        <f>IFERROR(__xludf.DUMMYFUNCTION("""COMPUTED_VALUE"""),"E")</f>
        <v>E</v>
      </c>
      <c r="AL57">
        <f>IFERROR(__xludf.DUMMYFUNCTION("""COMPUTED_VALUE"""),51.0)</f>
        <v>51</v>
      </c>
      <c r="AM57">
        <f>IFERROR(__xludf.DUMMYFUNCTION("""COMPUTED_VALUE"""),2019.0)</f>
        <v>2019</v>
      </c>
    </row>
    <row r="58">
      <c r="A58">
        <f>IFERROR(__xludf.DUMMYFUNCTION("""COMPUTED_VALUE"""),1.8533115E7)</f>
        <v>18533115</v>
      </c>
      <c r="B58">
        <f>IFERROR(__xludf.DUMMYFUNCTION("""COMPUTED_VALUE"""),56.0)</f>
        <v>56</v>
      </c>
      <c r="C58" t="str">
        <f>IFERROR(__xludf.DUMMYFUNCTION("""COMPUTED_VALUE"""),"ACTA2019-14")</f>
        <v>ACTA2019-14</v>
      </c>
      <c r="D58" t="str">
        <f>IFERROR(__xludf.DUMMYFUNCTION("""COMPUTED_VALUE"""),"40")</f>
        <v>40</v>
      </c>
      <c r="E58" t="str">
        <f>IFERROR(__xludf.DUMMYFUNCTION("""COMPUTED_VALUE"""),"DPTO. DE INGENIERIA METALURGICA")</f>
        <v>DPTO. DE INGENIERIA METALURGICA</v>
      </c>
      <c r="F58" t="str">
        <f>IFERROR(__xludf.DUMMYFUNCTION("""COMPUTED_VALUE"""),"Encargado(a) de Laboratorio")</f>
        <v>Encargado(a) de Laboratorio</v>
      </c>
      <c r="G58" t="str">
        <f>IFERROR(__xludf.DUMMYFUNCTION("""COMPUTED_VALUE"""),"ENCARGADO DE LABORATORIO")</f>
        <v>ENCARGADO DE LABORATORIO</v>
      </c>
      <c r="H58">
        <f>IFERROR(__xludf.DUMMYFUNCTION("""COMPUTED_VALUE"""),13.0)</f>
        <v>13</v>
      </c>
      <c r="I58" t="str">
        <f>IFERROR(__xludf.DUMMYFUNCTION("""COMPUTED_VALUE"""),"Jornada Completa")</f>
        <v>Jornada Completa</v>
      </c>
      <c r="J58" t="str">
        <f>IFERROR(__xludf.DUMMYFUNCTION("""COMPUTED_VALUE"""),"A CONTRATA")</f>
        <v>A CONTRATA</v>
      </c>
      <c r="K58" t="str">
        <f>IFERROR(__xludf.DUMMYFUNCTION("""COMPUTED_VALUE"""),"PROFESIONAL")</f>
        <v>PROFESIONAL</v>
      </c>
      <c r="L58" t="str">
        <f>IFERROR(__xludf.DUMMYFUNCTION("""COMPUTED_VALUE"""),"INTERNO")</f>
        <v>INTERNO</v>
      </c>
      <c r="M58">
        <f>IFERROR(__xludf.DUMMYFUNCTION("""COMPUTED_VALUE"""),0.0)</f>
        <v>0</v>
      </c>
      <c r="N58" t="str">
        <f>IFERROR(__xludf.DUMMYFUNCTION("""COMPUTED_VALUE"""),"EXTERNO")</f>
        <v>EXTERNO</v>
      </c>
      <c r="O58">
        <f>IFERROR(__xludf.DUMMYFUNCTION("""COMPUTED_VALUE"""),20.0)</f>
        <v>20</v>
      </c>
      <c r="P58">
        <f>IFERROR(__xludf.DUMMYFUNCTION("""COMPUTED_VALUE"""),2.0)</f>
        <v>2</v>
      </c>
      <c r="Q58">
        <f>IFERROR(__xludf.DUMMYFUNCTION("""COMPUTED_VALUE"""),0.0)</f>
        <v>0</v>
      </c>
      <c r="R58" s="45" t="str">
        <f>IFERROR(__xludf.DUMMYFUNCTION("""COMPUTED_VALUE"""),"SELECCIONADO")</f>
        <v>SELECCIONADO</v>
      </c>
      <c r="S58" s="38">
        <f>IFERROR(__xludf.DUMMYFUNCTION("""COMPUTED_VALUE"""),43647.0)</f>
        <v>43647</v>
      </c>
      <c r="U58" t="str">
        <f>IFERROR(__xludf.DUMMYFUNCTION("""COMPUTED_VALUE"""),"FERNANDEZ SEPULVEDA CARLOS")</f>
        <v>FERNANDEZ SEPULVEDA CARLOS</v>
      </c>
      <c r="V58" t="str">
        <f>IFERROR(__xludf.DUMMYFUNCTION("""COMPUTED_VALUE"""),"18533115-6")</f>
        <v>18533115-6</v>
      </c>
      <c r="W58" t="str">
        <f>IFERROR(__xludf.DUMMYFUNCTION("""COMPUTED_VALUE"""),"SI")</f>
        <v>SI</v>
      </c>
      <c r="X58" t="str">
        <f>IFERROR(__xludf.DUMMYFUNCTION("""COMPUTED_VALUE"""),"Iniciativa")</f>
        <v>Iniciativa</v>
      </c>
      <c r="AA58" s="38">
        <f>IFERROR(__xludf.DUMMYFUNCTION("""COMPUTED_VALUE"""),43558.0)</f>
        <v>43558</v>
      </c>
      <c r="AB58" s="38">
        <f>IFERROR(__xludf.DUMMYFUNCTION("""COMPUTED_VALUE"""),43565.0)</f>
        <v>43565</v>
      </c>
      <c r="AH58" t="str">
        <f>IFERROR(__xludf.DUMMYFUNCTION("""COMPUTED_VALUE"""),"PROCESO DE SELECCIÓN")</f>
        <v>PROCESO DE SELECCIÓN</v>
      </c>
      <c r="AI58" t="str">
        <f>IFERROR(__xludf.DUMMYFUNCTION("""COMPUTED_VALUE"""),"ARIAS VARGAS PATRICIO")</f>
        <v>ARIAS VARGAS PATRICIO</v>
      </c>
      <c r="AK58" t="str">
        <f>IFERROR(__xludf.DUMMYFUNCTION("""COMPUTED_VALUE"""),"E")</f>
        <v>E</v>
      </c>
      <c r="AL58">
        <f>IFERROR(__xludf.DUMMYFUNCTION("""COMPUTED_VALUE"""),59.0)</f>
        <v>59</v>
      </c>
      <c r="AM58">
        <f>IFERROR(__xludf.DUMMYFUNCTION("""COMPUTED_VALUE"""),2019.0)</f>
        <v>2019</v>
      </c>
    </row>
    <row r="59">
      <c r="A59">
        <f>IFERROR(__xludf.DUMMYFUNCTION("""COMPUTED_VALUE"""),1.5475408E7)</f>
        <v>15475408</v>
      </c>
      <c r="B59">
        <f>IFERROR(__xludf.DUMMYFUNCTION("""COMPUTED_VALUE"""),57.0)</f>
        <v>57</v>
      </c>
      <c r="C59" t="str">
        <f>IFERROR(__xludf.DUMMYFUNCTION("""COMPUTED_VALUE"""),"A345")</f>
        <v>A345</v>
      </c>
      <c r="D59" t="str">
        <f>IFERROR(__xludf.DUMMYFUNCTION("""COMPUTED_VALUE"""),"120")</f>
        <v>120</v>
      </c>
      <c r="E59" t="str">
        <f>IFERROR(__xludf.DUMMYFUNCTION("""COMPUTED_VALUE"""),"DPTO. DE EXTENSION")</f>
        <v>DPTO. DE EXTENSION</v>
      </c>
      <c r="F59" t="str">
        <f>IFERROR(__xludf.DUMMYFUNCTION("""COMPUTED_VALUE"""),"Secretario(a) B")</f>
        <v>Secretario(a) B</v>
      </c>
      <c r="G59" t="str">
        <f>IFERROR(__xludf.DUMMYFUNCTION("""COMPUTED_VALUE"""),"SECRETARIO B")</f>
        <v>SECRETARIO B</v>
      </c>
      <c r="H59">
        <f>IFERROR(__xludf.DUMMYFUNCTION("""COMPUTED_VALUE"""),17.0)</f>
        <v>17</v>
      </c>
      <c r="I59" t="str">
        <f>IFERROR(__xludf.DUMMYFUNCTION("""COMPUTED_VALUE"""),"Jornada Completa")</f>
        <v>Jornada Completa</v>
      </c>
      <c r="J59" t="str">
        <f>IFERROR(__xludf.DUMMYFUNCTION("""COMPUTED_VALUE"""),"A CONTRATA")</f>
        <v>A CONTRATA</v>
      </c>
      <c r="K59" t="str">
        <f>IFERROR(__xludf.DUMMYFUNCTION("""COMPUTED_VALUE"""),"ADMINISTRATIVO")</f>
        <v>ADMINISTRATIVO</v>
      </c>
      <c r="L59" t="str">
        <f>IFERROR(__xludf.DUMMYFUNCTION("""COMPUTED_VALUE"""),"INTERNO")</f>
        <v>INTERNO</v>
      </c>
      <c r="M59">
        <f>IFERROR(__xludf.DUMMYFUNCTION("""COMPUTED_VALUE"""),2.0)</f>
        <v>2</v>
      </c>
      <c r="N59" t="str">
        <f>IFERROR(__xludf.DUMMYFUNCTION("""COMPUTED_VALUE"""),"NO")</f>
        <v>NO</v>
      </c>
      <c r="P59">
        <f>IFERROR(__xludf.DUMMYFUNCTION("""COMPUTED_VALUE"""),1.0)</f>
        <v>1</v>
      </c>
      <c r="Q59">
        <f>IFERROR(__xludf.DUMMYFUNCTION("""COMPUTED_VALUE"""),0.0)</f>
        <v>0</v>
      </c>
      <c r="R59" s="45" t="str">
        <f>IFERROR(__xludf.DUMMYFUNCTION("""COMPUTED_VALUE"""),"SELECCIONADO")</f>
        <v>SELECCIONADO</v>
      </c>
      <c r="S59" s="38">
        <f>IFERROR(__xludf.DUMMYFUNCTION("""COMPUTED_VALUE"""),43700.0)</f>
        <v>43700</v>
      </c>
      <c r="T59" t="str">
        <f>IFERROR(__xludf.DUMMYFUNCTION("""COMPUTED_VALUE"""),"CARRENO ESCOBAR PABLO ANTONIO")</f>
        <v>CARRENO ESCOBAR PABLO ANTONIO</v>
      </c>
      <c r="V59" t="str">
        <f>IFERROR(__xludf.DUMMYFUNCTION("""COMPUTED_VALUE"""),"15475408-3")</f>
        <v>15475408-3</v>
      </c>
      <c r="W59" t="str">
        <f>IFERROR(__xludf.DUMMYFUNCTION("""COMPUTED_VALUE"""),"NO")</f>
        <v>NO</v>
      </c>
      <c r="AA59" s="38">
        <f>IFERROR(__xludf.DUMMYFUNCTION("""COMPUTED_VALUE"""),43627.0)</f>
        <v>43627</v>
      </c>
      <c r="AB59" s="38">
        <f>IFERROR(__xludf.DUMMYFUNCTION("""COMPUTED_VALUE"""),43634.0)</f>
        <v>43634</v>
      </c>
      <c r="AH59" t="str">
        <f>IFERROR(__xludf.DUMMYFUNCTION("""COMPUTED_VALUE"""),"PROCESO DE SELECCIÓN")</f>
        <v>PROCESO DE SELECCIÓN</v>
      </c>
      <c r="AI59" t="str">
        <f>IFERROR(__xludf.DUMMYFUNCTION("""COMPUTED_VALUE"""),"JARA NAVARRETE VALERIA")</f>
        <v>JARA NAVARRETE VALERIA</v>
      </c>
      <c r="AK59" t="str">
        <f>IFERROR(__xludf.DUMMYFUNCTION("""COMPUTED_VALUE"""),"C")</f>
        <v>C</v>
      </c>
      <c r="AL59">
        <f>IFERROR(__xludf.DUMMYFUNCTION("""COMPUTED_VALUE"""),49.0)</f>
        <v>49</v>
      </c>
      <c r="AM59">
        <f>IFERROR(__xludf.DUMMYFUNCTION("""COMPUTED_VALUE"""),2019.0)</f>
        <v>2019</v>
      </c>
    </row>
    <row r="60">
      <c r="A60">
        <f>IFERROR(__xludf.DUMMYFUNCTION("""COMPUTED_VALUE"""),1.3048402E7)</f>
        <v>13048402</v>
      </c>
      <c r="B60">
        <f>IFERROR(__xludf.DUMMYFUNCTION("""COMPUTED_VALUE"""),58.0)</f>
        <v>58</v>
      </c>
      <c r="C60" t="str">
        <f>IFERROR(__xludf.DUMMYFUNCTION("""COMPUTED_VALUE"""),"A348")</f>
        <v>A348</v>
      </c>
      <c r="D60" t="str">
        <f>IFERROR(__xludf.DUMMYFUNCTION("""COMPUTED_VALUE"""),"120")</f>
        <v>120</v>
      </c>
      <c r="E60" t="str">
        <f>IFERROR(__xludf.DUMMYFUNCTION("""COMPUTED_VALUE"""),"DPTO. DE COMUNICACIONES")</f>
        <v>DPTO. DE COMUNICACIONES</v>
      </c>
      <c r="F60" t="str">
        <f>IFERROR(__xludf.DUMMYFUNCTION("""COMPUTED_VALUE"""),"Periodista")</f>
        <v>Periodista</v>
      </c>
      <c r="G60" t="str">
        <f>IFERROR(__xludf.DUMMYFUNCTION("""COMPUTED_VALUE"""),"PERIODISTA")</f>
        <v>PERIODISTA</v>
      </c>
      <c r="H60">
        <f>IFERROR(__xludf.DUMMYFUNCTION("""COMPUTED_VALUE"""),13.0)</f>
        <v>13</v>
      </c>
      <c r="I60" t="str">
        <f>IFERROR(__xludf.DUMMYFUNCTION("""COMPUTED_VALUE"""),"Jornada Completa")</f>
        <v>Jornada Completa</v>
      </c>
      <c r="J60" t="str">
        <f>IFERROR(__xludf.DUMMYFUNCTION("""COMPUTED_VALUE"""),"A CONTRATA")</f>
        <v>A CONTRATA</v>
      </c>
      <c r="K60" t="str">
        <f>IFERROR(__xludf.DUMMYFUNCTION("""COMPUTED_VALUE"""),"PROFESIONAL")</f>
        <v>PROFESIONAL</v>
      </c>
      <c r="L60" t="str">
        <f>IFERROR(__xludf.DUMMYFUNCTION("""COMPUTED_VALUE"""),"INTERNO")</f>
        <v>INTERNO</v>
      </c>
      <c r="M60">
        <f>IFERROR(__xludf.DUMMYFUNCTION("""COMPUTED_VALUE"""),5.0)</f>
        <v>5</v>
      </c>
      <c r="N60" t="str">
        <f>IFERROR(__xludf.DUMMYFUNCTION("""COMPUTED_VALUE"""),"NO")</f>
        <v>NO</v>
      </c>
      <c r="P60">
        <f>IFERROR(__xludf.DUMMYFUNCTION("""COMPUTED_VALUE"""),1.0)</f>
        <v>1</v>
      </c>
      <c r="Q60">
        <f>IFERROR(__xludf.DUMMYFUNCTION("""COMPUTED_VALUE"""),0.0)</f>
        <v>0</v>
      </c>
      <c r="R60" s="45" t="str">
        <f>IFERROR(__xludf.DUMMYFUNCTION("""COMPUTED_VALUE"""),"SELECCIONADO")</f>
        <v>SELECCIONADO</v>
      </c>
      <c r="S60" s="38">
        <f>IFERROR(__xludf.DUMMYFUNCTION("""COMPUTED_VALUE"""),43707.0)</f>
        <v>43707</v>
      </c>
      <c r="T60" t="str">
        <f>IFERROR(__xludf.DUMMYFUNCTION("""COMPUTED_VALUE"""),"BORRONI RICARDI ENZO RENATO")</f>
        <v>BORRONI RICARDI ENZO RENATO</v>
      </c>
      <c r="V60" t="str">
        <f>IFERROR(__xludf.DUMMYFUNCTION("""COMPUTED_VALUE"""),"13048402-6")</f>
        <v>13048402-6</v>
      </c>
      <c r="W60" t="str">
        <f>IFERROR(__xludf.DUMMYFUNCTION("""COMPUTED_VALUE"""),"NO")</f>
        <v>NO</v>
      </c>
      <c r="AA60" s="38">
        <f>IFERROR(__xludf.DUMMYFUNCTION("""COMPUTED_VALUE"""),43651.0)</f>
        <v>43651</v>
      </c>
      <c r="AB60" s="38">
        <f>IFERROR(__xludf.DUMMYFUNCTION("""COMPUTED_VALUE"""),43656.0)</f>
        <v>43656</v>
      </c>
      <c r="AH60" t="str">
        <f>IFERROR(__xludf.DUMMYFUNCTION("""COMPUTED_VALUE"""),"PROCESO DE SELECCIÓN")</f>
        <v>PROCESO DE SELECCIÓN</v>
      </c>
      <c r="AI60" t="str">
        <f>IFERROR(__xludf.DUMMYFUNCTION("""COMPUTED_VALUE"""),"MANSILLA FUENTES GLORIA")</f>
        <v>MANSILLA FUENTES GLORIA</v>
      </c>
      <c r="AK60" t="str">
        <f>IFERROR(__xludf.DUMMYFUNCTION("""COMPUTED_VALUE"""),"C")</f>
        <v>C</v>
      </c>
      <c r="AL60">
        <f>IFERROR(__xludf.DUMMYFUNCTION("""COMPUTED_VALUE"""),38.0)</f>
        <v>38</v>
      </c>
      <c r="AM60">
        <f>IFERROR(__xludf.DUMMYFUNCTION("""COMPUTED_VALUE"""),2019.0)</f>
        <v>2019</v>
      </c>
    </row>
    <row r="61">
      <c r="A61">
        <f>IFERROR(__xludf.DUMMYFUNCTION("""COMPUTED_VALUE"""),1.3688649E7)</f>
        <v>13688649</v>
      </c>
      <c r="B61">
        <f>IFERROR(__xludf.DUMMYFUNCTION("""COMPUTED_VALUE"""),59.0)</f>
        <v>59</v>
      </c>
      <c r="C61" t="str">
        <f>IFERROR(__xludf.DUMMYFUNCTION("""COMPUTED_VALUE"""),"A318")</f>
        <v>A318</v>
      </c>
      <c r="D61" t="str">
        <f>IFERROR(__xludf.DUMMYFUNCTION("""COMPUTED_VALUE"""),"50")</f>
        <v>50</v>
      </c>
      <c r="E61" t="str">
        <f>IFERROR(__xludf.DUMMYFUNCTION("""COMPUTED_VALUE"""),"DPTO. DE MAT. Y CS. DE LA COMP.")</f>
        <v>DPTO. DE MAT. Y CS. DE LA COMP.</v>
      </c>
      <c r="F61" t="str">
        <f>IFERROR(__xludf.DUMMYFUNCTION("""COMPUTED_VALUE"""),"Analista de Gestión Administrativa")</f>
        <v>Analista de Gestión Administrativa</v>
      </c>
      <c r="G61" t="str">
        <f>IFERROR(__xludf.DUMMYFUNCTION("""COMPUTED_VALUE"""),"ANALISTA DE GESTION ADMINISTRATIVA")</f>
        <v>ANALISTA DE GESTION ADMINISTRATIVA</v>
      </c>
      <c r="H61">
        <f>IFERROR(__xludf.DUMMYFUNCTION("""COMPUTED_VALUE"""),14.0)</f>
        <v>14</v>
      </c>
      <c r="I61" t="str">
        <f>IFERROR(__xludf.DUMMYFUNCTION("""COMPUTED_VALUE"""),"Jornada Completa")</f>
        <v>Jornada Completa</v>
      </c>
      <c r="J61" t="str">
        <f>IFERROR(__xludf.DUMMYFUNCTION("""COMPUTED_VALUE"""),"A CONTRATA")</f>
        <v>A CONTRATA</v>
      </c>
      <c r="K61" t="str">
        <f>IFERROR(__xludf.DUMMYFUNCTION("""COMPUTED_VALUE"""),"PROFESIONAL")</f>
        <v>PROFESIONAL</v>
      </c>
      <c r="L61" t="str">
        <f>IFERROR(__xludf.DUMMYFUNCTION("""COMPUTED_VALUE"""),"INTERNO")</f>
        <v>INTERNO</v>
      </c>
      <c r="M61">
        <f>IFERROR(__xludf.DUMMYFUNCTION("""COMPUTED_VALUE"""),8.0)</f>
        <v>8</v>
      </c>
      <c r="N61" t="str">
        <f>IFERROR(__xludf.DUMMYFUNCTION("""COMPUTED_VALUE"""),"NO")</f>
        <v>NO</v>
      </c>
      <c r="P61">
        <f>IFERROR(__xludf.DUMMYFUNCTION("""COMPUTED_VALUE"""),3.0)</f>
        <v>3</v>
      </c>
      <c r="Q61">
        <f>IFERROR(__xludf.DUMMYFUNCTION("""COMPUTED_VALUE"""),0.0)</f>
        <v>0</v>
      </c>
      <c r="R61" s="45" t="str">
        <f>IFERROR(__xludf.DUMMYFUNCTION("""COMPUTED_VALUE"""),"SELECCIONADA")</f>
        <v>SELECCIONADA</v>
      </c>
      <c r="S61" s="38">
        <f>IFERROR(__xludf.DUMMYFUNCTION("""COMPUTED_VALUE"""),43709.0)</f>
        <v>43709</v>
      </c>
      <c r="T61" t="str">
        <f>IFERROR(__xludf.DUMMYFUNCTION("""COMPUTED_VALUE"""),"AGUILAR LOPEZ EVELYN CECILIA")</f>
        <v>AGUILAR LOPEZ EVELYN CECILIA</v>
      </c>
      <c r="V61" t="str">
        <f>IFERROR(__xludf.DUMMYFUNCTION("""COMPUTED_VALUE"""),"13688649-5")</f>
        <v>13688649-5</v>
      </c>
      <c r="W61" t="str">
        <f>IFERROR(__xludf.DUMMYFUNCTION("""COMPUTED_VALUE"""),"SI")</f>
        <v>SI</v>
      </c>
      <c r="X61" t="str">
        <f>IFERROR(__xludf.DUMMYFUNCTION("""COMPUTED_VALUE"""),"Capacidad de Planificacion y Organizacion")</f>
        <v>Capacidad de Planificacion y Organizacion</v>
      </c>
      <c r="AA61" s="38">
        <f>IFERROR(__xludf.DUMMYFUNCTION("""COMPUTED_VALUE"""),43584.0)</f>
        <v>43584</v>
      </c>
      <c r="AB61" s="38">
        <f>IFERROR(__xludf.DUMMYFUNCTION("""COMPUTED_VALUE"""),43594.0)</f>
        <v>43594</v>
      </c>
      <c r="AH61" t="str">
        <f>IFERROR(__xludf.DUMMYFUNCTION("""COMPUTED_VALUE"""),"PROCESO DE SELECCIÓN")</f>
        <v>PROCESO DE SELECCIÓN</v>
      </c>
      <c r="AI61" t="str">
        <f>IFERROR(__xludf.DUMMYFUNCTION("""COMPUTED_VALUE"""),"MONTECINO CUBILLOS SOLEDAD")</f>
        <v>MONTECINO CUBILLOS SOLEDAD</v>
      </c>
      <c r="AK61" t="str">
        <f>IFERROR(__xludf.DUMMYFUNCTION("""COMPUTED_VALUE"""),"C")</f>
        <v>C</v>
      </c>
      <c r="AL61">
        <f>IFERROR(__xludf.DUMMYFUNCTION("""COMPUTED_VALUE"""),82.0)</f>
        <v>82</v>
      </c>
      <c r="AM61">
        <f>IFERROR(__xludf.DUMMYFUNCTION("""COMPUTED_VALUE"""),2019.0)</f>
        <v>2019</v>
      </c>
    </row>
    <row r="62">
      <c r="A62">
        <f>IFERROR(__xludf.DUMMYFUNCTION("""COMPUTED_VALUE"""),1.2249498E7)</f>
        <v>12249498</v>
      </c>
      <c r="B62">
        <f>IFERROR(__xludf.DUMMYFUNCTION("""COMPUTED_VALUE"""),60.0)</f>
        <v>60</v>
      </c>
      <c r="C62" t="str">
        <f>IFERROR(__xludf.DUMMYFUNCTION("""COMPUTED_VALUE"""),"A380")</f>
        <v>A380</v>
      </c>
      <c r="D62" t="str">
        <f>IFERROR(__xludf.DUMMYFUNCTION("""COMPUTED_VALUE"""),"15")</f>
        <v>15</v>
      </c>
      <c r="E62" t="str">
        <f>IFERROR(__xludf.DUMMYFUNCTION("""COMPUTED_VALUE"""),"UNIDAD DE REGISTRO ACADEMICO Y CURRICULAR")</f>
        <v>UNIDAD DE REGISTRO ACADEMICO Y CURRICULAR</v>
      </c>
      <c r="F62" t="str">
        <f>IFERROR(__xludf.DUMMYFUNCTION("""COMPUTED_VALUE"""),"Administrativo(a) de Registro Académico")</f>
        <v>Administrativo(a) de Registro Académico</v>
      </c>
      <c r="G62" t="str">
        <f>IFERROR(__xludf.DUMMYFUNCTION("""COMPUTED_VALUE"""),"ADMINISTRATIVA DE REGISTRO ACADEMICO ( TITULADORA)")</f>
        <v>ADMINISTRATIVA DE REGISTRO ACADEMICO ( TITULADORA)</v>
      </c>
      <c r="H62">
        <f>IFERROR(__xludf.DUMMYFUNCTION("""COMPUTED_VALUE"""),17.0)</f>
        <v>17</v>
      </c>
      <c r="I62" t="str">
        <f>IFERROR(__xludf.DUMMYFUNCTION("""COMPUTED_VALUE"""),"Jornada Completa")</f>
        <v>Jornada Completa</v>
      </c>
      <c r="J62" t="str">
        <f>IFERROR(__xludf.DUMMYFUNCTION("""COMPUTED_VALUE"""),"A CONTRATA")</f>
        <v>A CONTRATA</v>
      </c>
      <c r="K62" t="str">
        <f>IFERROR(__xludf.DUMMYFUNCTION("""COMPUTED_VALUE"""),"ADMINISTRATIVO")</f>
        <v>ADMINISTRATIVO</v>
      </c>
      <c r="L62" t="str">
        <f>IFERROR(__xludf.DUMMYFUNCTION("""COMPUTED_VALUE"""),"INTERNO")</f>
        <v>INTERNO</v>
      </c>
      <c r="M62">
        <f>IFERROR(__xludf.DUMMYFUNCTION("""COMPUTED_VALUE"""),1.0)</f>
        <v>1</v>
      </c>
      <c r="N62" t="str">
        <f>IFERROR(__xludf.DUMMYFUNCTION("""COMPUTED_VALUE"""),"NO")</f>
        <v>NO</v>
      </c>
      <c r="P62">
        <f>IFERROR(__xludf.DUMMYFUNCTION("""COMPUTED_VALUE"""),1.0)</f>
        <v>1</v>
      </c>
      <c r="Q62">
        <f>IFERROR(__xludf.DUMMYFUNCTION("""COMPUTED_VALUE"""),0.0)</f>
        <v>0</v>
      </c>
      <c r="R62" s="45" t="str">
        <f>IFERROR(__xludf.DUMMYFUNCTION("""COMPUTED_VALUE"""),"SELECCIONADA")</f>
        <v>SELECCIONADA</v>
      </c>
      <c r="S62" s="38">
        <f>IFERROR(__xludf.DUMMYFUNCTION("""COMPUTED_VALUE"""),43717.0)</f>
        <v>43717</v>
      </c>
      <c r="T62" t="str">
        <f>IFERROR(__xludf.DUMMYFUNCTION("""COMPUTED_VALUE"""),"MUNOZ RIQUELME MONICA DEL PILAR")</f>
        <v>MUNOZ RIQUELME MONICA DEL PILAR</v>
      </c>
      <c r="V62" t="str">
        <f>IFERROR(__xludf.DUMMYFUNCTION("""COMPUTED_VALUE"""),"12249498-5")</f>
        <v>12249498-5</v>
      </c>
      <c r="W62" t="str">
        <f>IFERROR(__xludf.DUMMYFUNCTION("""COMPUTED_VALUE"""),"SI")</f>
        <v>SI</v>
      </c>
      <c r="X62" t="str">
        <f>IFERROR(__xludf.DUMMYFUNCTION("""COMPUTED_VALUE"""),"Trabajo en Equipo")</f>
        <v>Trabajo en Equipo</v>
      </c>
      <c r="AA62" s="38">
        <f>IFERROR(__xludf.DUMMYFUNCTION("""COMPUTED_VALUE"""),43670.0)</f>
        <v>43670</v>
      </c>
      <c r="AB62" s="38">
        <f>IFERROR(__xludf.DUMMYFUNCTION("""COMPUTED_VALUE"""),43678.0)</f>
        <v>43678</v>
      </c>
      <c r="AH62" t="str">
        <f>IFERROR(__xludf.DUMMYFUNCTION("""COMPUTED_VALUE"""),"PROCESO DE SELECCIÓN")</f>
        <v>PROCESO DE SELECCIÓN</v>
      </c>
      <c r="AI62" t="str">
        <f>IFERROR(__xludf.DUMMYFUNCTION("""COMPUTED_VALUE"""),"TOMIGO MEJIAS ANA")</f>
        <v>TOMIGO MEJIAS ANA</v>
      </c>
      <c r="AK62" t="str">
        <f>IFERROR(__xludf.DUMMYFUNCTION("""COMPUTED_VALUE"""),"P")</f>
        <v>P</v>
      </c>
      <c r="AL62">
        <f>IFERROR(__xludf.DUMMYFUNCTION("""COMPUTED_VALUE"""),28.0)</f>
        <v>28</v>
      </c>
      <c r="AM62">
        <f>IFERROR(__xludf.DUMMYFUNCTION("""COMPUTED_VALUE"""),2019.0)</f>
        <v>2019</v>
      </c>
    </row>
    <row r="63">
      <c r="A63">
        <f>IFERROR(__xludf.DUMMYFUNCTION("""COMPUTED_VALUE"""),1.7959771E7)</f>
        <v>17959771</v>
      </c>
      <c r="B63">
        <f>IFERROR(__xludf.DUMMYFUNCTION("""COMPUTED_VALUE"""),61.0)</f>
        <v>61</v>
      </c>
      <c r="C63" t="str">
        <f>IFERROR(__xludf.DUMMYFUNCTION("""COMPUTED_VALUE"""),"A406")</f>
        <v>A406</v>
      </c>
      <c r="D63" t="str">
        <f>IFERROR(__xludf.DUMMYFUNCTION("""COMPUTED_VALUE"""),"3")</f>
        <v>3</v>
      </c>
      <c r="E63" t="str">
        <f>IFERROR(__xludf.DUMMYFUNCTION("""COMPUTED_VALUE"""),"DPTO. DE DESARROLLO DE PERSONAS")</f>
        <v>DPTO. DE DESARROLLO DE PERSONAS</v>
      </c>
      <c r="F63" t="str">
        <f>IFERROR(__xludf.DUMMYFUNCTION("""COMPUTED_VALUE"""),"Analista de Gestión de Personas")</f>
        <v>Analista de Gestión de Personas</v>
      </c>
      <c r="G63" t="str">
        <f>IFERROR(__xludf.DUMMYFUNCTION("""COMPUTED_VALUE"""),"ANALISTA DE GESTION DE PERSONAS")</f>
        <v>ANALISTA DE GESTION DE PERSONAS</v>
      </c>
      <c r="H63">
        <f>IFERROR(__xludf.DUMMYFUNCTION("""COMPUTED_VALUE"""),10.0)</f>
        <v>10</v>
      </c>
      <c r="I63" t="str">
        <f>IFERROR(__xludf.DUMMYFUNCTION("""COMPUTED_VALUE"""),"Jornada Completa")</f>
        <v>Jornada Completa</v>
      </c>
      <c r="J63" t="str">
        <f>IFERROR(__xludf.DUMMYFUNCTION("""COMPUTED_VALUE"""),"A CONTRATA")</f>
        <v>A CONTRATA</v>
      </c>
      <c r="K63" t="str">
        <f>IFERROR(__xludf.DUMMYFUNCTION("""COMPUTED_VALUE"""),"PROFESIONAL")</f>
        <v>PROFESIONAL</v>
      </c>
      <c r="L63" t="str">
        <f>IFERROR(__xludf.DUMMYFUNCTION("""COMPUTED_VALUE"""),"INTERNO")</f>
        <v>INTERNO</v>
      </c>
      <c r="M63">
        <f>IFERROR(__xludf.DUMMYFUNCTION("""COMPUTED_VALUE"""),1.0)</f>
        <v>1</v>
      </c>
      <c r="N63" t="str">
        <f>IFERROR(__xludf.DUMMYFUNCTION("""COMPUTED_VALUE"""),"NO")</f>
        <v>NO</v>
      </c>
      <c r="P63">
        <f>IFERROR(__xludf.DUMMYFUNCTION("""COMPUTED_VALUE"""),1.0)</f>
        <v>1</v>
      </c>
      <c r="Q63">
        <f>IFERROR(__xludf.DUMMYFUNCTION("""COMPUTED_VALUE"""),0.0)</f>
        <v>0</v>
      </c>
      <c r="R63" s="45" t="str">
        <f>IFERROR(__xludf.DUMMYFUNCTION("""COMPUTED_VALUE"""),"SELECCIONADA")</f>
        <v>SELECCIONADA</v>
      </c>
      <c r="S63" s="38">
        <f>IFERROR(__xludf.DUMMYFUNCTION("""COMPUTED_VALUE"""),43739.0)</f>
        <v>43739</v>
      </c>
      <c r="T63" t="str">
        <f>IFERROR(__xludf.DUMMYFUNCTION("""COMPUTED_VALUE"""),"LLABRES SOLIS ROMINA THALIA")</f>
        <v>LLABRES SOLIS ROMINA THALIA</v>
      </c>
      <c r="V63" t="str">
        <f>IFERROR(__xludf.DUMMYFUNCTION("""COMPUTED_VALUE"""),"17959771-3")</f>
        <v>17959771-3</v>
      </c>
      <c r="W63" t="str">
        <f>IFERROR(__xludf.DUMMYFUNCTION("""COMPUTED_VALUE"""),"NO")</f>
        <v>NO</v>
      </c>
      <c r="AA63" s="38">
        <f>IFERROR(__xludf.DUMMYFUNCTION("""COMPUTED_VALUE"""),43714.0)</f>
        <v>43714</v>
      </c>
      <c r="AB63" s="38">
        <f>IFERROR(__xludf.DUMMYFUNCTION("""COMPUTED_VALUE"""),43719.0)</f>
        <v>43719</v>
      </c>
      <c r="AH63" t="str">
        <f>IFERROR(__xludf.DUMMYFUNCTION("""COMPUTED_VALUE"""),"PROCESO DE SELECCIÓN")</f>
        <v>PROCESO DE SELECCIÓN</v>
      </c>
      <c r="AI63" t="str">
        <f>IFERROR(__xludf.DUMMYFUNCTION("""COMPUTED_VALUE"""),"GONZALEZ SANTA CRUZ ANDRES")</f>
        <v>GONZALEZ SANTA CRUZ ANDRES</v>
      </c>
      <c r="AK63" t="str">
        <f>IFERROR(__xludf.DUMMYFUNCTION("""COMPUTED_VALUE"""),"C")</f>
        <v>C</v>
      </c>
      <c r="AL63">
        <f>IFERROR(__xludf.DUMMYFUNCTION("""COMPUTED_VALUE"""),15.0)</f>
        <v>15</v>
      </c>
      <c r="AM63">
        <f>IFERROR(__xludf.DUMMYFUNCTION("""COMPUTED_VALUE"""),2019.0)</f>
        <v>2019</v>
      </c>
    </row>
    <row r="64">
      <c r="A64">
        <f>IFERROR(__xludf.DUMMYFUNCTION("""COMPUTED_VALUE"""),7317438.0)</f>
        <v>7317438</v>
      </c>
      <c r="B64">
        <f>IFERROR(__xludf.DUMMYFUNCTION("""COMPUTED_VALUE"""),62.0)</f>
        <v>62</v>
      </c>
      <c r="C64" t="str">
        <f>IFERROR(__xludf.DUMMYFUNCTION("""COMPUTED_VALUE"""),"A341")</f>
        <v>A341</v>
      </c>
      <c r="D64" t="str">
        <f>IFERROR(__xludf.DUMMYFUNCTION("""COMPUTED_VALUE"""),"3")</f>
        <v>3</v>
      </c>
      <c r="E64" t="str">
        <f>IFERROR(__xludf.DUMMYFUNCTION("""COMPUTED_VALUE"""),"UNIDAD DE GESTION DEL CAMPUS")</f>
        <v>UNIDAD DE GESTION DEL CAMPUS</v>
      </c>
      <c r="F64" t="str">
        <f>IFERROR(__xludf.DUMMYFUNCTION("""COMPUTED_VALUE"""),"Técnico(a) Eléctrico")</f>
        <v>Técnico(a) Eléctrico</v>
      </c>
      <c r="G64" t="str">
        <f>IFERROR(__xludf.DUMMYFUNCTION("""COMPUTED_VALUE"""),"TECNICO ELECTRICO ( CLIMATIZACION)")</f>
        <v>TECNICO ELECTRICO ( CLIMATIZACION)</v>
      </c>
      <c r="H64">
        <f>IFERROR(__xludf.DUMMYFUNCTION("""COMPUTED_VALUE"""),17.0)</f>
        <v>17</v>
      </c>
      <c r="I64" t="str">
        <f>IFERROR(__xludf.DUMMYFUNCTION("""COMPUTED_VALUE"""),"Jornada Completa")</f>
        <v>Jornada Completa</v>
      </c>
      <c r="J64" t="str">
        <f>IFERROR(__xludf.DUMMYFUNCTION("""COMPUTED_VALUE"""),"A CONTRATA")</f>
        <v>A CONTRATA</v>
      </c>
      <c r="K64" t="str">
        <f>IFERROR(__xludf.DUMMYFUNCTION("""COMPUTED_VALUE"""),"TECNICO")</f>
        <v>TECNICO</v>
      </c>
      <c r="L64" t="str">
        <f>IFERROR(__xludf.DUMMYFUNCTION("""COMPUTED_VALUE"""),"INTERNO")</f>
        <v>INTERNO</v>
      </c>
      <c r="M64">
        <f>IFERROR(__xludf.DUMMYFUNCTION("""COMPUTED_VALUE"""),0.0)</f>
        <v>0</v>
      </c>
      <c r="N64" t="str">
        <f>IFERROR(__xludf.DUMMYFUNCTION("""COMPUTED_VALUE"""),"EXTERNO")</f>
        <v>EXTERNO</v>
      </c>
      <c r="O64">
        <f>IFERROR(__xludf.DUMMYFUNCTION("""COMPUTED_VALUE"""),5.0)</f>
        <v>5</v>
      </c>
      <c r="P64">
        <f>IFERROR(__xludf.DUMMYFUNCTION("""COMPUTED_VALUE"""),1.0)</f>
        <v>1</v>
      </c>
      <c r="Q64">
        <f>IFERROR(__xludf.DUMMYFUNCTION("""COMPUTED_VALUE"""),0.0)</f>
        <v>0</v>
      </c>
      <c r="R64" s="45" t="str">
        <f>IFERROR(__xludf.DUMMYFUNCTION("""COMPUTED_VALUE"""),"SELECCIONADO")</f>
        <v>SELECCIONADO</v>
      </c>
      <c r="S64" s="38">
        <f>IFERROR(__xludf.DUMMYFUNCTION("""COMPUTED_VALUE"""),43718.0)</f>
        <v>43718</v>
      </c>
      <c r="U64" t="str">
        <f>IFERROR(__xludf.DUMMYFUNCTION("""COMPUTED_VALUE"""),"FERNANDEZ PEÑALOZA CARLOS")</f>
        <v>FERNANDEZ PEÑALOZA CARLOS</v>
      </c>
      <c r="V64" t="str">
        <f>IFERROR(__xludf.DUMMYFUNCTION("""COMPUTED_VALUE"""),"7317438-4")</f>
        <v>7317438-4</v>
      </c>
      <c r="W64" t="str">
        <f>IFERROR(__xludf.DUMMYFUNCTION("""COMPUTED_VALUE"""),"SI")</f>
        <v>SI</v>
      </c>
      <c r="X64" t="str">
        <f>IFERROR(__xludf.DUMMYFUNCTION("""COMPUTED_VALUE"""),"Orientacion a los Resultados")</f>
        <v>Orientacion a los Resultados</v>
      </c>
      <c r="Y64" t="str">
        <f>IFERROR(__xludf.DUMMYFUNCTION("""COMPUTED_VALUE"""),"Trabajo en Equipo")</f>
        <v>Trabajo en Equipo</v>
      </c>
      <c r="AA64" s="38">
        <f>IFERROR(__xludf.DUMMYFUNCTION("""COMPUTED_VALUE"""),43672.0)</f>
        <v>43672</v>
      </c>
      <c r="AB64" s="38">
        <f>IFERROR(__xludf.DUMMYFUNCTION("""COMPUTED_VALUE"""),43679.0)</f>
        <v>43679</v>
      </c>
      <c r="AH64" t="str">
        <f>IFERROR(__xludf.DUMMYFUNCTION("""COMPUTED_VALUE"""),"PROCESO DE SELECCIÓN")</f>
        <v>PROCESO DE SELECCIÓN</v>
      </c>
      <c r="AI64" t="str">
        <f>IFERROR(__xludf.DUMMYFUNCTION("""COMPUTED_VALUE"""),"ORELLANA TORO NICOLAS")</f>
        <v>ORELLANA TORO NICOLAS</v>
      </c>
      <c r="AK64" t="str">
        <f>IFERROR(__xludf.DUMMYFUNCTION("""COMPUTED_VALUE"""),"E")</f>
        <v>E</v>
      </c>
      <c r="AL64">
        <f>IFERROR(__xludf.DUMMYFUNCTION("""COMPUTED_VALUE"""),28.0)</f>
        <v>28</v>
      </c>
      <c r="AM64">
        <f>IFERROR(__xludf.DUMMYFUNCTION("""COMPUTED_VALUE"""),2019.0)</f>
        <v>2019</v>
      </c>
    </row>
    <row r="65">
      <c r="A65">
        <f>IFERROR(__xludf.DUMMYFUNCTION("""COMPUTED_VALUE"""),1.9208931E7)</f>
        <v>19208931</v>
      </c>
      <c r="B65">
        <f>IFERROR(__xludf.DUMMYFUNCTION("""COMPUTED_VALUE"""),63.0)</f>
        <v>63</v>
      </c>
      <c r="C65" t="str">
        <f>IFERROR(__xludf.DUMMYFUNCTION("""COMPUTED_VALUE"""),"A375")</f>
        <v>A375</v>
      </c>
      <c r="D65" t="str">
        <f>IFERROR(__xludf.DUMMYFUNCTION("""COMPUTED_VALUE"""),"40")</f>
        <v>40</v>
      </c>
      <c r="E65" t="str">
        <f>IFERROR(__xludf.DUMMYFUNCTION("""COMPUTED_VALUE"""),"DPTO. DE INGENIERIA INFORMATICA")</f>
        <v>DPTO. DE INGENIERIA INFORMATICA</v>
      </c>
      <c r="F65" t="str">
        <f>IFERROR(__xludf.DUMMYFUNCTION("""COMPUTED_VALUE"""),"Secretario(a) de Apoyo Docente")</f>
        <v>Secretario(a) de Apoyo Docente</v>
      </c>
      <c r="G65" t="str">
        <f>IFERROR(__xludf.DUMMYFUNCTION("""COMPUTED_VALUE"""),"SECRETARIA DE APOYO DOCENTE")</f>
        <v>SECRETARIA DE APOYO DOCENTE</v>
      </c>
      <c r="H65">
        <f>IFERROR(__xludf.DUMMYFUNCTION("""COMPUTED_VALUE"""),17.0)</f>
        <v>17</v>
      </c>
      <c r="I65" t="str">
        <f>IFERROR(__xludf.DUMMYFUNCTION("""COMPUTED_VALUE"""),"Jornada Completa")</f>
        <v>Jornada Completa</v>
      </c>
      <c r="J65" t="str">
        <f>IFERROR(__xludf.DUMMYFUNCTION("""COMPUTED_VALUE"""),"A CONTRATA")</f>
        <v>A CONTRATA</v>
      </c>
      <c r="K65" t="str">
        <f>IFERROR(__xludf.DUMMYFUNCTION("""COMPUTED_VALUE"""),"ADMINISTRATIVO")</f>
        <v>ADMINISTRATIVO</v>
      </c>
      <c r="L65" t="str">
        <f>IFERROR(__xludf.DUMMYFUNCTION("""COMPUTED_VALUE"""),"INTERNO")</f>
        <v>INTERNO</v>
      </c>
      <c r="M65">
        <f>IFERROR(__xludf.DUMMYFUNCTION("""COMPUTED_VALUE"""),5.0)</f>
        <v>5</v>
      </c>
      <c r="N65" t="str">
        <f>IFERROR(__xludf.DUMMYFUNCTION("""COMPUTED_VALUE"""),"NO")</f>
        <v>NO</v>
      </c>
      <c r="P65">
        <f>IFERROR(__xludf.DUMMYFUNCTION("""COMPUTED_VALUE"""),2.0)</f>
        <v>2</v>
      </c>
      <c r="Q65">
        <f>IFERROR(__xludf.DUMMYFUNCTION("""COMPUTED_VALUE"""),0.0)</f>
        <v>0</v>
      </c>
      <c r="R65" s="45" t="str">
        <f>IFERROR(__xludf.DUMMYFUNCTION("""COMPUTED_VALUE"""),"SELECCIONADA")</f>
        <v>SELECCIONADA</v>
      </c>
      <c r="S65" s="38">
        <f>IFERROR(__xludf.DUMMYFUNCTION("""COMPUTED_VALUE"""),43740.0)</f>
        <v>43740</v>
      </c>
      <c r="T65" t="str">
        <f>IFERROR(__xludf.DUMMYFUNCTION("""COMPUTED_VALUE"""),"LABRIN VALENZUELA ROMINA FERNANDA")</f>
        <v>LABRIN VALENZUELA ROMINA FERNANDA</v>
      </c>
      <c r="V65" t="str">
        <f>IFERROR(__xludf.DUMMYFUNCTION("""COMPUTED_VALUE"""),"19208931-K")</f>
        <v>19208931-K</v>
      </c>
      <c r="W65" t="str">
        <f>IFERROR(__xludf.DUMMYFUNCTION("""COMPUTED_VALUE"""),"SI")</f>
        <v>SI</v>
      </c>
      <c r="X65" t="str">
        <f>IFERROR(__xludf.DUMMYFUNCTION("""COMPUTED_VALUE"""),"Franqueza- Confiabilidad- Integridad")</f>
        <v>Franqueza- Confiabilidad- Integridad</v>
      </c>
      <c r="AA65" s="38">
        <f>IFERROR(__xludf.DUMMYFUNCTION("""COMPUTED_VALUE"""),43684.0)</f>
        <v>43684</v>
      </c>
      <c r="AB65" s="38">
        <f>IFERROR(__xludf.DUMMYFUNCTION("""COMPUTED_VALUE"""),43691.0)</f>
        <v>43691</v>
      </c>
      <c r="AH65" t="str">
        <f>IFERROR(__xludf.DUMMYFUNCTION("""COMPUTED_VALUE"""),"PROCESO DE SELECCIÓN")</f>
        <v>PROCESO DE SELECCIÓN</v>
      </c>
      <c r="AI65" t="str">
        <f>IFERROR(__xludf.DUMMYFUNCTION("""COMPUTED_VALUE"""),"SILVA LUQUE GUACOLDA")</f>
        <v>SILVA LUQUE GUACOLDA</v>
      </c>
      <c r="AK65" t="str">
        <f>IFERROR(__xludf.DUMMYFUNCTION("""COMPUTED_VALUE"""),"C")</f>
        <v>C</v>
      </c>
      <c r="AL65">
        <f>IFERROR(__xludf.DUMMYFUNCTION("""COMPUTED_VALUE"""),36.0)</f>
        <v>36</v>
      </c>
      <c r="AM65">
        <f>IFERROR(__xludf.DUMMYFUNCTION("""COMPUTED_VALUE"""),2019.0)</f>
        <v>2019</v>
      </c>
    </row>
    <row r="66">
      <c r="A66">
        <f>IFERROR(__xludf.DUMMYFUNCTION("""COMPUTED_VALUE"""),1.0549457E7)</f>
        <v>10549457</v>
      </c>
      <c r="B66">
        <f>IFERROR(__xludf.DUMMYFUNCTION("""COMPUTED_VALUE"""),64.0)</f>
        <v>64</v>
      </c>
      <c r="C66" t="str">
        <f>IFERROR(__xludf.DUMMYFUNCTION("""COMPUTED_VALUE"""),"A301")</f>
        <v>A301</v>
      </c>
      <c r="D66" t="str">
        <f>IFERROR(__xludf.DUMMYFUNCTION("""COMPUTED_VALUE"""),"40")</f>
        <v>40</v>
      </c>
      <c r="E66" t="str">
        <f>IFERROR(__xludf.DUMMYFUNCTION("""COMPUTED_VALUE"""),"DPTO. DE INGENIERIA ELECTRICA")</f>
        <v>DPTO. DE INGENIERIA ELECTRICA</v>
      </c>
      <c r="F66" t="str">
        <f>IFERROR(__xludf.DUMMYFUNCTION("""COMPUTED_VALUE"""),"Mayordomo(a)")</f>
        <v>Mayordomo(a)</v>
      </c>
      <c r="G66" t="str">
        <f>IFERROR(__xludf.DUMMYFUNCTION("""COMPUTED_VALUE"""),"MAYORDOMA")</f>
        <v>MAYORDOMA</v>
      </c>
      <c r="H66">
        <f>IFERROR(__xludf.DUMMYFUNCTION("""COMPUTED_VALUE"""),21.0)</f>
        <v>21</v>
      </c>
      <c r="I66" t="str">
        <f>IFERROR(__xludf.DUMMYFUNCTION("""COMPUTED_VALUE"""),"Jornada Completa")</f>
        <v>Jornada Completa</v>
      </c>
      <c r="J66" t="str">
        <f>IFERROR(__xludf.DUMMYFUNCTION("""COMPUTED_VALUE"""),"A CONTRATA")</f>
        <v>A CONTRATA</v>
      </c>
      <c r="K66" t="str">
        <f>IFERROR(__xludf.DUMMYFUNCTION("""COMPUTED_VALUE"""),"AUXILIAR")</f>
        <v>AUXILIAR</v>
      </c>
      <c r="L66" t="str">
        <f>IFERROR(__xludf.DUMMYFUNCTION("""COMPUTED_VALUE"""),"INTERNO")</f>
        <v>INTERNO</v>
      </c>
      <c r="M66">
        <f>IFERROR(__xludf.DUMMYFUNCTION("""COMPUTED_VALUE"""),1.0)</f>
        <v>1</v>
      </c>
      <c r="N66" t="str">
        <f>IFERROR(__xludf.DUMMYFUNCTION("""COMPUTED_VALUE"""),"EXTERNO")</f>
        <v>EXTERNO</v>
      </c>
      <c r="O66">
        <f>IFERROR(__xludf.DUMMYFUNCTION("""COMPUTED_VALUE"""),19.0)</f>
        <v>19</v>
      </c>
      <c r="P66">
        <f>IFERROR(__xludf.DUMMYFUNCTION("""COMPUTED_VALUE"""),1.0)</f>
        <v>1</v>
      </c>
      <c r="Q66">
        <f>IFERROR(__xludf.DUMMYFUNCTION("""COMPUTED_VALUE"""),0.0)</f>
        <v>0</v>
      </c>
      <c r="R66" s="45" t="str">
        <f>IFERROR(__xludf.DUMMYFUNCTION("""COMPUTED_VALUE"""),"SELECCIONADA")</f>
        <v>SELECCIONADA</v>
      </c>
      <c r="S66" s="38">
        <f>IFERROR(__xludf.DUMMYFUNCTION("""COMPUTED_VALUE"""),43747.0)</f>
        <v>43747</v>
      </c>
      <c r="U66" t="str">
        <f>IFERROR(__xludf.DUMMYFUNCTION("""COMPUTED_VALUE"""),"DUARTE DUARTE ESMERALDA")</f>
        <v>DUARTE DUARTE ESMERALDA</v>
      </c>
      <c r="V66" t="str">
        <f>IFERROR(__xludf.DUMMYFUNCTION("""COMPUTED_VALUE"""),"10549457-2")</f>
        <v>10549457-2</v>
      </c>
      <c r="W66" t="str">
        <f>IFERROR(__xludf.DUMMYFUNCTION("""COMPUTED_VALUE"""),"SI")</f>
        <v>SI</v>
      </c>
      <c r="X66" t="str">
        <f>IFERROR(__xludf.DUMMYFUNCTION("""COMPUTED_VALUE"""),"Trabajo en Equipo")</f>
        <v>Trabajo en Equipo</v>
      </c>
      <c r="AA66" s="38">
        <f>IFERROR(__xludf.DUMMYFUNCTION("""COMPUTED_VALUE"""),43675.0)</f>
        <v>43675</v>
      </c>
      <c r="AB66" s="38">
        <f>IFERROR(__xludf.DUMMYFUNCTION("""COMPUTED_VALUE"""),43682.0)</f>
        <v>43682</v>
      </c>
      <c r="AH66" t="str">
        <f>IFERROR(__xludf.DUMMYFUNCTION("""COMPUTED_VALUE"""),"PROCESO DE SELECCIÓN")</f>
        <v>PROCESO DE SELECCIÓN</v>
      </c>
      <c r="AI66" t="str">
        <f>IFERROR(__xludf.DUMMYFUNCTION("""COMPUTED_VALUE"""),"GUTIERREZ MOLINA RAMON")</f>
        <v>GUTIERREZ MOLINA RAMON</v>
      </c>
      <c r="AK66" t="str">
        <f>IFERROR(__xludf.DUMMYFUNCTION("""COMPUTED_VALUE"""),"P")</f>
        <v>P</v>
      </c>
      <c r="AL66">
        <f>IFERROR(__xludf.DUMMYFUNCTION("""COMPUTED_VALUE"""),48.0)</f>
        <v>48</v>
      </c>
      <c r="AM66">
        <f>IFERROR(__xludf.DUMMYFUNCTION("""COMPUTED_VALUE"""),2019.0)</f>
        <v>2019</v>
      </c>
    </row>
    <row r="67">
      <c r="A67">
        <f>IFERROR(__xludf.DUMMYFUNCTION("""COMPUTED_VALUE"""),1.7738116E7)</f>
        <v>17738116</v>
      </c>
      <c r="B67">
        <f>IFERROR(__xludf.DUMMYFUNCTION("""COMPUTED_VALUE"""),65.0)</f>
        <v>65</v>
      </c>
      <c r="C67" t="str">
        <f>IFERROR(__xludf.DUMMYFUNCTION("""COMPUTED_VALUE"""),"A373")</f>
        <v>A373</v>
      </c>
      <c r="D67" t="str">
        <f>IFERROR(__xludf.DUMMYFUNCTION("""COMPUTED_VALUE"""),"55")</f>
        <v>55</v>
      </c>
      <c r="E67" t="str">
        <f>IFERROR(__xludf.DUMMYFUNCTION("""COMPUTED_VALUE"""),"DPTO. DE LINGUISTICA Y LITERATURA")</f>
        <v>DPTO. DE LINGUISTICA Y LITERATURA</v>
      </c>
      <c r="F67" t="str">
        <f>IFERROR(__xludf.DUMMYFUNCTION("""COMPUTED_VALUE"""),"Secretario(a) de Apoyo Docente")</f>
        <v>Secretario(a) de Apoyo Docente</v>
      </c>
      <c r="G67" t="str">
        <f>IFERROR(__xludf.DUMMYFUNCTION("""COMPUTED_VALUE"""),"SECRETARIA DE APOYO DOCENTE")</f>
        <v>SECRETARIA DE APOYO DOCENTE</v>
      </c>
      <c r="H67">
        <f>IFERROR(__xludf.DUMMYFUNCTION("""COMPUTED_VALUE"""),17.0)</f>
        <v>17</v>
      </c>
      <c r="I67" t="str">
        <f>IFERROR(__xludf.DUMMYFUNCTION("""COMPUTED_VALUE"""),"Jornada Completa")</f>
        <v>Jornada Completa</v>
      </c>
      <c r="J67" t="str">
        <f>IFERROR(__xludf.DUMMYFUNCTION("""COMPUTED_VALUE"""),"A CONTRATA")</f>
        <v>A CONTRATA</v>
      </c>
      <c r="K67" t="str">
        <f>IFERROR(__xludf.DUMMYFUNCTION("""COMPUTED_VALUE"""),"ADMINISTRATIVO")</f>
        <v>ADMINISTRATIVO</v>
      </c>
      <c r="L67" t="str">
        <f>IFERROR(__xludf.DUMMYFUNCTION("""COMPUTED_VALUE"""),"INTERNO")</f>
        <v>INTERNO</v>
      </c>
      <c r="M67">
        <f>IFERROR(__xludf.DUMMYFUNCTION("""COMPUTED_VALUE"""),5.0)</f>
        <v>5</v>
      </c>
      <c r="N67" t="str">
        <f>IFERROR(__xludf.DUMMYFUNCTION("""COMPUTED_VALUE"""),"NO")</f>
        <v>NO</v>
      </c>
      <c r="P67">
        <f>IFERROR(__xludf.DUMMYFUNCTION("""COMPUTED_VALUE"""),2.0)</f>
        <v>2</v>
      </c>
      <c r="Q67">
        <f>IFERROR(__xludf.DUMMYFUNCTION("""COMPUTED_VALUE"""),0.0)</f>
        <v>0</v>
      </c>
      <c r="R67" s="45" t="str">
        <f>IFERROR(__xludf.DUMMYFUNCTION("""COMPUTED_VALUE"""),"SELECCIONADA")</f>
        <v>SELECCIONADA</v>
      </c>
      <c r="S67" s="38">
        <f>IFERROR(__xludf.DUMMYFUNCTION("""COMPUTED_VALUE"""),43746.0)</f>
        <v>43746</v>
      </c>
      <c r="T67" t="str">
        <f>IFERROR(__xludf.DUMMYFUNCTION("""COMPUTED_VALUE"""),"FLORES HUICHAHUALA MAGALY NATIVIDAD")</f>
        <v>FLORES HUICHAHUALA MAGALY NATIVIDAD</v>
      </c>
      <c r="V67" t="str">
        <f>IFERROR(__xludf.DUMMYFUNCTION("""COMPUTED_VALUE"""),"17738116-0")</f>
        <v>17738116-0</v>
      </c>
      <c r="W67" t="str">
        <f>IFERROR(__xludf.DUMMYFUNCTION("""COMPUTED_VALUE"""),"SI")</f>
        <v>SI</v>
      </c>
      <c r="X67" t="str">
        <f>IFERROR(__xludf.DUMMYFUNCTION("""COMPUTED_VALUE"""),"Trabajo en Equipo")</f>
        <v>Trabajo en Equipo</v>
      </c>
      <c r="Y67" t="str">
        <f>IFERROR(__xludf.DUMMYFUNCTION("""COMPUTED_VALUE"""),"Franqueza- Confiabilidad- Integridad")</f>
        <v>Franqueza- Confiabilidad- Integridad</v>
      </c>
      <c r="AA67" s="38">
        <f>IFERROR(__xludf.DUMMYFUNCTION("""COMPUTED_VALUE"""),43677.0)</f>
        <v>43677</v>
      </c>
      <c r="AB67" s="38">
        <f>IFERROR(__xludf.DUMMYFUNCTION("""COMPUTED_VALUE"""),43684.0)</f>
        <v>43684</v>
      </c>
      <c r="AH67" t="str">
        <f>IFERROR(__xludf.DUMMYFUNCTION("""COMPUTED_VALUE"""),"PROCESO DE SELECCIÓN")</f>
        <v>PROCESO DE SELECCIÓN</v>
      </c>
      <c r="AI67" t="str">
        <f>IFERROR(__xludf.DUMMYFUNCTION("""COMPUTED_VALUE"""),"SARTORI ESCOBAR ALICIA")</f>
        <v>SARTORI ESCOBAR ALICIA</v>
      </c>
      <c r="AK67" t="str">
        <f>IFERROR(__xludf.DUMMYFUNCTION("""COMPUTED_VALUE"""),"C")</f>
        <v>C</v>
      </c>
      <c r="AL67">
        <f>IFERROR(__xludf.DUMMYFUNCTION("""COMPUTED_VALUE"""),45.0)</f>
        <v>45</v>
      </c>
      <c r="AM67">
        <f>IFERROR(__xludf.DUMMYFUNCTION("""COMPUTED_VALUE"""),2019.0)</f>
        <v>2019</v>
      </c>
    </row>
    <row r="68">
      <c r="A68">
        <f>IFERROR(__xludf.DUMMYFUNCTION("""COMPUTED_VALUE"""),1.9783791E7)</f>
        <v>19783791</v>
      </c>
      <c r="B68">
        <f>IFERROR(__xludf.DUMMYFUNCTION("""COMPUTED_VALUE"""),67.0)</f>
        <v>67</v>
      </c>
      <c r="C68" t="str">
        <f>IFERROR(__xludf.DUMMYFUNCTION("""COMPUTED_VALUE"""),"A338")</f>
        <v>A338</v>
      </c>
      <c r="D68" t="str">
        <f>IFERROR(__xludf.DUMMYFUNCTION("""COMPUTED_VALUE"""),"22")</f>
        <v>22</v>
      </c>
      <c r="E68" t="str">
        <f>IFERROR(__xludf.DUMMYFUNCTION("""COMPUTED_VALUE"""),"UNIDAD DE ATENCION DE SALUD")</f>
        <v>UNIDAD DE ATENCION DE SALUD</v>
      </c>
      <c r="F68" t="str">
        <f>IFERROR(__xludf.DUMMYFUNCTION("""COMPUTED_VALUE"""),"Técnico(a) de Mantención")</f>
        <v>Técnico(a) de Mantención</v>
      </c>
      <c r="G68" t="str">
        <f>IFERROR(__xludf.DUMMYFUNCTION("""COMPUTED_VALUE"""),"TECNICO DE MANTENCION")</f>
        <v>TECNICO DE MANTENCION</v>
      </c>
      <c r="H68">
        <f>IFERROR(__xludf.DUMMYFUNCTION("""COMPUTED_VALUE"""),13.0)</f>
        <v>13</v>
      </c>
      <c r="I68" t="str">
        <f>IFERROR(__xludf.DUMMYFUNCTION("""COMPUTED_VALUE"""),"Jornada Completa")</f>
        <v>Jornada Completa</v>
      </c>
      <c r="J68" t="str">
        <f>IFERROR(__xludf.DUMMYFUNCTION("""COMPUTED_VALUE"""),"A CONTRATA")</f>
        <v>A CONTRATA</v>
      </c>
      <c r="K68" t="str">
        <f>IFERROR(__xludf.DUMMYFUNCTION("""COMPUTED_VALUE"""),"TECNICO")</f>
        <v>TECNICO</v>
      </c>
      <c r="L68" t="str">
        <f>IFERROR(__xludf.DUMMYFUNCTION("""COMPUTED_VALUE"""),"NO")</f>
        <v>NO</v>
      </c>
      <c r="N68" t="str">
        <f>IFERROR(__xludf.DUMMYFUNCTION("""COMPUTED_VALUE"""),"EXTERNO")</f>
        <v>EXTERNO</v>
      </c>
      <c r="O68">
        <f>IFERROR(__xludf.DUMMYFUNCTION("""COMPUTED_VALUE"""),7.0)</f>
        <v>7</v>
      </c>
      <c r="P68">
        <f>IFERROR(__xludf.DUMMYFUNCTION("""COMPUTED_VALUE"""),2.0)</f>
        <v>2</v>
      </c>
      <c r="Q68">
        <f>IFERROR(__xludf.DUMMYFUNCTION("""COMPUTED_VALUE"""),1.0)</f>
        <v>1</v>
      </c>
      <c r="R68" s="45" t="str">
        <f>IFERROR(__xludf.DUMMYFUNCTION("""COMPUTED_VALUE"""),"SELECCIONADO")</f>
        <v>SELECCIONADO</v>
      </c>
      <c r="S68" s="38">
        <f>IFERROR(__xludf.DUMMYFUNCTION("""COMPUTED_VALUE"""),43745.0)</f>
        <v>43745</v>
      </c>
      <c r="U68" t="str">
        <f>IFERROR(__xludf.DUMMYFUNCTION("""COMPUTED_VALUE"""),"REBOLLEDO GONZALEZ GERSON")</f>
        <v>REBOLLEDO GONZALEZ GERSON</v>
      </c>
      <c r="V68" t="str">
        <f>IFERROR(__xludf.DUMMYFUNCTION("""COMPUTED_VALUE"""),"19783791-8")</f>
        <v>19783791-8</v>
      </c>
      <c r="W68" t="str">
        <f>IFERROR(__xludf.DUMMYFUNCTION("""COMPUTED_VALUE"""),"SI")</f>
        <v>SI</v>
      </c>
      <c r="X68" t="str">
        <f>IFERROR(__xludf.DUMMYFUNCTION("""COMPUTED_VALUE"""),"Orientacion a los Resultados")</f>
        <v>Orientacion a los Resultados</v>
      </c>
      <c r="Y68" t="str">
        <f>IFERROR(__xludf.DUMMYFUNCTION("""COMPUTED_VALUE"""),"Capacidad de Planificacion y Organizacion")</f>
        <v>Capacidad de Planificacion y Organizacion</v>
      </c>
      <c r="AA68" s="38">
        <f>IFERROR(__xludf.DUMMYFUNCTION("""COMPUTED_VALUE"""),43719.0)</f>
        <v>43719</v>
      </c>
      <c r="AB68" s="38">
        <f>IFERROR(__xludf.DUMMYFUNCTION("""COMPUTED_VALUE"""),43730.0)</f>
        <v>43730</v>
      </c>
      <c r="AH68" t="str">
        <f>IFERROR(__xludf.DUMMYFUNCTION("""COMPUTED_VALUE"""),"PROCESO DE SELECCIÓN")</f>
        <v>PROCESO DE SELECCIÓN</v>
      </c>
      <c r="AI68" t="str">
        <f>IFERROR(__xludf.DUMMYFUNCTION("""COMPUTED_VALUE"""),"ZACARIAS ESPARZA SERGIO")</f>
        <v>ZACARIAS ESPARZA SERGIO</v>
      </c>
      <c r="AK68" t="str">
        <f>IFERROR(__xludf.DUMMYFUNCTION("""COMPUTED_VALUE"""),"E")</f>
        <v>E</v>
      </c>
      <c r="AL68">
        <f>IFERROR(__xludf.DUMMYFUNCTION("""COMPUTED_VALUE"""),11.0)</f>
        <v>11</v>
      </c>
      <c r="AM68">
        <f>IFERROR(__xludf.DUMMYFUNCTION("""COMPUTED_VALUE"""),2019.0)</f>
        <v>2019</v>
      </c>
    </row>
    <row r="69">
      <c r="A69">
        <f>IFERROR(__xludf.DUMMYFUNCTION("""COMPUTED_VALUE"""),1.4165767E7)</f>
        <v>14165767</v>
      </c>
      <c r="B69">
        <f>IFERROR(__xludf.DUMMYFUNCTION("""COMPUTED_VALUE"""),68.0)</f>
        <v>68</v>
      </c>
      <c r="C69" t="str">
        <f>IFERROR(__xludf.DUMMYFUNCTION("""COMPUTED_VALUE"""),"A372")</f>
        <v>A372</v>
      </c>
      <c r="D69" t="str">
        <f>IFERROR(__xludf.DUMMYFUNCTION("""COMPUTED_VALUE"""),"22")</f>
        <v>22</v>
      </c>
      <c r="E69" t="str">
        <f>IFERROR(__xludf.DUMMYFUNCTION("""COMPUTED_VALUE"""),"UNIDAD DE PROMOCION DE LA SALUD")</f>
        <v>UNIDAD DE PROMOCION DE LA SALUD</v>
      </c>
      <c r="F69" t="str">
        <f>IFERROR(__xludf.DUMMYFUNCTION("""COMPUTED_VALUE"""),"Secretario(a) B")</f>
        <v>Secretario(a) B</v>
      </c>
      <c r="G69" t="str">
        <f>IFERROR(__xludf.DUMMYFUNCTION("""COMPUTED_VALUE"""),"SECRETARIA B")</f>
        <v>SECRETARIA B</v>
      </c>
      <c r="H69">
        <f>IFERROR(__xludf.DUMMYFUNCTION("""COMPUTED_VALUE"""),17.0)</f>
        <v>17</v>
      </c>
      <c r="I69" t="str">
        <f>IFERROR(__xludf.DUMMYFUNCTION("""COMPUTED_VALUE"""),"Jornada Completa")</f>
        <v>Jornada Completa</v>
      </c>
      <c r="J69" t="str">
        <f>IFERROR(__xludf.DUMMYFUNCTION("""COMPUTED_VALUE"""),"A CONTRATA")</f>
        <v>A CONTRATA</v>
      </c>
      <c r="K69" t="str">
        <f>IFERROR(__xludf.DUMMYFUNCTION("""COMPUTED_VALUE"""),"ADMINISTRATIVO")</f>
        <v>ADMINISTRATIVO</v>
      </c>
      <c r="L69" t="str">
        <f>IFERROR(__xludf.DUMMYFUNCTION("""COMPUTED_VALUE"""),"INTERNO")</f>
        <v>INTERNO</v>
      </c>
      <c r="M69">
        <f>IFERROR(__xludf.DUMMYFUNCTION("""COMPUTED_VALUE"""),1.0)</f>
        <v>1</v>
      </c>
      <c r="N69" t="str">
        <f>IFERROR(__xludf.DUMMYFUNCTION("""COMPUTED_VALUE"""),"NO")</f>
        <v>NO</v>
      </c>
      <c r="P69">
        <f>IFERROR(__xludf.DUMMYFUNCTION("""COMPUTED_VALUE"""),1.0)</f>
        <v>1</v>
      </c>
      <c r="Q69">
        <f>IFERROR(__xludf.DUMMYFUNCTION("""COMPUTED_VALUE"""),0.0)</f>
        <v>0</v>
      </c>
      <c r="R69" s="45" t="str">
        <f>IFERROR(__xludf.DUMMYFUNCTION("""COMPUTED_VALUE"""),"SELECCIONADA")</f>
        <v>SELECCIONADA</v>
      </c>
      <c r="S69" s="38">
        <f>IFERROR(__xludf.DUMMYFUNCTION("""COMPUTED_VALUE"""),43740.0)</f>
        <v>43740</v>
      </c>
      <c r="T69" t="str">
        <f>IFERROR(__xludf.DUMMYFUNCTION("""COMPUTED_VALUE"""),"SANHUEZA AZUA INGRID MABEL")</f>
        <v>SANHUEZA AZUA INGRID MABEL</v>
      </c>
      <c r="V69" t="str">
        <f>IFERROR(__xludf.DUMMYFUNCTION("""COMPUTED_VALUE"""),"14165767-4")</f>
        <v>14165767-4</v>
      </c>
      <c r="W69" t="str">
        <f>IFERROR(__xludf.DUMMYFUNCTION("""COMPUTED_VALUE"""),"SI")</f>
        <v>SI</v>
      </c>
      <c r="X69" t="str">
        <f>IFERROR(__xludf.DUMMYFUNCTION("""COMPUTED_VALUE"""),"Trabajo en Equipo")</f>
        <v>Trabajo en Equipo</v>
      </c>
      <c r="Y69" t="str">
        <f>IFERROR(__xludf.DUMMYFUNCTION("""COMPUTED_VALUE"""),"Franqueza- Confiabilidad- Integridad")</f>
        <v>Franqueza- Confiabilidad- Integridad</v>
      </c>
      <c r="AA69" s="38">
        <f>IFERROR(__xludf.DUMMYFUNCTION("""COMPUTED_VALUE"""),43682.0)</f>
        <v>43682</v>
      </c>
      <c r="AB69" s="38">
        <f>IFERROR(__xludf.DUMMYFUNCTION("""COMPUTED_VALUE"""),43684.0)</f>
        <v>43684</v>
      </c>
      <c r="AH69" t="str">
        <f>IFERROR(__xludf.DUMMYFUNCTION("""COMPUTED_VALUE"""),"PROCESO DE SELECCIÓN")</f>
        <v>PROCESO DE SELECCIÓN</v>
      </c>
      <c r="AI69" t="str">
        <f>IFERROR(__xludf.DUMMYFUNCTION("""COMPUTED_VALUE"""),"VIDAL FUENZALIDA LUCIA")</f>
        <v>VIDAL FUENZALIDA LUCIA</v>
      </c>
      <c r="AK69" t="str">
        <f>IFERROR(__xludf.DUMMYFUNCTION("""COMPUTED_VALUE"""),"C")</f>
        <v>C</v>
      </c>
      <c r="AL69">
        <f>IFERROR(__xludf.DUMMYFUNCTION("""COMPUTED_VALUE"""),41.0)</f>
        <v>41</v>
      </c>
      <c r="AM69">
        <f>IFERROR(__xludf.DUMMYFUNCTION("""COMPUTED_VALUE"""),2019.0)</f>
        <v>2019</v>
      </c>
    </row>
    <row r="70">
      <c r="A70">
        <f>IFERROR(__xludf.DUMMYFUNCTION("""COMPUTED_VALUE"""),1.5410304E7)</f>
        <v>15410304</v>
      </c>
      <c r="B70">
        <f>IFERROR(__xludf.DUMMYFUNCTION("""COMPUTED_VALUE"""),70.0)</f>
        <v>70</v>
      </c>
      <c r="C70" t="str">
        <f>IFERROR(__xludf.DUMMYFUNCTION("""COMPUTED_VALUE"""),"A281")</f>
        <v>A281</v>
      </c>
      <c r="D70" t="str">
        <f>IFERROR(__xludf.DUMMYFUNCTION("""COMPUTED_VALUE"""),"3")</f>
        <v>3</v>
      </c>
      <c r="E70" t="str">
        <f>IFERROR(__xludf.DUMMYFUNCTION("""COMPUTED_VALUE"""),"DPTO. DE FINANZAS Y TESORERIA")</f>
        <v>DPTO. DE FINANZAS Y TESORERIA</v>
      </c>
      <c r="F70" t="str">
        <f>IFERROR(__xludf.DUMMYFUNCTION("""COMPUTED_VALUE"""),"Analista Contable II")</f>
        <v>Analista Contable II</v>
      </c>
      <c r="G70" t="str">
        <f>IFERROR(__xludf.DUMMYFUNCTION("""COMPUTED_VALUE"""),"ANALISTA CONTABLE II")</f>
        <v>ANALISTA CONTABLE II</v>
      </c>
      <c r="H70">
        <f>IFERROR(__xludf.DUMMYFUNCTION("""COMPUTED_VALUE"""),13.0)</f>
        <v>13</v>
      </c>
      <c r="I70" t="str">
        <f>IFERROR(__xludf.DUMMYFUNCTION("""COMPUTED_VALUE"""),"Jornada Completa")</f>
        <v>Jornada Completa</v>
      </c>
      <c r="J70" t="str">
        <f>IFERROR(__xludf.DUMMYFUNCTION("""COMPUTED_VALUE"""),"A CONTRATA")</f>
        <v>A CONTRATA</v>
      </c>
      <c r="K70" t="str">
        <f>IFERROR(__xludf.DUMMYFUNCTION("""COMPUTED_VALUE"""),"PROFESIONAL")</f>
        <v>PROFESIONAL</v>
      </c>
      <c r="L70" t="str">
        <f>IFERROR(__xludf.DUMMYFUNCTION("""COMPUTED_VALUE"""),"INTERNO")</f>
        <v>INTERNO</v>
      </c>
      <c r="N70" t="str">
        <f>IFERROR(__xludf.DUMMYFUNCTION("""COMPUTED_VALUE"""),"EXTERNO")</f>
        <v>EXTERNO</v>
      </c>
      <c r="O70">
        <f>IFERROR(__xludf.DUMMYFUNCTION("""COMPUTED_VALUE"""),22.0)</f>
        <v>22</v>
      </c>
      <c r="P70">
        <f>IFERROR(__xludf.DUMMYFUNCTION("""COMPUTED_VALUE"""),2.0)</f>
        <v>2</v>
      </c>
      <c r="Q70">
        <f>IFERROR(__xludf.DUMMYFUNCTION("""COMPUTED_VALUE"""),1.0)</f>
        <v>1</v>
      </c>
      <c r="R70" s="45" t="str">
        <f>IFERROR(__xludf.DUMMYFUNCTION("""COMPUTED_VALUE"""),"SELECCIONADA")</f>
        <v>SELECCIONADA</v>
      </c>
      <c r="S70" s="38">
        <f>IFERROR(__xludf.DUMMYFUNCTION("""COMPUTED_VALUE"""),43748.0)</f>
        <v>43748</v>
      </c>
      <c r="U70" t="str">
        <f>IFERROR(__xludf.DUMMYFUNCTION("""COMPUTED_VALUE"""),"GONZALEZ CATALAN FANNY")</f>
        <v>GONZALEZ CATALAN FANNY</v>
      </c>
      <c r="V70" t="str">
        <f>IFERROR(__xludf.DUMMYFUNCTION("""COMPUTED_VALUE"""),"15410304-K")</f>
        <v>15410304-K</v>
      </c>
      <c r="W70" t="str">
        <f>IFERROR(__xludf.DUMMYFUNCTION("""COMPUTED_VALUE"""),"NO")</f>
        <v>NO</v>
      </c>
      <c r="AA70" s="38">
        <f>IFERROR(__xludf.DUMMYFUNCTION("""COMPUTED_VALUE"""),43696.0)</f>
        <v>43696</v>
      </c>
      <c r="AB70" s="38">
        <f>IFERROR(__xludf.DUMMYFUNCTION("""COMPUTED_VALUE"""),43703.0)</f>
        <v>43703</v>
      </c>
      <c r="AH70" t="str">
        <f>IFERROR(__xludf.DUMMYFUNCTION("""COMPUTED_VALUE"""),"PROCESO DE SELECCIÓN")</f>
        <v>PROCESO DE SELECCIÓN</v>
      </c>
      <c r="AI70" t="str">
        <f>IFERROR(__xludf.DUMMYFUNCTION("""COMPUTED_VALUE"""),"SAAVEDRA DONOSO CRISTIAN")</f>
        <v>SAAVEDRA DONOSO CRISTIAN</v>
      </c>
      <c r="AK70" t="str">
        <f>IFERROR(__xludf.DUMMYFUNCTION("""COMPUTED_VALUE"""),"E")</f>
        <v>E</v>
      </c>
      <c r="AL70">
        <f>IFERROR(__xludf.DUMMYFUNCTION("""COMPUTED_VALUE"""),34.0)</f>
        <v>34</v>
      </c>
      <c r="AM70">
        <f>IFERROR(__xludf.DUMMYFUNCTION("""COMPUTED_VALUE"""),2019.0)</f>
        <v>2019</v>
      </c>
    </row>
    <row r="71">
      <c r="A71">
        <f>IFERROR(__xludf.DUMMYFUNCTION("""COMPUTED_VALUE"""),1.8278977E7)</f>
        <v>18278977</v>
      </c>
      <c r="B71">
        <f>IFERROR(__xludf.DUMMYFUNCTION("""COMPUTED_VALUE"""),71.0)</f>
        <v>71</v>
      </c>
      <c r="C71" t="str">
        <f>IFERROR(__xludf.DUMMYFUNCTION("""COMPUTED_VALUE"""),"A293")</f>
        <v>A293</v>
      </c>
      <c r="D71" t="str">
        <f>IFERROR(__xludf.DUMMYFUNCTION("""COMPUTED_VALUE"""),"55")</f>
        <v>55</v>
      </c>
      <c r="E71" t="str">
        <f>IFERROR(__xludf.DUMMYFUNCTION("""COMPUTED_VALUE"""),"ESCUELA DE PSICOLOGIA")</f>
        <v>ESCUELA DE PSICOLOGIA</v>
      </c>
      <c r="F71" t="str">
        <f>IFERROR(__xludf.DUMMYFUNCTION("""COMPUTED_VALUE"""),"Secretario(a) C")</f>
        <v>Secretario(a) C</v>
      </c>
      <c r="G71" t="str">
        <f>IFERROR(__xludf.DUMMYFUNCTION("""COMPUTED_VALUE"""),"SECRETARIA C ")</f>
        <v>SECRETARIA C </v>
      </c>
      <c r="H71">
        <f>IFERROR(__xludf.DUMMYFUNCTION("""COMPUTED_VALUE"""),17.0)</f>
        <v>17</v>
      </c>
      <c r="I71" t="str">
        <f>IFERROR(__xludf.DUMMYFUNCTION("""COMPUTED_VALUE"""),"Jornada Completa")</f>
        <v>Jornada Completa</v>
      </c>
      <c r="J71" t="str">
        <f>IFERROR(__xludf.DUMMYFUNCTION("""COMPUTED_VALUE"""),"A CONTRATA")</f>
        <v>A CONTRATA</v>
      </c>
      <c r="K71" t="str">
        <f>IFERROR(__xludf.DUMMYFUNCTION("""COMPUTED_VALUE"""),"ADMINISTRATIVO")</f>
        <v>ADMINISTRATIVO</v>
      </c>
      <c r="L71" t="str">
        <f>IFERROR(__xludf.DUMMYFUNCTION("""COMPUTED_VALUE"""),"INTERNO")</f>
        <v>INTERNO</v>
      </c>
      <c r="M71">
        <f>IFERROR(__xludf.DUMMYFUNCTION("""COMPUTED_VALUE"""),1.0)</f>
        <v>1</v>
      </c>
      <c r="N71" t="str">
        <f>IFERROR(__xludf.DUMMYFUNCTION("""COMPUTED_VALUE"""),"NO")</f>
        <v>NO</v>
      </c>
      <c r="O71">
        <f>IFERROR(__xludf.DUMMYFUNCTION("""COMPUTED_VALUE"""),1.0)</f>
        <v>1</v>
      </c>
      <c r="P71">
        <f>IFERROR(__xludf.DUMMYFUNCTION("""COMPUTED_VALUE"""),1.0)</f>
        <v>1</v>
      </c>
      <c r="Q71">
        <f>IFERROR(__xludf.DUMMYFUNCTION("""COMPUTED_VALUE"""),0.0)</f>
        <v>0</v>
      </c>
      <c r="R71" s="45" t="str">
        <f>IFERROR(__xludf.DUMMYFUNCTION("""COMPUTED_VALUE"""),"SELECCIONADA")</f>
        <v>SELECCIONADA</v>
      </c>
      <c r="S71" s="38">
        <f>IFERROR(__xludf.DUMMYFUNCTION("""COMPUTED_VALUE"""),43754.0)</f>
        <v>43754</v>
      </c>
      <c r="T71" t="str">
        <f>IFERROR(__xludf.DUMMYFUNCTION("""COMPUTED_VALUE"""),"MENDOZA GUIDOTTI YEAN MARY")</f>
        <v>MENDOZA GUIDOTTI YEAN MARY</v>
      </c>
      <c r="V71" t="str">
        <f>IFERROR(__xludf.DUMMYFUNCTION("""COMPUTED_VALUE"""),"18278977-1")</f>
        <v>18278977-1</v>
      </c>
      <c r="W71" t="str">
        <f>IFERROR(__xludf.DUMMYFUNCTION("""COMPUTED_VALUE"""),"NO")</f>
        <v>NO</v>
      </c>
      <c r="AA71" s="38">
        <f>IFERROR(__xludf.DUMMYFUNCTION("""COMPUTED_VALUE"""),43715.0)</f>
        <v>43715</v>
      </c>
      <c r="AB71" s="38">
        <f>IFERROR(__xludf.DUMMYFUNCTION("""COMPUTED_VALUE"""),43717.0)</f>
        <v>43717</v>
      </c>
      <c r="AH71" t="str">
        <f>IFERROR(__xludf.DUMMYFUNCTION("""COMPUTED_VALUE"""),"PROCESO DE SELECCIÓN")</f>
        <v>PROCESO DE SELECCIÓN</v>
      </c>
      <c r="AI71" t="str">
        <f>IFERROR(__xludf.DUMMYFUNCTION("""COMPUTED_VALUE"""),"FUENTEALBA PAREDES IVONNE")</f>
        <v>FUENTEALBA PAREDES IVONNE</v>
      </c>
      <c r="AK71" t="str">
        <f>IFERROR(__xludf.DUMMYFUNCTION("""COMPUTED_VALUE"""),"C")</f>
        <v>C</v>
      </c>
      <c r="AL71">
        <f>IFERROR(__xludf.DUMMYFUNCTION("""COMPUTED_VALUE"""),28.0)</f>
        <v>28</v>
      </c>
      <c r="AM71">
        <f>IFERROR(__xludf.DUMMYFUNCTION("""COMPUTED_VALUE"""),2019.0)</f>
        <v>2019</v>
      </c>
    </row>
    <row r="72">
      <c r="A72">
        <f>IFERROR(__xludf.DUMMYFUNCTION("""COMPUTED_VALUE"""),1.116727E7)</f>
        <v>11167270</v>
      </c>
      <c r="B72">
        <f>IFERROR(__xludf.DUMMYFUNCTION("""COMPUTED_VALUE"""),72.0)</f>
        <v>72</v>
      </c>
      <c r="C72" t="str">
        <f>IFERROR(__xludf.DUMMYFUNCTION("""COMPUTED_VALUE"""),"A366")</f>
        <v>A366</v>
      </c>
      <c r="D72" t="str">
        <f>IFERROR(__xludf.DUMMYFUNCTION("""COMPUTED_VALUE"""),"110")</f>
        <v>110</v>
      </c>
      <c r="E72" t="str">
        <f>IFERROR(__xludf.DUMMYFUNCTION("""COMPUTED_VALUE"""),"VR. DE POSTGRADO")</f>
        <v>VR. DE POSTGRADO</v>
      </c>
      <c r="F72" t="str">
        <f>IFERROR(__xludf.DUMMYFUNCTION("""COMPUTED_VALUE"""),"Mayordomo(a)")</f>
        <v>Mayordomo(a)</v>
      </c>
      <c r="G72" t="str">
        <f>IFERROR(__xludf.DUMMYFUNCTION("""COMPUTED_VALUE"""),"MAYORDOMO")</f>
        <v>MAYORDOMO</v>
      </c>
      <c r="H72">
        <f>IFERROR(__xludf.DUMMYFUNCTION("""COMPUTED_VALUE"""),21.0)</f>
        <v>21</v>
      </c>
      <c r="I72" t="str">
        <f>IFERROR(__xludf.DUMMYFUNCTION("""COMPUTED_VALUE"""),"Jornada Completa")</f>
        <v>Jornada Completa</v>
      </c>
      <c r="J72" t="str">
        <f>IFERROR(__xludf.DUMMYFUNCTION("""COMPUTED_VALUE"""),"A CONTRATA")</f>
        <v>A CONTRATA</v>
      </c>
      <c r="K72" t="str">
        <f>IFERROR(__xludf.DUMMYFUNCTION("""COMPUTED_VALUE"""),"AUXILIAR")</f>
        <v>AUXILIAR</v>
      </c>
      <c r="L72" t="str">
        <f>IFERROR(__xludf.DUMMYFUNCTION("""COMPUTED_VALUE"""),"INTERNO")</f>
        <v>INTERNO</v>
      </c>
      <c r="M72">
        <f>IFERROR(__xludf.DUMMYFUNCTION("""COMPUTED_VALUE"""),3.0)</f>
        <v>3</v>
      </c>
      <c r="N72" t="str">
        <f>IFERROR(__xludf.DUMMYFUNCTION("""COMPUTED_VALUE"""),"NO")</f>
        <v>NO</v>
      </c>
      <c r="P72">
        <f>IFERROR(__xludf.DUMMYFUNCTION("""COMPUTED_VALUE"""),2.0)</f>
        <v>2</v>
      </c>
      <c r="Q72">
        <f>IFERROR(__xludf.DUMMYFUNCTION("""COMPUTED_VALUE"""),0.0)</f>
        <v>0</v>
      </c>
      <c r="R72" s="45" t="str">
        <f>IFERROR(__xludf.DUMMYFUNCTION("""COMPUTED_VALUE"""),"SELECCIONADO")</f>
        <v>SELECCIONADO</v>
      </c>
      <c r="S72" s="38">
        <f>IFERROR(__xludf.DUMMYFUNCTION("""COMPUTED_VALUE"""),43754.0)</f>
        <v>43754</v>
      </c>
      <c r="T72" t="str">
        <f>IFERROR(__xludf.DUMMYFUNCTION("""COMPUTED_VALUE"""),"PEREZ HERRERA DOMINGO ELIECER")</f>
        <v>PEREZ HERRERA DOMINGO ELIECER</v>
      </c>
      <c r="V72" t="str">
        <f>IFERROR(__xludf.DUMMYFUNCTION("""COMPUTED_VALUE"""),"11167270-9")</f>
        <v>11167270-9</v>
      </c>
      <c r="W72" t="str">
        <f>IFERROR(__xludf.DUMMYFUNCTION("""COMPUTED_VALUE"""),"SI")</f>
        <v>SI</v>
      </c>
      <c r="X72" t="str">
        <f>IFERROR(__xludf.DUMMYFUNCTION("""COMPUTED_VALUE"""),"Trabajo en Equipo")</f>
        <v>Trabajo en Equipo</v>
      </c>
      <c r="AA72" s="38">
        <f>IFERROR(__xludf.DUMMYFUNCTION("""COMPUTED_VALUE"""),43663.0)</f>
        <v>43663</v>
      </c>
      <c r="AB72" s="38">
        <f>IFERROR(__xludf.DUMMYFUNCTION("""COMPUTED_VALUE"""),43670.0)</f>
        <v>43670</v>
      </c>
      <c r="AH72" t="str">
        <f>IFERROR(__xludf.DUMMYFUNCTION("""COMPUTED_VALUE"""),"PROCESO DE SELECCIÓN")</f>
        <v>PROCESO DE SELECCIÓN</v>
      </c>
      <c r="AI72" t="str">
        <f>IFERROR(__xludf.DUMMYFUNCTION("""COMPUTED_VALUE"""),"CONTRERAS GONZALEZ LUIS")</f>
        <v>CONTRERAS GONZALEZ LUIS</v>
      </c>
      <c r="AK72" t="str">
        <f>IFERROR(__xludf.DUMMYFUNCTION("""COMPUTED_VALUE"""),"C")</f>
        <v>C</v>
      </c>
      <c r="AL72">
        <f>IFERROR(__xludf.DUMMYFUNCTION("""COMPUTED_VALUE"""),61.0)</f>
        <v>61</v>
      </c>
      <c r="AM72">
        <f>IFERROR(__xludf.DUMMYFUNCTION("""COMPUTED_VALUE"""),2019.0)</f>
        <v>2019</v>
      </c>
    </row>
    <row r="73">
      <c r="A73">
        <f>IFERROR(__xludf.DUMMYFUNCTION("""COMPUTED_VALUE"""),1.1047452E7)</f>
        <v>11047452</v>
      </c>
      <c r="B73">
        <f>IFERROR(__xludf.DUMMYFUNCTION("""COMPUTED_VALUE"""),73.0)</f>
        <v>73</v>
      </c>
      <c r="C73" t="str">
        <f>IFERROR(__xludf.DUMMYFUNCTION("""COMPUTED_VALUE"""),"A393")</f>
        <v>A393</v>
      </c>
      <c r="D73" t="str">
        <f>IFERROR(__xludf.DUMMYFUNCTION("""COMPUTED_VALUE"""),"3")</f>
        <v>3</v>
      </c>
      <c r="E73" t="str">
        <f>IFERROR(__xludf.DUMMYFUNCTION("""COMPUTED_VALUE"""),"UNIDAD DE COORDINACION INSTIT.")</f>
        <v>UNIDAD DE COORDINACION INSTIT.</v>
      </c>
      <c r="F73" t="str">
        <f>IFERROR(__xludf.DUMMYFUNCTION("""COMPUTED_VALUE"""),"Administrativo(a) de Proceso")</f>
        <v>Administrativo(a) de Proceso</v>
      </c>
      <c r="G73" t="str">
        <f>IFERROR(__xludf.DUMMYFUNCTION("""COMPUTED_VALUE"""),"ADMINISTRATIVA DE PROCESO")</f>
        <v>ADMINISTRATIVA DE PROCESO</v>
      </c>
      <c r="H73">
        <f>IFERROR(__xludf.DUMMYFUNCTION("""COMPUTED_VALUE"""),16.0)</f>
        <v>16</v>
      </c>
      <c r="I73" t="str">
        <f>IFERROR(__xludf.DUMMYFUNCTION("""COMPUTED_VALUE"""),"Jornada Completa")</f>
        <v>Jornada Completa</v>
      </c>
      <c r="J73" t="str">
        <f>IFERROR(__xludf.DUMMYFUNCTION("""COMPUTED_VALUE"""),"A CONTRATA")</f>
        <v>A CONTRATA</v>
      </c>
      <c r="K73" t="str">
        <f>IFERROR(__xludf.DUMMYFUNCTION("""COMPUTED_VALUE"""),"ADMINISTRATIVO")</f>
        <v>ADMINISTRATIVO</v>
      </c>
      <c r="L73" t="str">
        <f>IFERROR(__xludf.DUMMYFUNCTION("""COMPUTED_VALUE"""),"INTERNO")</f>
        <v>INTERNO</v>
      </c>
      <c r="M73">
        <f>IFERROR(__xludf.DUMMYFUNCTION("""COMPUTED_VALUE"""),6.0)</f>
        <v>6</v>
      </c>
      <c r="N73" t="str">
        <f>IFERROR(__xludf.DUMMYFUNCTION("""COMPUTED_VALUE"""),"NO")</f>
        <v>NO</v>
      </c>
      <c r="P73">
        <f>IFERROR(__xludf.DUMMYFUNCTION("""COMPUTED_VALUE"""),3.0)</f>
        <v>3</v>
      </c>
      <c r="Q73">
        <f>IFERROR(__xludf.DUMMYFUNCTION("""COMPUTED_VALUE"""),0.0)</f>
        <v>0</v>
      </c>
      <c r="R73" s="45" t="str">
        <f>IFERROR(__xludf.DUMMYFUNCTION("""COMPUTED_VALUE"""),"SELECCIONADA")</f>
        <v>SELECCIONADA</v>
      </c>
      <c r="S73" s="38">
        <f>IFERROR(__xludf.DUMMYFUNCTION("""COMPUTED_VALUE"""),43755.0)</f>
        <v>43755</v>
      </c>
      <c r="T73" t="str">
        <f>IFERROR(__xludf.DUMMYFUNCTION("""COMPUTED_VALUE"""),"ARREDONDO RIVERA SANDRA ORIANA")</f>
        <v>ARREDONDO RIVERA SANDRA ORIANA</v>
      </c>
      <c r="V73" t="str">
        <f>IFERROR(__xludf.DUMMYFUNCTION("""COMPUTED_VALUE"""),"11047452-0")</f>
        <v>11047452-0</v>
      </c>
      <c r="W73" t="str">
        <f>IFERROR(__xludf.DUMMYFUNCTION("""COMPUTED_VALUE"""),"SI")</f>
        <v>SI</v>
      </c>
      <c r="X73" t="str">
        <f>IFERROR(__xludf.DUMMYFUNCTION("""COMPUTED_VALUE"""),"Trabajo en Equipo")</f>
        <v>Trabajo en Equipo</v>
      </c>
      <c r="Y73" t="str">
        <f>IFERROR(__xludf.DUMMYFUNCTION("""COMPUTED_VALUE"""),"Orientacion a los Resultados")</f>
        <v>Orientacion a los Resultados</v>
      </c>
      <c r="AA73" s="38">
        <f>IFERROR(__xludf.DUMMYFUNCTION("""COMPUTED_VALUE"""),43672.0)</f>
        <v>43672</v>
      </c>
      <c r="AB73" s="38">
        <f>IFERROR(__xludf.DUMMYFUNCTION("""COMPUTED_VALUE"""),43679.0)</f>
        <v>43679</v>
      </c>
      <c r="AH73" t="str">
        <f>IFERROR(__xludf.DUMMYFUNCTION("""COMPUTED_VALUE"""),"PROCESO DE SELECCIÓN")</f>
        <v>PROCESO DE SELECCIÓN</v>
      </c>
      <c r="AI73" t="str">
        <f>IFERROR(__xludf.DUMMYFUNCTION("""COMPUTED_VALUE"""),"-")</f>
        <v>-</v>
      </c>
      <c r="AK73" t="str">
        <f>IFERROR(__xludf.DUMMYFUNCTION("""COMPUTED_VALUE"""),"C")</f>
        <v>C</v>
      </c>
      <c r="AL73">
        <f>IFERROR(__xludf.DUMMYFUNCTION("""COMPUTED_VALUE"""),55.0)</f>
        <v>55</v>
      </c>
      <c r="AM73">
        <f>IFERROR(__xludf.DUMMYFUNCTION("""COMPUTED_VALUE"""),2019.0)</f>
        <v>2019</v>
      </c>
    </row>
    <row r="74">
      <c r="A74">
        <f>IFERROR(__xludf.DUMMYFUNCTION("""COMPUTED_VALUE"""),1.8118813E7)</f>
        <v>18118813</v>
      </c>
      <c r="B74">
        <f>IFERROR(__xludf.DUMMYFUNCTION("""COMPUTED_VALUE"""),74.0)</f>
        <v>74</v>
      </c>
      <c r="C74" t="str">
        <f>IFERROR(__xludf.DUMMYFUNCTION("""COMPUTED_VALUE"""),"A394")</f>
        <v>A394</v>
      </c>
      <c r="D74" t="str">
        <f>IFERROR(__xludf.DUMMYFUNCTION("""COMPUTED_VALUE"""),"3")</f>
        <v>3</v>
      </c>
      <c r="E74" t="str">
        <f>IFERROR(__xludf.DUMMYFUNCTION("""COMPUTED_VALUE"""),"UNIDAD DE COORDINACION INSTIT.")</f>
        <v>UNIDAD DE COORDINACION INSTIT.</v>
      </c>
      <c r="F74" t="str">
        <f>IFERROR(__xludf.DUMMYFUNCTION("""COMPUTED_VALUE"""),"Administrativo(a) de Proceso")</f>
        <v>Administrativo(a) de Proceso</v>
      </c>
      <c r="G74" t="str">
        <f>IFERROR(__xludf.DUMMYFUNCTION("""COMPUTED_VALUE"""),"ADMINISTRATIVA DE PROCESO")</f>
        <v>ADMINISTRATIVA DE PROCESO</v>
      </c>
      <c r="H74">
        <f>IFERROR(__xludf.DUMMYFUNCTION("""COMPUTED_VALUE"""),15.0)</f>
        <v>15</v>
      </c>
      <c r="I74" t="str">
        <f>IFERROR(__xludf.DUMMYFUNCTION("""COMPUTED_VALUE"""),"Jornada Completa")</f>
        <v>Jornada Completa</v>
      </c>
      <c r="J74" t="str">
        <f>IFERROR(__xludf.DUMMYFUNCTION("""COMPUTED_VALUE"""),"A CONTRATA")</f>
        <v>A CONTRATA</v>
      </c>
      <c r="K74" t="str">
        <f>IFERROR(__xludf.DUMMYFUNCTION("""COMPUTED_VALUE"""),"ADMINISTRATIVO")</f>
        <v>ADMINISTRATIVO</v>
      </c>
      <c r="L74" t="str">
        <f>IFERROR(__xludf.DUMMYFUNCTION("""COMPUTED_VALUE"""),"INTERNO")</f>
        <v>INTERNO</v>
      </c>
      <c r="M74">
        <f>IFERROR(__xludf.DUMMYFUNCTION("""COMPUTED_VALUE"""),6.0)</f>
        <v>6</v>
      </c>
      <c r="N74" t="str">
        <f>IFERROR(__xludf.DUMMYFUNCTION("""COMPUTED_VALUE"""),"NO")</f>
        <v>NO</v>
      </c>
      <c r="P74">
        <f>IFERROR(__xludf.DUMMYFUNCTION("""COMPUTED_VALUE"""),3.0)</f>
        <v>3</v>
      </c>
      <c r="Q74">
        <f>IFERROR(__xludf.DUMMYFUNCTION("""COMPUTED_VALUE"""),0.0)</f>
        <v>0</v>
      </c>
      <c r="R74" s="45" t="str">
        <f>IFERROR(__xludf.DUMMYFUNCTION("""COMPUTED_VALUE"""),"SELECCIONADA")</f>
        <v>SELECCIONADA</v>
      </c>
      <c r="S74" s="38">
        <f>IFERROR(__xludf.DUMMYFUNCTION("""COMPUTED_VALUE"""),43773.0)</f>
        <v>43773</v>
      </c>
      <c r="T74" t="str">
        <f>IFERROR(__xludf.DUMMYFUNCTION("""COMPUTED_VALUE"""),"HERNANDEZ CATRILAO ANGELA DEL PILAR")</f>
        <v>HERNANDEZ CATRILAO ANGELA DEL PILAR</v>
      </c>
      <c r="V74" t="str">
        <f>IFERROR(__xludf.DUMMYFUNCTION("""COMPUTED_VALUE"""),"18118813-8")</f>
        <v>18118813-8</v>
      </c>
      <c r="W74" t="str">
        <f>IFERROR(__xludf.DUMMYFUNCTION("""COMPUTED_VALUE"""),"SI")</f>
        <v>SI</v>
      </c>
      <c r="X74" t="str">
        <f>IFERROR(__xludf.DUMMYFUNCTION("""COMPUTED_VALUE"""),"Trabajo en Equipo")</f>
        <v>Trabajo en Equipo</v>
      </c>
      <c r="AA74" s="38">
        <f>IFERROR(__xludf.DUMMYFUNCTION("""COMPUTED_VALUE"""),43672.0)</f>
        <v>43672</v>
      </c>
      <c r="AB74" s="38">
        <f>IFERROR(__xludf.DUMMYFUNCTION("""COMPUTED_VALUE"""),43679.0)</f>
        <v>43679</v>
      </c>
      <c r="AH74" t="str">
        <f>IFERROR(__xludf.DUMMYFUNCTION("""COMPUTED_VALUE"""),"PROCESO DE SELECCIÓN")</f>
        <v>PROCESO DE SELECCIÓN</v>
      </c>
      <c r="AI74" t="str">
        <f>IFERROR(__xludf.DUMMYFUNCTION("""COMPUTED_VALUE"""),"-")</f>
        <v>-</v>
      </c>
      <c r="AK74" t="str">
        <f>IFERROR(__xludf.DUMMYFUNCTION("""COMPUTED_VALUE"""),"C")</f>
        <v>C</v>
      </c>
      <c r="AL74">
        <f>IFERROR(__xludf.DUMMYFUNCTION("""COMPUTED_VALUE"""),67.0)</f>
        <v>67</v>
      </c>
      <c r="AM74">
        <f>IFERROR(__xludf.DUMMYFUNCTION("""COMPUTED_VALUE"""),2019.0)</f>
        <v>2019</v>
      </c>
    </row>
    <row r="75">
      <c r="A75">
        <f>IFERROR(__xludf.DUMMYFUNCTION("""COMPUTED_VALUE"""),1.5639128E7)</f>
        <v>15639128</v>
      </c>
      <c r="B75">
        <f>IFERROR(__xludf.DUMMYFUNCTION("""COMPUTED_VALUE"""),75.0)</f>
        <v>75</v>
      </c>
      <c r="C75" t="str">
        <f>IFERROR(__xludf.DUMMYFUNCTION("""COMPUTED_VALUE"""),"A386")</f>
        <v>A386</v>
      </c>
      <c r="D75" t="str">
        <f>IFERROR(__xludf.DUMMYFUNCTION("""COMPUTED_VALUE"""),"3")</f>
        <v>3</v>
      </c>
      <c r="E75" t="str">
        <f>IFERROR(__xludf.DUMMYFUNCTION("""COMPUTED_VALUE"""),"UNIDAD DE GESTION DEL CAMPUS")</f>
        <v>UNIDAD DE GESTION DEL CAMPUS</v>
      </c>
      <c r="F75" t="str">
        <f>IFERROR(__xludf.DUMMYFUNCTION("""COMPUTED_VALUE"""),"Jefe(a) de Oficina")</f>
        <v>Jefe(a) de Oficina</v>
      </c>
      <c r="G75" t="str">
        <f>IFERROR(__xludf.DUMMYFUNCTION("""COMPUTED_VALUE"""),"JEFA DE OFICINA ( VIGILANCIA)")</f>
        <v>JEFA DE OFICINA ( VIGILANCIA)</v>
      </c>
      <c r="H75">
        <f>IFERROR(__xludf.DUMMYFUNCTION("""COMPUTED_VALUE"""),10.0)</f>
        <v>10</v>
      </c>
      <c r="I75" t="str">
        <f>IFERROR(__xludf.DUMMYFUNCTION("""COMPUTED_VALUE"""),"Jornada Completa")</f>
        <v>Jornada Completa</v>
      </c>
      <c r="J75" t="str">
        <f>IFERROR(__xludf.DUMMYFUNCTION("""COMPUTED_VALUE"""),"A CONTRATA")</f>
        <v>A CONTRATA</v>
      </c>
      <c r="K75" t="str">
        <f>IFERROR(__xludf.DUMMYFUNCTION("""COMPUTED_VALUE"""),"ADMINISTRATIVO")</f>
        <v>ADMINISTRATIVO</v>
      </c>
      <c r="L75" t="str">
        <f>IFERROR(__xludf.DUMMYFUNCTION("""COMPUTED_VALUE"""),"INTERNO")</f>
        <v>INTERNO</v>
      </c>
      <c r="M75">
        <f>IFERROR(__xludf.DUMMYFUNCTION("""COMPUTED_VALUE"""),6.0)</f>
        <v>6</v>
      </c>
      <c r="N75" t="str">
        <f>IFERROR(__xludf.DUMMYFUNCTION("""COMPUTED_VALUE"""),"NO")</f>
        <v>NO</v>
      </c>
      <c r="P75">
        <f>IFERROR(__xludf.DUMMYFUNCTION("""COMPUTED_VALUE"""),3.0)</f>
        <v>3</v>
      </c>
      <c r="Q75">
        <f>IFERROR(__xludf.DUMMYFUNCTION("""COMPUTED_VALUE"""),0.0)</f>
        <v>0</v>
      </c>
      <c r="R75" s="45" t="str">
        <f>IFERROR(__xludf.DUMMYFUNCTION("""COMPUTED_VALUE"""),"SELECCIONADA")</f>
        <v>SELECCIONADA</v>
      </c>
      <c r="S75" s="38">
        <f>IFERROR(__xludf.DUMMYFUNCTION("""COMPUTED_VALUE"""),43781.0)</f>
        <v>43781</v>
      </c>
      <c r="T75" t="str">
        <f>IFERROR(__xludf.DUMMYFUNCTION("""COMPUTED_VALUE"""),"MIRANDA MIRANDA MYRTHA CAROLINA")</f>
        <v>MIRANDA MIRANDA MYRTHA CAROLINA</v>
      </c>
      <c r="V75" t="str">
        <f>IFERROR(__xludf.DUMMYFUNCTION("""COMPUTED_VALUE"""),"15639128-K")</f>
        <v>15639128-K</v>
      </c>
      <c r="W75" t="str">
        <f>IFERROR(__xludf.DUMMYFUNCTION("""COMPUTED_VALUE"""),"SI")</f>
        <v>SI</v>
      </c>
      <c r="X75" t="str">
        <f>IFERROR(__xludf.DUMMYFUNCTION("""COMPUTED_VALUE"""),"Tolerancia a la presion")</f>
        <v>Tolerancia a la presion</v>
      </c>
      <c r="AA75" s="38">
        <f>IFERROR(__xludf.DUMMYFUNCTION("""COMPUTED_VALUE"""),43698.0)</f>
        <v>43698</v>
      </c>
      <c r="AB75" s="38">
        <f>IFERROR(__xludf.DUMMYFUNCTION("""COMPUTED_VALUE"""),43705.0)</f>
        <v>43705</v>
      </c>
      <c r="AH75" t="str">
        <f>IFERROR(__xludf.DUMMYFUNCTION("""COMPUTED_VALUE"""),"PROCESO DE SELECCIÓN")</f>
        <v>PROCESO DE SELECCIÓN</v>
      </c>
      <c r="AI75" t="str">
        <f>IFERROR(__xludf.DUMMYFUNCTION("""COMPUTED_VALUE"""),"RODRIGUEZ COLLIO VICTOR")</f>
        <v>RODRIGUEZ COLLIO VICTOR</v>
      </c>
      <c r="AK75" t="str">
        <f>IFERROR(__xludf.DUMMYFUNCTION("""COMPUTED_VALUE"""),"C")</f>
        <v>C</v>
      </c>
      <c r="AL75">
        <f>IFERROR(__xludf.DUMMYFUNCTION("""COMPUTED_VALUE"""),55.0)</f>
        <v>55</v>
      </c>
      <c r="AM75">
        <f>IFERROR(__xludf.DUMMYFUNCTION("""COMPUTED_VALUE"""),2019.0)</f>
        <v>2019</v>
      </c>
    </row>
    <row r="76">
      <c r="A76">
        <f>IFERROR(__xludf.DUMMYFUNCTION("""COMPUTED_VALUE"""),1.2523432E7)</f>
        <v>12523432</v>
      </c>
      <c r="B76">
        <f>IFERROR(__xludf.DUMMYFUNCTION("""COMPUTED_VALUE"""),76.0)</f>
        <v>76</v>
      </c>
      <c r="C76" t="str">
        <f>IFERROR(__xludf.DUMMYFUNCTION("""COMPUTED_VALUE"""),"ACTA2019-20")</f>
        <v>ACTA2019-20</v>
      </c>
      <c r="D76" t="str">
        <f>IFERROR(__xludf.DUMMYFUNCTION("""COMPUTED_VALUE"""),"60")</f>
        <v>60</v>
      </c>
      <c r="E76" t="str">
        <f>IFERROR(__xludf.DUMMYFUNCTION("""COMPUTED_VALUE"""),"FACULTAD DE ADMINIST Y ECONOMI")</f>
        <v>FACULTAD DE ADMINIST Y ECONOMI</v>
      </c>
      <c r="F76" t="str">
        <f>IFERROR(__xludf.DUMMYFUNCTION("""COMPUTED_VALUE"""),"Analista de Gestión Administrativa")</f>
        <v>Analista de Gestión Administrativa</v>
      </c>
      <c r="G76" t="str">
        <f>IFERROR(__xludf.DUMMYFUNCTION("""COMPUTED_VALUE"""),"ANALISTA DE GESTION ADMINISTRATIVA")</f>
        <v>ANALISTA DE GESTION ADMINISTRATIVA</v>
      </c>
      <c r="H76">
        <f>IFERROR(__xludf.DUMMYFUNCTION("""COMPUTED_VALUE"""),14.0)</f>
        <v>14</v>
      </c>
      <c r="I76" t="str">
        <f>IFERROR(__xludf.DUMMYFUNCTION("""COMPUTED_VALUE"""),"Jornada Completa")</f>
        <v>Jornada Completa</v>
      </c>
      <c r="J76" t="str">
        <f>IFERROR(__xludf.DUMMYFUNCTION("""COMPUTED_VALUE"""),"A CONTRATA")</f>
        <v>A CONTRATA</v>
      </c>
      <c r="K76" t="str">
        <f>IFERROR(__xludf.DUMMYFUNCTION("""COMPUTED_VALUE"""),"PROFESIONAL")</f>
        <v>PROFESIONAL</v>
      </c>
      <c r="L76" t="str">
        <f>IFERROR(__xludf.DUMMYFUNCTION("""COMPUTED_VALUE"""),"INTERNO")</f>
        <v>INTERNO</v>
      </c>
      <c r="M76">
        <f>IFERROR(__xludf.DUMMYFUNCTION("""COMPUTED_VALUE"""),8.0)</f>
        <v>8</v>
      </c>
      <c r="N76" t="str">
        <f>IFERROR(__xludf.DUMMYFUNCTION("""COMPUTED_VALUE"""),"EXTERNO")</f>
        <v>EXTERNO</v>
      </c>
      <c r="O76">
        <f>IFERROR(__xludf.DUMMYFUNCTION("""COMPUTED_VALUE"""),27.0)</f>
        <v>27</v>
      </c>
      <c r="P76">
        <f>IFERROR(__xludf.DUMMYFUNCTION("""COMPUTED_VALUE"""),1.0)</f>
        <v>1</v>
      </c>
      <c r="Q76">
        <f>IFERROR(__xludf.DUMMYFUNCTION("""COMPUTED_VALUE"""),0.0)</f>
        <v>0</v>
      </c>
      <c r="R76" s="45" t="str">
        <f>IFERROR(__xludf.DUMMYFUNCTION("""COMPUTED_VALUE"""),"SELECCIONADA")</f>
        <v>SELECCIONADA</v>
      </c>
      <c r="S76" s="38">
        <f>IFERROR(__xludf.DUMMYFUNCTION("""COMPUTED_VALUE"""),43775.0)</f>
        <v>43775</v>
      </c>
      <c r="U76" t="str">
        <f>IFERROR(__xludf.DUMMYFUNCTION("""COMPUTED_VALUE"""),"MONSALVEZ VALDERRAMA ANA")</f>
        <v>MONSALVEZ VALDERRAMA ANA</v>
      </c>
      <c r="V76" t="str">
        <f>IFERROR(__xludf.DUMMYFUNCTION("""COMPUTED_VALUE"""),"12523432-1")</f>
        <v>12523432-1</v>
      </c>
      <c r="W76" t="str">
        <f>IFERROR(__xludf.DUMMYFUNCTION("""COMPUTED_VALUE"""),"SI")</f>
        <v>SI</v>
      </c>
      <c r="X76" t="str">
        <f>IFERROR(__xludf.DUMMYFUNCTION("""COMPUTED_VALUE"""),"Capacidad de Planificacion y Organizacion")</f>
        <v>Capacidad de Planificacion y Organizacion</v>
      </c>
      <c r="AA76" s="38">
        <f>IFERROR(__xludf.DUMMYFUNCTION("""COMPUTED_VALUE"""),43560.0)</f>
        <v>43560</v>
      </c>
      <c r="AB76" s="38">
        <f>IFERROR(__xludf.DUMMYFUNCTION("""COMPUTED_VALUE"""),43567.0)</f>
        <v>43567</v>
      </c>
      <c r="AH76" t="str">
        <f>IFERROR(__xludf.DUMMYFUNCTION("""COMPUTED_VALUE"""),"PROCESO DE SELECCIÓN")</f>
        <v>PROCESO DE SELECCIÓN</v>
      </c>
      <c r="AI76" t="str">
        <f>IFERROR(__xludf.DUMMYFUNCTION("""COMPUTED_VALUE"""),"LILLO MELLADO LAURA")</f>
        <v>LILLO MELLADO LAURA</v>
      </c>
      <c r="AK76" t="str">
        <f>IFERROR(__xludf.DUMMYFUNCTION("""COMPUTED_VALUE"""),"E")</f>
        <v>E</v>
      </c>
      <c r="AL76">
        <f>IFERROR(__xludf.DUMMYFUNCTION("""COMPUTED_VALUE"""),149.0)</f>
        <v>149</v>
      </c>
      <c r="AM76">
        <f>IFERROR(__xludf.DUMMYFUNCTION("""COMPUTED_VALUE"""),2019.0)</f>
        <v>2019</v>
      </c>
    </row>
    <row r="77">
      <c r="A77">
        <f>IFERROR(__xludf.DUMMYFUNCTION("""COMPUTED_VALUE"""),1.5994631E7)</f>
        <v>15994631</v>
      </c>
      <c r="B77">
        <f>IFERROR(__xludf.DUMMYFUNCTION("""COMPUTED_VALUE"""),77.0)</f>
        <v>77</v>
      </c>
      <c r="C77" t="str">
        <f>IFERROR(__xludf.DUMMYFUNCTION("""COMPUTED_VALUE"""),"A410")</f>
        <v>A410</v>
      </c>
      <c r="D77" t="str">
        <f>IFERROR(__xludf.DUMMYFUNCTION("""COMPUTED_VALUE"""),"3")</f>
        <v>3</v>
      </c>
      <c r="E77" t="str">
        <f>IFERROR(__xludf.DUMMYFUNCTION("""COMPUTED_VALUE"""),"DPTO. DE CALIDAD Y ACREDITACION")</f>
        <v>DPTO. DE CALIDAD Y ACREDITACION</v>
      </c>
      <c r="F77" t="str">
        <f>IFERROR(__xludf.DUMMYFUNCTION("""COMPUTED_VALUE"""),"Jefe(a) de Área")</f>
        <v>Jefe(a) de Área</v>
      </c>
      <c r="G77" t="str">
        <f>IFERROR(__xludf.DUMMYFUNCTION("""COMPUTED_VALUE"""),"JEFE DE AREA ( ACREDITACION)")</f>
        <v>JEFE DE AREA ( ACREDITACION)</v>
      </c>
      <c r="H77">
        <f>IFERROR(__xludf.DUMMYFUNCTION("""COMPUTED_VALUE"""),6.0)</f>
        <v>6</v>
      </c>
      <c r="I77" t="str">
        <f>IFERROR(__xludf.DUMMYFUNCTION("""COMPUTED_VALUE"""),"Jornada Completa")</f>
        <v>Jornada Completa</v>
      </c>
      <c r="J77" t="str">
        <f>IFERROR(__xludf.DUMMYFUNCTION("""COMPUTED_VALUE"""),"A CONTRATA")</f>
        <v>A CONTRATA</v>
      </c>
      <c r="K77" t="str">
        <f>IFERROR(__xludf.DUMMYFUNCTION("""COMPUTED_VALUE"""),"PROFESIONAL")</f>
        <v>PROFESIONAL</v>
      </c>
      <c r="L77" t="str">
        <f>IFERROR(__xludf.DUMMYFUNCTION("""COMPUTED_VALUE"""),"INTERNO")</f>
        <v>INTERNO</v>
      </c>
      <c r="M77">
        <f>IFERROR(__xludf.DUMMYFUNCTION("""COMPUTED_VALUE"""),4.0)</f>
        <v>4</v>
      </c>
      <c r="N77" t="str">
        <f>IFERROR(__xludf.DUMMYFUNCTION("""COMPUTED_VALUE"""),"NO")</f>
        <v>NO</v>
      </c>
      <c r="P77">
        <f>IFERROR(__xludf.DUMMYFUNCTION("""COMPUTED_VALUE"""),1.0)</f>
        <v>1</v>
      </c>
      <c r="Q77">
        <f>IFERROR(__xludf.DUMMYFUNCTION("""COMPUTED_VALUE"""),0.0)</f>
        <v>0</v>
      </c>
      <c r="R77" s="45" t="str">
        <f>IFERROR(__xludf.DUMMYFUNCTION("""COMPUTED_VALUE"""),"SELECCIONADO")</f>
        <v>SELECCIONADO</v>
      </c>
      <c r="S77" s="38">
        <f>IFERROR(__xludf.DUMMYFUNCTION("""COMPUTED_VALUE"""),43801.0)</f>
        <v>43801</v>
      </c>
      <c r="T77" t="str">
        <f>IFERROR(__xludf.DUMMYFUNCTION("""COMPUTED_VALUE"""),"SOTO BECERRA OMAR")</f>
        <v>SOTO BECERRA OMAR</v>
      </c>
      <c r="V77" t="str">
        <f>IFERROR(__xludf.DUMMYFUNCTION("""COMPUTED_VALUE"""),"15994631-2")</f>
        <v>15994631-2</v>
      </c>
      <c r="W77" t="str">
        <f>IFERROR(__xludf.DUMMYFUNCTION("""COMPUTED_VALUE"""),"SI")</f>
        <v>SI</v>
      </c>
      <c r="X77" t="str">
        <f>IFERROR(__xludf.DUMMYFUNCTION("""COMPUTED_VALUE"""),"Liderazgo")</f>
        <v>Liderazgo</v>
      </c>
      <c r="AA77" s="38">
        <f>IFERROR(__xludf.DUMMYFUNCTION("""COMPUTED_VALUE"""),43733.0)</f>
        <v>43733</v>
      </c>
      <c r="AB77" s="38">
        <f>IFERROR(__xludf.DUMMYFUNCTION("""COMPUTED_VALUE"""),43740.0)</f>
        <v>43740</v>
      </c>
      <c r="AH77" t="str">
        <f>IFERROR(__xludf.DUMMYFUNCTION("""COMPUTED_VALUE"""),"PROCESO DE SELECCIÓN")</f>
        <v>PROCESO DE SELECCIÓN</v>
      </c>
      <c r="AI77" t="str">
        <f>IFERROR(__xludf.DUMMYFUNCTION("""COMPUTED_VALUE"""),"MUÑOZ VASQUEZ PAULA")</f>
        <v>MUÑOZ VASQUEZ PAULA</v>
      </c>
      <c r="AK77" t="str">
        <f>IFERROR(__xludf.DUMMYFUNCTION("""COMPUTED_VALUE"""),"P")</f>
        <v>P</v>
      </c>
      <c r="AL77">
        <f>IFERROR(__xludf.DUMMYFUNCTION("""COMPUTED_VALUE"""),44.0)</f>
        <v>44</v>
      </c>
      <c r="AM77">
        <f>IFERROR(__xludf.DUMMYFUNCTION("""COMPUTED_VALUE"""),2019.0)</f>
        <v>2019</v>
      </c>
    </row>
    <row r="78">
      <c r="A78">
        <f>IFERROR(__xludf.DUMMYFUNCTION("""COMPUTED_VALUE"""),1.1053738E7)</f>
        <v>11053738</v>
      </c>
      <c r="B78">
        <f>IFERROR(__xludf.DUMMYFUNCTION("""COMPUTED_VALUE"""),78.0)</f>
        <v>78</v>
      </c>
      <c r="C78" t="str">
        <f>IFERROR(__xludf.DUMMYFUNCTION("""COMPUTED_VALUE"""),"A285")</f>
        <v>A285</v>
      </c>
      <c r="D78" t="str">
        <f>IFERROR(__xludf.DUMMYFUNCTION("""COMPUTED_VALUE"""),"65")</f>
        <v>65</v>
      </c>
      <c r="E78" t="str">
        <f>IFERROR(__xludf.DUMMYFUNCTION("""COMPUTED_VALUE"""),"FACULTAD TECNOLOGICA")</f>
        <v>FACULTAD TECNOLOGICA</v>
      </c>
      <c r="F78" t="str">
        <f>IFERROR(__xludf.DUMMYFUNCTION("""COMPUTED_VALUE"""),"Administrativo(a) Contable")</f>
        <v>Administrativo(a) Contable</v>
      </c>
      <c r="G78" t="str">
        <f>IFERROR(__xludf.DUMMYFUNCTION("""COMPUTED_VALUE"""),"ADMINISTRATIVA CONTABLE")</f>
        <v>ADMINISTRATIVA CONTABLE</v>
      </c>
      <c r="H78">
        <f>IFERROR(__xludf.DUMMYFUNCTION("""COMPUTED_VALUE"""),17.0)</f>
        <v>17</v>
      </c>
      <c r="I78" t="str">
        <f>IFERROR(__xludf.DUMMYFUNCTION("""COMPUTED_VALUE"""),"Jornada Completa")</f>
        <v>Jornada Completa</v>
      </c>
      <c r="J78" t="str">
        <f>IFERROR(__xludf.DUMMYFUNCTION("""COMPUTED_VALUE"""),"A CONTRATA")</f>
        <v>A CONTRATA</v>
      </c>
      <c r="K78" t="str">
        <f>IFERROR(__xludf.DUMMYFUNCTION("""COMPUTED_VALUE"""),"TECNICO")</f>
        <v>TECNICO</v>
      </c>
      <c r="L78" t="str">
        <f>IFERROR(__xludf.DUMMYFUNCTION("""COMPUTED_VALUE"""),"INTERNO")</f>
        <v>INTERNO</v>
      </c>
      <c r="M78">
        <f>IFERROR(__xludf.DUMMYFUNCTION("""COMPUTED_VALUE"""),5.0)</f>
        <v>5</v>
      </c>
      <c r="N78" t="str">
        <f>IFERROR(__xludf.DUMMYFUNCTION("""COMPUTED_VALUE"""),"EXTERNO")</f>
        <v>EXTERNO</v>
      </c>
      <c r="O78">
        <f>IFERROR(__xludf.DUMMYFUNCTION("""COMPUTED_VALUE"""),6.0)</f>
        <v>6</v>
      </c>
      <c r="P78">
        <f>IFERROR(__xludf.DUMMYFUNCTION("""COMPUTED_VALUE"""),2.0)</f>
        <v>2</v>
      </c>
      <c r="Q78">
        <f>IFERROR(__xludf.DUMMYFUNCTION("""COMPUTED_VALUE"""),0.0)</f>
        <v>0</v>
      </c>
      <c r="R78" s="45" t="str">
        <f>IFERROR(__xludf.DUMMYFUNCTION("""COMPUTED_VALUE"""),"SELECCIONADA")</f>
        <v>SELECCIONADA</v>
      </c>
      <c r="S78" s="38">
        <f>IFERROR(__xludf.DUMMYFUNCTION("""COMPUTED_VALUE"""),43780.0)</f>
        <v>43780</v>
      </c>
      <c r="U78" t="str">
        <f>IFERROR(__xludf.DUMMYFUNCTION("""COMPUTED_VALUE"""),"GONZALEZ BAEZ LORENA")</f>
        <v>GONZALEZ BAEZ LORENA</v>
      </c>
      <c r="V78" t="str">
        <f>IFERROR(__xludf.DUMMYFUNCTION("""COMPUTED_VALUE"""),"11053738-7")</f>
        <v>11053738-7</v>
      </c>
      <c r="W78" t="str">
        <f>IFERROR(__xludf.DUMMYFUNCTION("""COMPUTED_VALUE"""),"NO")</f>
        <v>NO</v>
      </c>
      <c r="AA78" s="38">
        <f>IFERROR(__xludf.DUMMYFUNCTION("""COMPUTED_VALUE"""),43731.0)</f>
        <v>43731</v>
      </c>
      <c r="AB78" s="38">
        <f>IFERROR(__xludf.DUMMYFUNCTION("""COMPUTED_VALUE"""),43738.0)</f>
        <v>43738</v>
      </c>
      <c r="AH78" t="str">
        <f>IFERROR(__xludf.DUMMYFUNCTION("""COMPUTED_VALUE"""),"PROCESO DE SELECCIÓN")</f>
        <v>PROCESO DE SELECCIÓN</v>
      </c>
      <c r="AI78" t="str">
        <f>IFERROR(__xludf.DUMMYFUNCTION("""COMPUTED_VALUE"""),"CONCHA SILVA MARAT")</f>
        <v>CONCHA SILVA MARAT</v>
      </c>
      <c r="AK78" t="str">
        <f>IFERROR(__xludf.DUMMYFUNCTION("""COMPUTED_VALUE"""),"E")</f>
        <v>E</v>
      </c>
      <c r="AL78">
        <f>IFERROR(__xludf.DUMMYFUNCTION("""COMPUTED_VALUE"""),31.0)</f>
        <v>31</v>
      </c>
      <c r="AM78">
        <f>IFERROR(__xludf.DUMMYFUNCTION("""COMPUTED_VALUE"""),2019.0)</f>
        <v>2019</v>
      </c>
    </row>
    <row r="79">
      <c r="A79">
        <f>IFERROR(__xludf.DUMMYFUNCTION("""COMPUTED_VALUE"""),1.7676254E7)</f>
        <v>17676254</v>
      </c>
      <c r="B79">
        <f>IFERROR(__xludf.DUMMYFUNCTION("""COMPUTED_VALUE"""),79.0)</f>
        <v>79</v>
      </c>
      <c r="C79" t="str">
        <f>IFERROR(__xludf.DUMMYFUNCTION("""COMPUTED_VALUE"""),"A356")</f>
        <v>A356</v>
      </c>
      <c r="D79" t="str">
        <f>IFERROR(__xludf.DUMMYFUNCTION("""COMPUTED_VALUE"""),"3")</f>
        <v>3</v>
      </c>
      <c r="E79" t="str">
        <f>IFERROR(__xludf.DUMMYFUNCTION("""COMPUTED_VALUE"""),"DPTO. DE FINANZAS Y TESORERIA")</f>
        <v>DPTO. DE FINANZAS Y TESORERIA</v>
      </c>
      <c r="F79" t="str">
        <f>IFERROR(__xludf.DUMMYFUNCTION("""COMPUTED_VALUE"""),"Analista Contable II")</f>
        <v>Analista Contable II</v>
      </c>
      <c r="G79" t="str">
        <f>IFERROR(__xludf.DUMMYFUNCTION("""COMPUTED_VALUE"""),"ANALISTA CONTABLE II ( ANALISTA DE CONCILIACIONES BANCARIAS)")</f>
        <v>ANALISTA CONTABLE II ( ANALISTA DE CONCILIACIONES BANCARIAS)</v>
      </c>
      <c r="H79">
        <f>IFERROR(__xludf.DUMMYFUNCTION("""COMPUTED_VALUE"""),13.0)</f>
        <v>13</v>
      </c>
      <c r="I79" t="str">
        <f>IFERROR(__xludf.DUMMYFUNCTION("""COMPUTED_VALUE"""),"Jornada Completa")</f>
        <v>Jornada Completa</v>
      </c>
      <c r="J79" t="str">
        <f>IFERROR(__xludf.DUMMYFUNCTION("""COMPUTED_VALUE"""),"A CONTRATA")</f>
        <v>A CONTRATA</v>
      </c>
      <c r="K79" t="str">
        <f>IFERROR(__xludf.DUMMYFUNCTION("""COMPUTED_VALUE"""),"PROFESIONAL")</f>
        <v>PROFESIONAL</v>
      </c>
      <c r="L79" t="str">
        <f>IFERROR(__xludf.DUMMYFUNCTION("""COMPUTED_VALUE"""),"INTERNO")</f>
        <v>INTERNO</v>
      </c>
      <c r="N79" t="str">
        <f>IFERROR(__xludf.DUMMYFUNCTION("""COMPUTED_VALUE"""),"EXTERNO")</f>
        <v>EXTERNO</v>
      </c>
      <c r="O79">
        <f>IFERROR(__xludf.DUMMYFUNCTION("""COMPUTED_VALUE"""),14.0)</f>
        <v>14</v>
      </c>
      <c r="P79">
        <f>IFERROR(__xludf.DUMMYFUNCTION("""COMPUTED_VALUE"""),2.0)</f>
        <v>2</v>
      </c>
      <c r="Q79">
        <f>IFERROR(__xludf.DUMMYFUNCTION("""COMPUTED_VALUE"""),0.0)</f>
        <v>0</v>
      </c>
      <c r="R79" s="45" t="str">
        <f>IFERROR(__xludf.DUMMYFUNCTION("""COMPUTED_VALUE"""),"SELECCIONADA")</f>
        <v>SELECCIONADA</v>
      </c>
      <c r="S79" s="38">
        <f>IFERROR(__xludf.DUMMYFUNCTION("""COMPUTED_VALUE"""),43794.0)</f>
        <v>43794</v>
      </c>
      <c r="U79" t="str">
        <f>IFERROR(__xludf.DUMMYFUNCTION("""COMPUTED_VALUE"""),"QUIJADA  FLORES NICOLE")</f>
        <v>QUIJADA  FLORES NICOLE</v>
      </c>
      <c r="V79" t="str">
        <f>IFERROR(__xludf.DUMMYFUNCTION("""COMPUTED_VALUE"""),"17676254-3")</f>
        <v>17676254-3</v>
      </c>
      <c r="W79" t="str">
        <f>IFERROR(__xludf.DUMMYFUNCTION("""COMPUTED_VALUE"""),"NO")</f>
        <v>NO</v>
      </c>
      <c r="AA79" s="38">
        <f>IFERROR(__xludf.DUMMYFUNCTION("""COMPUTED_VALUE"""),43735.0)</f>
        <v>43735</v>
      </c>
      <c r="AB79" s="38">
        <f>IFERROR(__xludf.DUMMYFUNCTION("""COMPUTED_VALUE"""),43742.0)</f>
        <v>43742</v>
      </c>
      <c r="AH79" t="str">
        <f>IFERROR(__xludf.DUMMYFUNCTION("""COMPUTED_VALUE"""),"PROCESO DE SELECCIÓN")</f>
        <v>PROCESO DE SELECCIÓN</v>
      </c>
      <c r="AI79" t="str">
        <f>IFERROR(__xludf.DUMMYFUNCTION("""COMPUTED_VALUE"""),"FLORES TORO KARLA")</f>
        <v>FLORES TORO KARLA</v>
      </c>
      <c r="AK79" t="str">
        <f>IFERROR(__xludf.DUMMYFUNCTION("""COMPUTED_VALUE"""),"E")</f>
        <v>E</v>
      </c>
      <c r="AL79">
        <f>IFERROR(__xludf.DUMMYFUNCTION("""COMPUTED_VALUE"""),37.0)</f>
        <v>37</v>
      </c>
      <c r="AM79">
        <f>IFERROR(__xludf.DUMMYFUNCTION("""COMPUTED_VALUE"""),2019.0)</f>
        <v>2019</v>
      </c>
    </row>
    <row r="80">
      <c r="A80">
        <f>IFERROR(__xludf.DUMMYFUNCTION("""COMPUTED_VALUE"""),1.400322E7)</f>
        <v>14003220</v>
      </c>
      <c r="B80">
        <f>IFERROR(__xludf.DUMMYFUNCTION("""COMPUTED_VALUE"""),80.0)</f>
        <v>80</v>
      </c>
      <c r="C80" t="str">
        <f>IFERROR(__xludf.DUMMYFUNCTION("""COMPUTED_VALUE"""),"A389")</f>
        <v>A389</v>
      </c>
      <c r="D80" t="str">
        <f>IFERROR(__xludf.DUMMYFUNCTION("""COMPUTED_VALUE"""),"15")</f>
        <v>15</v>
      </c>
      <c r="E80" t="str">
        <f>IFERROR(__xludf.DUMMYFUNCTION("""COMPUTED_VALUE"""),"ESCUELA DE ARQUITECTURA")</f>
        <v>ESCUELA DE ARQUITECTURA</v>
      </c>
      <c r="F80" t="str">
        <f>IFERROR(__xludf.DUMMYFUNCTION("""COMPUTED_VALUE"""),"Bibliotecario(a)")</f>
        <v>Bibliotecario(a)</v>
      </c>
      <c r="G80" t="str">
        <f>IFERROR(__xludf.DUMMYFUNCTION("""COMPUTED_VALUE"""),"BIBLIOTECARIA")</f>
        <v>BIBLIOTECARIA</v>
      </c>
      <c r="H80">
        <f>IFERROR(__xludf.DUMMYFUNCTION("""COMPUTED_VALUE"""),14.0)</f>
        <v>14</v>
      </c>
      <c r="I80" t="str">
        <f>IFERROR(__xludf.DUMMYFUNCTION("""COMPUTED_VALUE"""),"Jornada Completa")</f>
        <v>Jornada Completa</v>
      </c>
      <c r="J80" t="str">
        <f>IFERROR(__xludf.DUMMYFUNCTION("""COMPUTED_VALUE"""),"A CONTRATA")</f>
        <v>A CONTRATA</v>
      </c>
      <c r="K80" t="str">
        <f>IFERROR(__xludf.DUMMYFUNCTION("""COMPUTED_VALUE"""),"PROFESIONAL")</f>
        <v>PROFESIONAL</v>
      </c>
      <c r="L80" t="str">
        <f>IFERROR(__xludf.DUMMYFUNCTION("""COMPUTED_VALUE"""),"INTERNO")</f>
        <v>INTERNO</v>
      </c>
      <c r="M80">
        <f>IFERROR(__xludf.DUMMYFUNCTION("""COMPUTED_VALUE"""),1.0)</f>
        <v>1</v>
      </c>
      <c r="N80" t="str">
        <f>IFERROR(__xludf.DUMMYFUNCTION("""COMPUTED_VALUE"""),"NO")</f>
        <v>NO</v>
      </c>
      <c r="P80">
        <f>IFERROR(__xludf.DUMMYFUNCTION("""COMPUTED_VALUE"""),1.0)</f>
        <v>1</v>
      </c>
      <c r="Q80">
        <f>IFERROR(__xludf.DUMMYFUNCTION("""COMPUTED_VALUE"""),0.0)</f>
        <v>0</v>
      </c>
      <c r="R80" s="45" t="str">
        <f>IFERROR(__xludf.DUMMYFUNCTION("""COMPUTED_VALUE"""),"SELECCIONADA")</f>
        <v>SELECCIONADA</v>
      </c>
      <c r="S80" s="38">
        <f>IFERROR(__xludf.DUMMYFUNCTION("""COMPUTED_VALUE"""),43745.0)</f>
        <v>43745</v>
      </c>
      <c r="T80" t="str">
        <f>IFERROR(__xludf.DUMMYFUNCTION("""COMPUTED_VALUE"""),"MATSUMOTO JIMENEZ MABEL DEL CARMEN")</f>
        <v>MATSUMOTO JIMENEZ MABEL DEL CARMEN</v>
      </c>
      <c r="V80" t="str">
        <f>IFERROR(__xludf.DUMMYFUNCTION("""COMPUTED_VALUE"""),"14003220-4")</f>
        <v>14003220-4</v>
      </c>
      <c r="W80" t="str">
        <f>IFERROR(__xludf.DUMMYFUNCTION("""COMPUTED_VALUE"""),"SI")</f>
        <v>SI</v>
      </c>
      <c r="X80" t="str">
        <f>IFERROR(__xludf.DUMMYFUNCTION("""COMPUTED_VALUE"""),"Trabajo en Equipo")</f>
        <v>Trabajo en Equipo</v>
      </c>
      <c r="AA80" s="38">
        <f>IFERROR(__xludf.DUMMYFUNCTION("""COMPUTED_VALUE"""),43670.0)</f>
        <v>43670</v>
      </c>
      <c r="AB80" s="38">
        <f>IFERROR(__xludf.DUMMYFUNCTION("""COMPUTED_VALUE"""),43678.0)</f>
        <v>43678</v>
      </c>
      <c r="AH80" t="str">
        <f>IFERROR(__xludf.DUMMYFUNCTION("""COMPUTED_VALUE"""),"PROCESO DE SELECCIÓN")</f>
        <v>PROCESO DE SELECCIÓN</v>
      </c>
      <c r="AI80" t="str">
        <f>IFERROR(__xludf.DUMMYFUNCTION("""COMPUTED_VALUE"""),"LARENAS FARIAS DANILO")</f>
        <v>LARENAS FARIAS DANILO</v>
      </c>
      <c r="AK80" t="str">
        <f>IFERROR(__xludf.DUMMYFUNCTION("""COMPUTED_VALUE"""),"C")</f>
        <v>C</v>
      </c>
      <c r="AL80">
        <f>IFERROR(__xludf.DUMMYFUNCTION("""COMPUTED_VALUE"""),48.0)</f>
        <v>48</v>
      </c>
      <c r="AM80">
        <f>IFERROR(__xludf.DUMMYFUNCTION("""COMPUTED_VALUE"""),2019.0)</f>
        <v>2019</v>
      </c>
    </row>
    <row r="81">
      <c r="A81">
        <f>IFERROR(__xludf.DUMMYFUNCTION("""COMPUTED_VALUE"""),1.7034521E7)</f>
        <v>17034521</v>
      </c>
      <c r="B81">
        <f>IFERROR(__xludf.DUMMYFUNCTION("""COMPUTED_VALUE"""),81.0)</f>
        <v>81</v>
      </c>
      <c r="C81" t="str">
        <f>IFERROR(__xludf.DUMMYFUNCTION("""COMPUTED_VALUE"""),"A282")</f>
        <v>A282</v>
      </c>
      <c r="D81" t="str">
        <f>IFERROR(__xludf.DUMMYFUNCTION("""COMPUTED_VALUE"""),"40")</f>
        <v>40</v>
      </c>
      <c r="E81" t="str">
        <f>IFERROR(__xludf.DUMMYFUNCTION("""COMPUTED_VALUE"""),"DPTO. DE INGENIERIA INFORMATICA")</f>
        <v>DPTO. DE INGENIERIA INFORMATICA</v>
      </c>
      <c r="F81" t="str">
        <f>IFERROR(__xludf.DUMMYFUNCTION("""COMPUTED_VALUE"""),"ANALISTA DE GESTION II")</f>
        <v>ANALISTA DE GESTION II</v>
      </c>
      <c r="G81" t="str">
        <f>IFERROR(__xludf.DUMMYFUNCTION("""COMPUTED_VALUE"""),"ANALISTA DE GESTION II APOYO INFORMATICO")</f>
        <v>ANALISTA DE GESTION II APOYO INFORMATICO</v>
      </c>
      <c r="H81">
        <f>IFERROR(__xludf.DUMMYFUNCTION("""COMPUTED_VALUE"""),13.0)</f>
        <v>13</v>
      </c>
      <c r="I81" t="str">
        <f>IFERROR(__xludf.DUMMYFUNCTION("""COMPUTED_VALUE"""),"Jornada Completa")</f>
        <v>Jornada Completa</v>
      </c>
      <c r="J81" t="str">
        <f>IFERROR(__xludf.DUMMYFUNCTION("""COMPUTED_VALUE"""),"A CONTRATA")</f>
        <v>A CONTRATA</v>
      </c>
      <c r="K81" t="str">
        <f>IFERROR(__xludf.DUMMYFUNCTION("""COMPUTED_VALUE"""),"PROFESIONAL")</f>
        <v>PROFESIONAL</v>
      </c>
      <c r="L81" t="str">
        <f>IFERROR(__xludf.DUMMYFUNCTION("""COMPUTED_VALUE"""),"INTERNO")</f>
        <v>INTERNO</v>
      </c>
      <c r="M81">
        <f>IFERROR(__xludf.DUMMYFUNCTION("""COMPUTED_VALUE"""),1.0)</f>
        <v>1</v>
      </c>
      <c r="N81" t="str">
        <f>IFERROR(__xludf.DUMMYFUNCTION("""COMPUTED_VALUE"""),"EXTERNO")</f>
        <v>EXTERNO</v>
      </c>
      <c r="O81">
        <f>IFERROR(__xludf.DUMMYFUNCTION("""COMPUTED_VALUE"""),29.0)</f>
        <v>29</v>
      </c>
      <c r="P81">
        <f>IFERROR(__xludf.DUMMYFUNCTION("""COMPUTED_VALUE"""),5.0)</f>
        <v>5</v>
      </c>
      <c r="Q81">
        <f>IFERROR(__xludf.DUMMYFUNCTION("""COMPUTED_VALUE"""),2.0)</f>
        <v>2</v>
      </c>
      <c r="R81" s="45" t="str">
        <f>IFERROR(__xludf.DUMMYFUNCTION("""COMPUTED_VALUE"""),"SELECCIONADO")</f>
        <v>SELECCIONADO</v>
      </c>
      <c r="S81" s="38">
        <f>IFERROR(__xludf.DUMMYFUNCTION("""COMPUTED_VALUE"""),43836.0)</f>
        <v>43836</v>
      </c>
      <c r="U81" t="str">
        <f>IFERROR(__xludf.DUMMYFUNCTION("""COMPUTED_VALUE""")," SORIANO HERMOSILLA ALDO")</f>
        <v> SORIANO HERMOSILLA ALDO</v>
      </c>
      <c r="V81" t="str">
        <f>IFERROR(__xludf.DUMMYFUNCTION("""COMPUTED_VALUE"""),"17034521-5")</f>
        <v>17034521-5</v>
      </c>
      <c r="W81" t="str">
        <f>IFERROR(__xludf.DUMMYFUNCTION("""COMPUTED_VALUE"""),"SI")</f>
        <v>SI</v>
      </c>
      <c r="X81" t="str">
        <f>IFERROR(__xludf.DUMMYFUNCTION("""COMPUTED_VALUE"""),"Capacidad de Planificacion y Organizacion")</f>
        <v>Capacidad de Planificacion y Organizacion</v>
      </c>
      <c r="Y81" t="str">
        <f>IFERROR(__xludf.DUMMYFUNCTION("""COMPUTED_VALUE"""),"Iniciativa")</f>
        <v>Iniciativa</v>
      </c>
      <c r="AA81" s="38">
        <f>IFERROR(__xludf.DUMMYFUNCTION("""COMPUTED_VALUE"""),43796.0)</f>
        <v>43796</v>
      </c>
      <c r="AB81" s="38">
        <f>IFERROR(__xludf.DUMMYFUNCTION("""COMPUTED_VALUE"""),43805.0)</f>
        <v>43805</v>
      </c>
      <c r="AH81" t="str">
        <f>IFERROR(__xludf.DUMMYFUNCTION("""COMPUTED_VALUE"""),"PROCESO DE SELECCIÓN")</f>
        <v>PROCESO DE SELECCIÓN</v>
      </c>
      <c r="AI81" t="str">
        <f>IFERROR(__xludf.DUMMYFUNCTION("""COMPUTED_VALUE"""),"CARRASCO MARTA")</f>
        <v>CARRASCO MARTA</v>
      </c>
      <c r="AK81" t="str">
        <f>IFERROR(__xludf.DUMMYFUNCTION("""COMPUTED_VALUE"""),"E")</f>
        <v>E</v>
      </c>
      <c r="AL81">
        <f>IFERROR(__xludf.DUMMYFUNCTION("""COMPUTED_VALUE"""),22.0)</f>
        <v>22</v>
      </c>
      <c r="AM81">
        <f>IFERROR(__xludf.DUMMYFUNCTION("""COMPUTED_VALUE"""),2019.0)</f>
        <v>2019</v>
      </c>
    </row>
    <row r="82">
      <c r="A82">
        <f>IFERROR(__xludf.DUMMYFUNCTION("""COMPUTED_VALUE"""),1.7254189E7)</f>
        <v>17254189</v>
      </c>
      <c r="B82">
        <f>IFERROR(__xludf.DUMMYFUNCTION("""COMPUTED_VALUE"""),82.0)</f>
        <v>82</v>
      </c>
      <c r="C82" t="str">
        <f>IFERROR(__xludf.DUMMYFUNCTION("""COMPUTED_VALUE"""),"A402")</f>
        <v>A402</v>
      </c>
      <c r="D82" t="str">
        <f>IFERROR(__xludf.DUMMYFUNCTION("""COMPUTED_VALUE"""),"120")</f>
        <v>120</v>
      </c>
      <c r="E82" t="str">
        <f>IFERROR(__xludf.DUMMYFUNCTION("""COMPUTED_VALUE"""),"DPTO. DE COMUNICACIONES")</f>
        <v>DPTO. DE COMUNICACIONES</v>
      </c>
      <c r="F82" t="str">
        <f>IFERROR(__xludf.DUMMYFUNCTION("""COMPUTED_VALUE"""),"EDITOR")</f>
        <v>EDITOR</v>
      </c>
      <c r="G82" t="str">
        <f>IFERROR(__xludf.DUMMYFUNCTION("""COMPUTED_VALUE"""),"EDITOR  ")</f>
        <v>EDITOR  </v>
      </c>
      <c r="H82">
        <f>IFERROR(__xludf.DUMMYFUNCTION("""COMPUTED_VALUE"""),10.0)</f>
        <v>10</v>
      </c>
      <c r="I82" t="str">
        <f>IFERROR(__xludf.DUMMYFUNCTION("""COMPUTED_VALUE"""),"Jornada Completa")</f>
        <v>Jornada Completa</v>
      </c>
      <c r="J82" t="str">
        <f>IFERROR(__xludf.DUMMYFUNCTION("""COMPUTED_VALUE"""),"A CONTRATA")</f>
        <v>A CONTRATA</v>
      </c>
      <c r="K82" t="str">
        <f>IFERROR(__xludf.DUMMYFUNCTION("""COMPUTED_VALUE"""),"PROFESIONAL")</f>
        <v>PROFESIONAL</v>
      </c>
      <c r="L82" t="str">
        <f>IFERROR(__xludf.DUMMYFUNCTION("""COMPUTED_VALUE"""),"NO")</f>
        <v>NO</v>
      </c>
      <c r="N82" t="str">
        <f>IFERROR(__xludf.DUMMYFUNCTION("""COMPUTED_VALUE"""),"NO")</f>
        <v>NO</v>
      </c>
      <c r="O82">
        <f>IFERROR(__xludf.DUMMYFUNCTION("""COMPUTED_VALUE"""),23.0)</f>
        <v>23</v>
      </c>
      <c r="P82">
        <f>IFERROR(__xludf.DUMMYFUNCTION("""COMPUTED_VALUE"""),1.0)</f>
        <v>1</v>
      </c>
      <c r="Q82">
        <f>IFERROR(__xludf.DUMMYFUNCTION("""COMPUTED_VALUE"""),0.0)</f>
        <v>0</v>
      </c>
      <c r="R82" s="45" t="str">
        <f>IFERROR(__xludf.DUMMYFUNCTION("""COMPUTED_VALUE"""),"SELECCIONADO")</f>
        <v>SELECCIONADO</v>
      </c>
      <c r="S82" s="38">
        <f>IFERROR(__xludf.DUMMYFUNCTION("""COMPUTED_VALUE"""),43805.0)</f>
        <v>43805</v>
      </c>
      <c r="U82" t="str">
        <f>IFERROR(__xludf.DUMMYFUNCTION("""COMPUTED_VALUE"""),"ARAYA LILLO ALEX ")</f>
        <v>ARAYA LILLO ALEX </v>
      </c>
      <c r="V82" t="str">
        <f>IFERROR(__xludf.DUMMYFUNCTION("""COMPUTED_VALUE"""),"17254189-5")</f>
        <v>17254189-5</v>
      </c>
      <c r="W82" t="str">
        <f>IFERROR(__xludf.DUMMYFUNCTION("""COMPUTED_VALUE"""),"NO")</f>
        <v>NO</v>
      </c>
      <c r="AA82" s="38">
        <f>IFERROR(__xludf.DUMMYFUNCTION("""COMPUTED_VALUE"""),43773.0)</f>
        <v>43773</v>
      </c>
      <c r="AB82" s="38">
        <f>IFERROR(__xludf.DUMMYFUNCTION("""COMPUTED_VALUE"""),43780.0)</f>
        <v>43780</v>
      </c>
      <c r="AH82" t="str">
        <f>IFERROR(__xludf.DUMMYFUNCTION("""COMPUTED_VALUE"""),"PROCESO DE SELECCIÓN")</f>
        <v>PROCESO DE SELECCIÓN</v>
      </c>
      <c r="AI82" t="str">
        <f>IFERROR(__xludf.DUMMYFUNCTION("""COMPUTED_VALUE"""),"JAQUE AVILA ARMANDO")</f>
        <v>JAQUE AVILA ARMANDO</v>
      </c>
      <c r="AK82" t="str">
        <f>IFERROR(__xludf.DUMMYFUNCTION("""COMPUTED_VALUE"""),"E")</f>
        <v>E</v>
      </c>
      <c r="AL82">
        <f>IFERROR(__xludf.DUMMYFUNCTION("""COMPUTED_VALUE"""),20.0)</f>
        <v>20</v>
      </c>
      <c r="AM82">
        <f>IFERROR(__xludf.DUMMYFUNCTION("""COMPUTED_VALUE"""),2019.0)</f>
        <v>2019</v>
      </c>
    </row>
    <row r="83">
      <c r="A83">
        <f>IFERROR(__xludf.DUMMYFUNCTION("""COMPUTED_VALUE"""),1.7349172E7)</f>
        <v>17349172</v>
      </c>
      <c r="B83">
        <f>IFERROR(__xludf.DUMMYFUNCTION("""COMPUTED_VALUE"""),83.0)</f>
        <v>83</v>
      </c>
      <c r="C83" t="str">
        <f>IFERROR(__xludf.DUMMYFUNCTION("""COMPUTED_VALUE"""),"A361")</f>
        <v>A361</v>
      </c>
      <c r="D83" t="str">
        <f>IFERROR(__xludf.DUMMYFUNCTION("""COMPUTED_VALUE"""),"11")</f>
        <v>11</v>
      </c>
      <c r="E83" t="str">
        <f>IFERROR(__xludf.DUMMYFUNCTION("""COMPUTED_VALUE"""),"VR. DE INVEST. DESARR E INNOVACION")</f>
        <v>VR. DE INVEST. DESARR E INNOVACION</v>
      </c>
      <c r="F83" t="str">
        <f>IFERROR(__xludf.DUMMYFUNCTION("""COMPUTED_VALUE"""),"ANALISTA GESTION I")</f>
        <v>ANALISTA GESTION I</v>
      </c>
      <c r="G83" t="str">
        <f>IFERROR(__xludf.DUMMYFUNCTION("""COMPUTED_VALUE"""),"ANALISTA DE GESTION I  ( COMITE DE ETICA)")</f>
        <v>ANALISTA DE GESTION I  ( COMITE DE ETICA)</v>
      </c>
      <c r="H83">
        <f>IFERROR(__xludf.DUMMYFUNCTION("""COMPUTED_VALUE"""),10.0)</f>
        <v>10</v>
      </c>
      <c r="I83" t="str">
        <f>IFERROR(__xludf.DUMMYFUNCTION("""COMPUTED_VALUE"""),"Jornada Completa")</f>
        <v>Jornada Completa</v>
      </c>
      <c r="J83" t="str">
        <f>IFERROR(__xludf.DUMMYFUNCTION("""COMPUTED_VALUE"""),"A CONTRATA")</f>
        <v>A CONTRATA</v>
      </c>
      <c r="K83" t="str">
        <f>IFERROR(__xludf.DUMMYFUNCTION("""COMPUTED_VALUE"""),"PROFESIONAL")</f>
        <v>PROFESIONAL</v>
      </c>
      <c r="L83" t="str">
        <f>IFERROR(__xludf.DUMMYFUNCTION("""COMPUTED_VALUE"""),"NO")</f>
        <v>NO</v>
      </c>
      <c r="N83" t="str">
        <f>IFERROR(__xludf.DUMMYFUNCTION("""COMPUTED_VALUE"""),"EXTERNO")</f>
        <v>EXTERNO</v>
      </c>
      <c r="O83">
        <f>IFERROR(__xludf.DUMMYFUNCTION("""COMPUTED_VALUE"""),10.0)</f>
        <v>10</v>
      </c>
      <c r="P83">
        <f>IFERROR(__xludf.DUMMYFUNCTION("""COMPUTED_VALUE"""),2.0)</f>
        <v>2</v>
      </c>
      <c r="Q83">
        <f>IFERROR(__xludf.DUMMYFUNCTION("""COMPUTED_VALUE"""),0.0)</f>
        <v>0</v>
      </c>
      <c r="R83" s="45" t="str">
        <f>IFERROR(__xludf.DUMMYFUNCTION("""COMPUTED_VALUE"""),"SELECCIONADO")</f>
        <v>SELECCIONADO</v>
      </c>
      <c r="S83" s="38">
        <f>IFERROR(__xludf.DUMMYFUNCTION("""COMPUTED_VALUE"""),43832.0)</f>
        <v>43832</v>
      </c>
      <c r="U83" t="str">
        <f>IFERROR(__xludf.DUMMYFUNCTION("""COMPUTED_VALUE"""),"FRANCISCA MIRANDA B FRANCISCA ")</f>
        <v>FRANCISCA MIRANDA B FRANCISCA </v>
      </c>
      <c r="V83" t="str">
        <f>IFERROR(__xludf.DUMMYFUNCTION("""COMPUTED_VALUE"""),"17349172-7")</f>
        <v>17349172-7</v>
      </c>
      <c r="W83" t="str">
        <f>IFERROR(__xludf.DUMMYFUNCTION("""COMPUTED_VALUE"""),"SI")</f>
        <v>SI</v>
      </c>
      <c r="X83" t="str">
        <f>IFERROR(__xludf.DUMMYFUNCTION("""COMPUTED_VALUE"""),"Capacidad de Planificacion y Organizacion")</f>
        <v>Capacidad de Planificacion y Organizacion</v>
      </c>
      <c r="AA83" s="38">
        <f>IFERROR(__xludf.DUMMYFUNCTION("""COMPUTED_VALUE"""),43738.0)</f>
        <v>43738</v>
      </c>
      <c r="AB83" s="38">
        <f>IFERROR(__xludf.DUMMYFUNCTION("""COMPUTED_VALUE"""),43745.0)</f>
        <v>43745</v>
      </c>
      <c r="AH83" t="str">
        <f>IFERROR(__xludf.DUMMYFUNCTION("""COMPUTED_VALUE"""),"PROCESO DE SELECCIÓN")</f>
        <v>PROCESO DE SELECCIÓN</v>
      </c>
      <c r="AI83" t="str">
        <f>IFERROR(__xludf.DUMMYFUNCTION("""COMPUTED_VALUE"""),"HERRERA SALDIVIA ANDREA")</f>
        <v>HERRERA SALDIVIA ANDREA</v>
      </c>
      <c r="AK83" t="str">
        <f>IFERROR(__xludf.DUMMYFUNCTION("""COMPUTED_VALUE"""),"E")</f>
        <v>E</v>
      </c>
      <c r="AL83">
        <f>IFERROR(__xludf.DUMMYFUNCTION("""COMPUTED_VALUE"""),64.0)</f>
        <v>64</v>
      </c>
      <c r="AM83">
        <f>IFERROR(__xludf.DUMMYFUNCTION("""COMPUTED_VALUE"""),2019.0)</f>
        <v>2019</v>
      </c>
    </row>
    <row r="84">
      <c r="A84">
        <f>IFERROR(__xludf.DUMMYFUNCTION("""COMPUTED_VALUE"""),8775662.0)</f>
        <v>8775662</v>
      </c>
      <c r="B84">
        <f>IFERROR(__xludf.DUMMYFUNCTION("""COMPUTED_VALUE"""),84.0)</f>
        <v>84</v>
      </c>
      <c r="C84" t="str">
        <f>IFERROR(__xludf.DUMMYFUNCTION("""COMPUTED_VALUE"""),"A361")</f>
        <v>A361</v>
      </c>
      <c r="D84" t="str">
        <f>IFERROR(__xludf.DUMMYFUNCTION("""COMPUTED_VALUE"""),"11")</f>
        <v>11</v>
      </c>
      <c r="E84" t="str">
        <f>IFERROR(__xludf.DUMMYFUNCTION("""COMPUTED_VALUE"""),"VR. DE INVEST. DESARR E INNOVACION")</f>
        <v>VR. DE INVEST. DESARR E INNOVACION</v>
      </c>
      <c r="F84" t="str">
        <f>IFERROR(__xludf.DUMMYFUNCTION("""COMPUTED_VALUE"""),"ANALISTA GESTION I")</f>
        <v>ANALISTA GESTION I</v>
      </c>
      <c r="G84" t="str">
        <f>IFERROR(__xludf.DUMMYFUNCTION("""COMPUTED_VALUE"""),"ANALISTA DE GESTION I  ( COMITE DE ETICA)")</f>
        <v>ANALISTA DE GESTION I  ( COMITE DE ETICA)</v>
      </c>
      <c r="H84">
        <f>IFERROR(__xludf.DUMMYFUNCTION("""COMPUTED_VALUE"""),10.0)</f>
        <v>10</v>
      </c>
      <c r="I84" t="str">
        <f>IFERROR(__xludf.DUMMYFUNCTION("""COMPUTED_VALUE"""),"Jornada Completa")</f>
        <v>Jornada Completa</v>
      </c>
      <c r="J84" t="str">
        <f>IFERROR(__xludf.DUMMYFUNCTION("""COMPUTED_VALUE"""),"A CONTRATA")</f>
        <v>A CONTRATA</v>
      </c>
      <c r="K84" t="str">
        <f>IFERROR(__xludf.DUMMYFUNCTION("""COMPUTED_VALUE"""),"PROFESIONAL")</f>
        <v>PROFESIONAL</v>
      </c>
      <c r="L84" t="str">
        <f>IFERROR(__xludf.DUMMYFUNCTION("""COMPUTED_VALUE"""),"NO")</f>
        <v>NO</v>
      </c>
      <c r="N84" t="str">
        <f>IFERROR(__xludf.DUMMYFUNCTION("""COMPUTED_VALUE"""),"EXTERNO")</f>
        <v>EXTERNO</v>
      </c>
      <c r="O84">
        <f>IFERROR(__xludf.DUMMYFUNCTION("""COMPUTED_VALUE"""),10.0)</f>
        <v>10</v>
      </c>
      <c r="P84">
        <f>IFERROR(__xludf.DUMMYFUNCTION("""COMPUTED_VALUE"""),2.0)</f>
        <v>2</v>
      </c>
      <c r="Q84">
        <f>IFERROR(__xludf.DUMMYFUNCTION("""COMPUTED_VALUE"""),0.0)</f>
        <v>0</v>
      </c>
      <c r="R84" s="45" t="str">
        <f>IFERROR(__xludf.DUMMYFUNCTION("""COMPUTED_VALUE"""),"SELECCIONADO")</f>
        <v>SELECCIONADO</v>
      </c>
      <c r="S84" s="38">
        <f>IFERROR(__xludf.DUMMYFUNCTION("""COMPUTED_VALUE"""),43832.0)</f>
        <v>43832</v>
      </c>
      <c r="U84" t="str">
        <f>IFERROR(__xludf.DUMMYFUNCTION("""COMPUTED_VALUE""")," GODOY MENDEZ GILBERTO")</f>
        <v> GODOY MENDEZ GILBERTO</v>
      </c>
      <c r="V84" t="str">
        <f>IFERROR(__xludf.DUMMYFUNCTION("""COMPUTED_VALUE"""),"8775662-9")</f>
        <v>8775662-9</v>
      </c>
      <c r="W84" t="str">
        <f>IFERROR(__xludf.DUMMYFUNCTION("""COMPUTED_VALUE"""),"SI")</f>
        <v>SI</v>
      </c>
      <c r="X84" t="str">
        <f>IFERROR(__xludf.DUMMYFUNCTION("""COMPUTED_VALUE"""),"Capacidad de Planificacion y Organizacion")</f>
        <v>Capacidad de Planificacion y Organizacion</v>
      </c>
      <c r="Y84" t="str">
        <f>IFERROR(__xludf.DUMMYFUNCTION("""COMPUTED_VALUE"""),"Orientacion a los Resultados")</f>
        <v>Orientacion a los Resultados</v>
      </c>
      <c r="AA84" s="38">
        <f>IFERROR(__xludf.DUMMYFUNCTION("""COMPUTED_VALUE"""),43738.0)</f>
        <v>43738</v>
      </c>
      <c r="AB84" s="38">
        <f>IFERROR(__xludf.DUMMYFUNCTION("""COMPUTED_VALUE"""),43745.0)</f>
        <v>43745</v>
      </c>
      <c r="AH84" t="str">
        <f>IFERROR(__xludf.DUMMYFUNCTION("""COMPUTED_VALUE"""),"PROCESO DE SELECCIÓN")</f>
        <v>PROCESO DE SELECCIÓN</v>
      </c>
      <c r="AI84" t="str">
        <f>IFERROR(__xludf.DUMMYFUNCTION("""COMPUTED_VALUE"""),"ERWIN LEAL RIVERA")</f>
        <v>ERWIN LEAL RIVERA</v>
      </c>
      <c r="AK84" t="str">
        <f>IFERROR(__xludf.DUMMYFUNCTION("""COMPUTED_VALUE"""),"E")</f>
        <v>E</v>
      </c>
      <c r="AL84">
        <f>IFERROR(__xludf.DUMMYFUNCTION("""COMPUTED_VALUE"""),64.0)</f>
        <v>64</v>
      </c>
      <c r="AM84">
        <f>IFERROR(__xludf.DUMMYFUNCTION("""COMPUTED_VALUE"""),2019.0)</f>
        <v>2019</v>
      </c>
    </row>
    <row r="85">
      <c r="A85">
        <f>IFERROR(__xludf.DUMMYFUNCTION("""COMPUTED_VALUE"""),1.6424884E7)</f>
        <v>16424884</v>
      </c>
      <c r="B85">
        <f>IFERROR(__xludf.DUMMYFUNCTION("""COMPUTED_VALUE"""),85.0)</f>
        <v>85</v>
      </c>
      <c r="C85" t="str">
        <f>IFERROR(__xludf.DUMMYFUNCTION("""COMPUTED_VALUE"""),"A331")</f>
        <v>A331</v>
      </c>
      <c r="D85" t="str">
        <f>IFERROR(__xludf.DUMMYFUNCTION("""COMPUTED_VALUE"""),"3")</f>
        <v>3</v>
      </c>
      <c r="E85" t="str">
        <f>IFERROR(__xludf.DUMMYFUNCTION("""COMPUTED_VALUE"""),"DPTO. DE FINANZAS Y TESORERIA")</f>
        <v>DPTO. DE FINANZAS Y TESORERIA</v>
      </c>
      <c r="F85" t="str">
        <f>IFERROR(__xludf.DUMMYFUNCTION("""COMPUTED_VALUE"""),"Administrativo(a) Contable")</f>
        <v>Administrativo(a) Contable</v>
      </c>
      <c r="G85" t="str">
        <f>IFERROR(__xludf.DUMMYFUNCTION("""COMPUTED_VALUE"""),"ADMINISTRATIVA CONTABLE  ( COBRANZAS)")</f>
        <v>ADMINISTRATIVA CONTABLE  ( COBRANZAS)</v>
      </c>
      <c r="H85">
        <f>IFERROR(__xludf.DUMMYFUNCTION("""COMPUTED_VALUE"""),17.0)</f>
        <v>17</v>
      </c>
      <c r="I85" t="str">
        <f>IFERROR(__xludf.DUMMYFUNCTION("""COMPUTED_VALUE"""),"Jornada Completa")</f>
        <v>Jornada Completa</v>
      </c>
      <c r="J85" t="str">
        <f>IFERROR(__xludf.DUMMYFUNCTION("""COMPUTED_VALUE"""),"A CONTRATA")</f>
        <v>A CONTRATA</v>
      </c>
      <c r="K85" t="str">
        <f>IFERROR(__xludf.DUMMYFUNCTION("""COMPUTED_VALUE"""),"TECNICO")</f>
        <v>TECNICO</v>
      </c>
      <c r="L85" t="str">
        <f>IFERROR(__xludf.DUMMYFUNCTION("""COMPUTED_VALUE"""),"INTERNO")</f>
        <v>INTERNO</v>
      </c>
      <c r="M85">
        <f>IFERROR(__xludf.DUMMYFUNCTION("""COMPUTED_VALUE"""),1.0)</f>
        <v>1</v>
      </c>
      <c r="N85" t="str">
        <f>IFERROR(__xludf.DUMMYFUNCTION("""COMPUTED_VALUE"""),"EXTERNO")</f>
        <v>EXTERNO</v>
      </c>
      <c r="O85">
        <f>IFERROR(__xludf.DUMMYFUNCTION("""COMPUTED_VALUE"""),10.0)</f>
        <v>10</v>
      </c>
      <c r="P85">
        <f>IFERROR(__xludf.DUMMYFUNCTION("""COMPUTED_VALUE"""),2.0)</f>
        <v>2</v>
      </c>
      <c r="Q85">
        <f>IFERROR(__xludf.DUMMYFUNCTION("""COMPUTED_VALUE"""),0.0)</f>
        <v>0</v>
      </c>
      <c r="R85" s="45" t="str">
        <f>IFERROR(__xludf.DUMMYFUNCTION("""COMPUTED_VALUE"""),"SELECCIONADA")</f>
        <v>SELECCIONADA</v>
      </c>
      <c r="S85" s="38">
        <f>IFERROR(__xludf.DUMMYFUNCTION("""COMPUTED_VALUE"""),43801.0)</f>
        <v>43801</v>
      </c>
      <c r="U85" t="str">
        <f>IFERROR(__xludf.DUMMYFUNCTION("""COMPUTED_VALUE"""),"JERIA GALVEZ VALERIA")</f>
        <v>JERIA GALVEZ VALERIA</v>
      </c>
      <c r="V85" t="str">
        <f>IFERROR(__xludf.DUMMYFUNCTION("""COMPUTED_VALUE"""),"16424884-4")</f>
        <v>16424884-4</v>
      </c>
      <c r="W85" t="str">
        <f>IFERROR(__xludf.DUMMYFUNCTION("""COMPUTED_VALUE"""),"SI")</f>
        <v>SI</v>
      </c>
      <c r="X85" t="str">
        <f>IFERROR(__xludf.DUMMYFUNCTION("""COMPUTED_VALUE"""),"Orientacion a los Resultados")</f>
        <v>Orientacion a los Resultados</v>
      </c>
      <c r="AA85" s="38">
        <f>IFERROR(__xludf.DUMMYFUNCTION("""COMPUTED_VALUE"""),43735.0)</f>
        <v>43735</v>
      </c>
      <c r="AB85" s="38">
        <f>IFERROR(__xludf.DUMMYFUNCTION("""COMPUTED_VALUE"""),43742.0)</f>
        <v>43742</v>
      </c>
      <c r="AH85" t="str">
        <f>IFERROR(__xludf.DUMMYFUNCTION("""COMPUTED_VALUE"""),"PROCESO DE SELECCIÓN")</f>
        <v>PROCESO DE SELECCIÓN</v>
      </c>
      <c r="AI85" t="str">
        <f>IFERROR(__xludf.DUMMYFUNCTION("""COMPUTED_VALUE"""),"SOTO AID EVELYN")</f>
        <v>SOTO AID EVELYN</v>
      </c>
      <c r="AK85" t="str">
        <f>IFERROR(__xludf.DUMMYFUNCTION("""COMPUTED_VALUE"""),"E")</f>
        <v>E</v>
      </c>
      <c r="AL85">
        <f>IFERROR(__xludf.DUMMYFUNCTION("""COMPUTED_VALUE"""),42.0)</f>
        <v>42</v>
      </c>
      <c r="AM85">
        <f>IFERROR(__xludf.DUMMYFUNCTION("""COMPUTED_VALUE"""),2019.0)</f>
        <v>2019</v>
      </c>
    </row>
    <row r="86">
      <c r="A86">
        <f>IFERROR(__xludf.DUMMYFUNCTION("""COMPUTED_VALUE"""),1.8925942E7)</f>
        <v>18925942</v>
      </c>
      <c r="B86">
        <f>IFERROR(__xludf.DUMMYFUNCTION("""COMPUTED_VALUE"""),86.0)</f>
        <v>86</v>
      </c>
      <c r="C86" t="str">
        <f>IFERROR(__xludf.DUMMYFUNCTION("""COMPUTED_VALUE"""),"A337")</f>
        <v>A337</v>
      </c>
      <c r="D86" t="str">
        <f>IFERROR(__xludf.DUMMYFUNCTION("""COMPUTED_VALUE"""),"3")</f>
        <v>3</v>
      </c>
      <c r="E86" t="str">
        <f>IFERROR(__xludf.DUMMYFUNCTION("""COMPUTED_VALUE"""),"DPTO. DE FINANZAS Y TESORERIA")</f>
        <v>DPTO. DE FINANZAS Y TESORERIA</v>
      </c>
      <c r="F86" t="str">
        <f>IFERROR(__xludf.DUMMYFUNCTION("""COMPUTED_VALUE"""),"Administrativo(a) Contable")</f>
        <v>Administrativo(a) Contable</v>
      </c>
      <c r="G86" t="str">
        <f>IFERROR(__xludf.DUMMYFUNCTION("""COMPUTED_VALUE"""),"ADMINISTRATIVO CONTABLE")</f>
        <v>ADMINISTRATIVO CONTABLE</v>
      </c>
      <c r="H86">
        <f>IFERROR(__xludf.DUMMYFUNCTION("""COMPUTED_VALUE"""),17.0)</f>
        <v>17</v>
      </c>
      <c r="I86" t="str">
        <f>IFERROR(__xludf.DUMMYFUNCTION("""COMPUTED_VALUE"""),"Jornada Completa")</f>
        <v>Jornada Completa</v>
      </c>
      <c r="J86" t="str">
        <f>IFERROR(__xludf.DUMMYFUNCTION("""COMPUTED_VALUE"""),"A CONTRATA")</f>
        <v>A CONTRATA</v>
      </c>
      <c r="K86" t="str">
        <f>IFERROR(__xludf.DUMMYFUNCTION("""COMPUTED_VALUE"""),"TECNICO")</f>
        <v>TECNICO</v>
      </c>
      <c r="L86" t="str">
        <f>IFERROR(__xludf.DUMMYFUNCTION("""COMPUTED_VALUE"""),"INTERNO")</f>
        <v>INTERNO</v>
      </c>
      <c r="M86">
        <f>IFERROR(__xludf.DUMMYFUNCTION("""COMPUTED_VALUE"""),1.0)</f>
        <v>1</v>
      </c>
      <c r="N86" t="str">
        <f>IFERROR(__xludf.DUMMYFUNCTION("""COMPUTED_VALUE"""),"EXTERNO")</f>
        <v>EXTERNO</v>
      </c>
      <c r="O86">
        <f>IFERROR(__xludf.DUMMYFUNCTION("""COMPUTED_VALUE"""),4.0)</f>
        <v>4</v>
      </c>
      <c r="P86">
        <f>IFERROR(__xludf.DUMMYFUNCTION("""COMPUTED_VALUE"""),3.0)</f>
        <v>3</v>
      </c>
      <c r="Q86">
        <f>IFERROR(__xludf.DUMMYFUNCTION("""COMPUTED_VALUE"""),0.0)</f>
        <v>0</v>
      </c>
      <c r="R86" s="45" t="str">
        <f>IFERROR(__xludf.DUMMYFUNCTION("""COMPUTED_VALUE"""),"SELECCIONADA")</f>
        <v>SELECCIONADA</v>
      </c>
      <c r="S86" s="38">
        <f>IFERROR(__xludf.DUMMYFUNCTION("""COMPUTED_VALUE"""),43801.0)</f>
        <v>43801</v>
      </c>
      <c r="U86" t="str">
        <f>IFERROR(__xludf.DUMMYFUNCTION("""COMPUTED_VALUE"""),"ROJAS CANCINO MADELEINE")</f>
        <v>ROJAS CANCINO MADELEINE</v>
      </c>
      <c r="V86" t="str">
        <f>IFERROR(__xludf.DUMMYFUNCTION("""COMPUTED_VALUE"""),"18925942-5")</f>
        <v>18925942-5</v>
      </c>
      <c r="W86" t="str">
        <f>IFERROR(__xludf.DUMMYFUNCTION("""COMPUTED_VALUE"""),"SI")</f>
        <v>SI</v>
      </c>
      <c r="X86" t="str">
        <f>IFERROR(__xludf.DUMMYFUNCTION("""COMPUTED_VALUE"""),"Orientacion a los Resultados")</f>
        <v>Orientacion a los Resultados</v>
      </c>
      <c r="AA86" s="38">
        <f>IFERROR(__xludf.DUMMYFUNCTION("""COMPUTED_VALUE"""),43735.0)</f>
        <v>43735</v>
      </c>
      <c r="AB86" s="38">
        <f>IFERROR(__xludf.DUMMYFUNCTION("""COMPUTED_VALUE"""),43742.0)</f>
        <v>43742</v>
      </c>
      <c r="AH86" t="str">
        <f>IFERROR(__xludf.DUMMYFUNCTION("""COMPUTED_VALUE"""),"PROCESO DE SELECCIÓN")</f>
        <v>PROCESO DE SELECCIÓN</v>
      </c>
      <c r="AI86" t="str">
        <f>IFERROR(__xludf.DUMMYFUNCTION("""COMPUTED_VALUE"""),"BEECHER PARRA GUISELLA")</f>
        <v>BEECHER PARRA GUISELLA</v>
      </c>
      <c r="AK86" t="str">
        <f>IFERROR(__xludf.DUMMYFUNCTION("""COMPUTED_VALUE"""),"E")</f>
        <v>E</v>
      </c>
      <c r="AL86">
        <f>IFERROR(__xludf.DUMMYFUNCTION("""COMPUTED_VALUE"""),42.0)</f>
        <v>42</v>
      </c>
      <c r="AM86">
        <f>IFERROR(__xludf.DUMMYFUNCTION("""COMPUTED_VALUE"""),2019.0)</f>
        <v>2019</v>
      </c>
    </row>
    <row r="87">
      <c r="A87">
        <f>IFERROR(__xludf.DUMMYFUNCTION("""COMPUTED_VALUE"""),1.8702008E7)</f>
        <v>18702008</v>
      </c>
      <c r="B87">
        <f>IFERROR(__xludf.DUMMYFUNCTION("""COMPUTED_VALUE"""),87.0)</f>
        <v>87</v>
      </c>
      <c r="C87" t="str">
        <f>IFERROR(__xludf.DUMMYFUNCTION("""COMPUTED_VALUE"""),"A367")</f>
        <v>A367</v>
      </c>
      <c r="D87" t="str">
        <f>IFERROR(__xludf.DUMMYFUNCTION("""COMPUTED_VALUE"""),"3")</f>
        <v>3</v>
      </c>
      <c r="E87" t="str">
        <f>IFERROR(__xludf.DUMMYFUNCTION("""COMPUTED_VALUE"""),"DPTO. DE FINANZAS Y TESORERIA")</f>
        <v>DPTO. DE FINANZAS Y TESORERIA</v>
      </c>
      <c r="F87" t="str">
        <f>IFERROR(__xludf.DUMMYFUNCTION("""COMPUTED_VALUE"""),"Técnico(a) Contable")</f>
        <v>Técnico(a) Contable</v>
      </c>
      <c r="G87" t="str">
        <f>IFERROR(__xludf.DUMMYFUNCTION("""COMPUTED_VALUE"""),"TECNICO CONTABLE ( CONCILIACIONES BANCARIAS)")</f>
        <v>TECNICO CONTABLE ( CONCILIACIONES BANCARIAS)</v>
      </c>
      <c r="H87">
        <f>IFERROR(__xludf.DUMMYFUNCTION("""COMPUTED_VALUE"""),14.0)</f>
        <v>14</v>
      </c>
      <c r="I87" t="str">
        <f>IFERROR(__xludf.DUMMYFUNCTION("""COMPUTED_VALUE"""),"Jornada Completa")</f>
        <v>Jornada Completa</v>
      </c>
      <c r="J87" t="str">
        <f>IFERROR(__xludf.DUMMYFUNCTION("""COMPUTED_VALUE"""),"A CONTRATA")</f>
        <v>A CONTRATA</v>
      </c>
      <c r="K87" t="str">
        <f>IFERROR(__xludf.DUMMYFUNCTION("""COMPUTED_VALUE"""),"TECNICO")</f>
        <v>TECNICO</v>
      </c>
      <c r="L87" t="str">
        <f>IFERROR(__xludf.DUMMYFUNCTION("""COMPUTED_VALUE"""),"INTERNO")</f>
        <v>INTERNO</v>
      </c>
      <c r="M87">
        <f>IFERROR(__xludf.DUMMYFUNCTION("""COMPUTED_VALUE"""),3.0)</f>
        <v>3</v>
      </c>
      <c r="N87" t="str">
        <f>IFERROR(__xludf.DUMMYFUNCTION("""COMPUTED_VALUE"""),"NO")</f>
        <v>NO</v>
      </c>
      <c r="P87">
        <f>IFERROR(__xludf.DUMMYFUNCTION("""COMPUTED_VALUE"""),1.0)</f>
        <v>1</v>
      </c>
      <c r="Q87">
        <f>IFERROR(__xludf.DUMMYFUNCTION("""COMPUTED_VALUE"""),0.0)</f>
        <v>0</v>
      </c>
      <c r="R87" s="45" t="str">
        <f>IFERROR(__xludf.DUMMYFUNCTION("""COMPUTED_VALUE"""),"SELECCIONADA")</f>
        <v>SELECCIONADA</v>
      </c>
      <c r="S87" s="38">
        <f>IFERROR(__xludf.DUMMYFUNCTION("""COMPUTED_VALUE"""),43832.0)</f>
        <v>43832</v>
      </c>
      <c r="T87" t="str">
        <f>IFERROR(__xludf.DUMMYFUNCTION("""COMPUTED_VALUE"""),"GOMEZ ALFARO GISSELLA ANDREA")</f>
        <v>GOMEZ ALFARO GISSELLA ANDREA</v>
      </c>
      <c r="V87" t="str">
        <f>IFERROR(__xludf.DUMMYFUNCTION("""COMPUTED_VALUE"""),"18702008-5")</f>
        <v>18702008-5</v>
      </c>
      <c r="W87" t="str">
        <f>IFERROR(__xludf.DUMMYFUNCTION("""COMPUTED_VALUE"""),"NO")</f>
        <v>NO</v>
      </c>
      <c r="AA87" s="38">
        <f>IFERROR(__xludf.DUMMYFUNCTION("""COMPUTED_VALUE"""),43783.0)</f>
        <v>43783</v>
      </c>
      <c r="AB87" s="38">
        <f>IFERROR(__xludf.DUMMYFUNCTION("""COMPUTED_VALUE"""),43790.0)</f>
        <v>43790</v>
      </c>
      <c r="AH87" t="str">
        <f>IFERROR(__xludf.DUMMYFUNCTION("""COMPUTED_VALUE"""),"PROCESO DE SELECCIÓN")</f>
        <v>PROCESO DE SELECCIÓN</v>
      </c>
      <c r="AI87" t="str">
        <f>IFERROR(__xludf.DUMMYFUNCTION("""COMPUTED_VALUE"""),"SALGADO CAYUL TAMARA")</f>
        <v>SALGADO CAYUL TAMARA</v>
      </c>
      <c r="AK87" t="str">
        <f>IFERROR(__xludf.DUMMYFUNCTION("""COMPUTED_VALUE"""),"C")</f>
        <v>C</v>
      </c>
      <c r="AL87">
        <f>IFERROR(__xludf.DUMMYFUNCTION("""COMPUTED_VALUE"""),31.0)</f>
        <v>31</v>
      </c>
      <c r="AM87">
        <f>IFERROR(__xludf.DUMMYFUNCTION("""COMPUTED_VALUE"""),2019.0)</f>
        <v>2019</v>
      </c>
    </row>
    <row r="88">
      <c r="A88">
        <f>IFERROR(__xludf.DUMMYFUNCTION("""COMPUTED_VALUE"""),9589121.0)</f>
        <v>9589121</v>
      </c>
      <c r="B88">
        <f>IFERROR(__xludf.DUMMYFUNCTION("""COMPUTED_VALUE"""),88.0)</f>
        <v>88</v>
      </c>
      <c r="C88" t="str">
        <f>IFERROR(__xludf.DUMMYFUNCTION("""COMPUTED_VALUE"""),"A411")</f>
        <v>A411</v>
      </c>
      <c r="D88" t="str">
        <f>IFERROR(__xludf.DUMMYFUNCTION("""COMPUTED_VALUE"""),"40")</f>
        <v>40</v>
      </c>
      <c r="E88" t="str">
        <f>IFERROR(__xludf.DUMMYFUNCTION("""COMPUTED_VALUE"""),"DPTO. DE INGENIERIA INDUSTRIAL")</f>
        <v>DPTO. DE INGENIERIA INDUSTRIAL</v>
      </c>
      <c r="F88" t="str">
        <f>IFERROR(__xludf.DUMMYFUNCTION("""COMPUTED_VALUE"""),"Analista de Gestión I")</f>
        <v>Analista de Gestión I</v>
      </c>
      <c r="G88" t="str">
        <f>IFERROR(__xludf.DUMMYFUNCTION("""COMPUTED_VALUE"""),"ANALISTA DE GESTION I ( COORDINADOR DOCENTE)")</f>
        <v>ANALISTA DE GESTION I ( COORDINADOR DOCENTE)</v>
      </c>
      <c r="H88">
        <f>IFERROR(__xludf.DUMMYFUNCTION("""COMPUTED_VALUE"""),10.0)</f>
        <v>10</v>
      </c>
      <c r="I88" t="str">
        <f>IFERROR(__xludf.DUMMYFUNCTION("""COMPUTED_VALUE"""),"Jornada Completa")</f>
        <v>Jornada Completa</v>
      </c>
      <c r="J88" t="str">
        <f>IFERROR(__xludf.DUMMYFUNCTION("""COMPUTED_VALUE"""),"A CONTRATA")</f>
        <v>A CONTRATA</v>
      </c>
      <c r="K88" t="str">
        <f>IFERROR(__xludf.DUMMYFUNCTION("""COMPUTED_VALUE"""),"PROFESIONAL")</f>
        <v>PROFESIONAL</v>
      </c>
      <c r="L88" t="str">
        <f>IFERROR(__xludf.DUMMYFUNCTION("""COMPUTED_VALUE"""),"INTERNO")</f>
        <v>INTERNO</v>
      </c>
      <c r="M88">
        <f>IFERROR(__xludf.DUMMYFUNCTION("""COMPUTED_VALUE"""),11.0)</f>
        <v>11</v>
      </c>
      <c r="N88" t="str">
        <f>IFERROR(__xludf.DUMMYFUNCTION("""COMPUTED_VALUE"""),"NO")</f>
        <v>NO</v>
      </c>
      <c r="P88">
        <f>IFERROR(__xludf.DUMMYFUNCTION("""COMPUTED_VALUE"""),2.0)</f>
        <v>2</v>
      </c>
      <c r="Q88">
        <f>IFERROR(__xludf.DUMMYFUNCTION("""COMPUTED_VALUE"""),0.0)</f>
        <v>0</v>
      </c>
      <c r="R88" s="45" t="str">
        <f>IFERROR(__xludf.DUMMYFUNCTION("""COMPUTED_VALUE"""),"SELECCIONADA")</f>
        <v>SELECCIONADA</v>
      </c>
      <c r="S88" s="38">
        <f>IFERROR(__xludf.DUMMYFUNCTION("""COMPUTED_VALUE"""),43831.0)</f>
        <v>43831</v>
      </c>
      <c r="T88" t="str">
        <f>IFERROR(__xludf.DUMMYFUNCTION("""COMPUTED_VALUE"""),"SILVA BUCAREI ESTER DE LAS MERCEDES")</f>
        <v>SILVA BUCAREI ESTER DE LAS MERCEDES</v>
      </c>
      <c r="V88" t="str">
        <f>IFERROR(__xludf.DUMMYFUNCTION("""COMPUTED_VALUE"""),"9589121-7")</f>
        <v>9589121-7</v>
      </c>
      <c r="W88" t="str">
        <f>IFERROR(__xludf.DUMMYFUNCTION("""COMPUTED_VALUE"""),"SI")</f>
        <v>SI</v>
      </c>
      <c r="X88" t="str">
        <f>IFERROR(__xludf.DUMMYFUNCTION("""COMPUTED_VALUE"""),"Pensamiento Analitico")</f>
        <v>Pensamiento Analitico</v>
      </c>
      <c r="AA88" s="38">
        <f>IFERROR(__xludf.DUMMYFUNCTION("""COMPUTED_VALUE"""),43740.0)</f>
        <v>43740</v>
      </c>
      <c r="AB88" s="38">
        <f>IFERROR(__xludf.DUMMYFUNCTION("""COMPUTED_VALUE"""),43747.0)</f>
        <v>43747</v>
      </c>
      <c r="AH88" t="str">
        <f>IFERROR(__xludf.DUMMYFUNCTION("""COMPUTED_VALUE"""),"PROCESO DE SELECCIÓN")</f>
        <v>PROCESO DE SELECCIÓN</v>
      </c>
      <c r="AI88" t="str">
        <f>IFERROR(__xludf.DUMMYFUNCTION("""COMPUTED_VALUE"""),"DIAZ GONZALEZ MIGUEL")</f>
        <v>DIAZ GONZALEZ MIGUEL</v>
      </c>
      <c r="AK88" t="str">
        <f>IFERROR(__xludf.DUMMYFUNCTION("""COMPUTED_VALUE"""),"C")</f>
        <v>C</v>
      </c>
      <c r="AL88">
        <f>IFERROR(__xludf.DUMMYFUNCTION("""COMPUTED_VALUE"""),61.0)</f>
        <v>61</v>
      </c>
      <c r="AM88">
        <f>IFERROR(__xludf.DUMMYFUNCTION("""COMPUTED_VALUE"""),2019.0)</f>
        <v>2019</v>
      </c>
    </row>
    <row r="89">
      <c r="A89">
        <f>IFERROR(__xludf.DUMMYFUNCTION("""COMPUTED_VALUE"""),2.019816E7)</f>
        <v>20198160</v>
      </c>
      <c r="B89">
        <f>IFERROR(__xludf.DUMMYFUNCTION("""COMPUTED_VALUE"""),89.0)</f>
        <v>89</v>
      </c>
      <c r="C89" t="str">
        <f>IFERROR(__xludf.DUMMYFUNCTION("""COMPUTED_VALUE"""),"A319")</f>
        <v>A319</v>
      </c>
      <c r="D89" t="str">
        <f>IFERROR(__xludf.DUMMYFUNCTION("""COMPUTED_VALUE"""),"65")</f>
        <v>65</v>
      </c>
      <c r="E89" t="str">
        <f>IFERROR(__xludf.DUMMYFUNCTION("""COMPUTED_VALUE"""),"FACULTAD TECNOLOGICA")</f>
        <v>FACULTAD TECNOLOGICA</v>
      </c>
      <c r="F89" t="str">
        <f>IFERROR(__xludf.DUMMYFUNCTION("""COMPUTED_VALUE"""),"Asistente de Biblioteca")</f>
        <v>Asistente de Biblioteca</v>
      </c>
      <c r="G89" t="str">
        <f>IFERROR(__xludf.DUMMYFUNCTION("""COMPUTED_VALUE"""),"ASISTENTE DE BIBLIOTECA")</f>
        <v>ASISTENTE DE BIBLIOTECA</v>
      </c>
      <c r="H89">
        <f>IFERROR(__xludf.DUMMYFUNCTION("""COMPUTED_VALUE"""),20.0)</f>
        <v>20</v>
      </c>
      <c r="I89" t="str">
        <f>IFERROR(__xludf.DUMMYFUNCTION("""COMPUTED_VALUE"""),"Jornada Completa")</f>
        <v>Jornada Completa</v>
      </c>
      <c r="J89" t="str">
        <f>IFERROR(__xludf.DUMMYFUNCTION("""COMPUTED_VALUE"""),"A CONTRATA")</f>
        <v>A CONTRATA</v>
      </c>
      <c r="K89" t="str">
        <f>IFERROR(__xludf.DUMMYFUNCTION("""COMPUTED_VALUE"""),"ADMINISTRATIVO")</f>
        <v>ADMINISTRATIVO</v>
      </c>
      <c r="L89" t="str">
        <f>IFERROR(__xludf.DUMMYFUNCTION("""COMPUTED_VALUE"""),"INTERNO")</f>
        <v>INTERNO</v>
      </c>
      <c r="M89">
        <f>IFERROR(__xludf.DUMMYFUNCTION("""COMPUTED_VALUE"""),1.0)</f>
        <v>1</v>
      </c>
      <c r="N89" t="str">
        <f>IFERROR(__xludf.DUMMYFUNCTION("""COMPUTED_VALUE"""),"EXTERNO")</f>
        <v>EXTERNO</v>
      </c>
      <c r="O89">
        <f>IFERROR(__xludf.DUMMYFUNCTION("""COMPUTED_VALUE"""),15.0)</f>
        <v>15</v>
      </c>
      <c r="P89">
        <f>IFERROR(__xludf.DUMMYFUNCTION("""COMPUTED_VALUE"""),2.0)</f>
        <v>2</v>
      </c>
      <c r="Q89">
        <f>IFERROR(__xludf.DUMMYFUNCTION("""COMPUTED_VALUE"""),1.0)</f>
        <v>1</v>
      </c>
      <c r="R89" s="45" t="str">
        <f>IFERROR(__xludf.DUMMYFUNCTION("""COMPUTED_VALUE"""),"SELECCIONADO")</f>
        <v>SELECCIONADO</v>
      </c>
      <c r="S89" s="38">
        <f>IFERROR(__xludf.DUMMYFUNCTION("""COMPUTED_VALUE"""),43815.0)</f>
        <v>43815</v>
      </c>
      <c r="U89" t="str">
        <f>IFERROR(__xludf.DUMMYFUNCTION("""COMPUTED_VALUE"""),"MERIÑO VALDIVIA BRAULIO")</f>
        <v>MERIÑO VALDIVIA BRAULIO</v>
      </c>
      <c r="V89" t="str">
        <f>IFERROR(__xludf.DUMMYFUNCTION("""COMPUTED_VALUE"""),"20198160-3")</f>
        <v>20198160-3</v>
      </c>
      <c r="W89" t="str">
        <f>IFERROR(__xludf.DUMMYFUNCTION("""COMPUTED_VALUE"""),"SI")</f>
        <v>SI</v>
      </c>
      <c r="X89" t="str">
        <f>IFERROR(__xludf.DUMMYFUNCTION("""COMPUTED_VALUE"""),"Trabajo en Equipo")</f>
        <v>Trabajo en Equipo</v>
      </c>
      <c r="AA89" s="38">
        <f>IFERROR(__xludf.DUMMYFUNCTION("""COMPUTED_VALUE"""),43775.0)</f>
        <v>43775</v>
      </c>
      <c r="AB89" s="38">
        <f>IFERROR(__xludf.DUMMYFUNCTION("""COMPUTED_VALUE"""),43782.0)</f>
        <v>43782</v>
      </c>
      <c r="AH89" t="str">
        <f>IFERROR(__xludf.DUMMYFUNCTION("""COMPUTED_VALUE"""),"PROCESO DE SELECCIÓN")</f>
        <v>PROCESO DE SELECCIÓN</v>
      </c>
      <c r="AI89" t="str">
        <f>IFERROR(__xludf.DUMMYFUNCTION("""COMPUTED_VALUE"""),"AGUILA VILLEGAS SHIRLEY")</f>
        <v>AGUILA VILLEGAS SHIRLEY</v>
      </c>
      <c r="AK89" t="str">
        <f>IFERROR(__xludf.DUMMYFUNCTION("""COMPUTED_VALUE"""),"E")</f>
        <v>E</v>
      </c>
      <c r="AL89">
        <f>IFERROR(__xludf.DUMMYFUNCTION("""COMPUTED_VALUE"""),24.0)</f>
        <v>24</v>
      </c>
      <c r="AM89">
        <f>IFERROR(__xludf.DUMMYFUNCTION("""COMPUTED_VALUE"""),2019.0)</f>
        <v>2019</v>
      </c>
    </row>
    <row r="90">
      <c r="A90">
        <f>IFERROR(__xludf.DUMMYFUNCTION("""COMPUTED_VALUE"""),1.249753E7)</f>
        <v>12497530</v>
      </c>
      <c r="B90">
        <f>IFERROR(__xludf.DUMMYFUNCTION("""COMPUTED_VALUE"""),90.0)</f>
        <v>90</v>
      </c>
      <c r="C90" t="str">
        <f>IFERROR(__xludf.DUMMYFUNCTION("""COMPUTED_VALUE"""),"A413")</f>
        <v>A413</v>
      </c>
      <c r="D90" t="str">
        <f>IFERROR(__xludf.DUMMYFUNCTION("""COMPUTED_VALUE"""),"3")</f>
        <v>3</v>
      </c>
      <c r="E90" t="str">
        <f>IFERROR(__xludf.DUMMYFUNCTION("""COMPUTED_VALUE"""),"UNIDAD DE GESTION DEL CAMPUS")</f>
        <v>UNIDAD DE GESTION DEL CAMPUS</v>
      </c>
      <c r="F90" t="str">
        <f>IFERROR(__xludf.DUMMYFUNCTION("""COMPUTED_VALUE"""),"Jefe(a) de Área")</f>
        <v>Jefe(a) de Área</v>
      </c>
      <c r="G90" t="str">
        <f>IFERROR(__xludf.DUMMYFUNCTION("""COMPUTED_VALUE"""),"JEFE DE AREA VIGILANCIA Y SEGURIDAD")</f>
        <v>JEFE DE AREA VIGILANCIA Y SEGURIDAD</v>
      </c>
      <c r="H90">
        <f>IFERROR(__xludf.DUMMYFUNCTION("""COMPUTED_VALUE"""),6.0)</f>
        <v>6</v>
      </c>
      <c r="I90" t="str">
        <f>IFERROR(__xludf.DUMMYFUNCTION("""COMPUTED_VALUE"""),"Jornada Completa")</f>
        <v>Jornada Completa</v>
      </c>
      <c r="J90" t="str">
        <f>IFERROR(__xludf.DUMMYFUNCTION("""COMPUTED_VALUE"""),"A CONTRATA")</f>
        <v>A CONTRATA</v>
      </c>
      <c r="K90" t="str">
        <f>IFERROR(__xludf.DUMMYFUNCTION("""COMPUTED_VALUE"""),"PROFESIONAL")</f>
        <v>PROFESIONAL</v>
      </c>
      <c r="L90" t="str">
        <f>IFERROR(__xludf.DUMMYFUNCTION("""COMPUTED_VALUE"""),"NO")</f>
        <v>NO</v>
      </c>
      <c r="M90">
        <f>IFERROR(__xludf.DUMMYFUNCTION("""COMPUTED_VALUE"""),46.0)</f>
        <v>46</v>
      </c>
      <c r="N90" t="str">
        <f>IFERROR(__xludf.DUMMYFUNCTION("""COMPUTED_VALUE"""),"NO")</f>
        <v>NO</v>
      </c>
      <c r="P90">
        <f>IFERROR(__xludf.DUMMYFUNCTION("""COMPUTED_VALUE"""),3.0)</f>
        <v>3</v>
      </c>
      <c r="Q90">
        <f>IFERROR(__xludf.DUMMYFUNCTION("""COMPUTED_VALUE"""),0.0)</f>
        <v>0</v>
      </c>
      <c r="R90" s="45" t="str">
        <f>IFERROR(__xludf.DUMMYFUNCTION("""COMPUTED_VALUE"""),"SELECCIONADO")</f>
        <v>SELECCIONADO</v>
      </c>
      <c r="S90" s="38">
        <f>IFERROR(__xludf.DUMMYFUNCTION("""COMPUTED_VALUE"""),43816.0)</f>
        <v>43816</v>
      </c>
      <c r="U90" t="str">
        <f>IFERROR(__xludf.DUMMYFUNCTION("""COMPUTED_VALUE"""),"HERMAN MORENO FARFAN")</f>
        <v>HERMAN MORENO FARFAN</v>
      </c>
      <c r="V90" t="str">
        <f>IFERROR(__xludf.DUMMYFUNCTION("""COMPUTED_VALUE"""),"12497530-1")</f>
        <v>12497530-1</v>
      </c>
      <c r="W90" t="str">
        <f>IFERROR(__xludf.DUMMYFUNCTION("""COMPUTED_VALUE"""),"NO")</f>
        <v>NO</v>
      </c>
      <c r="AA90" s="38">
        <f>IFERROR(__xludf.DUMMYFUNCTION("""COMPUTED_VALUE"""),43742.0)</f>
        <v>43742</v>
      </c>
      <c r="AB90" s="38">
        <f>IFERROR(__xludf.DUMMYFUNCTION("""COMPUTED_VALUE"""),43749.0)</f>
        <v>43749</v>
      </c>
      <c r="AH90" t="str">
        <f>IFERROR(__xludf.DUMMYFUNCTION("""COMPUTED_VALUE"""),"PROCESO DE SELECCIÓN")</f>
        <v>PROCESO DE SELECCIÓN</v>
      </c>
      <c r="AI90" t="str">
        <f>IFERROR(__xludf.DUMMYFUNCTION("""COMPUTED_VALUE"""),"DURAN MOYA RENATO")</f>
        <v>DURAN MOYA RENATO</v>
      </c>
      <c r="AK90" t="str">
        <f>IFERROR(__xludf.DUMMYFUNCTION("""COMPUTED_VALUE"""),"E")</f>
        <v>E</v>
      </c>
      <c r="AL90">
        <f>IFERROR(__xludf.DUMMYFUNCTION("""COMPUTED_VALUE"""),48.0)</f>
        <v>48</v>
      </c>
      <c r="AM90">
        <f>IFERROR(__xludf.DUMMYFUNCTION("""COMPUTED_VALUE"""),2019.0)</f>
        <v>2019</v>
      </c>
    </row>
    <row r="91">
      <c r="A91">
        <f>IFERROR(__xludf.DUMMYFUNCTION("""COMPUTED_VALUE"""),1.4541363E7)</f>
        <v>14541363</v>
      </c>
      <c r="B91">
        <f>IFERROR(__xludf.DUMMYFUNCTION("""COMPUTED_VALUE"""),91.0)</f>
        <v>91</v>
      </c>
      <c r="C91" t="str">
        <f>IFERROR(__xludf.DUMMYFUNCTION("""COMPUTED_VALUE"""),"A409")</f>
        <v>A409</v>
      </c>
      <c r="D91" t="str">
        <f>IFERROR(__xludf.DUMMYFUNCTION("""COMPUTED_VALUE"""),"15")</f>
        <v>15</v>
      </c>
      <c r="E91" t="str">
        <f>IFERROR(__xludf.DUMMYFUNCTION("""COMPUTED_VALUE"""),"UNIDAD DE REGISTRO ACADEMICO Y CURRICULAR")</f>
        <v>UNIDAD DE REGISTRO ACADEMICO Y CURRICULAR</v>
      </c>
      <c r="F91" t="str">
        <f>IFERROR(__xludf.DUMMYFUNCTION("""COMPUTED_VALUE"""),"Analista Informático")</f>
        <v>Analista Informático</v>
      </c>
      <c r="G91" t="str">
        <f>IFERROR(__xludf.DUMMYFUNCTION("""COMPUTED_VALUE"""),"ANALISTA INFORMÁTICO")</f>
        <v>ANALISTA INFORMÁTICO</v>
      </c>
      <c r="H91">
        <f>IFERROR(__xludf.DUMMYFUNCTION("""COMPUTED_VALUE"""),10.0)</f>
        <v>10</v>
      </c>
      <c r="I91" t="str">
        <f>IFERROR(__xludf.DUMMYFUNCTION("""COMPUTED_VALUE"""),"Jornada Completa")</f>
        <v>Jornada Completa</v>
      </c>
      <c r="J91" t="str">
        <f>IFERROR(__xludf.DUMMYFUNCTION("""COMPUTED_VALUE"""),"A CONTRATA")</f>
        <v>A CONTRATA</v>
      </c>
      <c r="K91" t="str">
        <f>IFERROR(__xludf.DUMMYFUNCTION("""COMPUTED_VALUE"""),"PROFESIONAL")</f>
        <v>PROFESIONAL</v>
      </c>
      <c r="L91" t="str">
        <f>IFERROR(__xludf.DUMMYFUNCTION("""COMPUTED_VALUE"""),"INTERNO")</f>
        <v>INTERNO</v>
      </c>
      <c r="N91" t="str">
        <f>IFERROR(__xludf.DUMMYFUNCTION("""COMPUTED_VALUE"""),"EXTERNO")</f>
        <v>EXTERNO</v>
      </c>
      <c r="O91">
        <f>IFERROR(__xludf.DUMMYFUNCTION("""COMPUTED_VALUE"""),4.0)</f>
        <v>4</v>
      </c>
      <c r="P91">
        <f>IFERROR(__xludf.DUMMYFUNCTION("""COMPUTED_VALUE"""),1.0)</f>
        <v>1</v>
      </c>
      <c r="Q91">
        <f>IFERROR(__xludf.DUMMYFUNCTION("""COMPUTED_VALUE"""),0.0)</f>
        <v>0</v>
      </c>
      <c r="R91" s="45" t="str">
        <f>IFERROR(__xludf.DUMMYFUNCTION("""COMPUTED_VALUE"""),"SELECCIONADO")</f>
        <v>SELECCIONADO</v>
      </c>
      <c r="S91" s="38">
        <f>IFERROR(__xludf.DUMMYFUNCTION("""COMPUTED_VALUE"""),43843.0)</f>
        <v>43843</v>
      </c>
      <c r="U91" t="str">
        <f>IFERROR(__xludf.DUMMYFUNCTION("""COMPUTED_VALUE"""),"BURGOS VILLABLANCA EDGARDO")</f>
        <v>BURGOS VILLABLANCA EDGARDO</v>
      </c>
      <c r="V91" t="str">
        <f>IFERROR(__xludf.DUMMYFUNCTION("""COMPUTED_VALUE"""),"14541363-K")</f>
        <v>14541363-K</v>
      </c>
      <c r="W91" t="str">
        <f>IFERROR(__xludf.DUMMYFUNCTION("""COMPUTED_VALUE"""),"SI")</f>
        <v>SI</v>
      </c>
      <c r="X91" t="str">
        <f>IFERROR(__xludf.DUMMYFUNCTION("""COMPUTED_VALUE"""),"Capacidad de Planificacion y Organizacion")</f>
        <v>Capacidad de Planificacion y Organizacion</v>
      </c>
      <c r="Y91" t="str">
        <f>IFERROR(__xludf.DUMMYFUNCTION("""COMPUTED_VALUE"""),"Pensamiento Analitico")</f>
        <v>Pensamiento Analitico</v>
      </c>
      <c r="AA91" s="38">
        <f>IFERROR(__xludf.DUMMYFUNCTION("""COMPUTED_VALUE"""),43782.0)</f>
        <v>43782</v>
      </c>
      <c r="AB91" s="38">
        <f>IFERROR(__xludf.DUMMYFUNCTION("""COMPUTED_VALUE"""),43789.0)</f>
        <v>43789</v>
      </c>
      <c r="AH91" t="str">
        <f>IFERROR(__xludf.DUMMYFUNCTION("""COMPUTED_VALUE"""),"PROCESO DE SELECCIÓN")</f>
        <v>PROCESO DE SELECCIÓN</v>
      </c>
      <c r="AI91" t="str">
        <f>IFERROR(__xludf.DUMMYFUNCTION("""COMPUTED_VALUE"""),"MORAGA ESPINOZA ANA")</f>
        <v>MORAGA ESPINOZA ANA</v>
      </c>
      <c r="AK91" t="str">
        <f>IFERROR(__xludf.DUMMYFUNCTION("""COMPUTED_VALUE"""),"E")</f>
        <v>E</v>
      </c>
      <c r="AL91">
        <f>IFERROR(__xludf.DUMMYFUNCTION("""COMPUTED_VALUE"""),39.0)</f>
        <v>39</v>
      </c>
      <c r="AM91">
        <f>IFERROR(__xludf.DUMMYFUNCTION("""COMPUTED_VALUE"""),2019.0)</f>
        <v>2019</v>
      </c>
    </row>
    <row r="92">
      <c r="A92">
        <f>IFERROR(__xludf.DUMMYFUNCTION("""COMPUTED_VALUE"""),1.958401E7)</f>
        <v>19584010</v>
      </c>
      <c r="B92">
        <f>IFERROR(__xludf.DUMMYFUNCTION("""COMPUTED_VALUE"""),92.0)</f>
        <v>92</v>
      </c>
      <c r="C92" t="str">
        <f>IFERROR(__xludf.DUMMYFUNCTION("""COMPUTED_VALUE"""),"A292")</f>
        <v>A292</v>
      </c>
      <c r="D92" t="str">
        <f>IFERROR(__xludf.DUMMYFUNCTION("""COMPUTED_VALUE"""),"50")</f>
        <v>50</v>
      </c>
      <c r="E92" t="str">
        <f>IFERROR(__xludf.DUMMYFUNCTION("""COMPUTED_VALUE"""),"DPTO. DE FISICA")</f>
        <v>DPTO. DE FISICA</v>
      </c>
      <c r="F92" t="str">
        <f>IFERROR(__xludf.DUMMYFUNCTION("""COMPUTED_VALUE"""),"Asistente de Laboratorio")</f>
        <v>Asistente de Laboratorio</v>
      </c>
      <c r="G92" t="str">
        <f>IFERROR(__xludf.DUMMYFUNCTION("""COMPUTED_VALUE"""),"ASISTENTE DE LABORATORIO")</f>
        <v>ASISTENTE DE LABORATORIO</v>
      </c>
      <c r="H92">
        <f>IFERROR(__xludf.DUMMYFUNCTION("""COMPUTED_VALUE"""),20.0)</f>
        <v>20</v>
      </c>
      <c r="I92" t="str">
        <f>IFERROR(__xludf.DUMMYFUNCTION("""COMPUTED_VALUE"""),"Jornada Completa")</f>
        <v>Jornada Completa</v>
      </c>
      <c r="J92" t="str">
        <f>IFERROR(__xludf.DUMMYFUNCTION("""COMPUTED_VALUE"""),"A CONTRATA")</f>
        <v>A CONTRATA</v>
      </c>
      <c r="K92" t="str">
        <f>IFERROR(__xludf.DUMMYFUNCTION("""COMPUTED_VALUE"""),"TECNICO")</f>
        <v>TECNICO</v>
      </c>
      <c r="L92" t="str">
        <f>IFERROR(__xludf.DUMMYFUNCTION("""COMPUTED_VALUE"""),"INTERNO")</f>
        <v>INTERNO</v>
      </c>
      <c r="M92">
        <f>IFERROR(__xludf.DUMMYFUNCTION("""COMPUTED_VALUE"""),1.0)</f>
        <v>1</v>
      </c>
      <c r="N92" t="str">
        <f>IFERROR(__xludf.DUMMYFUNCTION("""COMPUTED_VALUE"""),"EXTERNO")</f>
        <v>EXTERNO</v>
      </c>
      <c r="O92">
        <f>IFERROR(__xludf.DUMMYFUNCTION("""COMPUTED_VALUE"""),11.0)</f>
        <v>11</v>
      </c>
      <c r="P92">
        <f>IFERROR(__xludf.DUMMYFUNCTION("""COMPUTED_VALUE"""),1.0)</f>
        <v>1</v>
      </c>
      <c r="Q92">
        <f>IFERROR(__xludf.DUMMYFUNCTION("""COMPUTED_VALUE"""),0.0)</f>
        <v>0</v>
      </c>
      <c r="R92" s="45" t="str">
        <f>IFERROR(__xludf.DUMMYFUNCTION("""COMPUTED_VALUE"""),"SELECCIONADA")</f>
        <v>SELECCIONADA</v>
      </c>
      <c r="S92" s="38">
        <f>IFERROR(__xludf.DUMMYFUNCTION("""COMPUTED_VALUE"""),43892.0)</f>
        <v>43892</v>
      </c>
      <c r="U92" t="str">
        <f>IFERROR(__xludf.DUMMYFUNCTION("""COMPUTED_VALUE"""),"MOYA CASTRO GABRIELA")</f>
        <v>MOYA CASTRO GABRIELA</v>
      </c>
      <c r="V92" t="str">
        <f>IFERROR(__xludf.DUMMYFUNCTION("""COMPUTED_VALUE"""),"19584010-5")</f>
        <v>19584010-5</v>
      </c>
      <c r="W92" t="str">
        <f>IFERROR(__xludf.DUMMYFUNCTION("""COMPUTED_VALUE"""),"NO")</f>
        <v>NO</v>
      </c>
      <c r="AA92" s="38">
        <f>IFERROR(__xludf.DUMMYFUNCTION("""COMPUTED_VALUE"""),43791.0)</f>
        <v>43791</v>
      </c>
      <c r="AB92" s="38">
        <f>IFERROR(__xludf.DUMMYFUNCTION("""COMPUTED_VALUE"""),43798.0)</f>
        <v>43798</v>
      </c>
      <c r="AH92" t="str">
        <f>IFERROR(__xludf.DUMMYFUNCTION("""COMPUTED_VALUE"""),"PROCESO DE SELECCIÓN")</f>
        <v>PROCESO DE SELECCIÓN</v>
      </c>
      <c r="AI92" t="str">
        <f>IFERROR(__xludf.DUMMYFUNCTION("""COMPUTED_VALUE"""),"GONZALEZ SANTANDER NATALIA")</f>
        <v>GONZALEZ SANTANDER NATALIA</v>
      </c>
      <c r="AK92" t="str">
        <f>IFERROR(__xludf.DUMMYFUNCTION("""COMPUTED_VALUE"""),"E")</f>
        <v>E</v>
      </c>
      <c r="AL92">
        <f>IFERROR(__xludf.DUMMYFUNCTION("""COMPUTED_VALUE"""),67.0)</f>
        <v>67</v>
      </c>
      <c r="AM92">
        <f>IFERROR(__xludf.DUMMYFUNCTION("""COMPUTED_VALUE"""),2019.0)</f>
        <v>2019</v>
      </c>
    </row>
    <row r="93">
      <c r="A93">
        <f>IFERROR(__xludf.DUMMYFUNCTION("""COMPUTED_VALUE"""),1.304178E7)</f>
        <v>13041780</v>
      </c>
      <c r="B93">
        <f>IFERROR(__xludf.DUMMYFUNCTION("""COMPUTED_VALUE"""),93.0)</f>
        <v>93</v>
      </c>
      <c r="C93" t="str">
        <f>IFERROR(__xludf.DUMMYFUNCTION("""COMPUTED_VALUE"""),"A422")</f>
        <v>A422</v>
      </c>
      <c r="D93" t="str">
        <f>IFERROR(__xludf.DUMMYFUNCTION("""COMPUTED_VALUE"""),"50")</f>
        <v>50</v>
      </c>
      <c r="E93" t="str">
        <f>IFERROR(__xludf.DUMMYFUNCTION("""COMPUTED_VALUE"""),"DPTO. DE FISICA")</f>
        <v>DPTO. DE FISICA</v>
      </c>
      <c r="F93" t="str">
        <f>IFERROR(__xludf.DUMMYFUNCTION("""COMPUTED_VALUE"""),"Mayordomo(a)")</f>
        <v>Mayordomo(a)</v>
      </c>
      <c r="G93" t="str">
        <f>IFERROR(__xludf.DUMMYFUNCTION("""COMPUTED_VALUE"""),"MAYORDOMO")</f>
        <v>MAYORDOMO</v>
      </c>
      <c r="H93">
        <f>IFERROR(__xludf.DUMMYFUNCTION("""COMPUTED_VALUE"""),21.0)</f>
        <v>21</v>
      </c>
      <c r="I93" t="str">
        <f>IFERROR(__xludf.DUMMYFUNCTION("""COMPUTED_VALUE"""),"Jornada Completa")</f>
        <v>Jornada Completa</v>
      </c>
      <c r="J93" t="str">
        <f>IFERROR(__xludf.DUMMYFUNCTION("""COMPUTED_VALUE"""),"A CONTRATA")</f>
        <v>A CONTRATA</v>
      </c>
      <c r="K93" t="str">
        <f>IFERROR(__xludf.DUMMYFUNCTION("""COMPUTED_VALUE"""),"AUXILIAR")</f>
        <v>AUXILIAR</v>
      </c>
      <c r="L93" t="str">
        <f>IFERROR(__xludf.DUMMYFUNCTION("""COMPUTED_VALUE"""),"INTERNO")</f>
        <v>INTERNO</v>
      </c>
      <c r="M93">
        <f>IFERROR(__xludf.DUMMYFUNCTION("""COMPUTED_VALUE"""),0.0)</f>
        <v>0</v>
      </c>
      <c r="N93" t="str">
        <f>IFERROR(__xludf.DUMMYFUNCTION("""COMPUTED_VALUE"""),"EXTERNO")</f>
        <v>EXTERNO</v>
      </c>
      <c r="O93">
        <f>IFERROR(__xludf.DUMMYFUNCTION("""COMPUTED_VALUE"""),13.0)</f>
        <v>13</v>
      </c>
      <c r="P93">
        <f>IFERROR(__xludf.DUMMYFUNCTION("""COMPUTED_VALUE"""),2.0)</f>
        <v>2</v>
      </c>
      <c r="Q93">
        <f>IFERROR(__xludf.DUMMYFUNCTION("""COMPUTED_VALUE"""),0.0)</f>
        <v>0</v>
      </c>
      <c r="R93" s="45" t="str">
        <f>IFERROR(__xludf.DUMMYFUNCTION("""COMPUTED_VALUE"""),"SELECCIONADO")</f>
        <v>SELECCIONADO</v>
      </c>
      <c r="S93" s="38">
        <f>IFERROR(__xludf.DUMMYFUNCTION("""COMPUTED_VALUE"""),43892.0)</f>
        <v>43892</v>
      </c>
      <c r="U93" t="str">
        <f>IFERROR(__xludf.DUMMYFUNCTION("""COMPUTED_VALUE"""),"SANTIBAÑEZ MILLAS HERNAN")</f>
        <v>SANTIBAÑEZ MILLAS HERNAN</v>
      </c>
      <c r="V93" t="str">
        <f>IFERROR(__xludf.DUMMYFUNCTION("""COMPUTED_VALUE"""),"13041780-9")</f>
        <v>13041780-9</v>
      </c>
      <c r="W93" t="str">
        <f>IFERROR(__xludf.DUMMYFUNCTION("""COMPUTED_VALUE"""),"SI")</f>
        <v>SI</v>
      </c>
      <c r="X93" t="str">
        <f>IFERROR(__xludf.DUMMYFUNCTION("""COMPUTED_VALUE"""),"Capacidad de Planificacion y Organizacion")</f>
        <v>Capacidad de Planificacion y Organizacion</v>
      </c>
      <c r="AA93" s="38">
        <f>IFERROR(__xludf.DUMMYFUNCTION("""COMPUTED_VALUE"""),43791.0)</f>
        <v>43791</v>
      </c>
      <c r="AB93" s="38">
        <f>IFERROR(__xludf.DUMMYFUNCTION("""COMPUTED_VALUE"""),43798.0)</f>
        <v>43798</v>
      </c>
      <c r="AH93" t="str">
        <f>IFERROR(__xludf.DUMMYFUNCTION("""COMPUTED_VALUE"""),"PROCESO DE SELECCIÓN")</f>
        <v>PROCESO DE SELECCIÓN</v>
      </c>
      <c r="AI93" t="str">
        <f>IFERROR(__xludf.DUMMYFUNCTION("""COMPUTED_VALUE"""),"RIFFO CAMPOS ALEXIS")</f>
        <v>RIFFO CAMPOS ALEXIS</v>
      </c>
      <c r="AK93" t="str">
        <f>IFERROR(__xludf.DUMMYFUNCTION("""COMPUTED_VALUE"""),"E")</f>
        <v>E</v>
      </c>
      <c r="AL93">
        <f>IFERROR(__xludf.DUMMYFUNCTION("""COMPUTED_VALUE"""),67.0)</f>
        <v>67</v>
      </c>
      <c r="AM93">
        <f>IFERROR(__xludf.DUMMYFUNCTION("""COMPUTED_VALUE"""),2019.0)</f>
        <v>2019</v>
      </c>
    </row>
    <row r="94">
      <c r="A94">
        <f>IFERROR(__xludf.DUMMYFUNCTION("""COMPUTED_VALUE"""),1.8665923E7)</f>
        <v>18665923</v>
      </c>
      <c r="B94">
        <f>IFERROR(__xludf.DUMMYFUNCTION("""COMPUTED_VALUE"""),94.0)</f>
        <v>94</v>
      </c>
      <c r="C94" t="str">
        <f>IFERROR(__xludf.DUMMYFUNCTION("""COMPUTED_VALUE"""),"A398")</f>
        <v>A398</v>
      </c>
      <c r="D94" t="str">
        <f>IFERROR(__xludf.DUMMYFUNCTION("""COMPUTED_VALUE"""),"120")</f>
        <v>120</v>
      </c>
      <c r="E94" t="str">
        <f>IFERROR(__xludf.DUMMYFUNCTION("""COMPUTED_VALUE"""),"DPTO. DE RELAC. INTERUNIV E INTERN")</f>
        <v>DPTO. DE RELAC. INTERUNIV E INTERN</v>
      </c>
      <c r="F94" t="str">
        <f>IFERROR(__xludf.DUMMYFUNCTION("""COMPUTED_VALUE"""),"ANALISTA DE GESTION II")</f>
        <v>ANALISTA DE GESTION II</v>
      </c>
      <c r="G94" t="str">
        <f>IFERROR(__xludf.DUMMYFUNCTION("""COMPUTED_VALUE"""),"ANALISTA DE GESTION II ATENCION AL VISITANTE INTERNACIONAL")</f>
        <v>ANALISTA DE GESTION II ATENCION AL VISITANTE INTERNACIONAL</v>
      </c>
      <c r="H94">
        <f>IFERROR(__xludf.DUMMYFUNCTION("""COMPUTED_VALUE"""),13.0)</f>
        <v>13</v>
      </c>
      <c r="I94" t="str">
        <f>IFERROR(__xludf.DUMMYFUNCTION("""COMPUTED_VALUE"""),"Jornada Completa")</f>
        <v>Jornada Completa</v>
      </c>
      <c r="J94" t="str">
        <f>IFERROR(__xludf.DUMMYFUNCTION("""COMPUTED_VALUE"""),"A CONTRATA")</f>
        <v>A CONTRATA</v>
      </c>
      <c r="K94" t="str">
        <f>IFERROR(__xludf.DUMMYFUNCTION("""COMPUTED_VALUE"""),"PROFESIONAL")</f>
        <v>PROFESIONAL</v>
      </c>
      <c r="L94" t="str">
        <f>IFERROR(__xludf.DUMMYFUNCTION("""COMPUTED_VALUE"""),"INTERNO")</f>
        <v>INTERNO</v>
      </c>
      <c r="M94">
        <f>IFERROR(__xludf.DUMMYFUNCTION("""COMPUTED_VALUE"""),1.0)</f>
        <v>1</v>
      </c>
      <c r="N94" t="str">
        <f>IFERROR(__xludf.DUMMYFUNCTION("""COMPUTED_VALUE"""),"EXTERNO")</f>
        <v>EXTERNO</v>
      </c>
      <c r="O94">
        <f>IFERROR(__xludf.DUMMYFUNCTION("""COMPUTED_VALUE"""),51.0)</f>
        <v>51</v>
      </c>
      <c r="P94">
        <f>IFERROR(__xludf.DUMMYFUNCTION("""COMPUTED_VALUE"""),4.0)</f>
        <v>4</v>
      </c>
      <c r="Q94">
        <f>IFERROR(__xludf.DUMMYFUNCTION("""COMPUTED_VALUE"""),1.0)</f>
        <v>1</v>
      </c>
      <c r="R94" s="45" t="str">
        <f>IFERROR(__xludf.DUMMYFUNCTION("""COMPUTED_VALUE"""),"SELECCIONADA")</f>
        <v>SELECCIONADA</v>
      </c>
      <c r="S94" s="38">
        <f>IFERROR(__xludf.DUMMYFUNCTION("""COMPUTED_VALUE"""),43892.0)</f>
        <v>43892</v>
      </c>
      <c r="U94" t="str">
        <f>IFERROR(__xludf.DUMMYFUNCTION("""COMPUTED_VALUE"""),"MONDACA AHRENS PAULA")</f>
        <v>MONDACA AHRENS PAULA</v>
      </c>
      <c r="V94" t="str">
        <f>IFERROR(__xludf.DUMMYFUNCTION("""COMPUTED_VALUE"""),"18665923-6")</f>
        <v>18665923-6</v>
      </c>
      <c r="W94" t="str">
        <f>IFERROR(__xludf.DUMMYFUNCTION("""COMPUTED_VALUE"""),"SI")</f>
        <v>SI</v>
      </c>
      <c r="X94" t="str">
        <f>IFERROR(__xludf.DUMMYFUNCTION("""COMPUTED_VALUE"""),"Iniciativa")</f>
        <v>Iniciativa</v>
      </c>
      <c r="AA94" s="38">
        <f>IFERROR(__xludf.DUMMYFUNCTION("""COMPUTED_VALUE"""),43812.0)</f>
        <v>43812</v>
      </c>
      <c r="AB94" s="38">
        <f>IFERROR(__xludf.DUMMYFUNCTION("""COMPUTED_VALUE"""),43819.0)</f>
        <v>43819</v>
      </c>
      <c r="AH94" t="str">
        <f>IFERROR(__xludf.DUMMYFUNCTION("""COMPUTED_VALUE"""),"PROCESO DE SELECCIÓN")</f>
        <v>PROCESO DE SELECCIÓN</v>
      </c>
      <c r="AI94" t="str">
        <f>IFERROR(__xludf.DUMMYFUNCTION("""COMPUTED_VALUE"""),"SILVA VARGAS LEANDRO")</f>
        <v>SILVA VARGAS LEANDRO</v>
      </c>
      <c r="AK94" t="str">
        <f>IFERROR(__xludf.DUMMYFUNCTION("""COMPUTED_VALUE"""),"E")</f>
        <v>E</v>
      </c>
      <c r="AL94">
        <f>IFERROR(__xludf.DUMMYFUNCTION("""COMPUTED_VALUE"""),52.0)</f>
        <v>52</v>
      </c>
      <c r="AM94">
        <f>IFERROR(__xludf.DUMMYFUNCTION("""COMPUTED_VALUE"""),2019.0)</f>
        <v>2019</v>
      </c>
    </row>
    <row r="95">
      <c r="A95">
        <f>IFERROR(__xludf.DUMMYFUNCTION("""COMPUTED_VALUE"""),1.8991732E7)</f>
        <v>18991732</v>
      </c>
      <c r="B95">
        <f>IFERROR(__xludf.DUMMYFUNCTION("""COMPUTED_VALUE"""),95.0)</f>
        <v>95</v>
      </c>
      <c r="C95" t="str">
        <f>IFERROR(__xludf.DUMMYFUNCTION("""COMPUTED_VALUE"""),"A478")</f>
        <v>A478</v>
      </c>
      <c r="D95" t="str">
        <f>IFERROR(__xludf.DUMMYFUNCTION("""COMPUTED_VALUE"""),"3")</f>
        <v>3</v>
      </c>
      <c r="E95" t="str">
        <f>IFERROR(__xludf.DUMMYFUNCTION("""COMPUTED_VALUE"""),"UNIDAD DE DESARR. PROYECTOS TECN.")</f>
        <v>UNIDAD DE DESARR. PROYECTOS TECN.</v>
      </c>
      <c r="F95" t="str">
        <f>IFERROR(__xludf.DUMMYFUNCTION("""COMPUTED_VALUE"""),"Desarrollador(a) Técnico(a) ")</f>
        <v>Desarrollador(a) Técnico(a) </v>
      </c>
      <c r="G95" t="str">
        <f>IFERROR(__xludf.DUMMYFUNCTION("""COMPUTED_VALUE"""),"DESARROLLADOR TECNICO TI")</f>
        <v>DESARROLLADOR TECNICO TI</v>
      </c>
      <c r="H95">
        <f>IFERROR(__xludf.DUMMYFUNCTION("""COMPUTED_VALUE"""),10.0)</f>
        <v>10</v>
      </c>
      <c r="I95" t="str">
        <f>IFERROR(__xludf.DUMMYFUNCTION("""COMPUTED_VALUE"""),"Jornada Completa")</f>
        <v>Jornada Completa</v>
      </c>
      <c r="J95" t="str">
        <f>IFERROR(__xludf.DUMMYFUNCTION("""COMPUTED_VALUE"""),"A CONTRATA")</f>
        <v>A CONTRATA</v>
      </c>
      <c r="K95" t="str">
        <f>IFERROR(__xludf.DUMMYFUNCTION("""COMPUTED_VALUE"""),"PROFESIONAL")</f>
        <v>PROFESIONAL</v>
      </c>
      <c r="L95" t="str">
        <f>IFERROR(__xludf.DUMMYFUNCTION("""COMPUTED_VALUE"""),"NO")</f>
        <v>NO</v>
      </c>
      <c r="M95">
        <f>IFERROR(__xludf.DUMMYFUNCTION("""COMPUTED_VALUE"""),0.0)</f>
        <v>0</v>
      </c>
      <c r="N95" t="str">
        <f>IFERROR(__xludf.DUMMYFUNCTION("""COMPUTED_VALUE"""),"EXTERNO")</f>
        <v>EXTERNO</v>
      </c>
      <c r="O95">
        <f>IFERROR(__xludf.DUMMYFUNCTION("""COMPUTED_VALUE"""),2.0)</f>
        <v>2</v>
      </c>
      <c r="P95">
        <f>IFERROR(__xludf.DUMMYFUNCTION("""COMPUTED_VALUE"""),2.0)</f>
        <v>2</v>
      </c>
      <c r="Q95">
        <f>IFERROR(__xludf.DUMMYFUNCTION("""COMPUTED_VALUE"""),0.0)</f>
        <v>0</v>
      </c>
      <c r="R95" s="45" t="str">
        <f>IFERROR(__xludf.DUMMYFUNCTION("""COMPUTED_VALUE"""),"SELECCIONADO")</f>
        <v>SELECCIONADO</v>
      </c>
      <c r="S95" s="38">
        <f>IFERROR(__xludf.DUMMYFUNCTION("""COMPUTED_VALUE"""),43900.0)</f>
        <v>43900</v>
      </c>
      <c r="U95" t="str">
        <f>IFERROR(__xludf.DUMMYFUNCTION("""COMPUTED_VALUE"""),"SEPULVEDA CABAS CRISTIAN")</f>
        <v>SEPULVEDA CABAS CRISTIAN</v>
      </c>
      <c r="V95" t="str">
        <f>IFERROR(__xludf.DUMMYFUNCTION("""COMPUTED_VALUE"""),"18991732-5")</f>
        <v>18991732-5</v>
      </c>
      <c r="W95" t="str">
        <f>IFERROR(__xludf.DUMMYFUNCTION("""COMPUTED_VALUE"""),"SI")</f>
        <v>SI</v>
      </c>
      <c r="X95" t="str">
        <f>IFERROR(__xludf.DUMMYFUNCTION("""COMPUTED_VALUE"""),"Capacidad de Planificacion y Organizacion")</f>
        <v>Capacidad de Planificacion y Organizacion</v>
      </c>
      <c r="AA95" s="38">
        <f>IFERROR(__xludf.DUMMYFUNCTION("""COMPUTED_VALUE"""),43889.0)</f>
        <v>43889</v>
      </c>
      <c r="AB95" s="38">
        <f>IFERROR(__xludf.DUMMYFUNCTION("""COMPUTED_VALUE"""),43892.0)</f>
        <v>43892</v>
      </c>
      <c r="AH95" t="str">
        <f>IFERROR(__xludf.DUMMYFUNCTION("""COMPUTED_VALUE"""),"PROCESO DE SELECCIÓN")</f>
        <v>PROCESO DE SELECCIÓN</v>
      </c>
      <c r="AI95" t="str">
        <f>IFERROR(__xludf.DUMMYFUNCTION("""COMPUTED_VALUE"""),"-")</f>
        <v>-</v>
      </c>
      <c r="AK95" t="str">
        <f>IFERROR(__xludf.DUMMYFUNCTION("""COMPUTED_VALUE"""),"P")</f>
        <v>P</v>
      </c>
      <c r="AL95">
        <f>IFERROR(__xludf.DUMMYFUNCTION("""COMPUTED_VALUE"""),7.0)</f>
        <v>7</v>
      </c>
      <c r="AM95">
        <f>IFERROR(__xludf.DUMMYFUNCTION("""COMPUTED_VALUE"""),2019.0)</f>
        <v>2019</v>
      </c>
    </row>
    <row r="96">
      <c r="A96">
        <f>IFERROR(__xludf.DUMMYFUNCTION("""COMPUTED_VALUE"""),1.8204469E7)</f>
        <v>18204469</v>
      </c>
      <c r="B96">
        <f>IFERROR(__xludf.DUMMYFUNCTION("""COMPUTED_VALUE"""),96.0)</f>
        <v>96</v>
      </c>
      <c r="C96" t="str">
        <f>IFERROR(__xludf.DUMMYFUNCTION("""COMPUTED_VALUE"""),"A479")</f>
        <v>A479</v>
      </c>
      <c r="D96" t="str">
        <f>IFERROR(__xludf.DUMMYFUNCTION("""COMPUTED_VALUE"""),"3")</f>
        <v>3</v>
      </c>
      <c r="E96" t="str">
        <f>IFERROR(__xludf.DUMMYFUNCTION("""COMPUTED_VALUE"""),"UNIDAD DE DESARR. PROYECTOS TECN.")</f>
        <v>UNIDAD DE DESARR. PROYECTOS TECN.</v>
      </c>
      <c r="F96" t="str">
        <f>IFERROR(__xludf.DUMMYFUNCTION("""COMPUTED_VALUE"""),"Desarrollador(a) Técnico(a) ")</f>
        <v>Desarrollador(a) Técnico(a) </v>
      </c>
      <c r="G96" t="str">
        <f>IFERROR(__xludf.DUMMYFUNCTION("""COMPUTED_VALUE"""),"DESARROLLADOR TECNICO TI")</f>
        <v>DESARROLLADOR TECNICO TI</v>
      </c>
      <c r="H96">
        <f>IFERROR(__xludf.DUMMYFUNCTION("""COMPUTED_VALUE"""),10.0)</f>
        <v>10</v>
      </c>
      <c r="I96" t="str">
        <f>IFERROR(__xludf.DUMMYFUNCTION("""COMPUTED_VALUE"""),"Jornada Completa")</f>
        <v>Jornada Completa</v>
      </c>
      <c r="J96" t="str">
        <f>IFERROR(__xludf.DUMMYFUNCTION("""COMPUTED_VALUE"""),"A CONTRATA")</f>
        <v>A CONTRATA</v>
      </c>
      <c r="K96" t="str">
        <f>IFERROR(__xludf.DUMMYFUNCTION("""COMPUTED_VALUE"""),"PROFESIONAL")</f>
        <v>PROFESIONAL</v>
      </c>
      <c r="L96" t="str">
        <f>IFERROR(__xludf.DUMMYFUNCTION("""COMPUTED_VALUE"""),"NO")</f>
        <v>NO</v>
      </c>
      <c r="M96">
        <f>IFERROR(__xludf.DUMMYFUNCTION("""COMPUTED_VALUE"""),0.0)</f>
        <v>0</v>
      </c>
      <c r="N96" t="str">
        <f>IFERROR(__xludf.DUMMYFUNCTION("""COMPUTED_VALUE"""),"EXTERNO")</f>
        <v>EXTERNO</v>
      </c>
      <c r="O96">
        <f>IFERROR(__xludf.DUMMYFUNCTION("""COMPUTED_VALUE"""),2.0)</f>
        <v>2</v>
      </c>
      <c r="P96">
        <f>IFERROR(__xludf.DUMMYFUNCTION("""COMPUTED_VALUE"""),2.0)</f>
        <v>2</v>
      </c>
      <c r="Q96">
        <f>IFERROR(__xludf.DUMMYFUNCTION("""COMPUTED_VALUE"""),0.0)</f>
        <v>0</v>
      </c>
      <c r="R96" s="45" t="str">
        <f>IFERROR(__xludf.DUMMYFUNCTION("""COMPUTED_VALUE"""),"SELECCIONADO")</f>
        <v>SELECCIONADO</v>
      </c>
      <c r="S96" s="38">
        <f>IFERROR(__xludf.DUMMYFUNCTION("""COMPUTED_VALUE"""),43900.0)</f>
        <v>43900</v>
      </c>
      <c r="U96" t="str">
        <f>IFERROR(__xludf.DUMMYFUNCTION("""COMPUTED_VALUE"""),"CASANUEVA OJEDA ALEXIS")</f>
        <v>CASANUEVA OJEDA ALEXIS</v>
      </c>
      <c r="V96" t="str">
        <f>IFERROR(__xludf.DUMMYFUNCTION("""COMPUTED_VALUE"""),"18204469-5")</f>
        <v>18204469-5</v>
      </c>
      <c r="W96" t="str">
        <f>IFERROR(__xludf.DUMMYFUNCTION("""COMPUTED_VALUE"""),"SI")</f>
        <v>SI</v>
      </c>
      <c r="X96" t="str">
        <f>IFERROR(__xludf.DUMMYFUNCTION("""COMPUTED_VALUE"""),"Capacidad de Planificacion y Organizacion")</f>
        <v>Capacidad de Planificacion y Organizacion</v>
      </c>
      <c r="AA96" s="38">
        <f>IFERROR(__xludf.DUMMYFUNCTION("""COMPUTED_VALUE"""),43889.0)</f>
        <v>43889</v>
      </c>
      <c r="AB96" s="38">
        <f>IFERROR(__xludf.DUMMYFUNCTION("""COMPUTED_VALUE"""),43892.0)</f>
        <v>43892</v>
      </c>
      <c r="AH96" t="str">
        <f>IFERROR(__xludf.DUMMYFUNCTION("""COMPUTED_VALUE"""),"PROCESO DE SELECCIÓN")</f>
        <v>PROCESO DE SELECCIÓN</v>
      </c>
      <c r="AI96" t="str">
        <f>IFERROR(__xludf.DUMMYFUNCTION("""COMPUTED_VALUE"""),"-")</f>
        <v>-</v>
      </c>
      <c r="AK96" t="str">
        <f>IFERROR(__xludf.DUMMYFUNCTION("""COMPUTED_VALUE"""),"P")</f>
        <v>P</v>
      </c>
      <c r="AL96">
        <f>IFERROR(__xludf.DUMMYFUNCTION("""COMPUTED_VALUE"""),7.0)</f>
        <v>7</v>
      </c>
      <c r="AM96">
        <f>IFERROR(__xludf.DUMMYFUNCTION("""COMPUTED_VALUE"""),2019.0)</f>
        <v>2019</v>
      </c>
    </row>
    <row r="97">
      <c r="A97">
        <f>IFERROR(__xludf.DUMMYFUNCTION("""COMPUTED_VALUE"""),1.8115543E7)</f>
        <v>18115543</v>
      </c>
      <c r="B97">
        <f>IFERROR(__xludf.DUMMYFUNCTION("""COMPUTED_VALUE"""),97.0)</f>
        <v>97</v>
      </c>
      <c r="C97" t="str">
        <f>IFERROR(__xludf.DUMMYFUNCTION("""COMPUTED_VALUE"""),"A414")</f>
        <v>A414</v>
      </c>
      <c r="D97" t="str">
        <f>IFERROR(__xludf.DUMMYFUNCTION("""COMPUTED_VALUE"""),"22")</f>
        <v>22</v>
      </c>
      <c r="E97" t="str">
        <f>IFERROR(__xludf.DUMMYFUNCTION("""COMPUTED_VALUE"""),"UNIDAD DE PROMOCION DE LA SALUD")</f>
        <v>UNIDAD DE PROMOCION DE LA SALUD</v>
      </c>
      <c r="F97" t="str">
        <f>IFERROR(__xludf.DUMMYFUNCTION("""COMPUTED_VALUE"""),"Psicólogo(a)")</f>
        <v>Psicólogo(a)</v>
      </c>
      <c r="G97" t="str">
        <f>IFERROR(__xludf.DUMMYFUNCTION("""COMPUTED_VALUE"""),"PSICOLOGA")</f>
        <v>PSICOLOGA</v>
      </c>
      <c r="H97">
        <f>IFERROR(__xludf.DUMMYFUNCTION("""COMPUTED_VALUE"""),13.0)</f>
        <v>13</v>
      </c>
      <c r="I97" t="str">
        <f>IFERROR(__xludf.DUMMYFUNCTION("""COMPUTED_VALUE"""),"Jornada Completa")</f>
        <v>Jornada Completa</v>
      </c>
      <c r="J97" t="str">
        <f>IFERROR(__xludf.DUMMYFUNCTION("""COMPUTED_VALUE"""),"A CONTRATA")</f>
        <v>A CONTRATA</v>
      </c>
      <c r="K97" t="str">
        <f>IFERROR(__xludf.DUMMYFUNCTION("""COMPUTED_VALUE"""),"PROFESIONAL")</f>
        <v>PROFESIONAL</v>
      </c>
      <c r="L97" t="str">
        <f>IFERROR(__xludf.DUMMYFUNCTION("""COMPUTED_VALUE"""),"INTERNO")</f>
        <v>INTERNO</v>
      </c>
      <c r="M97">
        <f>IFERROR(__xludf.DUMMYFUNCTION("""COMPUTED_VALUE"""),0.0)</f>
        <v>0</v>
      </c>
      <c r="N97" t="str">
        <f>IFERROR(__xludf.DUMMYFUNCTION("""COMPUTED_VALUE"""),"EXTERNO")</f>
        <v>EXTERNO</v>
      </c>
      <c r="O97">
        <f>IFERROR(__xludf.DUMMYFUNCTION("""COMPUTED_VALUE"""),16.0)</f>
        <v>16</v>
      </c>
      <c r="P97">
        <f>IFERROR(__xludf.DUMMYFUNCTION("""COMPUTED_VALUE"""),1.0)</f>
        <v>1</v>
      </c>
      <c r="Q97">
        <f>IFERROR(__xludf.DUMMYFUNCTION("""COMPUTED_VALUE"""),0.0)</f>
        <v>0</v>
      </c>
      <c r="R97" s="45" t="str">
        <f>IFERROR(__xludf.DUMMYFUNCTION("""COMPUTED_VALUE"""),"SELECCIONADA")</f>
        <v>SELECCIONADA</v>
      </c>
      <c r="S97" s="38">
        <f>IFERROR(__xludf.DUMMYFUNCTION("""COMPUTED_VALUE"""),43955.0)</f>
        <v>43955</v>
      </c>
      <c r="U97" t="str">
        <f>IFERROR(__xludf.DUMMYFUNCTION("""COMPUTED_VALUE"""),"PINTO PEREZ CRISTEL")</f>
        <v>PINTO PEREZ CRISTEL</v>
      </c>
      <c r="V97" t="str">
        <f>IFERROR(__xludf.DUMMYFUNCTION("""COMPUTED_VALUE"""),"18115543 -4")</f>
        <v>18115543 -4</v>
      </c>
      <c r="W97" t="str">
        <f>IFERROR(__xludf.DUMMYFUNCTION("""COMPUTED_VALUE"""),"NO")</f>
        <v>NO</v>
      </c>
      <c r="AA97" s="38">
        <f>IFERROR(__xludf.DUMMYFUNCTION("""COMPUTED_VALUE"""),43817.0)</f>
        <v>43817</v>
      </c>
      <c r="AB97" s="38">
        <f>IFERROR(__xludf.DUMMYFUNCTION("""COMPUTED_VALUE"""),43825.0)</f>
        <v>43825</v>
      </c>
      <c r="AH97" t="str">
        <f>IFERROR(__xludf.DUMMYFUNCTION("""COMPUTED_VALUE"""),"PROCESO DE SELECCIÓN")</f>
        <v>PROCESO DE SELECCIÓN</v>
      </c>
      <c r="AI97" t="str">
        <f>IFERROR(__xludf.DUMMYFUNCTION("""COMPUTED_VALUE"""),"CHAJTUR ZAMUDIO LEYLA")</f>
        <v>CHAJTUR ZAMUDIO LEYLA</v>
      </c>
      <c r="AK97" t="str">
        <f>IFERROR(__xludf.DUMMYFUNCTION("""COMPUTED_VALUE"""),"E")</f>
        <v>E</v>
      </c>
      <c r="AL97">
        <f>IFERROR(__xludf.DUMMYFUNCTION("""COMPUTED_VALUE"""),93.0)</f>
        <v>93</v>
      </c>
      <c r="AM97">
        <f>IFERROR(__xludf.DUMMYFUNCTION("""COMPUTED_VALUE"""),2019.0)</f>
        <v>2019</v>
      </c>
    </row>
    <row r="98">
      <c r="A98">
        <f>IFERROR(__xludf.DUMMYFUNCTION("""COMPUTED_VALUE"""),1.6207468E7)</f>
        <v>16207468</v>
      </c>
      <c r="B98">
        <f>IFERROR(__xludf.DUMMYFUNCTION("""COMPUTED_VALUE"""),98.0)</f>
        <v>98</v>
      </c>
      <c r="C98" t="str">
        <f>IFERROR(__xludf.DUMMYFUNCTION("""COMPUTED_VALUE"""),"A443")</f>
        <v>A443</v>
      </c>
      <c r="D98" t="str">
        <f>IFERROR(__xludf.DUMMYFUNCTION("""COMPUTED_VALUE"""),"50")</f>
        <v>50</v>
      </c>
      <c r="E98" t="str">
        <f>IFERROR(__xludf.DUMMYFUNCTION("""COMPUTED_VALUE"""),"DPTO. DE FISICA")</f>
        <v>DPTO. DE FISICA</v>
      </c>
      <c r="F98" t="str">
        <f>IFERROR(__xludf.DUMMYFUNCTION("""COMPUTED_VALUE"""),"Analista de Gestión I")</f>
        <v>Analista de Gestión I</v>
      </c>
      <c r="G98" t="str">
        <f>IFERROR(__xludf.DUMMYFUNCTION("""COMPUTED_VALUE"""),"ANALISTA DE GESTON I (DOCENCIA)")</f>
        <v>ANALISTA DE GESTON I (DOCENCIA)</v>
      </c>
      <c r="H98">
        <f>IFERROR(__xludf.DUMMYFUNCTION("""COMPUTED_VALUE"""),10.0)</f>
        <v>10</v>
      </c>
      <c r="I98" t="str">
        <f>IFERROR(__xludf.DUMMYFUNCTION("""COMPUTED_VALUE"""),"Jornada Completa")</f>
        <v>Jornada Completa</v>
      </c>
      <c r="J98" t="str">
        <f>IFERROR(__xludf.DUMMYFUNCTION("""COMPUTED_VALUE"""),"A CONTRATA")</f>
        <v>A CONTRATA</v>
      </c>
      <c r="K98" t="str">
        <f>IFERROR(__xludf.DUMMYFUNCTION("""COMPUTED_VALUE"""),"PROFESIONAL")</f>
        <v>PROFESIONAL</v>
      </c>
      <c r="L98" t="str">
        <f>IFERROR(__xludf.DUMMYFUNCTION("""COMPUTED_VALUE"""),"INTERNO")</f>
        <v>INTERNO</v>
      </c>
      <c r="M98">
        <f>IFERROR(__xludf.DUMMYFUNCTION("""COMPUTED_VALUE"""),11.0)</f>
        <v>11</v>
      </c>
      <c r="N98" t="str">
        <f>IFERROR(__xludf.DUMMYFUNCTION("""COMPUTED_VALUE"""),"NO")</f>
        <v>NO</v>
      </c>
      <c r="P98">
        <f>IFERROR(__xludf.DUMMYFUNCTION("""COMPUTED_VALUE"""),2.0)</f>
        <v>2</v>
      </c>
      <c r="Q98">
        <f>IFERROR(__xludf.DUMMYFUNCTION("""COMPUTED_VALUE"""),0.0)</f>
        <v>0</v>
      </c>
      <c r="R98" s="45" t="str">
        <f>IFERROR(__xludf.DUMMYFUNCTION("""COMPUTED_VALUE"""),"SELECCIONADA")</f>
        <v>SELECCIONADA</v>
      </c>
      <c r="S98" s="38">
        <f>IFERROR(__xludf.DUMMYFUNCTION("""COMPUTED_VALUE"""),43934.0)</f>
        <v>43934</v>
      </c>
      <c r="T98" t="str">
        <f>IFERROR(__xludf.DUMMYFUNCTION("""COMPUTED_VALUE"""),"MUÑOZ BUZETA ROMINA")</f>
        <v>MUÑOZ BUZETA ROMINA</v>
      </c>
      <c r="V98" t="str">
        <f>IFERROR(__xludf.DUMMYFUNCTION("""COMPUTED_VALUE"""),"16207468-7")</f>
        <v>16207468-7</v>
      </c>
      <c r="W98" t="str">
        <f>IFERROR(__xludf.DUMMYFUNCTION("""COMPUTED_VALUE"""),"SI")</f>
        <v>SI</v>
      </c>
      <c r="X98" t="str">
        <f>IFERROR(__xludf.DUMMYFUNCTION("""COMPUTED_VALUE"""),"Capacidad de Planificacion y Organizacion")</f>
        <v>Capacidad de Planificacion y Organizacion</v>
      </c>
      <c r="AA98" s="38">
        <f>IFERROR(__xludf.DUMMYFUNCTION("""COMPUTED_VALUE"""),43847.0)</f>
        <v>43847</v>
      </c>
      <c r="AB98" s="38">
        <f>IFERROR(__xludf.DUMMYFUNCTION("""COMPUTED_VALUE"""),43854.0)</f>
        <v>43854</v>
      </c>
      <c r="AH98" t="str">
        <f>IFERROR(__xludf.DUMMYFUNCTION("""COMPUTED_VALUE"""),"PROCESO DE SELECCIÓN")</f>
        <v>PROCESO DE SELECCIÓN</v>
      </c>
      <c r="AI98" t="str">
        <f>IFERROR(__xludf.DUMMYFUNCTION("""COMPUTED_VALUE"""),"- ")</f>
        <v>- </v>
      </c>
      <c r="AK98" t="str">
        <f>IFERROR(__xludf.DUMMYFUNCTION("""COMPUTED_VALUE"""),"C")</f>
        <v>C</v>
      </c>
      <c r="AL98">
        <f>IFERROR(__xludf.DUMMYFUNCTION("""COMPUTED_VALUE"""),57.0)</f>
        <v>57</v>
      </c>
      <c r="AM98">
        <f>IFERROR(__xludf.DUMMYFUNCTION("""COMPUTED_VALUE"""),2019.0)</f>
        <v>2019</v>
      </c>
    </row>
    <row r="99">
      <c r="A99">
        <f>IFERROR(__xludf.DUMMYFUNCTION("""COMPUTED_VALUE"""),2.0040743E7)</f>
        <v>20040743</v>
      </c>
      <c r="B99">
        <f>IFERROR(__xludf.DUMMYFUNCTION("""COMPUTED_VALUE"""),1.0)</f>
        <v>1</v>
      </c>
      <c r="C99" t="str">
        <f>IFERROR(__xludf.DUMMYFUNCTION("""COMPUTED_VALUE"""),"ACTA2018-15")</f>
        <v>ACTA2018-15</v>
      </c>
      <c r="D99" t="str">
        <f>IFERROR(__xludf.DUMMYFUNCTION("""COMPUTED_VALUE"""),"INGRESAR CENTRO DE COSTO A LA DERECHA")</f>
        <v>INGRESAR CENTRO DE COSTO A LA DERECHA</v>
      </c>
      <c r="E99" t="str">
        <f>IFERROR(__xludf.DUMMYFUNCTION("""COMPUTED_VALUE"""),"DPTO. DE CIENCIAS DEL AMBIENTE")</f>
        <v>DPTO. DE CIENCIAS DEL AMBIENTE</v>
      </c>
      <c r="F99" t="str">
        <f>IFERROR(__xludf.DUMMYFUNCTION("""COMPUTED_VALUE"""),"Técnico(a) de Laboratorio")</f>
        <v>Técnico(a) de Laboratorio</v>
      </c>
      <c r="G99" t="str">
        <f>IFERROR(__xludf.DUMMYFUNCTION("""COMPUTED_VALUE"""),"TECNICO DE LABORATORIO")</f>
        <v>TECNICO DE LABORATORIO</v>
      </c>
      <c r="H99">
        <f>IFERROR(__xludf.DUMMYFUNCTION("""COMPUTED_VALUE"""),17.0)</f>
        <v>17</v>
      </c>
      <c r="I99" t="str">
        <f>IFERROR(__xludf.DUMMYFUNCTION("""COMPUTED_VALUE"""),"Jornada Completa")</f>
        <v>Jornada Completa</v>
      </c>
      <c r="J99" t="str">
        <f>IFERROR(__xludf.DUMMYFUNCTION("""COMPUTED_VALUE"""),"A CONTRATA")</f>
        <v>A CONTRATA</v>
      </c>
      <c r="K99" t="str">
        <f>IFERROR(__xludf.DUMMYFUNCTION("""COMPUTED_VALUE"""),"TECNICO")</f>
        <v>TECNICO</v>
      </c>
      <c r="L99" t="str">
        <f>IFERROR(__xludf.DUMMYFUNCTION("""COMPUTED_VALUE"""),"INTERNO")</f>
        <v>INTERNO</v>
      </c>
      <c r="M99">
        <f>IFERROR(__xludf.DUMMYFUNCTION("""COMPUTED_VALUE"""),2.0)</f>
        <v>2</v>
      </c>
      <c r="N99" t="str">
        <f>IFERROR(__xludf.DUMMYFUNCTION("""COMPUTED_VALUE"""),"EXTERNO")</f>
        <v>EXTERNO</v>
      </c>
      <c r="O99">
        <f>IFERROR(__xludf.DUMMYFUNCTION("""COMPUTED_VALUE"""),3.0)</f>
        <v>3</v>
      </c>
      <c r="P99">
        <f>IFERROR(__xludf.DUMMYFUNCTION("""COMPUTED_VALUE"""),1.0)</f>
        <v>1</v>
      </c>
      <c r="R99" s="45" t="str">
        <f>IFERROR(__xludf.DUMMYFUNCTION("""COMPUTED_VALUE"""),"SELECCIONADA")</f>
        <v>SELECCIONADA</v>
      </c>
      <c r="S99" s="38">
        <f>IFERROR(__xludf.DUMMYFUNCTION("""COMPUTED_VALUE"""),43193.0)</f>
        <v>43193</v>
      </c>
      <c r="U99" t="str">
        <f>IFERROR(__xludf.DUMMYFUNCTION("""COMPUTED_VALUE"""),"CAMILA RUBIO CHUÑIL")</f>
        <v>CAMILA RUBIO CHUÑIL</v>
      </c>
      <c r="V99" t="str">
        <f>IFERROR(__xludf.DUMMYFUNCTION("""COMPUTED_VALUE"""),"20040743-1")</f>
        <v>20040743-1</v>
      </c>
      <c r="W99" t="str">
        <f>IFERROR(__xludf.DUMMYFUNCTION("""COMPUTED_VALUE"""),"SI")</f>
        <v>SI</v>
      </c>
      <c r="X99" t="str">
        <f>IFERROR(__xludf.DUMMYFUNCTION("""COMPUTED_VALUE"""),"Capacidad de Planificacion y Organizacion")</f>
        <v>Capacidad de Planificacion y Organizacion</v>
      </c>
      <c r="Y99" t="str">
        <f>IFERROR(__xludf.DUMMYFUNCTION("""COMPUTED_VALUE"""),"Iniciativa")</f>
        <v>Iniciativa</v>
      </c>
      <c r="AA99" s="38">
        <f>IFERROR(__xludf.DUMMYFUNCTION("""COMPUTED_VALUE"""),43164.0)</f>
        <v>43164</v>
      </c>
      <c r="AB99" s="38">
        <f>IFERROR(__xludf.DUMMYFUNCTION("""COMPUTED_VALUE"""),43171.0)</f>
        <v>43171</v>
      </c>
      <c r="AH99" t="str">
        <f>IFERROR(__xludf.DUMMYFUNCTION("""COMPUTED_VALUE"""),"PROCESO DE SELECCIÓN")</f>
        <v>PROCESO DE SELECCIÓN</v>
      </c>
      <c r="AI99" t="str">
        <f>IFERROR(__xludf.DUMMYFUNCTION("""COMPUTED_VALUE"""),"- ")</f>
        <v>- </v>
      </c>
      <c r="AK99" t="str">
        <f>IFERROR(__xludf.DUMMYFUNCTION("""COMPUTED_VALUE"""),"P")</f>
        <v>P</v>
      </c>
      <c r="AL99">
        <f>IFERROR(__xludf.DUMMYFUNCTION("""COMPUTED_VALUE"""),17.0)</f>
        <v>17</v>
      </c>
      <c r="AM99">
        <f>IFERROR(__xludf.DUMMYFUNCTION("""COMPUTED_VALUE"""),2018.0)</f>
        <v>2018</v>
      </c>
    </row>
    <row r="100">
      <c r="A100">
        <f>IFERROR(__xludf.DUMMYFUNCTION("""COMPUTED_VALUE"""),1.7959771E7)</f>
        <v>17959771</v>
      </c>
      <c r="B100">
        <f>IFERROR(__xludf.DUMMYFUNCTION("""COMPUTED_VALUE"""),2.0)</f>
        <v>2</v>
      </c>
      <c r="C100" t="str">
        <f>IFERROR(__xludf.DUMMYFUNCTION("""COMPUTED_VALUE"""),"A180")</f>
        <v>A180</v>
      </c>
      <c r="D100" t="str">
        <f>IFERROR(__xludf.DUMMYFUNCTION("""COMPUTED_VALUE"""),"INGRESAR CENTRO DE COSTO A LA DERECHA")</f>
        <v>INGRESAR CENTRO DE COSTO A LA DERECHA</v>
      </c>
      <c r="E100" t="str">
        <f>IFERROR(__xludf.DUMMYFUNCTION("""COMPUTED_VALUE"""),"DPTO. DE DESARROLLO DE PERSONAS")</f>
        <v>DPTO. DE DESARROLLO DE PERSONAS</v>
      </c>
      <c r="F100" t="str">
        <f>IFERROR(__xludf.DUMMYFUNCTION("""COMPUTED_VALUE"""),"Analista de Gestión II")</f>
        <v>Analista de Gestión II</v>
      </c>
      <c r="G100" t="str">
        <f>IFERROR(__xludf.DUMMYFUNCTION("""COMPUTED_VALUE"""),"ANALISTA DE GESTION II")</f>
        <v>ANALISTA DE GESTION II</v>
      </c>
      <c r="H100">
        <f>IFERROR(__xludf.DUMMYFUNCTION("""COMPUTED_VALUE"""),13.0)</f>
        <v>13</v>
      </c>
      <c r="I100" t="str">
        <f>IFERROR(__xludf.DUMMYFUNCTION("""COMPUTED_VALUE"""),"Jornada Completa")</f>
        <v>Jornada Completa</v>
      </c>
      <c r="J100" t="str">
        <f>IFERROR(__xludf.DUMMYFUNCTION("""COMPUTED_VALUE"""),"A CONTRATA")</f>
        <v>A CONTRATA</v>
      </c>
      <c r="K100" t="str">
        <f>IFERROR(__xludf.DUMMYFUNCTION("""COMPUTED_VALUE"""),"PROFESIONAL")</f>
        <v>PROFESIONAL</v>
      </c>
      <c r="L100" t="str">
        <f>IFERROR(__xludf.DUMMYFUNCTION("""COMPUTED_VALUE"""),"INTERNO")</f>
        <v>INTERNO</v>
      </c>
      <c r="M100">
        <f>IFERROR(__xludf.DUMMYFUNCTION("""COMPUTED_VALUE"""),0.0)</f>
        <v>0</v>
      </c>
      <c r="N100" t="str">
        <f>IFERROR(__xludf.DUMMYFUNCTION("""COMPUTED_VALUE"""),"EXTERNO")</f>
        <v>EXTERNO</v>
      </c>
      <c r="O100">
        <f>IFERROR(__xludf.DUMMYFUNCTION("""COMPUTED_VALUE"""),6.0)</f>
        <v>6</v>
      </c>
      <c r="P100">
        <f>IFERROR(__xludf.DUMMYFUNCTION("""COMPUTED_VALUE"""),1.0)</f>
        <v>1</v>
      </c>
      <c r="R100" s="45" t="str">
        <f>IFERROR(__xludf.DUMMYFUNCTION("""COMPUTED_VALUE"""),"SELECCIONADA")</f>
        <v>SELECCIONADA</v>
      </c>
      <c r="S100" s="38">
        <f>IFERROR(__xludf.DUMMYFUNCTION("""COMPUTED_VALUE"""),43187.0)</f>
        <v>43187</v>
      </c>
      <c r="U100" t="str">
        <f>IFERROR(__xludf.DUMMYFUNCTION("""COMPUTED_VALUE"""),"ROMINA LLABRES SOLIS")</f>
        <v>ROMINA LLABRES SOLIS</v>
      </c>
      <c r="V100" t="str">
        <f>IFERROR(__xludf.DUMMYFUNCTION("""COMPUTED_VALUE"""),"17959771-3")</f>
        <v>17959771-3</v>
      </c>
      <c r="W100" t="str">
        <f>IFERROR(__xludf.DUMMYFUNCTION("""COMPUTED_VALUE"""),"SI")</f>
        <v>SI</v>
      </c>
      <c r="X100" t="str">
        <f>IFERROR(__xludf.DUMMYFUNCTION("""COMPUTED_VALUE"""),"Capacidad de Planificacion y Organizacion")</f>
        <v>Capacidad de Planificacion y Organizacion</v>
      </c>
      <c r="AA100" s="38">
        <f>IFERROR(__xludf.DUMMYFUNCTION("""COMPUTED_VALUE"""),43178.0)</f>
        <v>43178</v>
      </c>
      <c r="AB100" s="38">
        <f>IFERROR(__xludf.DUMMYFUNCTION("""COMPUTED_VALUE"""),43180.0)</f>
        <v>43180</v>
      </c>
      <c r="AH100" t="str">
        <f>IFERROR(__xludf.DUMMYFUNCTION("""COMPUTED_VALUE"""),"PROCESO DE SELECCIÓN")</f>
        <v>PROCESO DE SELECCIÓN</v>
      </c>
      <c r="AI100" t="str">
        <f>IFERROR(__xludf.DUMMYFUNCTION("""COMPUTED_VALUE"""),"MIGUEL SEPULVEDA RIVERA")</f>
        <v>MIGUEL SEPULVEDA RIVERA</v>
      </c>
      <c r="AK100" t="str">
        <f>IFERROR(__xludf.DUMMYFUNCTION("""COMPUTED_VALUE"""),"E")</f>
        <v>E</v>
      </c>
      <c r="AL100">
        <f>IFERROR(__xludf.DUMMYFUNCTION("""COMPUTED_VALUE"""),6.0)</f>
        <v>6</v>
      </c>
      <c r="AM100">
        <f>IFERROR(__xludf.DUMMYFUNCTION("""COMPUTED_VALUE"""),2018.0)</f>
        <v>2018</v>
      </c>
    </row>
    <row r="101">
      <c r="A101">
        <f>IFERROR(__xludf.DUMMYFUNCTION("""COMPUTED_VALUE"""),1.5579586E7)</f>
        <v>15579586</v>
      </c>
      <c r="B101">
        <f>IFERROR(__xludf.DUMMYFUNCTION("""COMPUTED_VALUE"""),3.0)</f>
        <v>3</v>
      </c>
      <c r="C101" t="str">
        <f>IFERROR(__xludf.DUMMYFUNCTION("""COMPUTED_VALUE"""),"ACTA2018-12")</f>
        <v>ACTA2018-12</v>
      </c>
      <c r="D101" t="str">
        <f>IFERROR(__xludf.DUMMYFUNCTION("""COMPUTED_VALUE"""),"INGRESAR CENTRO DE COSTO A LA DERECHA")</f>
        <v>INGRESAR CENTRO DE COSTO A LA DERECHA</v>
      </c>
      <c r="E101" t="str">
        <f>IFERROR(__xludf.DUMMYFUNCTION("""COMPUTED_VALUE"""),"FACULTAD TECNOLOGICA")</f>
        <v>FACULTAD TECNOLOGICA</v>
      </c>
      <c r="F101" t="str">
        <f>IFERROR(__xludf.DUMMYFUNCTION("""COMPUTED_VALUE"""),"Mayordomo(a)")</f>
        <v>Mayordomo(a)</v>
      </c>
      <c r="G101" t="str">
        <f>IFERROR(__xludf.DUMMYFUNCTION("""COMPUTED_VALUE"""),"MAYORDOMO")</f>
        <v>MAYORDOMO</v>
      </c>
      <c r="H101">
        <f>IFERROR(__xludf.DUMMYFUNCTION("""COMPUTED_VALUE"""),21.0)</f>
        <v>21</v>
      </c>
      <c r="I101" t="str">
        <f>IFERROR(__xludf.DUMMYFUNCTION("""COMPUTED_VALUE"""),"Jornada Completa")</f>
        <v>Jornada Completa</v>
      </c>
      <c r="J101" t="str">
        <f>IFERROR(__xludf.DUMMYFUNCTION("""COMPUTED_VALUE"""),"A CONTRATA")</f>
        <v>A CONTRATA</v>
      </c>
      <c r="K101" t="str">
        <f>IFERROR(__xludf.DUMMYFUNCTION("""COMPUTED_VALUE"""),"AUXILIAR")</f>
        <v>AUXILIAR</v>
      </c>
      <c r="L101" t="str">
        <f>IFERROR(__xludf.DUMMYFUNCTION("""COMPUTED_VALUE"""),"INTERNO")</f>
        <v>INTERNO</v>
      </c>
      <c r="M101">
        <f>IFERROR(__xludf.DUMMYFUNCTION("""COMPUTED_VALUE"""),0.0)</f>
        <v>0</v>
      </c>
      <c r="N101" t="str">
        <f>IFERROR(__xludf.DUMMYFUNCTION("""COMPUTED_VALUE"""),"EXTERNO")</f>
        <v>EXTERNO</v>
      </c>
      <c r="O101">
        <f>IFERROR(__xludf.DUMMYFUNCTION("""COMPUTED_VALUE"""),10.0)</f>
        <v>10</v>
      </c>
      <c r="P101">
        <f>IFERROR(__xludf.DUMMYFUNCTION("""COMPUTED_VALUE"""),1.0)</f>
        <v>1</v>
      </c>
      <c r="R101" s="45" t="str">
        <f>IFERROR(__xludf.DUMMYFUNCTION("""COMPUTED_VALUE"""),"SELECCIONADO")</f>
        <v>SELECCIONADO</v>
      </c>
      <c r="S101" s="38">
        <f>IFERROR(__xludf.DUMMYFUNCTION("""COMPUTED_VALUE"""),43201.0)</f>
        <v>43201</v>
      </c>
      <c r="U101" t="str">
        <f>IFERROR(__xludf.DUMMYFUNCTION("""COMPUTED_VALUE"""),"FERMIN PARRA HERNANDEZ")</f>
        <v>FERMIN PARRA HERNANDEZ</v>
      </c>
      <c r="V101" t="str">
        <f>IFERROR(__xludf.DUMMYFUNCTION("""COMPUTED_VALUE"""),"15579586-7")</f>
        <v>15579586-7</v>
      </c>
      <c r="W101" t="str">
        <f>IFERROR(__xludf.DUMMYFUNCTION("""COMPUTED_VALUE"""),"NO")</f>
        <v>NO</v>
      </c>
      <c r="AA101" s="38">
        <f>IFERROR(__xludf.DUMMYFUNCTION("""COMPUTED_VALUE"""),43165.0)</f>
        <v>43165</v>
      </c>
      <c r="AB101" s="38">
        <f>IFERROR(__xludf.DUMMYFUNCTION("""COMPUTED_VALUE"""),43172.0)</f>
        <v>43172</v>
      </c>
      <c r="AH101" t="str">
        <f>IFERROR(__xludf.DUMMYFUNCTION("""COMPUTED_VALUE"""),"PROCESO DE SELECCIÓN")</f>
        <v>PROCESO DE SELECCIÓN</v>
      </c>
      <c r="AI101" t="str">
        <f>IFERROR(__xludf.DUMMYFUNCTION("""COMPUTED_VALUE"""),"FLORIAN ESPINOZA ECHEVERRIA")</f>
        <v>FLORIAN ESPINOZA ECHEVERRIA</v>
      </c>
      <c r="AK101" t="str">
        <f>IFERROR(__xludf.DUMMYFUNCTION("""COMPUTED_VALUE"""),"E")</f>
        <v>E</v>
      </c>
      <c r="AL101">
        <f>IFERROR(__xludf.DUMMYFUNCTION("""COMPUTED_VALUE"""),22.0)</f>
        <v>22</v>
      </c>
      <c r="AM101">
        <f>IFERROR(__xludf.DUMMYFUNCTION("""COMPUTED_VALUE"""),2018.0)</f>
        <v>2018</v>
      </c>
    </row>
    <row r="102">
      <c r="A102">
        <f>IFERROR(__xludf.DUMMYFUNCTION("""COMPUTED_VALUE"""),1.8057011E7)</f>
        <v>18057011</v>
      </c>
      <c r="B102">
        <f>IFERROR(__xludf.DUMMYFUNCTION("""COMPUTED_VALUE"""),4.0)</f>
        <v>4</v>
      </c>
      <c r="C102" t="str">
        <f>IFERROR(__xludf.DUMMYFUNCTION("""COMPUTED_VALUE"""),"A98")</f>
        <v>A98</v>
      </c>
      <c r="D102" t="str">
        <f>IFERROR(__xludf.DUMMYFUNCTION("""COMPUTED_VALUE"""),"INGRESAR CENTRO DE COSTO A LA DERECHA")</f>
        <v>INGRESAR CENTRO DE COSTO A LA DERECHA</v>
      </c>
      <c r="E102" t="str">
        <f>IFERROR(__xludf.DUMMYFUNCTION("""COMPUTED_VALUE"""),"DPTO. DE INGENIERIA GEOGRAFICA")</f>
        <v>DPTO. DE INGENIERIA GEOGRAFICA</v>
      </c>
      <c r="F102" t="str">
        <f>IFERROR(__xludf.DUMMYFUNCTION("""COMPUTED_VALUE"""),"Estafeta")</f>
        <v>Estafeta</v>
      </c>
      <c r="G102" t="str">
        <f>IFERROR(__xludf.DUMMYFUNCTION("""COMPUTED_VALUE"""),"ESTAFETA")</f>
        <v>ESTAFETA</v>
      </c>
      <c r="H102">
        <f>IFERROR(__xludf.DUMMYFUNCTION("""COMPUTED_VALUE"""),23.0)</f>
        <v>23</v>
      </c>
      <c r="I102" t="str">
        <f>IFERROR(__xludf.DUMMYFUNCTION("""COMPUTED_VALUE"""),"Jornada Completa")</f>
        <v>Jornada Completa</v>
      </c>
      <c r="J102" t="str">
        <f>IFERROR(__xludf.DUMMYFUNCTION("""COMPUTED_VALUE"""),"A CONTRATA")</f>
        <v>A CONTRATA</v>
      </c>
      <c r="K102" t="str">
        <f>IFERROR(__xludf.DUMMYFUNCTION("""COMPUTED_VALUE"""),"AUXILIAR")</f>
        <v>AUXILIAR</v>
      </c>
      <c r="L102" t="str">
        <f>IFERROR(__xludf.DUMMYFUNCTION("""COMPUTED_VALUE"""),"INTERNO")</f>
        <v>INTERNO</v>
      </c>
      <c r="M102">
        <f>IFERROR(__xludf.DUMMYFUNCTION("""COMPUTED_VALUE"""),0.0)</f>
        <v>0</v>
      </c>
      <c r="N102" t="str">
        <f>IFERROR(__xludf.DUMMYFUNCTION("""COMPUTED_VALUE"""),"EXTERNO")</f>
        <v>EXTERNO</v>
      </c>
      <c r="O102">
        <f>IFERROR(__xludf.DUMMYFUNCTION("""COMPUTED_VALUE"""),22.0)</f>
        <v>22</v>
      </c>
      <c r="P102">
        <f>IFERROR(__xludf.DUMMYFUNCTION("""COMPUTED_VALUE"""),3.0)</f>
        <v>3</v>
      </c>
      <c r="Q102">
        <f>IFERROR(__xludf.DUMMYFUNCTION("""COMPUTED_VALUE"""),2.0)</f>
        <v>2</v>
      </c>
      <c r="R102" s="45" t="str">
        <f>IFERROR(__xludf.DUMMYFUNCTION("""COMPUTED_VALUE"""),"SELECCIONADO")</f>
        <v>SELECCIONADO</v>
      </c>
      <c r="S102" s="38">
        <f>IFERROR(__xludf.DUMMYFUNCTION("""COMPUTED_VALUE"""),43222.0)</f>
        <v>43222</v>
      </c>
      <c r="U102" t="str">
        <f>IFERROR(__xludf.DUMMYFUNCTION("""COMPUTED_VALUE"""),"SEBASTIAN BORQUEZ SALAZAR")</f>
        <v>SEBASTIAN BORQUEZ SALAZAR</v>
      </c>
      <c r="V102" t="str">
        <f>IFERROR(__xludf.DUMMYFUNCTION("""COMPUTED_VALUE"""),"18057011-K")</f>
        <v>18057011-K</v>
      </c>
      <c r="W102" t="str">
        <f>IFERROR(__xludf.DUMMYFUNCTION("""COMPUTED_VALUE"""),"NO")</f>
        <v>NO</v>
      </c>
      <c r="AA102" s="38">
        <f>IFERROR(__xludf.DUMMYFUNCTION("""COMPUTED_VALUE"""),43165.0)</f>
        <v>43165</v>
      </c>
      <c r="AB102" s="38">
        <f>IFERROR(__xludf.DUMMYFUNCTION("""COMPUTED_VALUE"""),43172.0)</f>
        <v>43172</v>
      </c>
      <c r="AH102" t="str">
        <f>IFERROR(__xludf.DUMMYFUNCTION("""COMPUTED_VALUE"""),"PROCESO DE SELECCIÓN")</f>
        <v>PROCESO DE SELECCIÓN</v>
      </c>
      <c r="AI102" t="str">
        <f>IFERROR(__xludf.DUMMYFUNCTION("""COMPUTED_VALUE"""),"PATRICIO RIVERA RETAMAL")</f>
        <v>PATRICIO RIVERA RETAMAL</v>
      </c>
      <c r="AK102" t="str">
        <f>IFERROR(__xludf.DUMMYFUNCTION("""COMPUTED_VALUE"""),"E")</f>
        <v>E</v>
      </c>
      <c r="AL102">
        <f>IFERROR(__xludf.DUMMYFUNCTION("""COMPUTED_VALUE"""),37.0)</f>
        <v>37</v>
      </c>
      <c r="AM102">
        <f>IFERROR(__xludf.DUMMYFUNCTION("""COMPUTED_VALUE"""),2018.0)</f>
        <v>2018</v>
      </c>
    </row>
    <row r="103">
      <c r="A103">
        <f>IFERROR(__xludf.DUMMYFUNCTION("""COMPUTED_VALUE"""),1.6088193E7)</f>
        <v>16088193</v>
      </c>
      <c r="B103">
        <f>IFERROR(__xludf.DUMMYFUNCTION("""COMPUTED_VALUE"""),5.0)</f>
        <v>5</v>
      </c>
      <c r="C103" t="str">
        <f>IFERROR(__xludf.DUMMYFUNCTION("""COMPUTED_VALUE"""),"A169")</f>
        <v>A169</v>
      </c>
      <c r="D103" t="str">
        <f>IFERROR(__xludf.DUMMYFUNCTION("""COMPUTED_VALUE"""),"INGRESAR CENTRO DE COSTO A LA DERECHA")</f>
        <v>INGRESAR CENTRO DE COSTO A LA DERECHA</v>
      </c>
      <c r="E103" t="str">
        <f>IFERROR(__xludf.DUMMYFUNCTION("""COMPUTED_VALUE"""),"DIR. DE PREGRADO")</f>
        <v>DIR. DE PREGRADO</v>
      </c>
      <c r="F103" t="str">
        <f>IFERROR(__xludf.DUMMYFUNCTION("""COMPUTED_VALUE"""),"Analista de Gestión II")</f>
        <v>Analista de Gestión II</v>
      </c>
      <c r="G103" t="str">
        <f>IFERROR(__xludf.DUMMYFUNCTION("""COMPUTED_VALUE"""),"ANALISTA DE GESTION II")</f>
        <v>ANALISTA DE GESTION II</v>
      </c>
      <c r="H103">
        <f>IFERROR(__xludf.DUMMYFUNCTION("""COMPUTED_VALUE"""),13.0)</f>
        <v>13</v>
      </c>
      <c r="I103" t="str">
        <f>IFERROR(__xludf.DUMMYFUNCTION("""COMPUTED_VALUE"""),"Jornada Completa")</f>
        <v>Jornada Completa</v>
      </c>
      <c r="J103" t="str">
        <f>IFERROR(__xludf.DUMMYFUNCTION("""COMPUTED_VALUE"""),"A CONTRATA")</f>
        <v>A CONTRATA</v>
      </c>
      <c r="K103" t="str">
        <f>IFERROR(__xludf.DUMMYFUNCTION("""COMPUTED_VALUE"""),"PROFESIONAL")</f>
        <v>PROFESIONAL</v>
      </c>
      <c r="L103" t="str">
        <f>IFERROR(__xludf.DUMMYFUNCTION("""COMPUTED_VALUE"""),"INTERNO")</f>
        <v>INTERNO</v>
      </c>
      <c r="M103">
        <f>IFERROR(__xludf.DUMMYFUNCTION("""COMPUTED_VALUE"""),2.0)</f>
        <v>2</v>
      </c>
      <c r="N103" t="str">
        <f>IFERROR(__xludf.DUMMYFUNCTION("""COMPUTED_VALUE"""),"EXTERNO")</f>
        <v>EXTERNO</v>
      </c>
      <c r="O103">
        <f>IFERROR(__xludf.DUMMYFUNCTION("""COMPUTED_VALUE"""),14.0)</f>
        <v>14</v>
      </c>
      <c r="P103">
        <f>IFERROR(__xludf.DUMMYFUNCTION("""COMPUTED_VALUE"""),1.0)</f>
        <v>1</v>
      </c>
      <c r="Q103">
        <f>IFERROR(__xludf.DUMMYFUNCTION("""COMPUTED_VALUE"""),1.0)</f>
        <v>1</v>
      </c>
      <c r="R103" s="45" t="str">
        <f>IFERROR(__xludf.DUMMYFUNCTION("""COMPUTED_VALUE"""),"SELECCIONADA")</f>
        <v>SELECCIONADA</v>
      </c>
      <c r="S103" s="38">
        <f>IFERROR(__xludf.DUMMYFUNCTION("""COMPUTED_VALUE"""),43221.0)</f>
        <v>43221</v>
      </c>
      <c r="U103" t="str">
        <f>IFERROR(__xludf.DUMMYFUNCTION("""COMPUTED_VALUE"""),"STEPHANIE BUSTOS BAEZ")</f>
        <v>STEPHANIE BUSTOS BAEZ</v>
      </c>
      <c r="V103" t="str">
        <f>IFERROR(__xludf.DUMMYFUNCTION("""COMPUTED_VALUE"""),"16088193-3")</f>
        <v>16088193-3</v>
      </c>
      <c r="W103" t="str">
        <f>IFERROR(__xludf.DUMMYFUNCTION("""COMPUTED_VALUE"""),"SI")</f>
        <v>SI</v>
      </c>
      <c r="X103" t="str">
        <f>IFERROR(__xludf.DUMMYFUNCTION("""COMPUTED_VALUE"""),"Iniciativa")</f>
        <v>Iniciativa</v>
      </c>
      <c r="AA103" s="38">
        <f>IFERROR(__xludf.DUMMYFUNCTION("""COMPUTED_VALUE"""),43182.0)</f>
        <v>43182</v>
      </c>
      <c r="AB103" s="38">
        <f>IFERROR(__xludf.DUMMYFUNCTION("""COMPUTED_VALUE"""),43189.0)</f>
        <v>43189</v>
      </c>
      <c r="AH103" t="str">
        <f>IFERROR(__xludf.DUMMYFUNCTION("""COMPUTED_VALUE"""),"PROCESO DE SELECCIÓN")</f>
        <v>PROCESO DE SELECCIÓN</v>
      </c>
      <c r="AI103" t="str">
        <f>IFERROR(__xludf.DUMMYFUNCTION("""COMPUTED_VALUE"""),"DURAN LORCA MARIA GEORGINA")</f>
        <v>DURAN LORCA MARIA GEORGINA</v>
      </c>
      <c r="AK103" t="str">
        <f>IFERROR(__xludf.DUMMYFUNCTION("""COMPUTED_VALUE"""),"E")</f>
        <v>E</v>
      </c>
      <c r="AL103">
        <f>IFERROR(__xludf.DUMMYFUNCTION("""COMPUTED_VALUE"""),23.0)</f>
        <v>23</v>
      </c>
      <c r="AM103">
        <f>IFERROR(__xludf.DUMMYFUNCTION("""COMPUTED_VALUE"""),2018.0)</f>
        <v>2018</v>
      </c>
    </row>
    <row r="104">
      <c r="A104">
        <f>IFERROR(__xludf.DUMMYFUNCTION("""COMPUTED_VALUE"""),1.3460559E7)</f>
        <v>13460559</v>
      </c>
      <c r="B104">
        <f>IFERROR(__xludf.DUMMYFUNCTION("""COMPUTED_VALUE"""),6.0)</f>
        <v>6</v>
      </c>
      <c r="C104" t="str">
        <f>IFERROR(__xludf.DUMMYFUNCTION("""COMPUTED_VALUE"""),"A194")</f>
        <v>A194</v>
      </c>
      <c r="D104" t="str">
        <f>IFERROR(__xludf.DUMMYFUNCTION("""COMPUTED_VALUE"""),"INGRESAR CENTRO DE COSTO A LA DERECHA")</f>
        <v>INGRESAR CENTRO DE COSTO A LA DERECHA</v>
      </c>
      <c r="E104" t="str">
        <f>IFERROR(__xludf.DUMMYFUNCTION("""COMPUTED_VALUE"""),"VR. DE POSTGRADO")</f>
        <v>VR. DE POSTGRADO</v>
      </c>
      <c r="F104" t="str">
        <f>IFERROR(__xludf.DUMMYFUNCTION("""COMPUTED_VALUE"""),"Jefe(a) de Administración y Finanzas")</f>
        <v>Jefe(a) de Administración y Finanzas</v>
      </c>
      <c r="G104" t="str">
        <f>IFERROR(__xludf.DUMMYFUNCTION("""COMPUTED_VALUE"""),"JEFE DE ADMINISTRACION Y FINANZAS")</f>
        <v>JEFE DE ADMINISTRACION Y FINANZAS</v>
      </c>
      <c r="H104">
        <f>IFERROR(__xludf.DUMMYFUNCTION("""COMPUTED_VALUE"""),10.0)</f>
        <v>10</v>
      </c>
      <c r="I104" t="str">
        <f>IFERROR(__xludf.DUMMYFUNCTION("""COMPUTED_VALUE"""),"Jornada Completa")</f>
        <v>Jornada Completa</v>
      </c>
      <c r="J104" t="str">
        <f>IFERROR(__xludf.DUMMYFUNCTION("""COMPUTED_VALUE"""),"A CONTRATA")</f>
        <v>A CONTRATA</v>
      </c>
      <c r="K104" t="str">
        <f>IFERROR(__xludf.DUMMYFUNCTION("""COMPUTED_VALUE"""),"PROFESIONAL")</f>
        <v>PROFESIONAL</v>
      </c>
      <c r="L104" t="str">
        <f>IFERROR(__xludf.DUMMYFUNCTION("""COMPUTED_VALUE"""),"INTERNO")</f>
        <v>INTERNO</v>
      </c>
      <c r="M104">
        <f>IFERROR(__xludf.DUMMYFUNCTION("""COMPUTED_VALUE"""),9.0)</f>
        <v>9</v>
      </c>
      <c r="N104" t="str">
        <f>IFERROR(__xludf.DUMMYFUNCTION("""COMPUTED_VALUE"""),"NO")</f>
        <v>NO</v>
      </c>
      <c r="P104">
        <f>IFERROR(__xludf.DUMMYFUNCTION("""COMPUTED_VALUE"""),3.0)</f>
        <v>3</v>
      </c>
      <c r="R104" s="45" t="str">
        <f>IFERROR(__xludf.DUMMYFUNCTION("""COMPUTED_VALUE"""),"SELECCIONADA")</f>
        <v>SELECCIONADA</v>
      </c>
      <c r="S104" s="38">
        <f>IFERROR(__xludf.DUMMYFUNCTION("""COMPUTED_VALUE"""),43227.0)</f>
        <v>43227</v>
      </c>
      <c r="T104" t="str">
        <f>IFERROR(__xludf.DUMMYFUNCTION("""COMPUTED_VALUE"""),"ALBORNOZ SAN MARTIN GABRIELA ROXANA")</f>
        <v>ALBORNOZ SAN MARTIN GABRIELA ROXANA</v>
      </c>
      <c r="V104" t="str">
        <f>IFERROR(__xludf.DUMMYFUNCTION("""COMPUTED_VALUE"""),"13460559-6")</f>
        <v>13460559-6</v>
      </c>
      <c r="W104" t="str">
        <f>IFERROR(__xludf.DUMMYFUNCTION("""COMPUTED_VALUE"""),"SI")</f>
        <v>SI</v>
      </c>
      <c r="X104" t="str">
        <f>IFERROR(__xludf.DUMMYFUNCTION("""COMPUTED_VALUE"""),"Iniciativa")</f>
        <v>Iniciativa</v>
      </c>
      <c r="AA104" s="38">
        <f>IFERROR(__xludf.DUMMYFUNCTION("""COMPUTED_VALUE"""),43180.0)</f>
        <v>43180</v>
      </c>
      <c r="AB104" s="38">
        <f>IFERROR(__xludf.DUMMYFUNCTION("""COMPUTED_VALUE"""),43185.0)</f>
        <v>43185</v>
      </c>
      <c r="AC104">
        <f>IFERROR(__xludf.DUMMYFUNCTION("""COMPUTED_VALUE"""),14.0)</f>
        <v>14</v>
      </c>
      <c r="AD104" t="str">
        <f>IFERROR(__xludf.DUMMYFUNCTION("""COMPUTED_VALUE"""),"PROFESIONAL")</f>
        <v>PROFESIONAL</v>
      </c>
      <c r="AE104" t="str">
        <f>IFERROR(__xludf.DUMMYFUNCTION("""COMPUTED_VALUE"""),"ANALISTA DE GESTION ADMINISTRATIVA")</f>
        <v>ANALISTA DE GESTION ADMINISTRATIVA</v>
      </c>
      <c r="AF104" s="46" t="str">
        <f>IFERROR(__xludf.DUMMYFUNCTION("""COMPUTED_VALUE"""),"VR. VINCULACION CON EL MEDIO")</f>
        <v>VR. VINCULACION CON EL MEDIO</v>
      </c>
      <c r="AH104" t="str">
        <f>IFERROR(__xludf.DUMMYFUNCTION("""COMPUTED_VALUE"""),"PROCESO DE SELECCIÓN")</f>
        <v>PROCESO DE SELECCIÓN</v>
      </c>
      <c r="AI104" t="str">
        <f>IFERROR(__xludf.DUMMYFUNCTION("""COMPUTED_VALUE"""),"-")</f>
        <v>-</v>
      </c>
      <c r="AK104" t="str">
        <f>IFERROR(__xludf.DUMMYFUNCTION("""COMPUTED_VALUE"""),"C")</f>
        <v>C</v>
      </c>
      <c r="AL104">
        <f>IFERROR(__xludf.DUMMYFUNCTION("""COMPUTED_VALUE"""),31.0)</f>
        <v>31</v>
      </c>
      <c r="AM104">
        <f>IFERROR(__xludf.DUMMYFUNCTION("""COMPUTED_VALUE"""),2018.0)</f>
        <v>2018</v>
      </c>
    </row>
    <row r="105">
      <c r="A105">
        <f>IFERROR(__xludf.DUMMYFUNCTION("""COMPUTED_VALUE"""),1.2782003E7)</f>
        <v>12782003</v>
      </c>
      <c r="B105">
        <f>IFERROR(__xludf.DUMMYFUNCTION("""COMPUTED_VALUE"""),7.0)</f>
        <v>7</v>
      </c>
      <c r="C105" t="str">
        <f>IFERROR(__xludf.DUMMYFUNCTION("""COMPUTED_VALUE"""),"A130.2")</f>
        <v>A130.2</v>
      </c>
      <c r="D105" t="str">
        <f>IFERROR(__xludf.DUMMYFUNCTION("""COMPUTED_VALUE"""),"INGRESAR CENTRO DE COSTO A LA DERECHA")</f>
        <v>INGRESAR CENTRO DE COSTO A LA DERECHA</v>
      </c>
      <c r="E105" t="str">
        <f>IFERROR(__xludf.DUMMYFUNCTION("""COMPUTED_VALUE"""),"VR. ACADEMICA")</f>
        <v>VR. ACADEMICA</v>
      </c>
      <c r="F105" t="str">
        <f>IFERROR(__xludf.DUMMYFUNCTION("""COMPUTED_VALUE"""),"Mayordomo(a)")</f>
        <v>Mayordomo(a)</v>
      </c>
      <c r="G105" t="str">
        <f>IFERROR(__xludf.DUMMYFUNCTION("""COMPUTED_VALUE"""),"MAYORDOMO")</f>
        <v>MAYORDOMO</v>
      </c>
      <c r="H105">
        <f>IFERROR(__xludf.DUMMYFUNCTION("""COMPUTED_VALUE"""),21.0)</f>
        <v>21</v>
      </c>
      <c r="I105" t="str">
        <f>IFERROR(__xludf.DUMMYFUNCTION("""COMPUTED_VALUE"""),"Jornada Completa")</f>
        <v>Jornada Completa</v>
      </c>
      <c r="J105" t="str">
        <f>IFERROR(__xludf.DUMMYFUNCTION("""COMPUTED_VALUE"""),"A CONTRATA")</f>
        <v>A CONTRATA</v>
      </c>
      <c r="K105" t="str">
        <f>IFERROR(__xludf.DUMMYFUNCTION("""COMPUTED_VALUE"""),"AUXILIAR")</f>
        <v>AUXILIAR</v>
      </c>
      <c r="L105" t="str">
        <f>IFERROR(__xludf.DUMMYFUNCTION("""COMPUTED_VALUE"""),"INTERNO")</f>
        <v>INTERNO</v>
      </c>
      <c r="M105">
        <f>IFERROR(__xludf.DUMMYFUNCTION("""COMPUTED_VALUE"""),0.0)</f>
        <v>0</v>
      </c>
      <c r="N105" t="str">
        <f>IFERROR(__xludf.DUMMYFUNCTION("""COMPUTED_VALUE"""),"EXTERNO")</f>
        <v>EXTERNO</v>
      </c>
      <c r="O105">
        <f>IFERROR(__xludf.DUMMYFUNCTION("""COMPUTED_VALUE"""),5.0)</f>
        <v>5</v>
      </c>
      <c r="P105">
        <f>IFERROR(__xludf.DUMMYFUNCTION("""COMPUTED_VALUE"""),3.0)</f>
        <v>3</v>
      </c>
      <c r="Q105">
        <f>IFERROR(__xludf.DUMMYFUNCTION("""COMPUTED_VALUE"""),3.0)</f>
        <v>3</v>
      </c>
      <c r="R105" s="45" t="str">
        <f>IFERROR(__xludf.DUMMYFUNCTION("""COMPUTED_VALUE"""),"SELECCIONADO")</f>
        <v>SELECCIONADO</v>
      </c>
      <c r="S105" s="38">
        <f>IFERROR(__xludf.DUMMYFUNCTION("""COMPUTED_VALUE"""),43223.0)</f>
        <v>43223</v>
      </c>
      <c r="U105" t="str">
        <f>IFERROR(__xludf.DUMMYFUNCTION("""COMPUTED_VALUE"""),"ROBERTO PINO FLORES")</f>
        <v>ROBERTO PINO FLORES</v>
      </c>
      <c r="V105" t="str">
        <f>IFERROR(__xludf.DUMMYFUNCTION("""COMPUTED_VALUE"""),"12782003-1")</f>
        <v>12782003-1</v>
      </c>
      <c r="W105" t="str">
        <f>IFERROR(__xludf.DUMMYFUNCTION("""COMPUTED_VALUE"""),"NO")</f>
        <v>NO</v>
      </c>
      <c r="AA105" s="38">
        <f>IFERROR(__xludf.DUMMYFUNCTION("""COMPUTED_VALUE"""),43187.0)</f>
        <v>43187</v>
      </c>
      <c r="AB105" s="38">
        <f>IFERROR(__xludf.DUMMYFUNCTION("""COMPUTED_VALUE"""),43194.0)</f>
        <v>43194</v>
      </c>
      <c r="AH105" t="str">
        <f>IFERROR(__xludf.DUMMYFUNCTION("""COMPUTED_VALUE"""),"PROCESO DE SELECCIÓN")</f>
        <v>PROCESO DE SELECCIÓN</v>
      </c>
      <c r="AI105" t="str">
        <f>IFERROR(__xludf.DUMMYFUNCTION("""COMPUTED_VALUE"""),"-")</f>
        <v>-</v>
      </c>
      <c r="AK105" t="str">
        <f>IFERROR(__xludf.DUMMYFUNCTION("""COMPUTED_VALUE"""),"E")</f>
        <v>E</v>
      </c>
      <c r="AL105">
        <f>IFERROR(__xludf.DUMMYFUNCTION("""COMPUTED_VALUE"""),22.0)</f>
        <v>22</v>
      </c>
      <c r="AM105">
        <f>IFERROR(__xludf.DUMMYFUNCTION("""COMPUTED_VALUE"""),2018.0)</f>
        <v>2018</v>
      </c>
    </row>
    <row r="106">
      <c r="A106">
        <f>IFERROR(__xludf.DUMMYFUNCTION("""COMPUTED_VALUE"""),1.6360131E7)</f>
        <v>16360131</v>
      </c>
      <c r="B106">
        <f>IFERROR(__xludf.DUMMYFUNCTION("""COMPUTED_VALUE"""),8.0)</f>
        <v>8</v>
      </c>
      <c r="C106" t="str">
        <f>IFERROR(__xludf.DUMMYFUNCTION("""COMPUTED_VALUE"""),"A173")</f>
        <v>A173</v>
      </c>
      <c r="D106" t="str">
        <f>IFERROR(__xludf.DUMMYFUNCTION("""COMPUTED_VALUE"""),"INGRESAR CENTRO DE COSTO A LA DERECHA")</f>
        <v>INGRESAR CENTRO DE COSTO A LA DERECHA</v>
      </c>
      <c r="E106" t="str">
        <f>IFERROR(__xludf.DUMMYFUNCTION("""COMPUTED_VALUE"""),"DPTO. DE INGENIERIA INFORMATICA")</f>
        <v>DPTO. DE INGENIERIA INFORMATICA</v>
      </c>
      <c r="F106" t="str">
        <f>IFERROR(__xludf.DUMMYFUNCTION("""COMPUTED_VALUE"""),"Analista Informático")</f>
        <v>Analista Informático</v>
      </c>
      <c r="G106" t="str">
        <f>IFERROR(__xludf.DUMMYFUNCTION("""COMPUTED_VALUE"""),"ANALISTA INFORMATICO ( ANALISTA TI)")</f>
        <v>ANALISTA INFORMATICO ( ANALISTA TI)</v>
      </c>
      <c r="H106">
        <f>IFERROR(__xludf.DUMMYFUNCTION("""COMPUTED_VALUE"""),10.0)</f>
        <v>10</v>
      </c>
      <c r="I106" t="str">
        <f>IFERROR(__xludf.DUMMYFUNCTION("""COMPUTED_VALUE"""),"Jornada Completa")</f>
        <v>Jornada Completa</v>
      </c>
      <c r="J106" t="str">
        <f>IFERROR(__xludf.DUMMYFUNCTION("""COMPUTED_VALUE"""),"A CONTRATA")</f>
        <v>A CONTRATA</v>
      </c>
      <c r="K106" t="str">
        <f>IFERROR(__xludf.DUMMYFUNCTION("""COMPUTED_VALUE"""),"PROFESIONAL")</f>
        <v>PROFESIONAL</v>
      </c>
      <c r="L106" t="str">
        <f>IFERROR(__xludf.DUMMYFUNCTION("""COMPUTED_VALUE"""),"INTERNO")</f>
        <v>INTERNO</v>
      </c>
      <c r="M106">
        <f>IFERROR(__xludf.DUMMYFUNCTION("""COMPUTED_VALUE"""),0.0)</f>
        <v>0</v>
      </c>
      <c r="N106" t="str">
        <f>IFERROR(__xludf.DUMMYFUNCTION("""COMPUTED_VALUE"""),"EXTERNO")</f>
        <v>EXTERNO</v>
      </c>
      <c r="O106">
        <f>IFERROR(__xludf.DUMMYFUNCTION("""COMPUTED_VALUE"""),5.0)</f>
        <v>5</v>
      </c>
      <c r="P106">
        <f>IFERROR(__xludf.DUMMYFUNCTION("""COMPUTED_VALUE"""),3.0)</f>
        <v>3</v>
      </c>
      <c r="Q106">
        <f>IFERROR(__xludf.DUMMYFUNCTION("""COMPUTED_VALUE"""),2.0)</f>
        <v>2</v>
      </c>
      <c r="R106" s="45" t="str">
        <f>IFERROR(__xludf.DUMMYFUNCTION("""COMPUTED_VALUE"""),"SELECCIONADO")</f>
        <v>SELECCIONADO</v>
      </c>
      <c r="S106" s="38">
        <f>IFERROR(__xludf.DUMMYFUNCTION("""COMPUTED_VALUE"""),43234.0)</f>
        <v>43234</v>
      </c>
      <c r="T106" t="str">
        <f>IFERROR(__xludf.DUMMYFUNCTION("""COMPUTED_VALUE"""),"FUNCIONARIOS DIC 2018")</f>
        <v>FUNCIONARIOS DIC 2018</v>
      </c>
      <c r="V106" t="str">
        <f>IFERROR(__xludf.DUMMYFUNCTION("""COMPUTED_VALUE"""),"16360131-1")</f>
        <v>16360131-1</v>
      </c>
      <c r="W106" t="str">
        <f>IFERROR(__xludf.DUMMYFUNCTION("""COMPUTED_VALUE"""),"NO")</f>
        <v>NO</v>
      </c>
      <c r="AA106" s="38">
        <f>IFERROR(__xludf.DUMMYFUNCTION("""COMPUTED_VALUE"""),43217.0)</f>
        <v>43217</v>
      </c>
      <c r="AB106" s="38">
        <f>IFERROR(__xludf.DUMMYFUNCTION("""COMPUTED_VALUE"""),43223.0)</f>
        <v>43223</v>
      </c>
      <c r="AD106" t="str">
        <f>IFERROR(__xludf.DUMMYFUNCTION("""COMPUTED_VALUE"""),"PROF. HORAS")</f>
        <v>PROF. HORAS</v>
      </c>
      <c r="AE106" t="str">
        <f>IFERROR(__xludf.DUMMYFUNCTION("""COMPUTED_VALUE"""),"PROFESOR")</f>
        <v>PROFESOR</v>
      </c>
      <c r="AF106" s="46" t="str">
        <f>IFERROR(__xludf.DUMMYFUNCTION("""COMPUTED_VALUE"""),"DPTO. DE INGENIERIA INFORMATICA")</f>
        <v>DPTO. DE INGENIERIA INFORMATICA</v>
      </c>
      <c r="AH106" t="str">
        <f>IFERROR(__xludf.DUMMYFUNCTION("""COMPUTED_VALUE"""),"PROCESO DE SELECCIÓN")</f>
        <v>PROCESO DE SELECCIÓN</v>
      </c>
      <c r="AI106" t="str">
        <f>IFERROR(__xludf.DUMMYFUNCTION("""COMPUTED_VALUE"""),"JUAN ITURBE ARAYA")</f>
        <v>JUAN ITURBE ARAYA</v>
      </c>
      <c r="AK106" t="str">
        <f>IFERROR(__xludf.DUMMYFUNCTION("""COMPUTED_VALUE"""),"C")</f>
        <v>C</v>
      </c>
      <c r="AL106">
        <f>IFERROR(__xludf.DUMMYFUNCTION("""COMPUTED_VALUE"""),8.0)</f>
        <v>8</v>
      </c>
      <c r="AM106">
        <f>IFERROR(__xludf.DUMMYFUNCTION("""COMPUTED_VALUE"""),2018.0)</f>
        <v>2018</v>
      </c>
    </row>
    <row r="107">
      <c r="A107">
        <f>IFERROR(__xludf.DUMMYFUNCTION("""COMPUTED_VALUE"""),1.3072507E7)</f>
        <v>13072507</v>
      </c>
      <c r="B107">
        <f>IFERROR(__xludf.DUMMYFUNCTION("""COMPUTED_VALUE"""),9.0)</f>
        <v>9</v>
      </c>
      <c r="C107" t="str">
        <f>IFERROR(__xludf.DUMMYFUNCTION("""COMPUTED_VALUE"""),"A201")</f>
        <v>A201</v>
      </c>
      <c r="D107" t="str">
        <f>IFERROR(__xludf.DUMMYFUNCTION("""COMPUTED_VALUE"""),"INGRESAR CENTRO DE COSTO A LA DERECHA")</f>
        <v>INGRESAR CENTRO DE COSTO A LA DERECHA</v>
      </c>
      <c r="E107" t="str">
        <f>IFERROR(__xludf.DUMMYFUNCTION("""COMPUTED_VALUE"""),"PRORRECTORIA")</f>
        <v>PRORRECTORIA</v>
      </c>
      <c r="F107" t="str">
        <f>IFERROR(__xludf.DUMMYFUNCTION("""COMPUTED_VALUE"""),"Analista de Gestión I")</f>
        <v>Analista de Gestión I</v>
      </c>
      <c r="G107" t="str">
        <f>IFERROR(__xludf.DUMMYFUNCTION("""COMPUTED_VALUE"""),"ANALISTA DE GESTION I ")</f>
        <v>ANALISTA DE GESTION I </v>
      </c>
      <c r="H107">
        <f>IFERROR(__xludf.DUMMYFUNCTION("""COMPUTED_VALUE"""),10.0)</f>
        <v>10</v>
      </c>
      <c r="I107" t="str">
        <f>IFERROR(__xludf.DUMMYFUNCTION("""COMPUTED_VALUE"""),"Jornada Completa")</f>
        <v>Jornada Completa</v>
      </c>
      <c r="J107" t="str">
        <f>IFERROR(__xludf.DUMMYFUNCTION("""COMPUTED_VALUE"""),"A CONTRATA")</f>
        <v>A CONTRATA</v>
      </c>
      <c r="K107" t="str">
        <f>IFERROR(__xludf.DUMMYFUNCTION("""COMPUTED_VALUE"""),"PROFESIONAL")</f>
        <v>PROFESIONAL</v>
      </c>
      <c r="L107" t="str">
        <f>IFERROR(__xludf.DUMMYFUNCTION("""COMPUTED_VALUE"""),"INTERNO")</f>
        <v>INTERNO</v>
      </c>
      <c r="M107">
        <f>IFERROR(__xludf.DUMMYFUNCTION("""COMPUTED_VALUE"""),4.0)</f>
        <v>4</v>
      </c>
      <c r="N107" t="str">
        <f>IFERROR(__xludf.DUMMYFUNCTION("""COMPUTED_VALUE"""),"NO")</f>
        <v>NO</v>
      </c>
      <c r="P107">
        <f>IFERROR(__xludf.DUMMYFUNCTION("""COMPUTED_VALUE"""),1.0)</f>
        <v>1</v>
      </c>
      <c r="Q107">
        <f>IFERROR(__xludf.DUMMYFUNCTION("""COMPUTED_VALUE"""),0.0)</f>
        <v>0</v>
      </c>
      <c r="R107" s="45" t="str">
        <f>IFERROR(__xludf.DUMMYFUNCTION("""COMPUTED_VALUE"""),"SELECCIONADA")</f>
        <v>SELECCIONADA</v>
      </c>
      <c r="S107" s="38">
        <f>IFERROR(__xludf.DUMMYFUNCTION("""COMPUTED_VALUE"""),43234.0)</f>
        <v>43234</v>
      </c>
      <c r="T107" t="str">
        <f>IFERROR(__xludf.DUMMYFUNCTION("""COMPUTED_VALUE"""),"CARRASCO PALMA MARTA DEL PILAR")</f>
        <v>CARRASCO PALMA MARTA DEL PILAR</v>
      </c>
      <c r="V107" t="str">
        <f>IFERROR(__xludf.DUMMYFUNCTION("""COMPUTED_VALUE"""),"13072507-4")</f>
        <v>13072507-4</v>
      </c>
      <c r="W107" t="str">
        <f>IFERROR(__xludf.DUMMYFUNCTION("""COMPUTED_VALUE"""),"SI")</f>
        <v>SI</v>
      </c>
      <c r="X107" t="str">
        <f>IFERROR(__xludf.DUMMYFUNCTION("""COMPUTED_VALUE"""),"Capacidad de Planificacion y Organizacion")</f>
        <v>Capacidad de Planificacion y Organizacion</v>
      </c>
      <c r="Y107" t="str">
        <f>IFERROR(__xludf.DUMMYFUNCTION("""COMPUTED_VALUE"""),"Pensamiento Analitico")</f>
        <v>Pensamiento Analitico</v>
      </c>
      <c r="AA107" s="38">
        <f>IFERROR(__xludf.DUMMYFUNCTION("""COMPUTED_VALUE"""),43196.0)</f>
        <v>43196</v>
      </c>
      <c r="AB107" s="38">
        <f>IFERROR(__xludf.DUMMYFUNCTION("""COMPUTED_VALUE"""),43201.0)</f>
        <v>43201</v>
      </c>
      <c r="AC107">
        <f>IFERROR(__xludf.DUMMYFUNCTION("""COMPUTED_VALUE"""),10.0)</f>
        <v>10</v>
      </c>
      <c r="AD107" t="str">
        <f>IFERROR(__xludf.DUMMYFUNCTION("""COMPUTED_VALUE"""),"PROFESIONAL")</f>
        <v>PROFESIONAL</v>
      </c>
      <c r="AE107" t="str">
        <f>IFERROR(__xludf.DUMMYFUNCTION("""COMPUTED_VALUE"""),"ANALISTA PRESUPUESTARIO")</f>
        <v>ANALISTA PRESUPUESTARIO</v>
      </c>
      <c r="AF107" s="46" t="str">
        <f>IFERROR(__xludf.DUMMYFUNCTION("""COMPUTED_VALUE"""),"DPTO. DE PLANIFICACION PRESUPUESTARIA")</f>
        <v>DPTO. DE PLANIFICACION PRESUPUESTARIA</v>
      </c>
      <c r="AG107" s="46" t="str">
        <f>IFERROR(__xludf.DUMMYFUNCTION("""COMPUTED_VALUE"""),"INICIA EN MEDIA JORNADA A CONTAR DEL 02/05/2018")</f>
        <v>INICIA EN MEDIA JORNADA A CONTAR DEL 02/05/2018</v>
      </c>
      <c r="AH107" t="str">
        <f>IFERROR(__xludf.DUMMYFUNCTION("""COMPUTED_VALUE"""),"PROCESO DE SELECCIÓN")</f>
        <v>PROCESO DE SELECCIÓN</v>
      </c>
      <c r="AI107" t="str">
        <f>IFERROR(__xludf.DUMMYFUNCTION("""COMPUTED_VALUE"""),"OSSES ARAVENA RAUL")</f>
        <v>OSSES ARAVENA RAUL</v>
      </c>
      <c r="AK107" t="str">
        <f>IFERROR(__xludf.DUMMYFUNCTION("""COMPUTED_VALUE"""),"C")</f>
        <v>C</v>
      </c>
      <c r="AL107">
        <f>IFERROR(__xludf.DUMMYFUNCTION("""COMPUTED_VALUE"""),24.0)</f>
        <v>24</v>
      </c>
      <c r="AM107">
        <f>IFERROR(__xludf.DUMMYFUNCTION("""COMPUTED_VALUE"""),2018.0)</f>
        <v>2018</v>
      </c>
    </row>
    <row r="108">
      <c r="A108">
        <f>IFERROR(__xludf.DUMMYFUNCTION("""COMPUTED_VALUE"""),1.7699481E7)</f>
        <v>17699481</v>
      </c>
      <c r="B108">
        <f>IFERROR(__xludf.DUMMYFUNCTION("""COMPUTED_VALUE"""),10.0)</f>
        <v>10</v>
      </c>
      <c r="C108" t="str">
        <f>IFERROR(__xludf.DUMMYFUNCTION("""COMPUTED_VALUE"""),"A193")</f>
        <v>A193</v>
      </c>
      <c r="D108" t="str">
        <f>IFERROR(__xludf.DUMMYFUNCTION("""COMPUTED_VALUE"""),"INGRESAR CENTRO DE COSTO A LA DERECHA")</f>
        <v>INGRESAR CENTRO DE COSTO A LA DERECHA</v>
      </c>
      <c r="E108" t="str">
        <f>IFERROR(__xludf.DUMMYFUNCTION("""COMPUTED_VALUE"""),"VR. DE POSTGRADO")</f>
        <v>VR. DE POSTGRADO</v>
      </c>
      <c r="F108" t="str">
        <f>IFERROR(__xludf.DUMMYFUNCTION("""COMPUTED_VALUE"""),"Jefe(a) de Área")</f>
        <v>Jefe(a) de Área</v>
      </c>
      <c r="G108" t="str">
        <f>IFERROR(__xludf.DUMMYFUNCTION("""COMPUTED_VALUE"""),"JEFE DE AREA ( AREA INTERNACIONALIZACION DEL POSTGRADO)")</f>
        <v>JEFE DE AREA ( AREA INTERNACIONALIZACION DEL POSTGRADO)</v>
      </c>
      <c r="H108">
        <f>IFERROR(__xludf.DUMMYFUNCTION("""COMPUTED_VALUE"""),8.0)</f>
        <v>8</v>
      </c>
      <c r="I108" t="str">
        <f>IFERROR(__xludf.DUMMYFUNCTION("""COMPUTED_VALUE"""),"Jornada Completa")</f>
        <v>Jornada Completa</v>
      </c>
      <c r="J108" t="str">
        <f>IFERROR(__xludf.DUMMYFUNCTION("""COMPUTED_VALUE"""),"A CONTRATA")</f>
        <v>A CONTRATA</v>
      </c>
      <c r="K108" t="str">
        <f>IFERROR(__xludf.DUMMYFUNCTION("""COMPUTED_VALUE"""),"PROFESIONAL")</f>
        <v>PROFESIONAL</v>
      </c>
      <c r="L108" t="str">
        <f>IFERROR(__xludf.DUMMYFUNCTION("""COMPUTED_VALUE"""),"INTERNO")</f>
        <v>INTERNO</v>
      </c>
      <c r="M108">
        <f>IFERROR(__xludf.DUMMYFUNCTION("""COMPUTED_VALUE"""),2.0)</f>
        <v>2</v>
      </c>
      <c r="N108" t="str">
        <f>IFERROR(__xludf.DUMMYFUNCTION("""COMPUTED_VALUE"""),"EXTERNO")</f>
        <v>EXTERNO</v>
      </c>
      <c r="O108">
        <f>IFERROR(__xludf.DUMMYFUNCTION("""COMPUTED_VALUE"""),27.0)</f>
        <v>27</v>
      </c>
      <c r="P108">
        <f>IFERROR(__xludf.DUMMYFUNCTION("""COMPUTED_VALUE"""),1.0)</f>
        <v>1</v>
      </c>
      <c r="Q108">
        <f>IFERROR(__xludf.DUMMYFUNCTION("""COMPUTED_VALUE"""),0.0)</f>
        <v>0</v>
      </c>
      <c r="R108" s="45" t="str">
        <f>IFERROR(__xludf.DUMMYFUNCTION("""COMPUTED_VALUE"""),"SELECCIONADO")</f>
        <v>SELECCIONADO</v>
      </c>
      <c r="S108" s="38">
        <f>IFERROR(__xludf.DUMMYFUNCTION("""COMPUTED_VALUE"""),43230.0)</f>
        <v>43230</v>
      </c>
      <c r="U108" t="str">
        <f>IFERROR(__xludf.DUMMYFUNCTION("""COMPUTED_VALUE"""),"LUIS CLAVERIA CAMBON")</f>
        <v>LUIS CLAVERIA CAMBON</v>
      </c>
      <c r="V108" t="str">
        <f>IFERROR(__xludf.DUMMYFUNCTION("""COMPUTED_VALUE"""),"17699481-9")</f>
        <v>17699481-9</v>
      </c>
      <c r="W108" t="str">
        <f>IFERROR(__xludf.DUMMYFUNCTION("""COMPUTED_VALUE"""),"SI")</f>
        <v>SI</v>
      </c>
      <c r="X108" t="str">
        <f>IFERROR(__xludf.DUMMYFUNCTION("""COMPUTED_VALUE"""),"Capacidad de Planificacion y Organizacion")</f>
        <v>Capacidad de Planificacion y Organizacion</v>
      </c>
      <c r="AA108" s="38">
        <f>IFERROR(__xludf.DUMMYFUNCTION("""COMPUTED_VALUE"""),43194.0)</f>
        <v>43194</v>
      </c>
      <c r="AB108" s="38">
        <f>IFERROR(__xludf.DUMMYFUNCTION("""COMPUTED_VALUE"""),43201.0)</f>
        <v>43201</v>
      </c>
      <c r="AH108" t="str">
        <f>IFERROR(__xludf.DUMMYFUNCTION("""COMPUTED_VALUE"""),"PROCESO DE SELECCIÓN")</f>
        <v>PROCESO DE SELECCIÓN</v>
      </c>
      <c r="AI108" t="str">
        <f>IFERROR(__xludf.DUMMYFUNCTION("""COMPUTED_VALUE"""),"- ")</f>
        <v>- </v>
      </c>
      <c r="AK108" t="str">
        <f>IFERROR(__xludf.DUMMYFUNCTION("""COMPUTED_VALUE"""),"E")</f>
        <v>E</v>
      </c>
      <c r="AL108">
        <f>IFERROR(__xludf.DUMMYFUNCTION("""COMPUTED_VALUE"""),22.0)</f>
        <v>22</v>
      </c>
      <c r="AM108">
        <f>IFERROR(__xludf.DUMMYFUNCTION("""COMPUTED_VALUE"""),2018.0)</f>
        <v>2018</v>
      </c>
    </row>
    <row r="109">
      <c r="A109">
        <f>IFERROR(__xludf.DUMMYFUNCTION("""COMPUTED_VALUE"""),1.4127573E7)</f>
        <v>14127573</v>
      </c>
      <c r="B109">
        <f>IFERROR(__xludf.DUMMYFUNCTION("""COMPUTED_VALUE"""),11.0)</f>
        <v>11</v>
      </c>
      <c r="C109" t="str">
        <f>IFERROR(__xludf.DUMMYFUNCTION("""COMPUTED_VALUE"""),"A189")</f>
        <v>A189</v>
      </c>
      <c r="D109" t="str">
        <f>IFERROR(__xludf.DUMMYFUNCTION("""COMPUTED_VALUE"""),"INGRESAR CENTRO DE COSTO A LA DERECHA")</f>
        <v>INGRESAR CENTRO DE COSTO A LA DERECHA</v>
      </c>
      <c r="E109" t="str">
        <f>IFERROR(__xludf.DUMMYFUNCTION("""COMPUTED_VALUE"""),"DPTO. DE FINANZAS Y TESORERIA")</f>
        <v>DPTO. DE FINANZAS Y TESORERIA</v>
      </c>
      <c r="F109" t="str">
        <f>IFERROR(__xludf.DUMMYFUNCTION("""COMPUTED_VALUE"""),"Analista Contable II")</f>
        <v>Analista Contable II</v>
      </c>
      <c r="G109" t="str">
        <f>IFERROR(__xludf.DUMMYFUNCTION("""COMPUTED_VALUE"""),"ANALISTA CONTABLE II")</f>
        <v>ANALISTA CONTABLE II</v>
      </c>
      <c r="H109">
        <f>IFERROR(__xludf.DUMMYFUNCTION("""COMPUTED_VALUE"""),13.0)</f>
        <v>13</v>
      </c>
      <c r="I109" t="str">
        <f>IFERROR(__xludf.DUMMYFUNCTION("""COMPUTED_VALUE"""),"Jornada Completa")</f>
        <v>Jornada Completa</v>
      </c>
      <c r="J109" t="str">
        <f>IFERROR(__xludf.DUMMYFUNCTION("""COMPUTED_VALUE"""),"A CONTRATA")</f>
        <v>A CONTRATA</v>
      </c>
      <c r="K109" t="str">
        <f>IFERROR(__xludf.DUMMYFUNCTION("""COMPUTED_VALUE"""),"PROFESIONAL")</f>
        <v>PROFESIONAL</v>
      </c>
      <c r="L109" t="str">
        <f>IFERROR(__xludf.DUMMYFUNCTION("""COMPUTED_VALUE"""),"INTERNO")</f>
        <v>INTERNO</v>
      </c>
      <c r="M109">
        <f>IFERROR(__xludf.DUMMYFUNCTION("""COMPUTED_VALUE"""),0.0)</f>
        <v>0</v>
      </c>
      <c r="N109" t="str">
        <f>IFERROR(__xludf.DUMMYFUNCTION("""COMPUTED_VALUE"""),"EXTERNO")</f>
        <v>EXTERNO</v>
      </c>
      <c r="O109">
        <f>IFERROR(__xludf.DUMMYFUNCTION("""COMPUTED_VALUE"""),10.0)</f>
        <v>10</v>
      </c>
      <c r="P109">
        <f>IFERROR(__xludf.DUMMYFUNCTION("""COMPUTED_VALUE"""),2.0)</f>
        <v>2</v>
      </c>
      <c r="Q109">
        <f>IFERROR(__xludf.DUMMYFUNCTION("""COMPUTED_VALUE"""),0.0)</f>
        <v>0</v>
      </c>
      <c r="R109" s="45" t="str">
        <f>IFERROR(__xludf.DUMMYFUNCTION("""COMPUTED_VALUE"""),"SELECCIONADA")</f>
        <v>SELECCIONADA</v>
      </c>
      <c r="S109" s="38">
        <f>IFERROR(__xludf.DUMMYFUNCTION("""COMPUTED_VALUE"""),43222.0)</f>
        <v>43222</v>
      </c>
      <c r="U109" t="str">
        <f>IFERROR(__xludf.DUMMYFUNCTION("""COMPUTED_VALUE"""),"CAROLINA DIAZ MORALES")</f>
        <v>CAROLINA DIAZ MORALES</v>
      </c>
      <c r="V109" t="str">
        <f>IFERROR(__xludf.DUMMYFUNCTION("""COMPUTED_VALUE"""),"14127573-9")</f>
        <v>14127573-9</v>
      </c>
      <c r="W109" t="str">
        <f>IFERROR(__xludf.DUMMYFUNCTION("""COMPUTED_VALUE"""),"SI")</f>
        <v>SI</v>
      </c>
      <c r="X109" t="str">
        <f>IFERROR(__xludf.DUMMYFUNCTION("""COMPUTED_VALUE"""),"Orientacion a los Resultados")</f>
        <v>Orientacion a los Resultados</v>
      </c>
      <c r="AA109" s="38">
        <f>IFERROR(__xludf.DUMMYFUNCTION("""COMPUTED_VALUE"""),43187.0)</f>
        <v>43187</v>
      </c>
      <c r="AB109" s="38">
        <f>IFERROR(__xludf.DUMMYFUNCTION("""COMPUTED_VALUE"""),43194.0)</f>
        <v>43194</v>
      </c>
      <c r="AG109" s="46" t="str">
        <f>IFERROR(__xludf.DUMMYFUNCTION("""COMPUTED_VALUE"""),"SE CONTRATA POR UN PERIODO A PRUEBA DE 3 MESES")</f>
        <v>SE CONTRATA POR UN PERIODO A PRUEBA DE 3 MESES</v>
      </c>
      <c r="AH109" t="str">
        <f>IFERROR(__xludf.DUMMYFUNCTION("""COMPUTED_VALUE"""),"PROCESO DE SELECCIÓN")</f>
        <v>PROCESO DE SELECCIÓN</v>
      </c>
      <c r="AI109" t="str">
        <f>IFERROR(__xludf.DUMMYFUNCTION("""COMPUTED_VALUE"""),"DIEGO BUSTAMANTE FLORES")</f>
        <v>DIEGO BUSTAMANTE FLORES</v>
      </c>
      <c r="AK109" t="str">
        <f>IFERROR(__xludf.DUMMYFUNCTION("""COMPUTED_VALUE"""),"E")</f>
        <v>E</v>
      </c>
      <c r="AL109">
        <f>IFERROR(__xludf.DUMMYFUNCTION("""COMPUTED_VALUE"""),21.0)</f>
        <v>21</v>
      </c>
      <c r="AM109">
        <f>IFERROR(__xludf.DUMMYFUNCTION("""COMPUTED_VALUE"""),2018.0)</f>
        <v>2018</v>
      </c>
    </row>
    <row r="110">
      <c r="A110">
        <f>IFERROR(__xludf.DUMMYFUNCTION("""COMPUTED_VALUE"""),1.1491519E7)</f>
        <v>11491519</v>
      </c>
      <c r="B110">
        <f>IFERROR(__xludf.DUMMYFUNCTION("""COMPUTED_VALUE"""),12.0)</f>
        <v>12</v>
      </c>
      <c r="C110" t="str">
        <f>IFERROR(__xludf.DUMMYFUNCTION("""COMPUTED_VALUE"""),"A004")</f>
        <v>A004</v>
      </c>
      <c r="D110" t="str">
        <f>IFERROR(__xludf.DUMMYFUNCTION("""COMPUTED_VALUE"""),"INGRESAR CENTRO DE COSTO A LA DERECHA")</f>
        <v>INGRESAR CENTRO DE COSTO A LA DERECHA</v>
      </c>
      <c r="E110" t="str">
        <f>IFERROR(__xludf.DUMMYFUNCTION("""COMPUTED_VALUE"""),"FACULTAD DE ADMINIST Y ECONOMI")</f>
        <v>FACULTAD DE ADMINIST Y ECONOMI</v>
      </c>
      <c r="F110" t="str">
        <f>IFERROR(__xludf.DUMMYFUNCTION("""COMPUTED_VALUE"""),"Secretario(a) de Apoyo Docente")</f>
        <v>Secretario(a) de Apoyo Docente</v>
      </c>
      <c r="G110" t="str">
        <f>IFERROR(__xludf.DUMMYFUNCTION("""COMPUTED_VALUE"""),"SECRETARIO DE APOYO DOCENTE")</f>
        <v>SECRETARIO DE APOYO DOCENTE</v>
      </c>
      <c r="H110">
        <f>IFERROR(__xludf.DUMMYFUNCTION("""COMPUTED_VALUE"""),17.0)</f>
        <v>17</v>
      </c>
      <c r="I110" t="str">
        <f>IFERROR(__xludf.DUMMYFUNCTION("""COMPUTED_VALUE"""),"Jornada Completa")</f>
        <v>Jornada Completa</v>
      </c>
      <c r="J110" t="str">
        <f>IFERROR(__xludf.DUMMYFUNCTION("""COMPUTED_VALUE"""),"A CONTRATA")</f>
        <v>A CONTRATA</v>
      </c>
      <c r="K110" t="str">
        <f>IFERROR(__xludf.DUMMYFUNCTION("""COMPUTED_VALUE"""),"ADMINISTRATIVO")</f>
        <v>ADMINISTRATIVO</v>
      </c>
      <c r="L110" t="str">
        <f>IFERROR(__xludf.DUMMYFUNCTION("""COMPUTED_VALUE"""),"INTERNO")</f>
        <v>INTERNO</v>
      </c>
      <c r="M110">
        <f>IFERROR(__xludf.DUMMYFUNCTION("""COMPUTED_VALUE"""),4.0)</f>
        <v>4</v>
      </c>
      <c r="N110" t="str">
        <f>IFERROR(__xludf.DUMMYFUNCTION("""COMPUTED_VALUE"""),"EXTERNO")</f>
        <v>EXTERNO</v>
      </c>
      <c r="O110">
        <f>IFERROR(__xludf.DUMMYFUNCTION("""COMPUTED_VALUE"""),12.0)</f>
        <v>12</v>
      </c>
      <c r="P110">
        <f>IFERROR(__xludf.DUMMYFUNCTION("""COMPUTED_VALUE"""),1.0)</f>
        <v>1</v>
      </c>
      <c r="Q110">
        <f>IFERROR(__xludf.DUMMYFUNCTION("""COMPUTED_VALUE"""),1.0)</f>
        <v>1</v>
      </c>
      <c r="R110" s="45" t="str">
        <f>IFERROR(__xludf.DUMMYFUNCTION("""COMPUTED_VALUE"""),"SELECCIONADA")</f>
        <v>SELECCIONADA</v>
      </c>
      <c r="S110" s="38">
        <f>IFERROR(__xludf.DUMMYFUNCTION("""COMPUTED_VALUE"""),43234.0)</f>
        <v>43234</v>
      </c>
      <c r="U110" t="str">
        <f>IFERROR(__xludf.DUMMYFUNCTION("""COMPUTED_VALUE"""),"CLAUDIA ULLOA BERNALES")</f>
        <v>CLAUDIA ULLOA BERNALES</v>
      </c>
      <c r="V110" t="str">
        <f>IFERROR(__xludf.DUMMYFUNCTION("""COMPUTED_VALUE"""),"11491519-K")</f>
        <v>11491519-K</v>
      </c>
      <c r="W110" t="str">
        <f>IFERROR(__xludf.DUMMYFUNCTION("""COMPUTED_VALUE"""),"SI")</f>
        <v>SI</v>
      </c>
      <c r="X110" t="str">
        <f>IFERROR(__xludf.DUMMYFUNCTION("""COMPUTED_VALUE"""),"Iniciativa")</f>
        <v>Iniciativa</v>
      </c>
      <c r="Y110" t="str">
        <f>IFERROR(__xludf.DUMMYFUNCTION("""COMPUTED_VALUE"""),"Franqueza- Confiabilidad- Integridad")</f>
        <v>Franqueza- Confiabilidad- Integridad</v>
      </c>
      <c r="AA110" s="38">
        <f>IFERROR(__xludf.DUMMYFUNCTION("""COMPUTED_VALUE"""),43175.0)</f>
        <v>43175</v>
      </c>
      <c r="AB110" s="38">
        <f>IFERROR(__xludf.DUMMYFUNCTION("""COMPUTED_VALUE"""),43182.0)</f>
        <v>43182</v>
      </c>
      <c r="AH110" t="str">
        <f>IFERROR(__xludf.DUMMYFUNCTION("""COMPUTED_VALUE"""),"PROCESO DE SELECCIÓN")</f>
        <v>PROCESO DE SELECCIÓN</v>
      </c>
      <c r="AI110" t="str">
        <f>IFERROR(__xludf.DUMMYFUNCTION("""COMPUTED_VALUE"""),"ELIZABETH DONOSO FRITZ")</f>
        <v>ELIZABETH DONOSO FRITZ</v>
      </c>
      <c r="AK110" t="str">
        <f>IFERROR(__xludf.DUMMYFUNCTION("""COMPUTED_VALUE"""),"P")</f>
        <v>P</v>
      </c>
      <c r="AL110">
        <f>IFERROR(__xludf.DUMMYFUNCTION("""COMPUTED_VALUE"""),37.0)</f>
        <v>37</v>
      </c>
      <c r="AM110">
        <f>IFERROR(__xludf.DUMMYFUNCTION("""COMPUTED_VALUE"""),2018.0)</f>
        <v>2018</v>
      </c>
    </row>
    <row r="111">
      <c r="A111">
        <f>IFERROR(__xludf.DUMMYFUNCTION("""COMPUTED_VALUE"""),1.723705E7)</f>
        <v>17237050</v>
      </c>
      <c r="B111">
        <f>IFERROR(__xludf.DUMMYFUNCTION("""COMPUTED_VALUE"""),13.0)</f>
        <v>13</v>
      </c>
      <c r="C111" t="str">
        <f>IFERROR(__xludf.DUMMYFUNCTION("""COMPUTED_VALUE"""),"A85")</f>
        <v>A85</v>
      </c>
      <c r="D111" t="str">
        <f>IFERROR(__xludf.DUMMYFUNCTION("""COMPUTED_VALUE"""),"INGRESAR CENTRO DE COSTO A LA DERECHA")</f>
        <v>INGRESAR CENTRO DE COSTO A LA DERECHA</v>
      </c>
      <c r="E111" t="str">
        <f>IFERROR(__xludf.DUMMYFUNCTION("""COMPUTED_VALUE"""),"DPTO. DE GESTION ESTRATEGICA")</f>
        <v>DPTO. DE GESTION ESTRATEGICA</v>
      </c>
      <c r="F111" t="str">
        <f>IFERROR(__xludf.DUMMYFUNCTION("""COMPUTED_VALUE"""),"Analista de Gestión Estratégica")</f>
        <v>Analista de Gestión Estratégica</v>
      </c>
      <c r="G111" t="str">
        <f>IFERROR(__xludf.DUMMYFUNCTION("""COMPUTED_VALUE"""),"ANALISTA DE GESTION ESTRATEGICA")</f>
        <v>ANALISTA DE GESTION ESTRATEGICA</v>
      </c>
      <c r="H111">
        <f>IFERROR(__xludf.DUMMYFUNCTION("""COMPUTED_VALUE"""),10.0)</f>
        <v>10</v>
      </c>
      <c r="I111" t="str">
        <f>IFERROR(__xludf.DUMMYFUNCTION("""COMPUTED_VALUE"""),"Jornada Completa")</f>
        <v>Jornada Completa</v>
      </c>
      <c r="J111" t="str">
        <f>IFERROR(__xludf.DUMMYFUNCTION("""COMPUTED_VALUE"""),"A CONTRATA")</f>
        <v>A CONTRATA</v>
      </c>
      <c r="K111" t="str">
        <f>IFERROR(__xludf.DUMMYFUNCTION("""COMPUTED_VALUE"""),"PROFESIONAL")</f>
        <v>PROFESIONAL</v>
      </c>
      <c r="L111" t="str">
        <f>IFERROR(__xludf.DUMMYFUNCTION("""COMPUTED_VALUE"""),"INTERNO")</f>
        <v>INTERNO</v>
      </c>
      <c r="M111">
        <f>IFERROR(__xludf.DUMMYFUNCTION("""COMPUTED_VALUE"""),1.0)</f>
        <v>1</v>
      </c>
      <c r="N111" t="str">
        <f>IFERROR(__xludf.DUMMYFUNCTION("""COMPUTED_VALUE"""),"EXTERNO")</f>
        <v>EXTERNO</v>
      </c>
      <c r="O111">
        <f>IFERROR(__xludf.DUMMYFUNCTION("""COMPUTED_VALUE"""),27.0)</f>
        <v>27</v>
      </c>
      <c r="P111">
        <f>IFERROR(__xludf.DUMMYFUNCTION("""COMPUTED_VALUE"""),3.0)</f>
        <v>3</v>
      </c>
      <c r="Q111">
        <f>IFERROR(__xludf.DUMMYFUNCTION("""COMPUTED_VALUE"""),0.0)</f>
        <v>0</v>
      </c>
      <c r="R111" s="45" t="str">
        <f>IFERROR(__xludf.DUMMYFUNCTION("""COMPUTED_VALUE"""),"SELECCIONADA")</f>
        <v>SELECCIONADA</v>
      </c>
      <c r="S111" s="38">
        <f>IFERROR(__xludf.DUMMYFUNCTION("""COMPUTED_VALUE"""),43227.0)</f>
        <v>43227</v>
      </c>
      <c r="U111" t="str">
        <f>IFERROR(__xludf.DUMMYFUNCTION("""COMPUTED_VALUE"""),"GLORIA QUEZADA MAYOR")</f>
        <v>GLORIA QUEZADA MAYOR</v>
      </c>
      <c r="V111" t="str">
        <f>IFERROR(__xludf.DUMMYFUNCTION("""COMPUTED_VALUE"""),"17237050-0")</f>
        <v>17237050-0</v>
      </c>
      <c r="W111" t="str">
        <f>IFERROR(__xludf.DUMMYFUNCTION("""COMPUTED_VALUE"""),"SI")</f>
        <v>SI</v>
      </c>
      <c r="X111" t="str">
        <f>IFERROR(__xludf.DUMMYFUNCTION("""COMPUTED_VALUE"""),"Capacidad de Planificacion y Organizacion")</f>
        <v>Capacidad de Planificacion y Organizacion</v>
      </c>
      <c r="AA111" s="38">
        <f>IFERROR(__xludf.DUMMYFUNCTION("""COMPUTED_VALUE"""),43187.0)</f>
        <v>43187</v>
      </c>
      <c r="AB111" s="38">
        <f>IFERROR(__xludf.DUMMYFUNCTION("""COMPUTED_VALUE"""),43196.0)</f>
        <v>43196</v>
      </c>
      <c r="AH111" t="str">
        <f>IFERROR(__xludf.DUMMYFUNCTION("""COMPUTED_VALUE"""),"PROCESO DE SELECCIÓN")</f>
        <v>PROCESO DE SELECCIÓN</v>
      </c>
      <c r="AI111" t="str">
        <f>IFERROR(__xludf.DUMMYFUNCTION("""COMPUTED_VALUE"""),"IGNACIO VASQUEZ DIAZ")</f>
        <v>IGNACIO VASQUEZ DIAZ</v>
      </c>
      <c r="AK111" t="str">
        <f>IFERROR(__xludf.DUMMYFUNCTION("""COMPUTED_VALUE"""),"E")</f>
        <v>E</v>
      </c>
      <c r="AL111">
        <f>IFERROR(__xludf.DUMMYFUNCTION("""COMPUTED_VALUE"""),22.0)</f>
        <v>22</v>
      </c>
      <c r="AM111">
        <f>IFERROR(__xludf.DUMMYFUNCTION("""COMPUTED_VALUE"""),2018.0)</f>
        <v>2018</v>
      </c>
    </row>
    <row r="112">
      <c r="A112">
        <f>IFERROR(__xludf.DUMMYFUNCTION("""COMPUTED_VALUE"""),1.9528552E7)</f>
        <v>19528552</v>
      </c>
      <c r="B112">
        <f>IFERROR(__xludf.DUMMYFUNCTION("""COMPUTED_VALUE"""),14.0)</f>
        <v>14</v>
      </c>
      <c r="C112" t="str">
        <f>IFERROR(__xludf.DUMMYFUNCTION("""COMPUTED_VALUE"""),"S/F")</f>
        <v>S/F</v>
      </c>
      <c r="D112" t="str">
        <f>IFERROR(__xludf.DUMMYFUNCTION("""COMPUTED_VALUE"""),"INGRESAR CENTRO DE COSTO A LA DERECHA")</f>
        <v>INGRESAR CENTRO DE COSTO A LA DERECHA</v>
      </c>
      <c r="E112" t="str">
        <f>IFERROR(__xludf.DUMMYFUNCTION("""COMPUTED_VALUE"""),"DPTO. DE INGENIERIA GEOGRAFICA")</f>
        <v>DPTO. DE INGENIERIA GEOGRAFICA</v>
      </c>
      <c r="F112" t="str">
        <f>IFERROR(__xludf.DUMMYFUNCTION("""COMPUTED_VALUE"""),"Administrativo(a) de Apoyo")</f>
        <v>Administrativo(a) de Apoyo</v>
      </c>
      <c r="G112" t="str">
        <f>IFERROR(__xludf.DUMMYFUNCTION("""COMPUTED_VALUE"""),"ADMINISTRATIVO DE APOYO")</f>
        <v>ADMINISTRATIVO DE APOYO</v>
      </c>
      <c r="H112">
        <f>IFERROR(__xludf.DUMMYFUNCTION("""COMPUTED_VALUE"""),20.0)</f>
        <v>20</v>
      </c>
      <c r="I112" t="str">
        <f>IFERROR(__xludf.DUMMYFUNCTION("""COMPUTED_VALUE"""),"Jornada Completa")</f>
        <v>Jornada Completa</v>
      </c>
      <c r="J112" t="str">
        <f>IFERROR(__xludf.DUMMYFUNCTION("""COMPUTED_VALUE"""),"A CONTRATA")</f>
        <v>A CONTRATA</v>
      </c>
      <c r="K112" t="str">
        <f>IFERROR(__xludf.DUMMYFUNCTION("""COMPUTED_VALUE"""),"ADMINISTRATIVO")</f>
        <v>ADMINISTRATIVO</v>
      </c>
      <c r="L112" t="str">
        <f>IFERROR(__xludf.DUMMYFUNCTION("""COMPUTED_VALUE"""),"INTERNO")</f>
        <v>INTERNO</v>
      </c>
      <c r="M112">
        <f>IFERROR(__xludf.DUMMYFUNCTION("""COMPUTED_VALUE"""),0.0)</f>
        <v>0</v>
      </c>
      <c r="N112" t="str">
        <f>IFERROR(__xludf.DUMMYFUNCTION("""COMPUTED_VALUE"""),"EXTERNO")</f>
        <v>EXTERNO</v>
      </c>
      <c r="O112">
        <f>IFERROR(__xludf.DUMMYFUNCTION("""COMPUTED_VALUE"""),9.0)</f>
        <v>9</v>
      </c>
      <c r="P112">
        <f>IFERROR(__xludf.DUMMYFUNCTION("""COMPUTED_VALUE"""),4.0)</f>
        <v>4</v>
      </c>
      <c r="Q112">
        <f>IFERROR(__xludf.DUMMYFUNCTION("""COMPUTED_VALUE"""),3.0)</f>
        <v>3</v>
      </c>
      <c r="R112" s="45" t="str">
        <f>IFERROR(__xludf.DUMMYFUNCTION("""COMPUTED_VALUE"""),"SELECCIONADA")</f>
        <v>SELECCIONADA</v>
      </c>
      <c r="S112" s="38">
        <f>IFERROR(__xludf.DUMMYFUNCTION("""COMPUTED_VALUE"""),43227.0)</f>
        <v>43227</v>
      </c>
      <c r="U112" t="str">
        <f>IFERROR(__xludf.DUMMYFUNCTION("""COMPUTED_VALUE"""),"DANIELA CORTES MOROSO")</f>
        <v>DANIELA CORTES MOROSO</v>
      </c>
      <c r="V112" t="str">
        <f>IFERROR(__xludf.DUMMYFUNCTION("""COMPUTED_VALUE"""),"19528552-7")</f>
        <v>19528552-7</v>
      </c>
      <c r="W112" t="str">
        <f>IFERROR(__xludf.DUMMYFUNCTION("""COMPUTED_VALUE"""),"SI")</f>
        <v>SI</v>
      </c>
      <c r="X112" t="str">
        <f>IFERROR(__xludf.DUMMYFUNCTION("""COMPUTED_VALUE"""),"Comunicacion")</f>
        <v>Comunicacion</v>
      </c>
      <c r="AA112" s="38">
        <f>IFERROR(__xludf.DUMMYFUNCTION("""COMPUTED_VALUE"""),43165.0)</f>
        <v>43165</v>
      </c>
      <c r="AB112" s="38">
        <f>IFERROR(__xludf.DUMMYFUNCTION("""COMPUTED_VALUE"""),43172.0)</f>
        <v>43172</v>
      </c>
      <c r="AH112" t="str">
        <f>IFERROR(__xludf.DUMMYFUNCTION("""COMPUTED_VALUE"""),"PROCESO DE SELECCIÓN")</f>
        <v>PROCESO DE SELECCIÓN</v>
      </c>
      <c r="AI112" t="str">
        <f>IFERROR(__xludf.DUMMYFUNCTION("""COMPUTED_VALUE"""),"YANIRA ALVAREZ MORALES")</f>
        <v>YANIRA ALVAREZ MORALES</v>
      </c>
      <c r="AK112" t="str">
        <f>IFERROR(__xludf.DUMMYFUNCTION("""COMPUTED_VALUE"""),"E")</f>
        <v>E</v>
      </c>
      <c r="AL112">
        <f>IFERROR(__xludf.DUMMYFUNCTION("""COMPUTED_VALUE"""),40.0)</f>
        <v>40</v>
      </c>
      <c r="AM112">
        <f>IFERROR(__xludf.DUMMYFUNCTION("""COMPUTED_VALUE"""),2018.0)</f>
        <v>2018</v>
      </c>
    </row>
    <row r="113">
      <c r="A113">
        <f>IFERROR(__xludf.DUMMYFUNCTION("""COMPUTED_VALUE"""),1.8167401E7)</f>
        <v>18167401</v>
      </c>
      <c r="B113">
        <f>IFERROR(__xludf.DUMMYFUNCTION("""COMPUTED_VALUE"""),15.0)</f>
        <v>15</v>
      </c>
      <c r="C113" t="str">
        <f>IFERROR(__xludf.DUMMYFUNCTION("""COMPUTED_VALUE"""),"ACTA2018-16")</f>
        <v>ACTA2018-16</v>
      </c>
      <c r="D113" t="str">
        <f>IFERROR(__xludf.DUMMYFUNCTION("""COMPUTED_VALUE"""),"INGRESAR CENTRO DE COSTO A LA DERECHA")</f>
        <v>INGRESAR CENTRO DE COSTO A LA DERECHA</v>
      </c>
      <c r="E113" t="str">
        <f>IFERROR(__xludf.DUMMYFUNCTION("""COMPUTED_VALUE"""),"SELLO EDITORIAL")</f>
        <v>SELLO EDITORIAL</v>
      </c>
      <c r="F113" t="str">
        <f>IFERROR(__xludf.DUMMYFUNCTION("""COMPUTED_VALUE"""),"Administrativo(a) de Apoyo")</f>
        <v>Administrativo(a) de Apoyo</v>
      </c>
      <c r="G113" t="str">
        <f>IFERROR(__xludf.DUMMYFUNCTION("""COMPUTED_VALUE"""),"ADMINISTRATIVO DE APOYO")</f>
        <v>ADMINISTRATIVO DE APOYO</v>
      </c>
      <c r="H113">
        <f>IFERROR(__xludf.DUMMYFUNCTION("""COMPUTED_VALUE"""),20.0)</f>
        <v>20</v>
      </c>
      <c r="I113" t="str">
        <f>IFERROR(__xludf.DUMMYFUNCTION("""COMPUTED_VALUE"""),"Jornada Completa")</f>
        <v>Jornada Completa</v>
      </c>
      <c r="J113" t="str">
        <f>IFERROR(__xludf.DUMMYFUNCTION("""COMPUTED_VALUE"""),"A CONTRATA")</f>
        <v>A CONTRATA</v>
      </c>
      <c r="K113" t="str">
        <f>IFERROR(__xludf.DUMMYFUNCTION("""COMPUTED_VALUE"""),"ADMINISTRATIVO")</f>
        <v>ADMINISTRATIVO</v>
      </c>
      <c r="L113" t="str">
        <f>IFERROR(__xludf.DUMMYFUNCTION("""COMPUTED_VALUE"""),"INTERNO")</f>
        <v>INTERNO</v>
      </c>
      <c r="M113">
        <f>IFERROR(__xludf.DUMMYFUNCTION("""COMPUTED_VALUE"""),2.0)</f>
        <v>2</v>
      </c>
      <c r="N113" t="str">
        <f>IFERROR(__xludf.DUMMYFUNCTION("""COMPUTED_VALUE"""),"EXTERNO")</f>
        <v>EXTERNO</v>
      </c>
      <c r="O113">
        <f>IFERROR(__xludf.DUMMYFUNCTION("""COMPUTED_VALUE"""),13.0)</f>
        <v>13</v>
      </c>
      <c r="P113">
        <f>IFERROR(__xludf.DUMMYFUNCTION("""COMPUTED_VALUE"""),3.0)</f>
        <v>3</v>
      </c>
      <c r="Q113">
        <f>IFERROR(__xludf.DUMMYFUNCTION("""COMPUTED_VALUE"""),0.0)</f>
        <v>0</v>
      </c>
      <c r="R113" s="45" t="str">
        <f>IFERROR(__xludf.DUMMYFUNCTION("""COMPUTED_VALUE"""),"SELECCIONADO")</f>
        <v>SELECCIONADO</v>
      </c>
      <c r="S113" s="38">
        <f>IFERROR(__xludf.DUMMYFUNCTION("""COMPUTED_VALUE"""),43236.0)</f>
        <v>43236</v>
      </c>
      <c r="U113" t="str">
        <f>IFERROR(__xludf.DUMMYFUNCTION("""COMPUTED_VALUE"""),"ALDO OPAZO ZAMBELLI")</f>
        <v>ALDO OPAZO ZAMBELLI</v>
      </c>
      <c r="V113" t="str">
        <f>IFERROR(__xludf.DUMMYFUNCTION("""COMPUTED_VALUE"""),"18167401-6")</f>
        <v>18167401-6</v>
      </c>
      <c r="W113" t="str">
        <f>IFERROR(__xludf.DUMMYFUNCTION("""COMPUTED_VALUE"""),"NO")</f>
        <v>NO</v>
      </c>
      <c r="AA113" s="38">
        <f>IFERROR(__xludf.DUMMYFUNCTION("""COMPUTED_VALUE"""),43193.0)</f>
        <v>43193</v>
      </c>
      <c r="AB113" s="38">
        <f>IFERROR(__xludf.DUMMYFUNCTION("""COMPUTED_VALUE"""),43200.0)</f>
        <v>43200</v>
      </c>
      <c r="AH113" t="str">
        <f>IFERROR(__xludf.DUMMYFUNCTION("""COMPUTED_VALUE"""),"PROCESO DE SELECCIÓN")</f>
        <v>PROCESO DE SELECCIÓN</v>
      </c>
      <c r="AI113" t="str">
        <f>IFERROR(__xludf.DUMMYFUNCTION("""COMPUTED_VALUE"""),"- ")</f>
        <v>- </v>
      </c>
      <c r="AK113" t="str">
        <f>IFERROR(__xludf.DUMMYFUNCTION("""COMPUTED_VALUE"""),"E")</f>
        <v>E</v>
      </c>
      <c r="AL113">
        <f>IFERROR(__xludf.DUMMYFUNCTION("""COMPUTED_VALUE"""),27.0)</f>
        <v>27</v>
      </c>
      <c r="AM113">
        <f>IFERROR(__xludf.DUMMYFUNCTION("""COMPUTED_VALUE"""),2018.0)</f>
        <v>2018</v>
      </c>
    </row>
    <row r="114">
      <c r="A114">
        <f>IFERROR(__xludf.DUMMYFUNCTION("""COMPUTED_VALUE"""),1.1172372E7)</f>
        <v>11172372</v>
      </c>
      <c r="B114">
        <f>IFERROR(__xludf.DUMMYFUNCTION("""COMPUTED_VALUE"""),16.0)</f>
        <v>16</v>
      </c>
      <c r="C114" t="str">
        <f>IFERROR(__xludf.DUMMYFUNCTION("""COMPUTED_VALUE"""),"A179.1")</f>
        <v>A179.1</v>
      </c>
      <c r="D114" t="str">
        <f>IFERROR(__xludf.DUMMYFUNCTION("""COMPUTED_VALUE"""),"INGRESAR CENTRO DE COSTO A LA DERECHA")</f>
        <v>INGRESAR CENTRO DE COSTO A LA DERECHA</v>
      </c>
      <c r="E114" t="str">
        <f>IFERROR(__xludf.DUMMYFUNCTION("""COMPUTED_VALUE"""),"VR. DE POSTGRADO")</f>
        <v>VR. DE POSTGRADO</v>
      </c>
      <c r="F114" t="str">
        <f>IFERROR(__xludf.DUMMYFUNCTION("""COMPUTED_VALUE"""),"Secretario(a) B")</f>
        <v>Secretario(a) B</v>
      </c>
      <c r="G114" t="str">
        <f>IFERROR(__xludf.DUMMYFUNCTION("""COMPUTED_VALUE"""),"SECRETARIO (B)  DE DIRECCION")</f>
        <v>SECRETARIO (B)  DE DIRECCION</v>
      </c>
      <c r="H114">
        <f>IFERROR(__xludf.DUMMYFUNCTION("""COMPUTED_VALUE"""),17.0)</f>
        <v>17</v>
      </c>
      <c r="I114" t="str">
        <f>IFERROR(__xludf.DUMMYFUNCTION("""COMPUTED_VALUE"""),"Jornada Completa")</f>
        <v>Jornada Completa</v>
      </c>
      <c r="J114" t="str">
        <f>IFERROR(__xludf.DUMMYFUNCTION("""COMPUTED_VALUE"""),"A CONTRATA")</f>
        <v>A CONTRATA</v>
      </c>
      <c r="K114" t="str">
        <f>IFERROR(__xludf.DUMMYFUNCTION("""COMPUTED_VALUE"""),"ADMINISTRATIVO")</f>
        <v>ADMINISTRATIVO</v>
      </c>
      <c r="L114" t="str">
        <f>IFERROR(__xludf.DUMMYFUNCTION("""COMPUTED_VALUE"""),"NO")</f>
        <v>NO</v>
      </c>
      <c r="N114" t="str">
        <f>IFERROR(__xludf.DUMMYFUNCTION("""COMPUTED_VALUE"""),"EXTERNO")</f>
        <v>EXTERNO</v>
      </c>
      <c r="O114">
        <f>IFERROR(__xludf.DUMMYFUNCTION("""COMPUTED_VALUE"""),13.0)</f>
        <v>13</v>
      </c>
      <c r="P114">
        <f>IFERROR(__xludf.DUMMYFUNCTION("""COMPUTED_VALUE"""),1.0)</f>
        <v>1</v>
      </c>
      <c r="Q114">
        <f>IFERROR(__xludf.DUMMYFUNCTION("""COMPUTED_VALUE"""),0.0)</f>
        <v>0</v>
      </c>
      <c r="R114" s="45" t="str">
        <f>IFERROR(__xludf.DUMMYFUNCTION("""COMPUTED_VALUE"""),"SELECCIONADA")</f>
        <v>SELECCIONADA</v>
      </c>
      <c r="S114" s="38">
        <f>IFERROR(__xludf.DUMMYFUNCTION("""COMPUTED_VALUE"""),43252.0)</f>
        <v>43252</v>
      </c>
      <c r="U114" t="str">
        <f>IFERROR(__xludf.DUMMYFUNCTION("""COMPUTED_VALUE"""),"IRIS TOLEDO PEREZ")</f>
        <v>IRIS TOLEDO PEREZ</v>
      </c>
      <c r="V114" t="str">
        <f>IFERROR(__xludf.DUMMYFUNCTION("""COMPUTED_VALUE"""),"11172372-9")</f>
        <v>11172372-9</v>
      </c>
      <c r="W114" t="str">
        <f>IFERROR(__xludf.DUMMYFUNCTION("""COMPUTED_VALUE"""),"SI")</f>
        <v>SI</v>
      </c>
      <c r="X114" t="str">
        <f>IFERROR(__xludf.DUMMYFUNCTION("""COMPUTED_VALUE"""),"Franqueza- Confiabilidad- Integridad")</f>
        <v>Franqueza- Confiabilidad- Integridad</v>
      </c>
      <c r="AA114" s="38">
        <f>IFERROR(__xludf.DUMMYFUNCTION("""COMPUTED_VALUE"""),43187.0)</f>
        <v>43187</v>
      </c>
      <c r="AB114" s="38">
        <f>IFERROR(__xludf.DUMMYFUNCTION("""COMPUTED_VALUE"""),43194.0)</f>
        <v>43194</v>
      </c>
      <c r="AH114" t="str">
        <f>IFERROR(__xludf.DUMMYFUNCTION("""COMPUTED_VALUE"""),"PROCESO DE SELECCIÓN")</f>
        <v>PROCESO DE SELECCIÓN</v>
      </c>
      <c r="AI114" t="str">
        <f>IFERROR(__xludf.DUMMYFUNCTION("""COMPUTED_VALUE"""),"- ")</f>
        <v>- </v>
      </c>
      <c r="AK114" t="str">
        <f>IFERROR(__xludf.DUMMYFUNCTION("""COMPUTED_VALUE"""),"P")</f>
        <v>P</v>
      </c>
      <c r="AL114">
        <f>IFERROR(__xludf.DUMMYFUNCTION("""COMPUTED_VALUE"""),43.0)</f>
        <v>43</v>
      </c>
      <c r="AM114">
        <f>IFERROR(__xludf.DUMMYFUNCTION("""COMPUTED_VALUE"""),2018.0)</f>
        <v>2018</v>
      </c>
    </row>
    <row r="115">
      <c r="A115">
        <f>IFERROR(__xludf.DUMMYFUNCTION("""COMPUTED_VALUE"""),1.6709992E7)</f>
        <v>16709992</v>
      </c>
      <c r="B115">
        <f>IFERROR(__xludf.DUMMYFUNCTION("""COMPUTED_VALUE"""),17.0)</f>
        <v>17</v>
      </c>
      <c r="C115" t="str">
        <f>IFERROR(__xludf.DUMMYFUNCTION("""COMPUTED_VALUE"""),"S/F")</f>
        <v>S/F</v>
      </c>
      <c r="D115" t="str">
        <f>IFERROR(__xludf.DUMMYFUNCTION("""COMPUTED_VALUE"""),"INGRESAR CENTRO DE COSTO A LA DERECHA")</f>
        <v>INGRESAR CENTRO DE COSTO A LA DERECHA</v>
      </c>
      <c r="E115" t="str">
        <f>IFERROR(__xludf.DUMMYFUNCTION("""COMPUTED_VALUE"""),"VR. DE POSTGRADO")</f>
        <v>VR. DE POSTGRADO</v>
      </c>
      <c r="F115" t="str">
        <f>IFERROR(__xludf.DUMMYFUNCTION("""COMPUTED_VALUE"""),"Analista de Gestión I")</f>
        <v>Analista de Gestión I</v>
      </c>
      <c r="G115" t="str">
        <f>IFERROR(__xludf.DUMMYFUNCTION("""COMPUTED_VALUE"""),"ANALISTA DE GESTION I")</f>
        <v>ANALISTA DE GESTION I</v>
      </c>
      <c r="H115">
        <f>IFERROR(__xludf.DUMMYFUNCTION("""COMPUTED_VALUE"""),10.0)</f>
        <v>10</v>
      </c>
      <c r="I115" t="str">
        <f>IFERROR(__xludf.DUMMYFUNCTION("""COMPUTED_VALUE"""),"Jornada Completa")</f>
        <v>Jornada Completa</v>
      </c>
      <c r="J115" t="str">
        <f>IFERROR(__xludf.DUMMYFUNCTION("""COMPUTED_VALUE"""),"A CONTRATA")</f>
        <v>A CONTRATA</v>
      </c>
      <c r="K115" t="str">
        <f>IFERROR(__xludf.DUMMYFUNCTION("""COMPUTED_VALUE"""),"PROFESIONAL")</f>
        <v>PROFESIONAL</v>
      </c>
      <c r="L115" t="str">
        <f>IFERROR(__xludf.DUMMYFUNCTION("""COMPUTED_VALUE"""),"INTERNO")</f>
        <v>INTERNO</v>
      </c>
      <c r="M115">
        <f>IFERROR(__xludf.DUMMYFUNCTION("""COMPUTED_VALUE"""),7.0)</f>
        <v>7</v>
      </c>
      <c r="N115" t="str">
        <f>IFERROR(__xludf.DUMMYFUNCTION("""COMPUTED_VALUE"""),"NO")</f>
        <v>NO</v>
      </c>
      <c r="P115">
        <f>IFERROR(__xludf.DUMMYFUNCTION("""COMPUTED_VALUE"""),1.0)</f>
        <v>1</v>
      </c>
      <c r="R115" s="45" t="str">
        <f>IFERROR(__xludf.DUMMYFUNCTION("""COMPUTED_VALUE"""),"SELECCIONADO")</f>
        <v>SELECCIONADO</v>
      </c>
      <c r="S115" s="38">
        <f>IFERROR(__xludf.DUMMYFUNCTION("""COMPUTED_VALUE"""),43209.0)</f>
        <v>43209</v>
      </c>
      <c r="T115" t="str">
        <f>IFERROR(__xludf.DUMMYFUNCTION("""COMPUTED_VALUE"""),"HORACIO CORNEJO GARCES")</f>
        <v>HORACIO CORNEJO GARCES</v>
      </c>
      <c r="V115" t="str">
        <f>IFERROR(__xludf.DUMMYFUNCTION("""COMPUTED_VALUE"""),"16709992-0")</f>
        <v>16709992-0</v>
      </c>
      <c r="W115" t="str">
        <f>IFERROR(__xludf.DUMMYFUNCTION("""COMPUTED_VALUE"""),"SI")</f>
        <v>SI</v>
      </c>
      <c r="X115" t="str">
        <f>IFERROR(__xludf.DUMMYFUNCTION("""COMPUTED_VALUE"""),"Capacidad de Planificacion y Organizacion")</f>
        <v>Capacidad de Planificacion y Organizacion</v>
      </c>
      <c r="AA115" s="38">
        <f>IFERROR(__xludf.DUMMYFUNCTION("""COMPUTED_VALUE"""),43180.0)</f>
        <v>43180</v>
      </c>
      <c r="AB115" s="38">
        <f>IFERROR(__xludf.DUMMYFUNCTION("""COMPUTED_VALUE"""),43185.0)</f>
        <v>43185</v>
      </c>
      <c r="AD115" t="str">
        <f>IFERROR(__xludf.DUMMYFUNCTION("""COMPUTED_VALUE"""),"PROF. HORAS ")</f>
        <v>PROF. HORAS </v>
      </c>
      <c r="AE115" t="str">
        <f>IFERROR(__xludf.DUMMYFUNCTION("""COMPUTED_VALUE"""),"PROFESOR")</f>
        <v>PROFESOR</v>
      </c>
      <c r="AH115" t="str">
        <f>IFERROR(__xludf.DUMMYFUNCTION("""COMPUTED_VALUE"""),"PROCESO DE SELECCIÓN")</f>
        <v>PROCESO DE SELECCIÓN</v>
      </c>
      <c r="AI115" t="str">
        <f>IFERROR(__xludf.DUMMYFUNCTION("""COMPUTED_VALUE"""),"-")</f>
        <v>-</v>
      </c>
      <c r="AK115" t="str">
        <f>IFERROR(__xludf.DUMMYFUNCTION("""COMPUTED_VALUE"""),"C")</f>
        <v>C</v>
      </c>
      <c r="AL115">
        <f>IFERROR(__xludf.DUMMYFUNCTION("""COMPUTED_VALUE"""),19.0)</f>
        <v>19</v>
      </c>
      <c r="AM115">
        <f>IFERROR(__xludf.DUMMYFUNCTION("""COMPUTED_VALUE"""),2018.0)</f>
        <v>2018</v>
      </c>
    </row>
    <row r="116">
      <c r="A116">
        <f>IFERROR(__xludf.DUMMYFUNCTION("""COMPUTED_VALUE"""),1.7608606E7)</f>
        <v>17608606</v>
      </c>
      <c r="B116">
        <f>IFERROR(__xludf.DUMMYFUNCTION("""COMPUTED_VALUE"""),18.0)</f>
        <v>18</v>
      </c>
      <c r="C116" t="str">
        <f>IFERROR(__xludf.DUMMYFUNCTION("""COMPUTED_VALUE"""),"ACTA2018-14")</f>
        <v>ACTA2018-14</v>
      </c>
      <c r="D116" t="str">
        <f>IFERROR(__xludf.DUMMYFUNCTION("""COMPUTED_VALUE"""),"INGRESAR CENTRO DE COSTO A LA DERECHA")</f>
        <v>INGRESAR CENTRO DE COSTO A LA DERECHA</v>
      </c>
      <c r="E116" t="str">
        <f>IFERROR(__xludf.DUMMYFUNCTION("""COMPUTED_VALUE"""),"DPTO. DE TECNOLOGIAS INDUSTRIALES")</f>
        <v>DPTO. DE TECNOLOGIAS INDUSTRIALES</v>
      </c>
      <c r="F116" t="str">
        <f>IFERROR(__xludf.DUMMYFUNCTION("""COMPUTED_VALUE"""),"Asistente de Laboratorio")</f>
        <v>Asistente de Laboratorio</v>
      </c>
      <c r="G116" t="str">
        <f>IFERROR(__xludf.DUMMYFUNCTION("""COMPUTED_VALUE"""),"ASISTENTE DE LABORATORIO")</f>
        <v>ASISTENTE DE LABORATORIO</v>
      </c>
      <c r="H116">
        <f>IFERROR(__xludf.DUMMYFUNCTION("""COMPUTED_VALUE"""),20.0)</f>
        <v>20</v>
      </c>
      <c r="I116" t="str">
        <f>IFERROR(__xludf.DUMMYFUNCTION("""COMPUTED_VALUE"""),"Jornada Completa")</f>
        <v>Jornada Completa</v>
      </c>
      <c r="J116" t="str">
        <f>IFERROR(__xludf.DUMMYFUNCTION("""COMPUTED_VALUE"""),"A CONTRATA")</f>
        <v>A CONTRATA</v>
      </c>
      <c r="K116" t="str">
        <f>IFERROR(__xludf.DUMMYFUNCTION("""COMPUTED_VALUE"""),"TECNICO")</f>
        <v>TECNICO</v>
      </c>
      <c r="L116" t="str">
        <f>IFERROR(__xludf.DUMMYFUNCTION("""COMPUTED_VALUE"""),"INTERNO")</f>
        <v>INTERNO</v>
      </c>
      <c r="M116">
        <f>IFERROR(__xludf.DUMMYFUNCTION("""COMPUTED_VALUE"""),0.0)</f>
        <v>0</v>
      </c>
      <c r="N116" t="str">
        <f>IFERROR(__xludf.DUMMYFUNCTION("""COMPUTED_VALUE"""),"EXTERNO")</f>
        <v>EXTERNO</v>
      </c>
      <c r="O116">
        <f>IFERROR(__xludf.DUMMYFUNCTION("""COMPUTED_VALUE"""),13.0)</f>
        <v>13</v>
      </c>
      <c r="P116">
        <f>IFERROR(__xludf.DUMMYFUNCTION("""COMPUTED_VALUE"""),3.0)</f>
        <v>3</v>
      </c>
      <c r="Q116">
        <f>IFERROR(__xludf.DUMMYFUNCTION("""COMPUTED_VALUE"""),1.0)</f>
        <v>1</v>
      </c>
      <c r="R116" s="45" t="str">
        <f>IFERROR(__xludf.DUMMYFUNCTION("""COMPUTED_VALUE"""),"SELECCIONADO")</f>
        <v>SELECCIONADO</v>
      </c>
      <c r="S116" s="38">
        <f>IFERROR(__xludf.DUMMYFUNCTION("""COMPUTED_VALUE"""),43234.0)</f>
        <v>43234</v>
      </c>
      <c r="U116" t="str">
        <f>IFERROR(__xludf.DUMMYFUNCTION("""COMPUTED_VALUE"""),"GONZALO PIÑONES NAVARRO")</f>
        <v>GONZALO PIÑONES NAVARRO</v>
      </c>
      <c r="V116" t="str">
        <f>IFERROR(__xludf.DUMMYFUNCTION("""COMPUTED_VALUE"""),"17608606-8")</f>
        <v>17608606-8</v>
      </c>
      <c r="W116" t="str">
        <f>IFERROR(__xludf.DUMMYFUNCTION("""COMPUTED_VALUE"""),"NO")</f>
        <v>NO</v>
      </c>
      <c r="AA116" s="38">
        <f>IFERROR(__xludf.DUMMYFUNCTION("""COMPUTED_VALUE"""),43194.0)</f>
        <v>43194</v>
      </c>
      <c r="AB116" s="38">
        <f>IFERROR(__xludf.DUMMYFUNCTION("""COMPUTED_VALUE"""),43201.0)</f>
        <v>43201</v>
      </c>
      <c r="AH116" t="str">
        <f>IFERROR(__xludf.DUMMYFUNCTION("""COMPUTED_VALUE"""),"PROCESO DE SELECCIÓN")</f>
        <v>PROCESO DE SELECCIÓN</v>
      </c>
      <c r="AI116" t="str">
        <f>IFERROR(__xludf.DUMMYFUNCTION("""COMPUTED_VALUE"""),"- ")</f>
        <v>- </v>
      </c>
      <c r="AK116" t="str">
        <f>IFERROR(__xludf.DUMMYFUNCTION("""COMPUTED_VALUE"""),"C")</f>
        <v>C</v>
      </c>
      <c r="AL116">
        <f>IFERROR(__xludf.DUMMYFUNCTION("""COMPUTED_VALUE"""),24.0)</f>
        <v>24</v>
      </c>
      <c r="AM116">
        <f>IFERROR(__xludf.DUMMYFUNCTION("""COMPUTED_VALUE"""),2018.0)</f>
        <v>2018</v>
      </c>
    </row>
    <row r="117">
      <c r="A117">
        <f>IFERROR(__xludf.DUMMYFUNCTION("""COMPUTED_VALUE"""),1.9792801E7)</f>
        <v>19792801</v>
      </c>
      <c r="B117">
        <f>IFERROR(__xludf.DUMMYFUNCTION("""COMPUTED_VALUE"""),19.0)</f>
        <v>19</v>
      </c>
      <c r="D117" t="str">
        <f>IFERROR(__xludf.DUMMYFUNCTION("""COMPUTED_VALUE"""),"INGRESAR CENTRO DE COSTO A LA DERECHA")</f>
        <v>INGRESAR CENTRO DE COSTO A LA DERECHA</v>
      </c>
      <c r="E117" t="str">
        <f>IFERROR(__xludf.DUMMYFUNCTION("""COMPUTED_VALUE"""),"VR. ACADEMICA")</f>
        <v>VR. ACADEMICA</v>
      </c>
      <c r="F117" t="str">
        <f>IFERROR(__xludf.DUMMYFUNCTION("""COMPUTED_VALUE"""),"Estafeta")</f>
        <v>Estafeta</v>
      </c>
      <c r="G117" t="str">
        <f>IFERROR(__xludf.DUMMYFUNCTION("""COMPUTED_VALUE"""),"ESTAFETA")</f>
        <v>ESTAFETA</v>
      </c>
      <c r="H117">
        <f>IFERROR(__xludf.DUMMYFUNCTION("""COMPUTED_VALUE"""),23.0)</f>
        <v>23</v>
      </c>
      <c r="I117" t="str">
        <f>IFERROR(__xludf.DUMMYFUNCTION("""COMPUTED_VALUE"""),"Jornada Completa")</f>
        <v>Jornada Completa</v>
      </c>
      <c r="J117" t="str">
        <f>IFERROR(__xludf.DUMMYFUNCTION("""COMPUTED_VALUE"""),"A CONTRATA")</f>
        <v>A CONTRATA</v>
      </c>
      <c r="K117" t="str">
        <f>IFERROR(__xludf.DUMMYFUNCTION("""COMPUTED_VALUE"""),"AUXILIAR")</f>
        <v>AUXILIAR</v>
      </c>
      <c r="L117" t="str">
        <f>IFERROR(__xludf.DUMMYFUNCTION("""COMPUTED_VALUE"""),"INTERNO")</f>
        <v>INTERNO</v>
      </c>
      <c r="M117">
        <f>IFERROR(__xludf.DUMMYFUNCTION("""COMPUTED_VALUE"""),1.0)</f>
        <v>1</v>
      </c>
      <c r="N117" t="str">
        <f>IFERROR(__xludf.DUMMYFUNCTION("""COMPUTED_VALUE"""),"EXTERNO")</f>
        <v>EXTERNO</v>
      </c>
      <c r="O117">
        <f>IFERROR(__xludf.DUMMYFUNCTION("""COMPUTED_VALUE"""),16.0)</f>
        <v>16</v>
      </c>
      <c r="P117">
        <f>IFERROR(__xludf.DUMMYFUNCTION("""COMPUTED_VALUE"""),5.0)</f>
        <v>5</v>
      </c>
      <c r="Q117">
        <f>IFERROR(__xludf.DUMMYFUNCTION("""COMPUTED_VALUE"""),2.0)</f>
        <v>2</v>
      </c>
      <c r="R117" s="45" t="str">
        <f>IFERROR(__xludf.DUMMYFUNCTION("""COMPUTED_VALUE"""),"SELECCIONADO")</f>
        <v>SELECCIONADO</v>
      </c>
      <c r="S117" s="38">
        <f>IFERROR(__xludf.DUMMYFUNCTION("""COMPUTED_VALUE"""),43199.0)</f>
        <v>43199</v>
      </c>
      <c r="U117" t="str">
        <f>IFERROR(__xludf.DUMMYFUNCTION("""COMPUTED_VALUE"""),"GABRIEL JOFRE DOEPKING")</f>
        <v>GABRIEL JOFRE DOEPKING</v>
      </c>
      <c r="V117" t="str">
        <f>IFERROR(__xludf.DUMMYFUNCTION("""COMPUTED_VALUE"""),"19792801-8")</f>
        <v>19792801-8</v>
      </c>
      <c r="W117" t="str">
        <f>IFERROR(__xludf.DUMMYFUNCTION("""COMPUTED_VALUE"""),"NO")</f>
        <v>NO</v>
      </c>
      <c r="AA117" s="38">
        <f>IFERROR(__xludf.DUMMYFUNCTION("""COMPUTED_VALUE"""),43165.0)</f>
        <v>43165</v>
      </c>
      <c r="AB117" s="38">
        <f>IFERROR(__xludf.DUMMYFUNCTION("""COMPUTED_VALUE"""),43172.0)</f>
        <v>43172</v>
      </c>
      <c r="AH117" t="str">
        <f>IFERROR(__xludf.DUMMYFUNCTION("""COMPUTED_VALUE"""),"PROCESO DE SELECCIÓN")</f>
        <v>PROCESO DE SELECCIÓN</v>
      </c>
      <c r="AI117" t="str">
        <f>IFERROR(__xludf.DUMMYFUNCTION("""COMPUTED_VALUE"""),"JUAN AVILES MORALES")</f>
        <v>JUAN AVILES MORALES</v>
      </c>
      <c r="AK117" t="str">
        <f>IFERROR(__xludf.DUMMYFUNCTION("""COMPUTED_VALUE"""),"E")</f>
        <v>E</v>
      </c>
      <c r="AL117">
        <f>IFERROR(__xludf.DUMMYFUNCTION("""COMPUTED_VALUE"""),20.0)</f>
        <v>20</v>
      </c>
      <c r="AM117">
        <f>IFERROR(__xludf.DUMMYFUNCTION("""COMPUTED_VALUE"""),2018.0)</f>
        <v>2018</v>
      </c>
    </row>
    <row r="118">
      <c r="A118">
        <f>IFERROR(__xludf.DUMMYFUNCTION("""COMPUTED_VALUE"""),1.7434877E7)</f>
        <v>17434877</v>
      </c>
      <c r="B118">
        <f>IFERROR(__xludf.DUMMYFUNCTION("""COMPUTED_VALUE"""),20.0)</f>
        <v>20</v>
      </c>
      <c r="C118" t="str">
        <f>IFERROR(__xludf.DUMMYFUNCTION("""COMPUTED_VALUE"""),"A198")</f>
        <v>A198</v>
      </c>
      <c r="D118" t="str">
        <f>IFERROR(__xludf.DUMMYFUNCTION("""COMPUTED_VALUE"""),"INGRESAR CENTRO DE COSTO A LA DERECHA")</f>
        <v>INGRESAR CENTRO DE COSTO A LA DERECHA</v>
      </c>
      <c r="E118" t="str">
        <f>IFERROR(__xludf.DUMMYFUNCTION("""COMPUTED_VALUE"""),"DPTO. DE GESTION ESTRATEGICA")</f>
        <v>DPTO. DE GESTION ESTRATEGICA</v>
      </c>
      <c r="F118" t="str">
        <f>IFERROR(__xludf.DUMMYFUNCTION("""COMPUTED_VALUE"""),"Analista de Gestión Estratégica")</f>
        <v>Analista de Gestión Estratégica</v>
      </c>
      <c r="G118" t="str">
        <f>IFERROR(__xludf.DUMMYFUNCTION("""COMPUTED_VALUE"""),"ANALISTA DE GESTION ESTRATEGICA")</f>
        <v>ANALISTA DE GESTION ESTRATEGICA</v>
      </c>
      <c r="H118">
        <f>IFERROR(__xludf.DUMMYFUNCTION("""COMPUTED_VALUE"""),10.0)</f>
        <v>10</v>
      </c>
      <c r="I118" t="str">
        <f>IFERROR(__xludf.DUMMYFUNCTION("""COMPUTED_VALUE"""),"Jornada Completa")</f>
        <v>Jornada Completa</v>
      </c>
      <c r="J118" t="str">
        <f>IFERROR(__xludf.DUMMYFUNCTION("""COMPUTED_VALUE"""),"A CONTRATA")</f>
        <v>A CONTRATA</v>
      </c>
      <c r="K118" t="str">
        <f>IFERROR(__xludf.DUMMYFUNCTION("""COMPUTED_VALUE"""),"PROFESIONAL")</f>
        <v>PROFESIONAL</v>
      </c>
      <c r="L118" t="str">
        <f>IFERROR(__xludf.DUMMYFUNCTION("""COMPUTED_VALUE"""),"INTERNO")</f>
        <v>INTERNO</v>
      </c>
      <c r="M118">
        <f>IFERROR(__xludf.DUMMYFUNCTION("""COMPUTED_VALUE"""),1.0)</f>
        <v>1</v>
      </c>
      <c r="N118" t="str">
        <f>IFERROR(__xludf.DUMMYFUNCTION("""COMPUTED_VALUE"""),"EXTERNO")</f>
        <v>EXTERNO</v>
      </c>
      <c r="O118">
        <f>IFERROR(__xludf.DUMMYFUNCTION("""COMPUTED_VALUE"""),27.0)</f>
        <v>27</v>
      </c>
      <c r="P118">
        <f>IFERROR(__xludf.DUMMYFUNCTION("""COMPUTED_VALUE"""),3.0)</f>
        <v>3</v>
      </c>
      <c r="Q118">
        <f>IFERROR(__xludf.DUMMYFUNCTION("""COMPUTED_VALUE"""),0.0)</f>
        <v>0</v>
      </c>
      <c r="R118" s="45" t="str">
        <f>IFERROR(__xludf.DUMMYFUNCTION("""COMPUTED_VALUE"""),"SELECCIONADO")</f>
        <v>SELECCIONADO</v>
      </c>
      <c r="S118" s="38">
        <f>IFERROR(__xludf.DUMMYFUNCTION("""COMPUTED_VALUE"""),43222.0)</f>
        <v>43222</v>
      </c>
      <c r="U118" t="str">
        <f>IFERROR(__xludf.DUMMYFUNCTION("""COMPUTED_VALUE"""),"JUAN ALANO PALAVECINO")</f>
        <v>JUAN ALANO PALAVECINO</v>
      </c>
      <c r="V118" t="str">
        <f>IFERROR(__xludf.DUMMYFUNCTION("""COMPUTED_VALUE"""),"17434877-4")</f>
        <v>17434877-4</v>
      </c>
      <c r="W118" t="str">
        <f>IFERROR(__xludf.DUMMYFUNCTION("""COMPUTED_VALUE"""),"SI")</f>
        <v>SI</v>
      </c>
      <c r="X118" t="str">
        <f>IFERROR(__xludf.DUMMYFUNCTION("""COMPUTED_VALUE"""),"Pensamiento Analitico")</f>
        <v>Pensamiento Analitico</v>
      </c>
      <c r="Y118" t="str">
        <f>IFERROR(__xludf.DUMMYFUNCTION("""COMPUTED_VALUE"""),"Orientacion a los Resultados")</f>
        <v>Orientacion a los Resultados</v>
      </c>
      <c r="Z118" t="str">
        <f>IFERROR(__xludf.DUMMYFUNCTION("""COMPUTED_VALUE"""),"Capacidad de Planificacion y Organizacion")</f>
        <v>Capacidad de Planificacion y Organizacion</v>
      </c>
      <c r="AA118" s="38">
        <f>IFERROR(__xludf.DUMMYFUNCTION("""COMPUTED_VALUE"""),43187.0)</f>
        <v>43187</v>
      </c>
      <c r="AB118" s="38">
        <f>IFERROR(__xludf.DUMMYFUNCTION("""COMPUTED_VALUE"""),43196.0)</f>
        <v>43196</v>
      </c>
      <c r="AH118" t="str">
        <f>IFERROR(__xludf.DUMMYFUNCTION("""COMPUTED_VALUE"""),"PROCESO DE SELECCIÓN")</f>
        <v>PROCESO DE SELECCIÓN</v>
      </c>
      <c r="AI118" t="str">
        <f>IFERROR(__xludf.DUMMYFUNCTION("""COMPUTED_VALUE"""),"GODOY MANSILLA GONZALO")</f>
        <v>GODOY MANSILLA GONZALO</v>
      </c>
      <c r="AK118" t="str">
        <f>IFERROR(__xludf.DUMMYFUNCTION("""COMPUTED_VALUE"""),"P")</f>
        <v>P</v>
      </c>
      <c r="AL118">
        <f>IFERROR(__xludf.DUMMYFUNCTION("""COMPUTED_VALUE"""),19.0)</f>
        <v>19</v>
      </c>
      <c r="AM118">
        <f>IFERROR(__xludf.DUMMYFUNCTION("""COMPUTED_VALUE"""),2018.0)</f>
        <v>2018</v>
      </c>
    </row>
    <row r="119">
      <c r="A119">
        <f>IFERROR(__xludf.DUMMYFUNCTION("""COMPUTED_VALUE"""),1.6716976E7)</f>
        <v>16716976</v>
      </c>
      <c r="B119">
        <f>IFERROR(__xludf.DUMMYFUNCTION("""COMPUTED_VALUE"""),21.0)</f>
        <v>21</v>
      </c>
      <c r="D119" t="str">
        <f>IFERROR(__xludf.DUMMYFUNCTION("""COMPUTED_VALUE"""),"INGRESAR CENTRO DE COSTO A LA DERECHA")</f>
        <v>INGRESAR CENTRO DE COSTO A LA DERECHA</v>
      </c>
      <c r="E119" t="str">
        <f>IFERROR(__xludf.DUMMYFUNCTION("""COMPUTED_VALUE"""),"FACULTAD TECNOLOGICA")</f>
        <v>FACULTAD TECNOLOGICA</v>
      </c>
      <c r="F119" t="str">
        <f>IFERROR(__xludf.DUMMYFUNCTION("""COMPUTED_VALUE"""),"Asistente de Biblioteca")</f>
        <v>Asistente de Biblioteca</v>
      </c>
      <c r="G119" t="str">
        <f>IFERROR(__xludf.DUMMYFUNCTION("""COMPUTED_VALUE"""),"ASISTENTE DE BIBLIOTECA ( HORARIO VESPERTINO)")</f>
        <v>ASISTENTE DE BIBLIOTECA ( HORARIO VESPERTINO)</v>
      </c>
      <c r="H119">
        <f>IFERROR(__xludf.DUMMYFUNCTION("""COMPUTED_VALUE"""),20.0)</f>
        <v>20</v>
      </c>
      <c r="I119" t="str">
        <f>IFERROR(__xludf.DUMMYFUNCTION("""COMPUTED_VALUE"""),"Jornada Completa")</f>
        <v>Jornada Completa</v>
      </c>
      <c r="J119" t="str">
        <f>IFERROR(__xludf.DUMMYFUNCTION("""COMPUTED_VALUE"""),"A CONTRATA")</f>
        <v>A CONTRATA</v>
      </c>
      <c r="K119" t="str">
        <f>IFERROR(__xludf.DUMMYFUNCTION("""COMPUTED_VALUE"""),"ADMINISTRATIVO")</f>
        <v>ADMINISTRATIVO</v>
      </c>
      <c r="L119" t="str">
        <f>IFERROR(__xludf.DUMMYFUNCTION("""COMPUTED_VALUE"""),"INTERNO")</f>
        <v>INTERNO</v>
      </c>
      <c r="M119">
        <f>IFERROR(__xludf.DUMMYFUNCTION("""COMPUTED_VALUE"""),0.0)</f>
        <v>0</v>
      </c>
      <c r="N119" t="str">
        <f>IFERROR(__xludf.DUMMYFUNCTION("""COMPUTED_VALUE"""),"EXTERNO")</f>
        <v>EXTERNO</v>
      </c>
      <c r="O119">
        <f>IFERROR(__xludf.DUMMYFUNCTION("""COMPUTED_VALUE"""),9.0)</f>
        <v>9</v>
      </c>
      <c r="P119">
        <f>IFERROR(__xludf.DUMMYFUNCTION("""COMPUTED_VALUE"""),3.0)</f>
        <v>3</v>
      </c>
      <c r="Q119">
        <f>IFERROR(__xludf.DUMMYFUNCTION("""COMPUTED_VALUE"""),0.0)</f>
        <v>0</v>
      </c>
      <c r="R119" s="45" t="str">
        <f>IFERROR(__xludf.DUMMYFUNCTION("""COMPUTED_VALUE"""),"SELECCIONADO")</f>
        <v>SELECCIONADO</v>
      </c>
      <c r="S119" s="38">
        <f>IFERROR(__xludf.DUMMYFUNCTION("""COMPUTED_VALUE"""),43248.0)</f>
        <v>43248</v>
      </c>
      <c r="U119" t="str">
        <f>IFERROR(__xludf.DUMMYFUNCTION("""COMPUTED_VALUE"""),"BASTIAN GONZALEZ CAAMAÑO")</f>
        <v>BASTIAN GONZALEZ CAAMAÑO</v>
      </c>
      <c r="V119" t="str">
        <f>IFERROR(__xludf.DUMMYFUNCTION("""COMPUTED_VALUE"""),"16716976-7")</f>
        <v>16716976-7</v>
      </c>
      <c r="W119" t="str">
        <f>IFERROR(__xludf.DUMMYFUNCTION("""COMPUTED_VALUE"""),"NO")</f>
        <v>NO</v>
      </c>
      <c r="AA119" s="38">
        <f>IFERROR(__xludf.DUMMYFUNCTION("""COMPUTED_VALUE"""),43192.0)</f>
        <v>43192</v>
      </c>
      <c r="AB119" s="38">
        <f>IFERROR(__xludf.DUMMYFUNCTION("""COMPUTED_VALUE"""),43199.0)</f>
        <v>43199</v>
      </c>
      <c r="AH119" t="str">
        <f>IFERROR(__xludf.DUMMYFUNCTION("""COMPUTED_VALUE"""),"PROCESO DE SELECCIÓN")</f>
        <v>PROCESO DE SELECCIÓN</v>
      </c>
      <c r="AI119" t="str">
        <f>IFERROR(__xludf.DUMMYFUNCTION("""COMPUTED_VALUE""")," MORAGA POBLETE MARIO")</f>
        <v> MORAGA POBLETE MARIO</v>
      </c>
      <c r="AK119" t="str">
        <f>IFERROR(__xludf.DUMMYFUNCTION("""COMPUTED_VALUE"""),"E")</f>
        <v>E</v>
      </c>
      <c r="AL119">
        <f>IFERROR(__xludf.DUMMYFUNCTION("""COMPUTED_VALUE"""),36.0)</f>
        <v>36</v>
      </c>
      <c r="AM119">
        <f>IFERROR(__xludf.DUMMYFUNCTION("""COMPUTED_VALUE"""),2018.0)</f>
        <v>2018</v>
      </c>
    </row>
    <row r="120">
      <c r="A120">
        <f>IFERROR(__xludf.DUMMYFUNCTION("""COMPUTED_VALUE"""),1.3592396E7)</f>
        <v>13592396</v>
      </c>
      <c r="B120">
        <f>IFERROR(__xludf.DUMMYFUNCTION("""COMPUTED_VALUE"""),22.0)</f>
        <v>22</v>
      </c>
      <c r="C120" t="str">
        <f>IFERROR(__xludf.DUMMYFUNCTION("""COMPUTED_VALUE"""),"A200")</f>
        <v>A200</v>
      </c>
      <c r="D120" t="str">
        <f>IFERROR(__xludf.DUMMYFUNCTION("""COMPUTED_VALUE"""),"INGRESAR CENTRO DE COSTO A LA DERECHA")</f>
        <v>INGRESAR CENTRO DE COSTO A LA DERECHA</v>
      </c>
      <c r="E120" t="str">
        <f>IFERROR(__xludf.DUMMYFUNCTION("""COMPUTED_VALUE"""),"UNIDAD DE PROMOCION DE LA SALUD")</f>
        <v>UNIDAD DE PROMOCION DE LA SALUD</v>
      </c>
      <c r="F120" t="str">
        <f>IFERROR(__xludf.DUMMYFUNCTION("""COMPUTED_VALUE"""),"Psicólogo(a)")</f>
        <v>Psicólogo(a)</v>
      </c>
      <c r="G120" t="str">
        <f>IFERROR(__xludf.DUMMYFUNCTION("""COMPUTED_VALUE"""),"PSICOLOGO")</f>
        <v>PSICOLOGO</v>
      </c>
      <c r="H120">
        <f>IFERROR(__xludf.DUMMYFUNCTION("""COMPUTED_VALUE"""),13.0)</f>
        <v>13</v>
      </c>
      <c r="I120" t="str">
        <f>IFERROR(__xludf.DUMMYFUNCTION("""COMPUTED_VALUE"""),"Jornada Completa")</f>
        <v>Jornada Completa</v>
      </c>
      <c r="J120" t="str">
        <f>IFERROR(__xludf.DUMMYFUNCTION("""COMPUTED_VALUE"""),"A CONTRATA")</f>
        <v>A CONTRATA</v>
      </c>
      <c r="K120" t="str">
        <f>IFERROR(__xludf.DUMMYFUNCTION("""COMPUTED_VALUE"""),"PROFESIONAL")</f>
        <v>PROFESIONAL</v>
      </c>
      <c r="L120" t="str">
        <f>IFERROR(__xludf.DUMMYFUNCTION("""COMPUTED_VALUE"""),"INTERNO")</f>
        <v>INTERNO</v>
      </c>
      <c r="M120">
        <f>IFERROR(__xludf.DUMMYFUNCTION("""COMPUTED_VALUE"""),1.0)</f>
        <v>1</v>
      </c>
      <c r="N120" t="str">
        <f>IFERROR(__xludf.DUMMYFUNCTION("""COMPUTED_VALUE"""),"EXTERNO")</f>
        <v>EXTERNO</v>
      </c>
      <c r="O120">
        <f>IFERROR(__xludf.DUMMYFUNCTION("""COMPUTED_VALUE"""),21.0)</f>
        <v>21</v>
      </c>
      <c r="P120">
        <f>IFERROR(__xludf.DUMMYFUNCTION("""COMPUTED_VALUE"""),1.0)</f>
        <v>1</v>
      </c>
      <c r="Q120">
        <f>IFERROR(__xludf.DUMMYFUNCTION("""COMPUTED_VALUE"""),0.0)</f>
        <v>0</v>
      </c>
      <c r="R120" s="45" t="str">
        <f>IFERROR(__xludf.DUMMYFUNCTION("""COMPUTED_VALUE"""),"SELECCIONADA")</f>
        <v>SELECCIONADA</v>
      </c>
      <c r="S120" s="38">
        <f>IFERROR(__xludf.DUMMYFUNCTION("""COMPUTED_VALUE"""),43248.0)</f>
        <v>43248</v>
      </c>
      <c r="U120" t="str">
        <f>IFERROR(__xludf.DUMMYFUNCTION("""COMPUTED_VALUE"""),"MARIA HAUSDORF STEGER")</f>
        <v>MARIA HAUSDORF STEGER</v>
      </c>
      <c r="V120" t="str">
        <f>IFERROR(__xludf.DUMMYFUNCTION("""COMPUTED_VALUE"""),"13592396-6")</f>
        <v>13592396-6</v>
      </c>
      <c r="W120" t="str">
        <f>IFERROR(__xludf.DUMMYFUNCTION("""COMPUTED_VALUE"""),"NO")</f>
        <v>NO</v>
      </c>
      <c r="AA120" s="38">
        <f>IFERROR(__xludf.DUMMYFUNCTION("""COMPUTED_VALUE"""),43209.0)</f>
        <v>43209</v>
      </c>
      <c r="AB120" s="38">
        <f>IFERROR(__xludf.DUMMYFUNCTION("""COMPUTED_VALUE"""),43244.0)</f>
        <v>43244</v>
      </c>
      <c r="AH120" t="str">
        <f>IFERROR(__xludf.DUMMYFUNCTION("""COMPUTED_VALUE"""),"PROCESO DE SELECCIÓN")</f>
        <v>PROCESO DE SELECCIÓN</v>
      </c>
      <c r="AI120" t="str">
        <f>IFERROR(__xludf.DUMMYFUNCTION("""COMPUTED_VALUE"""),"DAPHNE PINOCHET VARGAS")</f>
        <v>DAPHNE PINOCHET VARGAS</v>
      </c>
      <c r="AK120" t="str">
        <f>IFERROR(__xludf.DUMMYFUNCTION("""COMPUTED_VALUE"""),"E")</f>
        <v>E</v>
      </c>
      <c r="AL120">
        <f>IFERROR(__xludf.DUMMYFUNCTION("""COMPUTED_VALUE"""),3.0)</f>
        <v>3</v>
      </c>
      <c r="AM120">
        <f>IFERROR(__xludf.DUMMYFUNCTION("""COMPUTED_VALUE"""),2018.0)</f>
        <v>2018</v>
      </c>
    </row>
    <row r="121">
      <c r="A121">
        <f>IFERROR(__xludf.DUMMYFUNCTION("""COMPUTED_VALUE"""),1.4165767E7)</f>
        <v>14165767</v>
      </c>
      <c r="B121">
        <f>IFERROR(__xludf.DUMMYFUNCTION("""COMPUTED_VALUE"""),23.0)</f>
        <v>23</v>
      </c>
      <c r="D121" t="str">
        <f>IFERROR(__xludf.DUMMYFUNCTION("""COMPUTED_VALUE"""),"INGRESAR CENTRO DE COSTO A LA DERECHA")</f>
        <v>INGRESAR CENTRO DE COSTO A LA DERECHA</v>
      </c>
      <c r="E121" t="str">
        <f>IFERROR(__xludf.DUMMYFUNCTION("""COMPUTED_VALUE"""),"DPTO. DE RECURSOS HUMANOS")</f>
        <v>DPTO. DE RECURSOS HUMANOS</v>
      </c>
      <c r="F121" t="str">
        <f>IFERROR(__xludf.DUMMYFUNCTION("""COMPUTED_VALUE"""),"Administrativo(a) de Recursos Humanos")</f>
        <v>Administrativo(a) de Recursos Humanos</v>
      </c>
      <c r="G121" t="str">
        <f>IFERROR(__xludf.DUMMYFUNCTION("""COMPUTED_VALUE"""),"ADMINISTRATIVO DE RECURSOS HUMANOS")</f>
        <v>ADMINISTRATIVO DE RECURSOS HUMANOS</v>
      </c>
      <c r="H121">
        <f>IFERROR(__xludf.DUMMYFUNCTION("""COMPUTED_VALUE"""),17.0)</f>
        <v>17</v>
      </c>
      <c r="I121" t="str">
        <f>IFERROR(__xludf.DUMMYFUNCTION("""COMPUTED_VALUE"""),"Jornada Completa")</f>
        <v>Jornada Completa</v>
      </c>
      <c r="J121" t="str">
        <f>IFERROR(__xludf.DUMMYFUNCTION("""COMPUTED_VALUE"""),"A CONTRATA")</f>
        <v>A CONTRATA</v>
      </c>
      <c r="K121" t="str">
        <f>IFERROR(__xludf.DUMMYFUNCTION("""COMPUTED_VALUE"""),"ADMINISTRATIVO")</f>
        <v>ADMINISTRATIVO</v>
      </c>
      <c r="L121" t="str">
        <f>IFERROR(__xludf.DUMMYFUNCTION("""COMPUTED_VALUE"""),"INTERNO")</f>
        <v>INTERNO</v>
      </c>
      <c r="M121">
        <f>IFERROR(__xludf.DUMMYFUNCTION("""COMPUTED_VALUE"""),2.0)</f>
        <v>2</v>
      </c>
      <c r="N121" t="str">
        <f>IFERROR(__xludf.DUMMYFUNCTION("""COMPUTED_VALUE"""),"EXTERNO")</f>
        <v>EXTERNO</v>
      </c>
      <c r="O121">
        <f>IFERROR(__xludf.DUMMYFUNCTION("""COMPUTED_VALUE"""),14.0)</f>
        <v>14</v>
      </c>
      <c r="P121">
        <f>IFERROR(__xludf.DUMMYFUNCTION("""COMPUTED_VALUE"""),3.0)</f>
        <v>3</v>
      </c>
      <c r="Q121">
        <f>IFERROR(__xludf.DUMMYFUNCTION("""COMPUTED_VALUE"""),0.0)</f>
        <v>0</v>
      </c>
      <c r="R121" s="45" t="str">
        <f>IFERROR(__xludf.DUMMYFUNCTION("""COMPUTED_VALUE"""),"SELECCIONADA")</f>
        <v>SELECCIONADA</v>
      </c>
      <c r="S121" s="38">
        <f>IFERROR(__xludf.DUMMYFUNCTION("""COMPUTED_VALUE"""),43252.0)</f>
        <v>43252</v>
      </c>
      <c r="U121" t="str">
        <f>IFERROR(__xludf.DUMMYFUNCTION("""COMPUTED_VALUE"""),"INGRID SANHUEZA AZUA")</f>
        <v>INGRID SANHUEZA AZUA</v>
      </c>
      <c r="V121" t="str">
        <f>IFERROR(__xludf.DUMMYFUNCTION("""COMPUTED_VALUE"""),"14165767-4")</f>
        <v>14165767-4</v>
      </c>
      <c r="W121" t="str">
        <f>IFERROR(__xludf.DUMMYFUNCTION("""COMPUTED_VALUE"""),"NO")</f>
        <v>NO</v>
      </c>
      <c r="AA121" s="38">
        <f>IFERROR(__xludf.DUMMYFUNCTION("""COMPUTED_VALUE"""),43206.0)</f>
        <v>43206</v>
      </c>
      <c r="AB121" s="38">
        <f>IFERROR(__xludf.DUMMYFUNCTION("""COMPUTED_VALUE"""),43213.0)</f>
        <v>43213</v>
      </c>
      <c r="AH121" t="str">
        <f>IFERROR(__xludf.DUMMYFUNCTION("""COMPUTED_VALUE"""),"PROCESO DE SELECCIÓN")</f>
        <v>PROCESO DE SELECCIÓN</v>
      </c>
      <c r="AI121" t="str">
        <f>IFERROR(__xludf.DUMMYFUNCTION("""COMPUTED_VALUE"""),"-")</f>
        <v>-</v>
      </c>
      <c r="AK121" t="str">
        <f>IFERROR(__xludf.DUMMYFUNCTION("""COMPUTED_VALUE"""),"E")</f>
        <v>E</v>
      </c>
      <c r="AL121">
        <f>IFERROR(__xludf.DUMMYFUNCTION("""COMPUTED_VALUE"""),30.0)</f>
        <v>30</v>
      </c>
      <c r="AM121">
        <f>IFERROR(__xludf.DUMMYFUNCTION("""COMPUTED_VALUE"""),2018.0)</f>
        <v>2018</v>
      </c>
    </row>
    <row r="122">
      <c r="A122">
        <f>IFERROR(__xludf.DUMMYFUNCTION("""COMPUTED_VALUE"""),1.7484988E7)</f>
        <v>17484988</v>
      </c>
      <c r="B122">
        <f>IFERROR(__xludf.DUMMYFUNCTION("""COMPUTED_VALUE"""),24.0)</f>
        <v>24</v>
      </c>
      <c r="D122" t="str">
        <f>IFERROR(__xludf.DUMMYFUNCTION("""COMPUTED_VALUE"""),"INGRESAR CENTRO DE COSTO A LA DERECHA")</f>
        <v>INGRESAR CENTRO DE COSTO A LA DERECHA</v>
      </c>
      <c r="E122" t="str">
        <f>IFERROR(__xludf.DUMMYFUNCTION("""COMPUTED_VALUE"""),"DPTO. DE RECURSOS HUMANOS")</f>
        <v>DPTO. DE RECURSOS HUMANOS</v>
      </c>
      <c r="F122" t="str">
        <f>IFERROR(__xludf.DUMMYFUNCTION("""COMPUTED_VALUE"""),"Administrativo(a) de Recursos Humanos")</f>
        <v>Administrativo(a) de Recursos Humanos</v>
      </c>
      <c r="G122" t="str">
        <f>IFERROR(__xludf.DUMMYFUNCTION("""COMPUTED_VALUE"""),"ADMINISTRATIVO DE RECURSOS HUMANOS")</f>
        <v>ADMINISTRATIVO DE RECURSOS HUMANOS</v>
      </c>
      <c r="H122">
        <f>IFERROR(__xludf.DUMMYFUNCTION("""COMPUTED_VALUE"""),17.0)</f>
        <v>17</v>
      </c>
      <c r="I122" t="str">
        <f>IFERROR(__xludf.DUMMYFUNCTION("""COMPUTED_VALUE"""),"Jornada Completa")</f>
        <v>Jornada Completa</v>
      </c>
      <c r="J122" t="str">
        <f>IFERROR(__xludf.DUMMYFUNCTION("""COMPUTED_VALUE"""),"A CONTRATA")</f>
        <v>A CONTRATA</v>
      </c>
      <c r="K122" t="str">
        <f>IFERROR(__xludf.DUMMYFUNCTION("""COMPUTED_VALUE"""),"ADMINISTRATIVO")</f>
        <v>ADMINISTRATIVO</v>
      </c>
      <c r="L122" t="str">
        <f>IFERROR(__xludf.DUMMYFUNCTION("""COMPUTED_VALUE"""),"INTERNO")</f>
        <v>INTERNO</v>
      </c>
      <c r="M122">
        <f>IFERROR(__xludf.DUMMYFUNCTION("""COMPUTED_VALUE"""),2.0)</f>
        <v>2</v>
      </c>
      <c r="N122" t="str">
        <f>IFERROR(__xludf.DUMMYFUNCTION("""COMPUTED_VALUE"""),"EXTERNO")</f>
        <v>EXTERNO</v>
      </c>
      <c r="O122">
        <f>IFERROR(__xludf.DUMMYFUNCTION("""COMPUTED_VALUE"""),14.0)</f>
        <v>14</v>
      </c>
      <c r="P122">
        <f>IFERROR(__xludf.DUMMYFUNCTION("""COMPUTED_VALUE"""),3.0)</f>
        <v>3</v>
      </c>
      <c r="Q122">
        <f>IFERROR(__xludf.DUMMYFUNCTION("""COMPUTED_VALUE"""),0.0)</f>
        <v>0</v>
      </c>
      <c r="R122" s="45" t="str">
        <f>IFERROR(__xludf.DUMMYFUNCTION("""COMPUTED_VALUE"""),"SELECCIONADA")</f>
        <v>SELECCIONADA</v>
      </c>
      <c r="S122" s="38">
        <f>IFERROR(__xludf.DUMMYFUNCTION("""COMPUTED_VALUE"""),43252.0)</f>
        <v>43252</v>
      </c>
      <c r="U122" t="str">
        <f>IFERROR(__xludf.DUMMYFUNCTION("""COMPUTED_VALUE"""),"NICOLE OSSES LABORIE")</f>
        <v>NICOLE OSSES LABORIE</v>
      </c>
      <c r="V122" t="str">
        <f>IFERROR(__xludf.DUMMYFUNCTION("""COMPUTED_VALUE"""),"17484988-9")</f>
        <v>17484988-9</v>
      </c>
      <c r="W122" t="str">
        <f>IFERROR(__xludf.DUMMYFUNCTION("""COMPUTED_VALUE"""),"SI")</f>
        <v>SI</v>
      </c>
      <c r="X122" t="str">
        <f>IFERROR(__xludf.DUMMYFUNCTION("""COMPUTED_VALUE"""),"Orientacion a los Resultados")</f>
        <v>Orientacion a los Resultados</v>
      </c>
      <c r="AA122" s="38">
        <f>IFERROR(__xludf.DUMMYFUNCTION("""COMPUTED_VALUE"""),43206.0)</f>
        <v>43206</v>
      </c>
      <c r="AB122" s="38">
        <f>IFERROR(__xludf.DUMMYFUNCTION("""COMPUTED_VALUE"""),43213.0)</f>
        <v>43213</v>
      </c>
      <c r="AH122" t="str">
        <f>IFERROR(__xludf.DUMMYFUNCTION("""COMPUTED_VALUE"""),"PROCESO DE SELECCIÓN")</f>
        <v>PROCESO DE SELECCIÓN</v>
      </c>
      <c r="AI122" t="str">
        <f>IFERROR(__xludf.DUMMYFUNCTION("""COMPUTED_VALUE"""),"-")</f>
        <v>-</v>
      </c>
      <c r="AK122" t="str">
        <f>IFERROR(__xludf.DUMMYFUNCTION("""COMPUTED_VALUE"""),"E")</f>
        <v>E</v>
      </c>
      <c r="AL122">
        <f>IFERROR(__xludf.DUMMYFUNCTION("""COMPUTED_VALUE"""),30.0)</f>
        <v>30</v>
      </c>
      <c r="AM122">
        <f>IFERROR(__xludf.DUMMYFUNCTION("""COMPUTED_VALUE"""),2018.0)</f>
        <v>2018</v>
      </c>
    </row>
    <row r="123">
      <c r="A123">
        <f>IFERROR(__xludf.DUMMYFUNCTION("""COMPUTED_VALUE"""),1.6201292E7)</f>
        <v>16201292</v>
      </c>
      <c r="B123">
        <f>IFERROR(__xludf.DUMMYFUNCTION("""COMPUTED_VALUE"""),25.0)</f>
        <v>25</v>
      </c>
      <c r="D123" t="str">
        <f>IFERROR(__xludf.DUMMYFUNCTION("""COMPUTED_VALUE"""),"INGRESAR CENTRO DE COSTO A LA DERECHA")</f>
        <v>INGRESAR CENTRO DE COSTO A LA DERECHA</v>
      </c>
      <c r="E123" t="str">
        <f>IFERROR(__xludf.DUMMYFUNCTION("""COMPUTED_VALUE"""),"DIR. DE ASISTENCIA JURIDICA")</f>
        <v>DIR. DE ASISTENCIA JURIDICA</v>
      </c>
      <c r="F123" t="str">
        <f>IFERROR(__xludf.DUMMYFUNCTION("""COMPUTED_VALUE"""),"Abogado(a) Dirección Juridica")</f>
        <v>Abogado(a) Dirección Juridica</v>
      </c>
      <c r="G123" t="str">
        <f>IFERROR(__xludf.DUMMYFUNCTION("""COMPUTED_VALUE"""),"ABOGADO DIRECCIÓN JURÍDICA")</f>
        <v>ABOGADO DIRECCIÓN JURÍDICA</v>
      </c>
      <c r="H123">
        <f>IFERROR(__xludf.DUMMYFUNCTION("""COMPUTED_VALUE"""),6.0)</f>
        <v>6</v>
      </c>
      <c r="I123" t="str">
        <f>IFERROR(__xludf.DUMMYFUNCTION("""COMPUTED_VALUE"""),"Jornada Completa")</f>
        <v>Jornada Completa</v>
      </c>
      <c r="J123" t="str">
        <f>IFERROR(__xludf.DUMMYFUNCTION("""COMPUTED_VALUE"""),"A CONTRATA")</f>
        <v>A CONTRATA</v>
      </c>
      <c r="K123" t="str">
        <f>IFERROR(__xludf.DUMMYFUNCTION("""COMPUTED_VALUE"""),"PROFESIONAL")</f>
        <v>PROFESIONAL</v>
      </c>
      <c r="L123" t="str">
        <f>IFERROR(__xludf.DUMMYFUNCTION("""COMPUTED_VALUE"""),"NO")</f>
        <v>NO</v>
      </c>
      <c r="M123">
        <f>IFERROR(__xludf.DUMMYFUNCTION("""COMPUTED_VALUE"""),0.0)</f>
        <v>0</v>
      </c>
      <c r="N123" t="str">
        <f>IFERROR(__xludf.DUMMYFUNCTION("""COMPUTED_VALUE"""),"EXTERNO")</f>
        <v>EXTERNO</v>
      </c>
      <c r="O123">
        <f>IFERROR(__xludf.DUMMYFUNCTION("""COMPUTED_VALUE"""),84.0)</f>
        <v>84</v>
      </c>
      <c r="P123">
        <f>IFERROR(__xludf.DUMMYFUNCTION("""COMPUTED_VALUE"""),5.0)</f>
        <v>5</v>
      </c>
      <c r="Q123">
        <f>IFERROR(__xludf.DUMMYFUNCTION("""COMPUTED_VALUE"""),0.0)</f>
        <v>0</v>
      </c>
      <c r="R123" s="45" t="str">
        <f>IFERROR(__xludf.DUMMYFUNCTION("""COMPUTED_VALUE"""),"SELECCIONADA")</f>
        <v>SELECCIONADA</v>
      </c>
      <c r="S123" s="38">
        <f>IFERROR(__xludf.DUMMYFUNCTION("""COMPUTED_VALUE"""),43248.0)</f>
        <v>43248</v>
      </c>
      <c r="U123" t="str">
        <f>IFERROR(__xludf.DUMMYFUNCTION("""COMPUTED_VALUE"""),"MELISA FUENTES WEBER")</f>
        <v>MELISA FUENTES WEBER</v>
      </c>
      <c r="V123" t="str">
        <f>IFERROR(__xludf.DUMMYFUNCTION("""COMPUTED_VALUE"""),"16201292-4")</f>
        <v>16201292-4</v>
      </c>
      <c r="W123" t="str">
        <f>IFERROR(__xludf.DUMMYFUNCTION("""COMPUTED_VALUE"""),"SI")</f>
        <v>SI</v>
      </c>
      <c r="X123" t="str">
        <f>IFERROR(__xludf.DUMMYFUNCTION("""COMPUTED_VALUE"""),"Pensamiento Analitico")</f>
        <v>Pensamiento Analitico</v>
      </c>
      <c r="Y123" t="str">
        <f>IFERROR(__xludf.DUMMYFUNCTION("""COMPUTED_VALUE"""),"Iniciativa")</f>
        <v>Iniciativa</v>
      </c>
      <c r="AA123" s="38">
        <f>IFERROR(__xludf.DUMMYFUNCTION("""COMPUTED_VALUE"""),43180.0)</f>
        <v>43180</v>
      </c>
      <c r="AB123" s="38">
        <f>IFERROR(__xludf.DUMMYFUNCTION("""COMPUTED_VALUE"""),43187.0)</f>
        <v>43187</v>
      </c>
      <c r="AH123" t="str">
        <f>IFERROR(__xludf.DUMMYFUNCTION("""COMPUTED_VALUE"""),"PROCESO DE SELECCIÓN")</f>
        <v>PROCESO DE SELECCIÓN</v>
      </c>
      <c r="AI123" t="str">
        <f>IFERROR(__xludf.DUMMYFUNCTION("""COMPUTED_VALUE"""),"ALIAGA TORRAS CLAUDIA")</f>
        <v>ALIAGA TORRAS CLAUDIA</v>
      </c>
      <c r="AK123" t="str">
        <f>IFERROR(__xludf.DUMMYFUNCTION("""COMPUTED_VALUE"""),"E")</f>
        <v>E</v>
      </c>
      <c r="AL123">
        <f>IFERROR(__xludf.DUMMYFUNCTION("""COMPUTED_VALUE"""),44.0)</f>
        <v>44</v>
      </c>
      <c r="AM123">
        <f>IFERROR(__xludf.DUMMYFUNCTION("""COMPUTED_VALUE"""),2018.0)</f>
        <v>2018</v>
      </c>
    </row>
    <row r="124">
      <c r="A124">
        <f>IFERROR(__xludf.DUMMYFUNCTION("""COMPUTED_VALUE"""),1.6088029E7)</f>
        <v>16088029</v>
      </c>
      <c r="B124">
        <f>IFERROR(__xludf.DUMMYFUNCTION("""COMPUTED_VALUE"""),26.0)</f>
        <v>26</v>
      </c>
      <c r="C124" t="str">
        <f>IFERROR(__xludf.DUMMYFUNCTION("""COMPUTED_VALUE"""),"A199")</f>
        <v>A199</v>
      </c>
      <c r="D124" t="str">
        <f>IFERROR(__xludf.DUMMYFUNCTION("""COMPUTED_VALUE"""),"INGRESAR CENTRO DE COSTO A LA DERECHA")</f>
        <v>INGRESAR CENTRO DE COSTO A LA DERECHA</v>
      </c>
      <c r="E124" t="str">
        <f>IFERROR(__xludf.DUMMYFUNCTION("""COMPUTED_VALUE"""),"SELLO EDITORIAL")</f>
        <v>SELLO EDITORIAL</v>
      </c>
      <c r="F124" t="str">
        <f>IFERROR(__xludf.DUMMYFUNCTION("""COMPUTED_VALUE"""),"Administrativo(a) de Apoyo")</f>
        <v>Administrativo(a) de Apoyo</v>
      </c>
      <c r="G124" t="str">
        <f>IFERROR(__xludf.DUMMYFUNCTION("""COMPUTED_VALUE"""),"ADMINISTRATIVO DE APOYO")</f>
        <v>ADMINISTRATIVO DE APOYO</v>
      </c>
      <c r="H124">
        <f>IFERROR(__xludf.DUMMYFUNCTION("""COMPUTED_VALUE"""),20.0)</f>
        <v>20</v>
      </c>
      <c r="I124" t="str">
        <f>IFERROR(__xludf.DUMMYFUNCTION("""COMPUTED_VALUE"""),"Jornada Completa")</f>
        <v>Jornada Completa</v>
      </c>
      <c r="J124" t="str">
        <f>IFERROR(__xludf.DUMMYFUNCTION("""COMPUTED_VALUE"""),"A CONTRATA")</f>
        <v>A CONTRATA</v>
      </c>
      <c r="K124" t="str">
        <f>IFERROR(__xludf.DUMMYFUNCTION("""COMPUTED_VALUE"""),"ADMINISTRATIVO")</f>
        <v>ADMINISTRATIVO</v>
      </c>
      <c r="L124" t="str">
        <f>IFERROR(__xludf.DUMMYFUNCTION("""COMPUTED_VALUE"""),"INTERNO")</f>
        <v>INTERNO</v>
      </c>
      <c r="M124">
        <f>IFERROR(__xludf.DUMMYFUNCTION("""COMPUTED_VALUE"""),0.0)</f>
        <v>0</v>
      </c>
      <c r="N124" t="str">
        <f>IFERROR(__xludf.DUMMYFUNCTION("""COMPUTED_VALUE"""),"EXTERNO")</f>
        <v>EXTERNO</v>
      </c>
      <c r="O124">
        <f>IFERROR(__xludf.DUMMYFUNCTION("""COMPUTED_VALUE"""),15.0)</f>
        <v>15</v>
      </c>
      <c r="P124">
        <f>IFERROR(__xludf.DUMMYFUNCTION("""COMPUTED_VALUE"""),1.0)</f>
        <v>1</v>
      </c>
      <c r="Q124">
        <f>IFERROR(__xludf.DUMMYFUNCTION("""COMPUTED_VALUE"""),0.0)</f>
        <v>0</v>
      </c>
      <c r="R124" s="45" t="str">
        <f>IFERROR(__xludf.DUMMYFUNCTION("""COMPUTED_VALUE"""),"SELECCIONADA")</f>
        <v>SELECCIONADA</v>
      </c>
      <c r="S124" s="38">
        <f>IFERROR(__xludf.DUMMYFUNCTION("""COMPUTED_VALUE"""),43252.0)</f>
        <v>43252</v>
      </c>
      <c r="U124" t="str">
        <f>IFERROR(__xludf.DUMMYFUNCTION("""COMPUTED_VALUE"""),"MARIA JOSE CALDERON GARIN")</f>
        <v>MARIA JOSE CALDERON GARIN</v>
      </c>
      <c r="V124" t="str">
        <f>IFERROR(__xludf.DUMMYFUNCTION("""COMPUTED_VALUE"""),"16088029-5")</f>
        <v>16088029-5</v>
      </c>
      <c r="W124" t="str">
        <f>IFERROR(__xludf.DUMMYFUNCTION("""COMPUTED_VALUE"""),"NO")</f>
        <v>NO</v>
      </c>
      <c r="AA124" s="38">
        <f>IFERROR(__xludf.DUMMYFUNCTION("""COMPUTED_VALUE"""),43223.0)</f>
        <v>43223</v>
      </c>
      <c r="AB124" s="38">
        <f>IFERROR(__xludf.DUMMYFUNCTION("""COMPUTED_VALUE"""),43230.0)</f>
        <v>43230</v>
      </c>
      <c r="AH124" t="str">
        <f>IFERROR(__xludf.DUMMYFUNCTION("""COMPUTED_VALUE"""),"PROCESO DE SELECCIÓN")</f>
        <v>PROCESO DE SELECCIÓN</v>
      </c>
      <c r="AI124" t="str">
        <f>IFERROR(__xludf.DUMMYFUNCTION("""COMPUTED_VALUE"""),"ALMONACID MOLINA ARIEL")</f>
        <v>ALMONACID MOLINA ARIEL</v>
      </c>
      <c r="AK124" t="str">
        <f>IFERROR(__xludf.DUMMYFUNCTION("""COMPUTED_VALUE"""),"P")</f>
        <v>P</v>
      </c>
      <c r="AL124">
        <f>IFERROR(__xludf.DUMMYFUNCTION("""COMPUTED_VALUE"""),17.0)</f>
        <v>17</v>
      </c>
      <c r="AM124">
        <f>IFERROR(__xludf.DUMMYFUNCTION("""COMPUTED_VALUE"""),2018.0)</f>
        <v>2018</v>
      </c>
    </row>
    <row r="125">
      <c r="A125">
        <f>IFERROR(__xludf.DUMMYFUNCTION("""COMPUTED_VALUE"""),1.3886041E7)</f>
        <v>13886041</v>
      </c>
      <c r="B125">
        <f>IFERROR(__xludf.DUMMYFUNCTION("""COMPUTED_VALUE"""),27.0)</f>
        <v>27</v>
      </c>
      <c r="C125" t="str">
        <f>IFERROR(__xludf.DUMMYFUNCTION("""COMPUTED_VALUE"""),"A203")</f>
        <v>A203</v>
      </c>
      <c r="D125" t="str">
        <f>IFERROR(__xludf.DUMMYFUNCTION("""COMPUTED_VALUE"""),"INGRESAR CENTRO DE COSTO A LA DERECHA")</f>
        <v>INGRESAR CENTRO DE COSTO A LA DERECHA</v>
      </c>
      <c r="E125" t="str">
        <f>IFERROR(__xludf.DUMMYFUNCTION("""COMPUTED_VALUE"""),"UNIDAD DE ATENCION DE SALUD")</f>
        <v>UNIDAD DE ATENCION DE SALUD</v>
      </c>
      <c r="F125" t="str">
        <f>IFERROR(__xludf.DUMMYFUNCTION("""COMPUTED_VALUE"""),"Chofer de Ambulancia")</f>
        <v>Chofer de Ambulancia</v>
      </c>
      <c r="G125" t="str">
        <f>IFERROR(__xludf.DUMMYFUNCTION("""COMPUTED_VALUE"""),"CHOFER DE AMBULANCIA")</f>
        <v>CHOFER DE AMBULANCIA</v>
      </c>
      <c r="H125">
        <f>IFERROR(__xludf.DUMMYFUNCTION("""COMPUTED_VALUE"""),18.0)</f>
        <v>18</v>
      </c>
      <c r="I125" t="str">
        <f>IFERROR(__xludf.DUMMYFUNCTION("""COMPUTED_VALUE"""),"Jornada Completa")</f>
        <v>Jornada Completa</v>
      </c>
      <c r="J125" t="str">
        <f>IFERROR(__xludf.DUMMYFUNCTION("""COMPUTED_VALUE"""),"A CONTRATA")</f>
        <v>A CONTRATA</v>
      </c>
      <c r="K125" t="str">
        <f>IFERROR(__xludf.DUMMYFUNCTION("""COMPUTED_VALUE"""),"TECNICO")</f>
        <v>TECNICO</v>
      </c>
      <c r="L125" t="str">
        <f>IFERROR(__xludf.DUMMYFUNCTION("""COMPUTED_VALUE"""),"INTERNO")</f>
        <v>INTERNO</v>
      </c>
      <c r="M125">
        <f>IFERROR(__xludf.DUMMYFUNCTION("""COMPUTED_VALUE"""),0.0)</f>
        <v>0</v>
      </c>
      <c r="N125" t="str">
        <f>IFERROR(__xludf.DUMMYFUNCTION("""COMPUTED_VALUE"""),"EXTERNO")</f>
        <v>EXTERNO</v>
      </c>
      <c r="O125">
        <f>IFERROR(__xludf.DUMMYFUNCTION("""COMPUTED_VALUE"""),7.0)</f>
        <v>7</v>
      </c>
      <c r="P125">
        <f>IFERROR(__xludf.DUMMYFUNCTION("""COMPUTED_VALUE"""),3.0)</f>
        <v>3</v>
      </c>
      <c r="Q125">
        <f>IFERROR(__xludf.DUMMYFUNCTION("""COMPUTED_VALUE"""),0.0)</f>
        <v>0</v>
      </c>
      <c r="R125" s="45" t="str">
        <f>IFERROR(__xludf.DUMMYFUNCTION("""COMPUTED_VALUE"""),"SELECCIONADO")</f>
        <v>SELECCIONADO</v>
      </c>
      <c r="S125" s="38">
        <f>IFERROR(__xludf.DUMMYFUNCTION("""COMPUTED_VALUE"""),43252.0)</f>
        <v>43252</v>
      </c>
      <c r="U125" t="str">
        <f>IFERROR(__xludf.DUMMYFUNCTION("""COMPUTED_VALUE"""),"JUAN FERRADA BERNAL")</f>
        <v>JUAN FERRADA BERNAL</v>
      </c>
      <c r="V125" t="str">
        <f>IFERROR(__xludf.DUMMYFUNCTION("""COMPUTED_VALUE"""),"13886041-8")</f>
        <v>13886041-8</v>
      </c>
      <c r="W125" t="str">
        <f>IFERROR(__xludf.DUMMYFUNCTION("""COMPUTED_VALUE"""),"NO")</f>
        <v>NO</v>
      </c>
      <c r="AA125" s="38">
        <f>IFERROR(__xludf.DUMMYFUNCTION("""COMPUTED_VALUE"""),43214.0)</f>
        <v>43214</v>
      </c>
      <c r="AB125" s="38">
        <f>IFERROR(__xludf.DUMMYFUNCTION("""COMPUTED_VALUE"""),43220.0)</f>
        <v>43220</v>
      </c>
      <c r="AH125" t="str">
        <f>IFERROR(__xludf.DUMMYFUNCTION("""COMPUTED_VALUE"""),"PROCESO DE SELECCIÓN")</f>
        <v>PROCESO DE SELECCIÓN</v>
      </c>
      <c r="AI125" t="str">
        <f>IFERROR(__xludf.DUMMYFUNCTION("""COMPUTED_VALUE"""),"DIAZ ARANEDA ISMAEL ")</f>
        <v>DIAZ ARANEDA ISMAEL </v>
      </c>
      <c r="AK125" t="str">
        <f>IFERROR(__xludf.DUMMYFUNCTION("""COMPUTED_VALUE"""),"E")</f>
        <v>E</v>
      </c>
      <c r="AL125">
        <f>IFERROR(__xludf.DUMMYFUNCTION("""COMPUTED_VALUE"""),25.0)</f>
        <v>25</v>
      </c>
      <c r="AM125">
        <f>IFERROR(__xludf.DUMMYFUNCTION("""COMPUTED_VALUE"""),2018.0)</f>
        <v>2018</v>
      </c>
    </row>
    <row r="126">
      <c r="A126">
        <f>IFERROR(__xludf.DUMMYFUNCTION("""COMPUTED_VALUE"""),9243470.0)</f>
        <v>9243470</v>
      </c>
      <c r="B126">
        <f>IFERROR(__xludf.DUMMYFUNCTION("""COMPUTED_VALUE"""),28.0)</f>
        <v>28</v>
      </c>
      <c r="D126" t="str">
        <f>IFERROR(__xludf.DUMMYFUNCTION("""COMPUTED_VALUE"""),"INGRESAR CENTRO DE COSTO A LA DERECHA")</f>
        <v>INGRESAR CENTRO DE COSTO A LA DERECHA</v>
      </c>
      <c r="E126" t="str">
        <f>IFERROR(__xludf.DUMMYFUNCTION("""COMPUTED_VALUE"""),"VR. DE POSTGRADO")</f>
        <v>VR. DE POSTGRADO</v>
      </c>
      <c r="F126" t="str">
        <f>IFERROR(__xludf.DUMMYFUNCTION("""COMPUTED_VALUE"""),"Jefe(a) de Área")</f>
        <v>Jefe(a) de Área</v>
      </c>
      <c r="G126" t="str">
        <f>IFERROR(__xludf.DUMMYFUNCTION("""COMPUTED_VALUE"""),"JEFE DE AREA CURRICULAR")</f>
        <v>JEFE DE AREA CURRICULAR</v>
      </c>
      <c r="H126">
        <f>IFERROR(__xludf.DUMMYFUNCTION("""COMPUTED_VALUE"""),8.0)</f>
        <v>8</v>
      </c>
      <c r="I126" t="str">
        <f>IFERROR(__xludf.DUMMYFUNCTION("""COMPUTED_VALUE"""),"Jornada Completa")</f>
        <v>Jornada Completa</v>
      </c>
      <c r="J126" t="str">
        <f>IFERROR(__xludf.DUMMYFUNCTION("""COMPUTED_VALUE"""),"A CONTRATA")</f>
        <v>A CONTRATA</v>
      </c>
      <c r="K126" t="str">
        <f>IFERROR(__xludf.DUMMYFUNCTION("""COMPUTED_VALUE"""),"PROFESIONAL")</f>
        <v>PROFESIONAL</v>
      </c>
      <c r="L126" t="str">
        <f>IFERROR(__xludf.DUMMYFUNCTION("""COMPUTED_VALUE"""),"INTERNO")</f>
        <v>INTERNO</v>
      </c>
      <c r="M126">
        <f>IFERROR(__xludf.DUMMYFUNCTION("""COMPUTED_VALUE"""),2.0)</f>
        <v>2</v>
      </c>
      <c r="N126" t="str">
        <f>IFERROR(__xludf.DUMMYFUNCTION("""COMPUTED_VALUE"""),"EXTERNO")</f>
        <v>EXTERNO</v>
      </c>
      <c r="O126">
        <f>IFERROR(__xludf.DUMMYFUNCTION("""COMPUTED_VALUE"""),18.0)</f>
        <v>18</v>
      </c>
      <c r="P126">
        <f>IFERROR(__xludf.DUMMYFUNCTION("""COMPUTED_VALUE"""),1.0)</f>
        <v>1</v>
      </c>
      <c r="Q126">
        <f>IFERROR(__xludf.DUMMYFUNCTION("""COMPUTED_VALUE"""),0.0)</f>
        <v>0</v>
      </c>
      <c r="R126" s="45" t="str">
        <f>IFERROR(__xludf.DUMMYFUNCTION("""COMPUTED_VALUE"""),"SELECCIONADO")</f>
        <v>SELECCIONADO</v>
      </c>
      <c r="S126" s="38">
        <f>IFERROR(__xludf.DUMMYFUNCTION("""COMPUTED_VALUE"""),43252.0)</f>
        <v>43252</v>
      </c>
      <c r="U126" t="str">
        <f>IFERROR(__xludf.DUMMYFUNCTION("""COMPUTED_VALUE"""),"DIEGO MANDIOLA GRECCO")</f>
        <v>DIEGO MANDIOLA GRECCO</v>
      </c>
      <c r="V126" t="str">
        <f>IFERROR(__xludf.DUMMYFUNCTION("""COMPUTED_VALUE"""),"09243470-2")</f>
        <v>09243470-2</v>
      </c>
      <c r="W126" t="str">
        <f>IFERROR(__xludf.DUMMYFUNCTION("""COMPUTED_VALUE"""),"SI")</f>
        <v>SI</v>
      </c>
      <c r="X126" t="str">
        <f>IFERROR(__xludf.DUMMYFUNCTION("""COMPUTED_VALUE"""),"Capacidad de Planificacion y Organizacion")</f>
        <v>Capacidad de Planificacion y Organizacion</v>
      </c>
      <c r="Y126" t="str">
        <f>IFERROR(__xludf.DUMMYFUNCTION("""COMPUTED_VALUE"""),"Orientacion a los Resultados")</f>
        <v>Orientacion a los Resultados</v>
      </c>
      <c r="AA126" s="38">
        <f>IFERROR(__xludf.DUMMYFUNCTION("""COMPUTED_VALUE"""),43214.0)</f>
        <v>43214</v>
      </c>
      <c r="AB126" s="38">
        <f>IFERROR(__xludf.DUMMYFUNCTION("""COMPUTED_VALUE"""),43220.0)</f>
        <v>43220</v>
      </c>
      <c r="AH126" t="str">
        <f>IFERROR(__xludf.DUMMYFUNCTION("""COMPUTED_VALUE"""),"PROCESO DE SELECCIÓN")</f>
        <v>PROCESO DE SELECCIÓN</v>
      </c>
      <c r="AI126" t="str">
        <f>IFERROR(__xludf.DUMMYFUNCTION("""COMPUTED_VALUE"""),"FUENTES ASPEE JESSENIA")</f>
        <v>FUENTES ASPEE JESSENIA</v>
      </c>
      <c r="AK126" t="str">
        <f>IFERROR(__xludf.DUMMYFUNCTION("""COMPUTED_VALUE"""),"P")</f>
        <v>P</v>
      </c>
      <c r="AL126">
        <f>IFERROR(__xludf.DUMMYFUNCTION("""COMPUTED_VALUE"""),25.0)</f>
        <v>25</v>
      </c>
      <c r="AM126">
        <f>IFERROR(__xludf.DUMMYFUNCTION("""COMPUTED_VALUE"""),2018.0)</f>
        <v>2018</v>
      </c>
    </row>
    <row r="127">
      <c r="A127">
        <f>IFERROR(__xludf.DUMMYFUNCTION("""COMPUTED_VALUE"""),9665534.0)</f>
        <v>9665534</v>
      </c>
      <c r="B127">
        <f>IFERROR(__xludf.DUMMYFUNCTION("""COMPUTED_VALUE"""),29.0)</f>
        <v>29</v>
      </c>
      <c r="D127" t="str">
        <f>IFERROR(__xludf.DUMMYFUNCTION("""COMPUTED_VALUE"""),"INGRESAR CENTRO DE COSTO A LA DERECHA")</f>
        <v>INGRESAR CENTRO DE COSTO A LA DERECHA</v>
      </c>
      <c r="E127" t="str">
        <f>IFERROR(__xludf.DUMMYFUNCTION("""COMPUTED_VALUE"""),"VR. DE APOYO AL ESTUDIANTE")</f>
        <v>VR. DE APOYO AL ESTUDIANTE</v>
      </c>
      <c r="F127" t="str">
        <f>IFERROR(__xludf.DUMMYFUNCTION("""COMPUTED_VALUE"""),"Mayordomo(a)")</f>
        <v>Mayordomo(a)</v>
      </c>
      <c r="G127" t="str">
        <f>IFERROR(__xludf.DUMMYFUNCTION("""COMPUTED_VALUE"""),"MAYORDOMO")</f>
        <v>MAYORDOMO</v>
      </c>
      <c r="H127">
        <f>IFERROR(__xludf.DUMMYFUNCTION("""COMPUTED_VALUE"""),21.0)</f>
        <v>21</v>
      </c>
      <c r="I127" t="str">
        <f>IFERROR(__xludf.DUMMYFUNCTION("""COMPUTED_VALUE"""),"Jornada Completa")</f>
        <v>Jornada Completa</v>
      </c>
      <c r="J127" t="str">
        <f>IFERROR(__xludf.DUMMYFUNCTION("""COMPUTED_VALUE"""),"A CONTRATA")</f>
        <v>A CONTRATA</v>
      </c>
      <c r="K127" t="str">
        <f>IFERROR(__xludf.DUMMYFUNCTION("""COMPUTED_VALUE"""),"AUXILIAR")</f>
        <v>AUXILIAR</v>
      </c>
      <c r="L127" t="str">
        <f>IFERROR(__xludf.DUMMYFUNCTION("""COMPUTED_VALUE"""),"INTERNO")</f>
        <v>INTERNO</v>
      </c>
      <c r="M127">
        <f>IFERROR(__xludf.DUMMYFUNCTION("""COMPUTED_VALUE"""),0.0)</f>
        <v>0</v>
      </c>
      <c r="N127" t="str">
        <f>IFERROR(__xludf.DUMMYFUNCTION("""COMPUTED_VALUE"""),"EXTERNO")</f>
        <v>EXTERNO</v>
      </c>
      <c r="O127">
        <f>IFERROR(__xludf.DUMMYFUNCTION("""COMPUTED_VALUE"""),5.0)</f>
        <v>5</v>
      </c>
      <c r="P127">
        <f>IFERROR(__xludf.DUMMYFUNCTION("""COMPUTED_VALUE"""),1.0)</f>
        <v>1</v>
      </c>
      <c r="Q127">
        <f>IFERROR(__xludf.DUMMYFUNCTION("""COMPUTED_VALUE"""),1.0)</f>
        <v>1</v>
      </c>
      <c r="R127" s="45" t="str">
        <f>IFERROR(__xludf.DUMMYFUNCTION("""COMPUTED_VALUE"""),"SELECCIONADA")</f>
        <v>SELECCIONADA</v>
      </c>
      <c r="S127" s="38">
        <f>IFERROR(__xludf.DUMMYFUNCTION("""COMPUTED_VALUE"""),43256.0)</f>
        <v>43256</v>
      </c>
      <c r="U127" t="str">
        <f>IFERROR(__xludf.DUMMYFUNCTION("""COMPUTED_VALUE"""),"ALICIA BLANCO GALLARDO")</f>
        <v>ALICIA BLANCO GALLARDO</v>
      </c>
      <c r="V127" t="str">
        <f>IFERROR(__xludf.DUMMYFUNCTION("""COMPUTED_VALUE"""),"09665534-7")</f>
        <v>09665534-7</v>
      </c>
      <c r="W127" t="str">
        <f>IFERROR(__xludf.DUMMYFUNCTION("""COMPUTED_VALUE"""),"SI")</f>
        <v>SI</v>
      </c>
      <c r="X127" t="str">
        <f>IFERROR(__xludf.DUMMYFUNCTION("""COMPUTED_VALUE"""),"Trabajo en Equipo")</f>
        <v>Trabajo en Equipo</v>
      </c>
      <c r="AA127" s="38">
        <f>IFERROR(__xludf.DUMMYFUNCTION("""COMPUTED_VALUE"""),43217.0)</f>
        <v>43217</v>
      </c>
      <c r="AB127" s="38">
        <f>IFERROR(__xludf.DUMMYFUNCTION("""COMPUTED_VALUE"""),43224.0)</f>
        <v>43224</v>
      </c>
      <c r="AH127" t="str">
        <f>IFERROR(__xludf.DUMMYFUNCTION("""COMPUTED_VALUE"""),"PROCESO DE SELECCIÓN")</f>
        <v>PROCESO DE SELECCIÓN</v>
      </c>
      <c r="AI127" t="str">
        <f>IFERROR(__xludf.DUMMYFUNCTION("""COMPUTED_VALUE"""),"MUÑOZ CESPEDES FERNANDO")</f>
        <v>MUÑOZ CESPEDES FERNANDO</v>
      </c>
      <c r="AK127" t="str">
        <f>IFERROR(__xludf.DUMMYFUNCTION("""COMPUTED_VALUE"""),"E")</f>
        <v>E</v>
      </c>
      <c r="AL127">
        <f>IFERROR(__xludf.DUMMYFUNCTION("""COMPUTED_VALUE"""),23.0)</f>
        <v>23</v>
      </c>
      <c r="AM127">
        <f>IFERROR(__xludf.DUMMYFUNCTION("""COMPUTED_VALUE"""),2018.0)</f>
        <v>2018</v>
      </c>
    </row>
    <row r="128">
      <c r="A128">
        <f>IFERROR(__xludf.DUMMYFUNCTION("""COMPUTED_VALUE"""),1.3031839E7)</f>
        <v>13031839</v>
      </c>
      <c r="B128">
        <f>IFERROR(__xludf.DUMMYFUNCTION("""COMPUTED_VALUE"""),30.0)</f>
        <v>30</v>
      </c>
      <c r="D128" t="str">
        <f>IFERROR(__xludf.DUMMYFUNCTION("""COMPUTED_VALUE"""),"INGRESAR CENTRO DE COSTO A LA DERECHA")</f>
        <v>INGRESAR CENTRO DE COSTO A LA DERECHA</v>
      </c>
      <c r="E128" t="str">
        <f>IFERROR(__xludf.DUMMYFUNCTION("""COMPUTED_VALUE"""),"DPTO. DE INGENIERIA MECANICA")</f>
        <v>DPTO. DE INGENIERIA MECANICA</v>
      </c>
      <c r="F128" t="str">
        <f>IFERROR(__xludf.DUMMYFUNCTION("""COMPUTED_VALUE"""),"Mayordomo(a)")</f>
        <v>Mayordomo(a)</v>
      </c>
      <c r="G128" t="str">
        <f>IFERROR(__xludf.DUMMYFUNCTION("""COMPUTED_VALUE"""),"MAYORDOMO")</f>
        <v>MAYORDOMO</v>
      </c>
      <c r="H128">
        <f>IFERROR(__xludf.DUMMYFUNCTION("""COMPUTED_VALUE"""),21.0)</f>
        <v>21</v>
      </c>
      <c r="I128" t="str">
        <f>IFERROR(__xludf.DUMMYFUNCTION("""COMPUTED_VALUE"""),"Jornada Completa")</f>
        <v>Jornada Completa</v>
      </c>
      <c r="J128" t="str">
        <f>IFERROR(__xludf.DUMMYFUNCTION("""COMPUTED_VALUE"""),"A CONTRATA")</f>
        <v>A CONTRATA</v>
      </c>
      <c r="K128" t="str">
        <f>IFERROR(__xludf.DUMMYFUNCTION("""COMPUTED_VALUE"""),"AUXILIAR")</f>
        <v>AUXILIAR</v>
      </c>
      <c r="L128" t="str">
        <f>IFERROR(__xludf.DUMMYFUNCTION("""COMPUTED_VALUE"""),"INTERNO")</f>
        <v>INTERNO</v>
      </c>
      <c r="M128">
        <f>IFERROR(__xludf.DUMMYFUNCTION("""COMPUTED_VALUE"""),0.0)</f>
        <v>0</v>
      </c>
      <c r="N128" t="str">
        <f>IFERROR(__xludf.DUMMYFUNCTION("""COMPUTED_VALUE"""),"EXTERNO")</f>
        <v>EXTERNO</v>
      </c>
      <c r="O128">
        <f>IFERROR(__xludf.DUMMYFUNCTION("""COMPUTED_VALUE"""),4.0)</f>
        <v>4</v>
      </c>
      <c r="P128">
        <f>IFERROR(__xludf.DUMMYFUNCTION("""COMPUTED_VALUE"""),2.0)</f>
        <v>2</v>
      </c>
      <c r="Q128">
        <f>IFERROR(__xludf.DUMMYFUNCTION("""COMPUTED_VALUE"""),0.0)</f>
        <v>0</v>
      </c>
      <c r="R128" s="45" t="str">
        <f>IFERROR(__xludf.DUMMYFUNCTION("""COMPUTED_VALUE"""),"SELECCIONADA")</f>
        <v>SELECCIONADA</v>
      </c>
      <c r="S128" s="38">
        <f>IFERROR(__xludf.DUMMYFUNCTION("""COMPUTED_VALUE"""),43252.0)</f>
        <v>43252</v>
      </c>
      <c r="U128" t="str">
        <f>IFERROR(__xludf.DUMMYFUNCTION("""COMPUTED_VALUE"""),"JOHANNA SANDOVAL PEREZ")</f>
        <v>JOHANNA SANDOVAL PEREZ</v>
      </c>
      <c r="V128" t="str">
        <f>IFERROR(__xludf.DUMMYFUNCTION("""COMPUTED_VALUE"""),"13031839-8")</f>
        <v>13031839-8</v>
      </c>
      <c r="W128" t="str">
        <f>IFERROR(__xludf.DUMMYFUNCTION("""COMPUTED_VALUE"""),"SI")</f>
        <v>SI</v>
      </c>
      <c r="X128" t="str">
        <f>IFERROR(__xludf.DUMMYFUNCTION("""COMPUTED_VALUE"""),"Trabajo en Equipo")</f>
        <v>Trabajo en Equipo</v>
      </c>
      <c r="AA128" s="38">
        <f>IFERROR(__xludf.DUMMYFUNCTION("""COMPUTED_VALUE"""),43182.0)</f>
        <v>43182</v>
      </c>
      <c r="AB128" s="38">
        <f>IFERROR(__xludf.DUMMYFUNCTION("""COMPUTED_VALUE"""),43189.0)</f>
        <v>43189</v>
      </c>
      <c r="AH128" t="str">
        <f>IFERROR(__xludf.DUMMYFUNCTION("""COMPUTED_VALUE"""),"PROCESO DE SELECCIÓN")</f>
        <v>PROCESO DE SELECCIÓN</v>
      </c>
      <c r="AI128" t="str">
        <f>IFERROR(__xludf.DUMMYFUNCTION("""COMPUTED_VALUE"""),"MARSCHHAUSEN OGALDE MARIO")</f>
        <v>MARSCHHAUSEN OGALDE MARIO</v>
      </c>
      <c r="AK128" t="str">
        <f>IFERROR(__xludf.DUMMYFUNCTION("""COMPUTED_VALUE"""),"E")</f>
        <v>E</v>
      </c>
      <c r="AL128">
        <f>IFERROR(__xludf.DUMMYFUNCTION("""COMPUTED_VALUE"""),46.0)</f>
        <v>46</v>
      </c>
      <c r="AM128">
        <f>IFERROR(__xludf.DUMMYFUNCTION("""COMPUTED_VALUE"""),2018.0)</f>
        <v>2018</v>
      </c>
    </row>
    <row r="129">
      <c r="A129">
        <f>IFERROR(__xludf.DUMMYFUNCTION("""COMPUTED_VALUE"""),1.7014369E7)</f>
        <v>17014369</v>
      </c>
      <c r="B129">
        <f>IFERROR(__xludf.DUMMYFUNCTION("""COMPUTED_VALUE"""),31.0)</f>
        <v>31</v>
      </c>
      <c r="C129" t="str">
        <f>IFERROR(__xludf.DUMMYFUNCTION("""COMPUTED_VALUE"""),"S/F")</f>
        <v>S/F</v>
      </c>
      <c r="D129" t="str">
        <f>IFERROR(__xludf.DUMMYFUNCTION("""COMPUTED_VALUE"""),"INGRESAR CENTRO DE COSTO A LA DERECHA")</f>
        <v>INGRESAR CENTRO DE COSTO A LA DERECHA</v>
      </c>
      <c r="E129" t="str">
        <f>IFERROR(__xludf.DUMMYFUNCTION("""COMPUTED_VALUE"""),"VR. DE POSTGRADO")</f>
        <v>VR. DE POSTGRADO</v>
      </c>
      <c r="F129" t="str">
        <f>IFERROR(__xludf.DUMMYFUNCTION("""COMPUTED_VALUE"""),"Analista de Gestión I")</f>
        <v>Analista de Gestión I</v>
      </c>
      <c r="G129" t="str">
        <f>IFERROR(__xludf.DUMMYFUNCTION("""COMPUTED_VALUE"""),"ANALISTA DE GESTION I")</f>
        <v>ANALISTA DE GESTION I</v>
      </c>
      <c r="H129">
        <f>IFERROR(__xludf.DUMMYFUNCTION("""COMPUTED_VALUE"""),10.0)</f>
        <v>10</v>
      </c>
      <c r="I129" t="str">
        <f>IFERROR(__xludf.DUMMYFUNCTION("""COMPUTED_VALUE"""),"Jornada Completa")</f>
        <v>Jornada Completa</v>
      </c>
      <c r="J129" t="str">
        <f>IFERROR(__xludf.DUMMYFUNCTION("""COMPUTED_VALUE"""),"A CONTRATA")</f>
        <v>A CONTRATA</v>
      </c>
      <c r="K129" t="str">
        <f>IFERROR(__xludf.DUMMYFUNCTION("""COMPUTED_VALUE"""),"PROFESIONAL")</f>
        <v>PROFESIONAL</v>
      </c>
      <c r="L129" t="str">
        <f>IFERROR(__xludf.DUMMYFUNCTION("""COMPUTED_VALUE"""),"INTERNO")</f>
        <v>INTERNO</v>
      </c>
      <c r="M129">
        <f>IFERROR(__xludf.DUMMYFUNCTION("""COMPUTED_VALUE"""),4.0)</f>
        <v>4</v>
      </c>
      <c r="N129" t="str">
        <f>IFERROR(__xludf.DUMMYFUNCTION("""COMPUTED_VALUE"""),"EXTERNO")</f>
        <v>EXTERNO</v>
      </c>
      <c r="O129">
        <f>IFERROR(__xludf.DUMMYFUNCTION("""COMPUTED_VALUE"""),26.0)</f>
        <v>26</v>
      </c>
      <c r="P129">
        <f>IFERROR(__xludf.DUMMYFUNCTION("""COMPUTED_VALUE"""),2.0)</f>
        <v>2</v>
      </c>
      <c r="Q129">
        <f>IFERROR(__xludf.DUMMYFUNCTION("""COMPUTED_VALUE"""),0.0)</f>
        <v>0</v>
      </c>
      <c r="R129" s="45" t="str">
        <f>IFERROR(__xludf.DUMMYFUNCTION("""COMPUTED_VALUE"""),"SELECCIONADO")</f>
        <v>SELECCIONADO</v>
      </c>
      <c r="S129" s="38">
        <f>IFERROR(__xludf.DUMMYFUNCTION("""COMPUTED_VALUE"""),43263.0)</f>
        <v>43263</v>
      </c>
      <c r="U129" t="str">
        <f>IFERROR(__xludf.DUMMYFUNCTION("""COMPUTED_VALUE"""),"DAMIAN MANSILLA NUÑEZ")</f>
        <v>DAMIAN MANSILLA NUÑEZ</v>
      </c>
      <c r="V129" t="str">
        <f>IFERROR(__xludf.DUMMYFUNCTION("""COMPUTED_VALUE"""),"17014369-8")</f>
        <v>17014369-8</v>
      </c>
      <c r="W129" t="str">
        <f>IFERROR(__xludf.DUMMYFUNCTION("""COMPUTED_VALUE"""),"SI")</f>
        <v>SI</v>
      </c>
      <c r="X129" t="str">
        <f>IFERROR(__xludf.DUMMYFUNCTION("""COMPUTED_VALUE"""),"Pensamiento Analitico")</f>
        <v>Pensamiento Analitico</v>
      </c>
      <c r="AA129" s="38">
        <f>IFERROR(__xludf.DUMMYFUNCTION("""COMPUTED_VALUE"""),43200.0)</f>
        <v>43200</v>
      </c>
      <c r="AB129" s="38">
        <f>IFERROR(__xludf.DUMMYFUNCTION("""COMPUTED_VALUE"""),43207.0)</f>
        <v>43207</v>
      </c>
      <c r="AH129" t="str">
        <f>IFERROR(__xludf.DUMMYFUNCTION("""COMPUTED_VALUE"""),"PROCESO DE SELECCIÓN")</f>
        <v>PROCESO DE SELECCIÓN</v>
      </c>
      <c r="AI129" t="str">
        <f>IFERROR(__xludf.DUMMYFUNCTION("""COMPUTED_VALUE"""),"-")</f>
        <v>-</v>
      </c>
      <c r="AK129" t="str">
        <f>IFERROR(__xludf.DUMMYFUNCTION("""COMPUTED_VALUE"""),"E")</f>
        <v>E</v>
      </c>
      <c r="AL129">
        <f>IFERROR(__xludf.DUMMYFUNCTION("""COMPUTED_VALUE"""),41.0)</f>
        <v>41</v>
      </c>
      <c r="AM129">
        <f>IFERROR(__xludf.DUMMYFUNCTION("""COMPUTED_VALUE"""),2018.0)</f>
        <v>2018</v>
      </c>
    </row>
    <row r="130">
      <c r="A130">
        <f>IFERROR(__xludf.DUMMYFUNCTION("""COMPUTED_VALUE"""),1.116727E7)</f>
        <v>11167270</v>
      </c>
      <c r="B130">
        <f>IFERROR(__xludf.DUMMYFUNCTION("""COMPUTED_VALUE"""),32.0)</f>
        <v>32</v>
      </c>
      <c r="D130" t="str">
        <f>IFERROR(__xludf.DUMMYFUNCTION("""COMPUTED_VALUE"""),"INGRESAR CENTRO DE COSTO A LA DERECHA")</f>
        <v>INGRESAR CENTRO DE COSTO A LA DERECHA</v>
      </c>
      <c r="E130" t="str">
        <f>IFERROR(__xludf.DUMMYFUNCTION("""COMPUTED_VALUE"""),"VR. ACADEMICA")</f>
        <v>VR. ACADEMICA</v>
      </c>
      <c r="F130" t="str">
        <f>IFERROR(__xludf.DUMMYFUNCTION("""COMPUTED_VALUE"""),"Auxiliar de Servicios")</f>
        <v>Auxiliar de Servicios</v>
      </c>
      <c r="G130" t="str">
        <f>IFERROR(__xludf.DUMMYFUNCTION("""COMPUTED_VALUE"""),"AUXILIAR DE SERVICIO")</f>
        <v>AUXILIAR DE SERVICIO</v>
      </c>
      <c r="H130">
        <f>IFERROR(__xludf.DUMMYFUNCTION("""COMPUTED_VALUE"""),23.0)</f>
        <v>23</v>
      </c>
      <c r="I130" t="str">
        <f>IFERROR(__xludf.DUMMYFUNCTION("""COMPUTED_VALUE"""),"Jornada Completa")</f>
        <v>Jornada Completa</v>
      </c>
      <c r="J130" t="str">
        <f>IFERROR(__xludf.DUMMYFUNCTION("""COMPUTED_VALUE"""),"A CONTRATA")</f>
        <v>A CONTRATA</v>
      </c>
      <c r="K130" t="str">
        <f>IFERROR(__xludf.DUMMYFUNCTION("""COMPUTED_VALUE"""),"AUXILIAR")</f>
        <v>AUXILIAR</v>
      </c>
      <c r="L130" t="str">
        <f>IFERROR(__xludf.DUMMYFUNCTION("""COMPUTED_VALUE"""),"NO")</f>
        <v>NO</v>
      </c>
      <c r="M130">
        <f>IFERROR(__xludf.DUMMYFUNCTION("""COMPUTED_VALUE"""),0.0)</f>
        <v>0</v>
      </c>
      <c r="N130" t="str">
        <f>IFERROR(__xludf.DUMMYFUNCTION("""COMPUTED_VALUE"""),"EXTERNO")</f>
        <v>EXTERNO</v>
      </c>
      <c r="O130">
        <f>IFERROR(__xludf.DUMMYFUNCTION("""COMPUTED_VALUE"""),3.0)</f>
        <v>3</v>
      </c>
      <c r="P130">
        <f>IFERROR(__xludf.DUMMYFUNCTION("""COMPUTED_VALUE"""),1.0)</f>
        <v>1</v>
      </c>
      <c r="Q130">
        <f>IFERROR(__xludf.DUMMYFUNCTION("""COMPUTED_VALUE"""),4.0)</f>
        <v>4</v>
      </c>
      <c r="R130" s="45" t="str">
        <f>IFERROR(__xludf.DUMMYFUNCTION("""COMPUTED_VALUE"""),"SELECCIONADO")</f>
        <v>SELECCIONADO</v>
      </c>
      <c r="S130" s="38">
        <f>IFERROR(__xludf.DUMMYFUNCTION("""COMPUTED_VALUE"""),43251.0)</f>
        <v>43251</v>
      </c>
      <c r="U130" t="str">
        <f>IFERROR(__xludf.DUMMYFUNCTION("""COMPUTED_VALUE"""),"DOMINGO PEREZ HERRERA")</f>
        <v>DOMINGO PEREZ HERRERA</v>
      </c>
      <c r="V130" t="str">
        <f>IFERROR(__xludf.DUMMYFUNCTION("""COMPUTED_VALUE"""),"11167270-9")</f>
        <v>11167270-9</v>
      </c>
      <c r="W130" t="str">
        <f>IFERROR(__xludf.DUMMYFUNCTION("""COMPUTED_VALUE"""),"NO")</f>
        <v>NO</v>
      </c>
      <c r="AA130" s="38">
        <f>IFERROR(__xludf.DUMMYFUNCTION("""COMPUTED_VALUE"""),43210.0)</f>
        <v>43210</v>
      </c>
      <c r="AB130" s="38">
        <f>IFERROR(__xludf.DUMMYFUNCTION("""COMPUTED_VALUE"""),43217.0)</f>
        <v>43217</v>
      </c>
      <c r="AH130" t="str">
        <f>IFERROR(__xludf.DUMMYFUNCTION("""COMPUTED_VALUE"""),"PROCESO DE SELECCIÓN")</f>
        <v>PROCESO DE SELECCIÓN</v>
      </c>
      <c r="AK130" t="str">
        <f>IFERROR(__xludf.DUMMYFUNCTION("""COMPUTED_VALUE"""),"E")</f>
        <v>E</v>
      </c>
      <c r="AL130">
        <f>IFERROR(__xludf.DUMMYFUNCTION("""COMPUTED_VALUE"""),25.0)</f>
        <v>25</v>
      </c>
      <c r="AM130">
        <f>IFERROR(__xludf.DUMMYFUNCTION("""COMPUTED_VALUE"""),2018.0)</f>
        <v>2018</v>
      </c>
    </row>
    <row r="131">
      <c r="A131">
        <f>IFERROR(__xludf.DUMMYFUNCTION("""COMPUTED_VALUE"""),1.7879126E7)</f>
        <v>17879126</v>
      </c>
      <c r="B131">
        <f>IFERROR(__xludf.DUMMYFUNCTION("""COMPUTED_VALUE"""),33.0)</f>
        <v>33</v>
      </c>
      <c r="C131" t="str">
        <f>IFERROR(__xludf.DUMMYFUNCTION("""COMPUTED_VALUE"""),"A208")</f>
        <v>A208</v>
      </c>
      <c r="D131" t="str">
        <f>IFERROR(__xludf.DUMMYFUNCTION("""COMPUTED_VALUE"""),"INGRESAR CENTRO DE COSTO A LA DERECHA")</f>
        <v>INGRESAR CENTRO DE COSTO A LA DERECHA</v>
      </c>
      <c r="E131" t="str">
        <f>IFERROR(__xludf.DUMMYFUNCTION("""COMPUTED_VALUE"""),"VR. DE VINCULACION CON EL MEDIO")</f>
        <v>VR. DE VINCULACION CON EL MEDIO</v>
      </c>
      <c r="F131" t="str">
        <f>IFERROR(__xludf.DUMMYFUNCTION("""COMPUTED_VALUE"""),"Analista de Gestión Administrativa")</f>
        <v>Analista de Gestión Administrativa</v>
      </c>
      <c r="G131" t="str">
        <f>IFERROR(__xludf.DUMMYFUNCTION("""COMPUTED_VALUE"""),"ANALISTA DE GESTION ADMINISTRATIVA")</f>
        <v>ANALISTA DE GESTION ADMINISTRATIVA</v>
      </c>
      <c r="H131">
        <f>IFERROR(__xludf.DUMMYFUNCTION("""COMPUTED_VALUE"""),14.0)</f>
        <v>14</v>
      </c>
      <c r="I131" t="str">
        <f>IFERROR(__xludf.DUMMYFUNCTION("""COMPUTED_VALUE"""),"Jornada Completa")</f>
        <v>Jornada Completa</v>
      </c>
      <c r="J131" t="str">
        <f>IFERROR(__xludf.DUMMYFUNCTION("""COMPUTED_VALUE"""),"A CONTRATA")</f>
        <v>A CONTRATA</v>
      </c>
      <c r="K131" t="str">
        <f>IFERROR(__xludf.DUMMYFUNCTION("""COMPUTED_VALUE"""),"PROFESIONAL")</f>
        <v>PROFESIONAL</v>
      </c>
      <c r="L131" t="str">
        <f>IFERROR(__xludf.DUMMYFUNCTION("""COMPUTED_VALUE"""),"INTERNO")</f>
        <v>INTERNO</v>
      </c>
      <c r="M131">
        <f>IFERROR(__xludf.DUMMYFUNCTION("""COMPUTED_VALUE"""),2.0)</f>
        <v>2</v>
      </c>
      <c r="N131" t="str">
        <f>IFERROR(__xludf.DUMMYFUNCTION("""COMPUTED_VALUE"""),"EXTERNO")</f>
        <v>EXTERNO</v>
      </c>
      <c r="O131">
        <f>IFERROR(__xludf.DUMMYFUNCTION("""COMPUTED_VALUE"""),10.0)</f>
        <v>10</v>
      </c>
      <c r="P131">
        <f>IFERROR(__xludf.DUMMYFUNCTION("""COMPUTED_VALUE"""),4.0)</f>
        <v>4</v>
      </c>
      <c r="Q131">
        <f>IFERROR(__xludf.DUMMYFUNCTION("""COMPUTED_VALUE"""),0.0)</f>
        <v>0</v>
      </c>
      <c r="R131" s="45" t="str">
        <f>IFERROR(__xludf.DUMMYFUNCTION("""COMPUTED_VALUE"""),"SELECCIONADA")</f>
        <v>SELECCIONADA</v>
      </c>
      <c r="S131" s="38">
        <f>IFERROR(__xludf.DUMMYFUNCTION("""COMPUTED_VALUE"""),43262.0)</f>
        <v>43262</v>
      </c>
      <c r="U131" t="str">
        <f>IFERROR(__xludf.DUMMYFUNCTION("""COMPUTED_VALUE"""),"MONICA CORTES FLORES")</f>
        <v>MONICA CORTES FLORES</v>
      </c>
      <c r="V131" t="str">
        <f>IFERROR(__xludf.DUMMYFUNCTION("""COMPUTED_VALUE"""),"17879126-5")</f>
        <v>17879126-5</v>
      </c>
      <c r="W131" t="str">
        <f>IFERROR(__xludf.DUMMYFUNCTION("""COMPUTED_VALUE"""),"NO")</f>
        <v>NO</v>
      </c>
      <c r="AA131" s="38">
        <f>IFERROR(__xludf.DUMMYFUNCTION("""COMPUTED_VALUE"""),43230.0)</f>
        <v>43230</v>
      </c>
      <c r="AB131" s="38">
        <f>IFERROR(__xludf.DUMMYFUNCTION("""COMPUTED_VALUE"""),43237.0)</f>
        <v>43237</v>
      </c>
      <c r="AH131" t="str">
        <f>IFERROR(__xludf.DUMMYFUNCTION("""COMPUTED_VALUE"""),"PROCESO DE SELECCIÓN")</f>
        <v>PROCESO DE SELECCIÓN</v>
      </c>
      <c r="AI131" t="str">
        <f>IFERROR(__xludf.DUMMYFUNCTION("""COMPUTED_VALUE""")," ALBORNOZ SAN MARTIN GABRIELA")</f>
        <v> ALBORNOZ SAN MARTIN GABRIELA</v>
      </c>
      <c r="AK131" t="str">
        <f>IFERROR(__xludf.DUMMYFUNCTION("""COMPUTED_VALUE"""),"E")</f>
        <v>E</v>
      </c>
      <c r="AL131">
        <f>IFERROR(__xludf.DUMMYFUNCTION("""COMPUTED_VALUE"""),18.0)</f>
        <v>18</v>
      </c>
      <c r="AM131">
        <f>IFERROR(__xludf.DUMMYFUNCTION("""COMPUTED_VALUE"""),2018.0)</f>
        <v>2018</v>
      </c>
    </row>
    <row r="132">
      <c r="A132">
        <f>IFERROR(__xludf.DUMMYFUNCTION("""COMPUTED_VALUE"""),1.7737715E7)</f>
        <v>17737715</v>
      </c>
      <c r="B132">
        <f>IFERROR(__xludf.DUMMYFUNCTION("""COMPUTED_VALUE"""),34.0)</f>
        <v>34</v>
      </c>
      <c r="D132" t="str">
        <f>IFERROR(__xludf.DUMMYFUNCTION("""COMPUTED_VALUE"""),"INGRESAR CENTRO DE COSTO A LA DERECHA")</f>
        <v>INGRESAR CENTRO DE COSTO A LA DERECHA</v>
      </c>
      <c r="E132" t="str">
        <f>IFERROR(__xludf.DUMMYFUNCTION("""COMPUTED_VALUE"""),"DPTO. DE RELAC. INTERUNIV E INTERN")</f>
        <v>DPTO. DE RELAC. INTERUNIV E INTERN</v>
      </c>
      <c r="F132" t="str">
        <f>IFERROR(__xludf.DUMMYFUNCTION("""COMPUTED_VALUE"""),"Secretario(a) C")</f>
        <v>Secretario(a) C</v>
      </c>
      <c r="G132" t="str">
        <f>IFERROR(__xludf.DUMMYFUNCTION("""COMPUTED_VALUE"""),"SECRETARIO C")</f>
        <v>SECRETARIO C</v>
      </c>
      <c r="H132">
        <f>IFERROR(__xludf.DUMMYFUNCTION("""COMPUTED_VALUE"""),20.0)</f>
        <v>20</v>
      </c>
      <c r="I132" t="str">
        <f>IFERROR(__xludf.DUMMYFUNCTION("""COMPUTED_VALUE"""),"Jornada Completa")</f>
        <v>Jornada Completa</v>
      </c>
      <c r="J132" t="str">
        <f>IFERROR(__xludf.DUMMYFUNCTION("""COMPUTED_VALUE"""),"A CONTRATA")</f>
        <v>A CONTRATA</v>
      </c>
      <c r="K132" t="str">
        <f>IFERROR(__xludf.DUMMYFUNCTION("""COMPUTED_VALUE"""),"ADMINISTRATIVO")</f>
        <v>ADMINISTRATIVO</v>
      </c>
      <c r="L132" t="str">
        <f>IFERROR(__xludf.DUMMYFUNCTION("""COMPUTED_VALUE"""),"INTERNO")</f>
        <v>INTERNO</v>
      </c>
      <c r="M132">
        <f>IFERROR(__xludf.DUMMYFUNCTION("""COMPUTED_VALUE"""),0.0)</f>
        <v>0</v>
      </c>
      <c r="N132" t="str">
        <f>IFERROR(__xludf.DUMMYFUNCTION("""COMPUTED_VALUE"""),"EXTERNO")</f>
        <v>EXTERNO</v>
      </c>
      <c r="O132">
        <f>IFERROR(__xludf.DUMMYFUNCTION("""COMPUTED_VALUE"""),6.0)</f>
        <v>6</v>
      </c>
      <c r="P132">
        <f>IFERROR(__xludf.DUMMYFUNCTION("""COMPUTED_VALUE"""),2.0)</f>
        <v>2</v>
      </c>
      <c r="Q132">
        <f>IFERROR(__xludf.DUMMYFUNCTION("""COMPUTED_VALUE"""),1.0)</f>
        <v>1</v>
      </c>
      <c r="R132" s="45" t="str">
        <f>IFERROR(__xludf.DUMMYFUNCTION("""COMPUTED_VALUE"""),"SELECCIONADA")</f>
        <v>SELECCIONADA</v>
      </c>
      <c r="S132" s="38">
        <f>IFERROR(__xludf.DUMMYFUNCTION("""COMPUTED_VALUE"""),43266.0)</f>
        <v>43266</v>
      </c>
      <c r="U132" t="str">
        <f>IFERROR(__xludf.DUMMYFUNCTION("""COMPUTED_VALUE"""),"ROXANA MIRANDA AGUILERA")</f>
        <v>ROXANA MIRANDA AGUILERA</v>
      </c>
      <c r="V132" t="str">
        <f>IFERROR(__xludf.DUMMYFUNCTION("""COMPUTED_VALUE"""),"17737715-5")</f>
        <v>17737715-5</v>
      </c>
      <c r="W132" t="str">
        <f>IFERROR(__xludf.DUMMYFUNCTION("""COMPUTED_VALUE"""),"NO")</f>
        <v>NO</v>
      </c>
      <c r="AA132" s="38">
        <f>IFERROR(__xludf.DUMMYFUNCTION("""COMPUTED_VALUE"""),43173.0)</f>
        <v>43173</v>
      </c>
      <c r="AB132" s="38">
        <f>IFERROR(__xludf.DUMMYFUNCTION("""COMPUTED_VALUE"""),43179.0)</f>
        <v>43179</v>
      </c>
      <c r="AH132" t="str">
        <f>IFERROR(__xludf.DUMMYFUNCTION("""COMPUTED_VALUE"""),"PROCESO DE SELECCIÓN")</f>
        <v>PROCESO DE SELECCIÓN</v>
      </c>
      <c r="AI132" t="str">
        <f>IFERROR(__xludf.DUMMYFUNCTION("""COMPUTED_VALUE"""),"FLORES HUICHAHUALA MAGALY ")</f>
        <v>FLORES HUICHAHUALA MAGALY </v>
      </c>
      <c r="AK132" t="str">
        <f>IFERROR(__xludf.DUMMYFUNCTION("""COMPUTED_VALUE"""),"C")</f>
        <v>C</v>
      </c>
      <c r="AL132">
        <f>IFERROR(__xludf.DUMMYFUNCTION("""COMPUTED_VALUE"""),64.0)</f>
        <v>64</v>
      </c>
      <c r="AM132">
        <f>IFERROR(__xludf.DUMMYFUNCTION("""COMPUTED_VALUE"""),2018.0)</f>
        <v>2018</v>
      </c>
    </row>
    <row r="133">
      <c r="A133">
        <f>IFERROR(__xludf.DUMMYFUNCTION("""COMPUTED_VALUE"""),1.7484138E7)</f>
        <v>17484138</v>
      </c>
      <c r="B133">
        <f>IFERROR(__xludf.DUMMYFUNCTION("""COMPUTED_VALUE"""),35.0)</f>
        <v>35</v>
      </c>
      <c r="C133" t="str">
        <f>IFERROR(__xludf.DUMMYFUNCTION("""COMPUTED_VALUE"""),"S/F")</f>
        <v>S/F</v>
      </c>
      <c r="D133" t="str">
        <f>IFERROR(__xludf.DUMMYFUNCTION("""COMPUTED_VALUE"""),"INGRESAR CENTRO DE COSTO A LA DERECHA")</f>
        <v>INGRESAR CENTRO DE COSTO A LA DERECHA</v>
      </c>
      <c r="E133" t="str">
        <f>IFERROR(__xludf.DUMMYFUNCTION("""COMPUTED_VALUE"""),"VR. DE POSTGRADO")</f>
        <v>VR. DE POSTGRADO</v>
      </c>
      <c r="F133" t="str">
        <f>IFERROR(__xludf.DUMMYFUNCTION("""COMPUTED_VALUE"""),"Analista de Gestión I")</f>
        <v>Analista de Gestión I</v>
      </c>
      <c r="G133" t="str">
        <f>IFERROR(__xludf.DUMMYFUNCTION("""COMPUTED_VALUE"""),"ANALISTA DE GESTION I")</f>
        <v>ANALISTA DE GESTION I</v>
      </c>
      <c r="H133">
        <f>IFERROR(__xludf.DUMMYFUNCTION("""COMPUTED_VALUE"""),10.0)</f>
        <v>10</v>
      </c>
      <c r="I133" t="str">
        <f>IFERROR(__xludf.DUMMYFUNCTION("""COMPUTED_VALUE"""),"Jornada Completa")</f>
        <v>Jornada Completa</v>
      </c>
      <c r="J133" t="str">
        <f>IFERROR(__xludf.DUMMYFUNCTION("""COMPUTED_VALUE"""),"A CONTRATA")</f>
        <v>A CONTRATA</v>
      </c>
      <c r="K133" t="str">
        <f>IFERROR(__xludf.DUMMYFUNCTION("""COMPUTED_VALUE"""),"PROFESIONAL")</f>
        <v>PROFESIONAL</v>
      </c>
      <c r="L133" t="str">
        <f>IFERROR(__xludf.DUMMYFUNCTION("""COMPUTED_VALUE"""),"INTERNO")</f>
        <v>INTERNO</v>
      </c>
      <c r="M133">
        <f>IFERROR(__xludf.DUMMYFUNCTION("""COMPUTED_VALUE"""),4.0)</f>
        <v>4</v>
      </c>
      <c r="N133" t="str">
        <f>IFERROR(__xludf.DUMMYFUNCTION("""COMPUTED_VALUE"""),"EXTERNO")</f>
        <v>EXTERNO</v>
      </c>
      <c r="O133">
        <f>IFERROR(__xludf.DUMMYFUNCTION("""COMPUTED_VALUE"""),26.0)</f>
        <v>26</v>
      </c>
      <c r="P133">
        <f>IFERROR(__xludf.DUMMYFUNCTION("""COMPUTED_VALUE"""),2.0)</f>
        <v>2</v>
      </c>
      <c r="Q133">
        <f>IFERROR(__xludf.DUMMYFUNCTION("""COMPUTED_VALUE"""),0.0)</f>
        <v>0</v>
      </c>
      <c r="R133" s="45" t="str">
        <f>IFERROR(__xludf.DUMMYFUNCTION("""COMPUTED_VALUE"""),"SELECCIONADO")</f>
        <v>SELECCIONADO</v>
      </c>
      <c r="S133" s="38">
        <f>IFERROR(__xludf.DUMMYFUNCTION("""COMPUTED_VALUE"""),43282.0)</f>
        <v>43282</v>
      </c>
      <c r="U133" t="str">
        <f>IFERROR(__xludf.DUMMYFUNCTION("""COMPUTED_VALUE"""),"ALFREDO MUÑOZ ALARCON")</f>
        <v>ALFREDO MUÑOZ ALARCON</v>
      </c>
      <c r="V133" t="str">
        <f>IFERROR(__xludf.DUMMYFUNCTION("""COMPUTED_VALUE"""),"17484138-1")</f>
        <v>17484138-1</v>
      </c>
      <c r="W133" t="str">
        <f>IFERROR(__xludf.DUMMYFUNCTION("""COMPUTED_VALUE"""),"SI")</f>
        <v>SI</v>
      </c>
      <c r="X133" t="str">
        <f>IFERROR(__xludf.DUMMYFUNCTION("""COMPUTED_VALUE"""),"Capacidad de Planificacion y Organizacion")</f>
        <v>Capacidad de Planificacion y Organizacion</v>
      </c>
      <c r="AA133" s="38">
        <f>IFERROR(__xludf.DUMMYFUNCTION("""COMPUTED_VALUE"""),43200.0)</f>
        <v>43200</v>
      </c>
      <c r="AB133" s="38">
        <f>IFERROR(__xludf.DUMMYFUNCTION("""COMPUTED_VALUE"""),43207.0)</f>
        <v>43207</v>
      </c>
      <c r="AH133" t="str">
        <f>IFERROR(__xludf.DUMMYFUNCTION("""COMPUTED_VALUE"""),"PROCESO DE SELECCIÓN")</f>
        <v>PROCESO DE SELECCIÓN</v>
      </c>
      <c r="AI133" t="str">
        <f>IFERROR(__xludf.DUMMYFUNCTION("""COMPUTED_VALUE"""),"-")</f>
        <v>-</v>
      </c>
      <c r="AK133" t="str">
        <f>IFERROR(__xludf.DUMMYFUNCTION("""COMPUTED_VALUE"""),"P")</f>
        <v>P</v>
      </c>
      <c r="AL133">
        <f>IFERROR(__xludf.DUMMYFUNCTION("""COMPUTED_VALUE"""),54.0)</f>
        <v>54</v>
      </c>
      <c r="AM133">
        <f>IFERROR(__xludf.DUMMYFUNCTION("""COMPUTED_VALUE"""),2018.0)</f>
        <v>2018</v>
      </c>
    </row>
    <row r="134">
      <c r="A134">
        <f>IFERROR(__xludf.DUMMYFUNCTION("""COMPUTED_VALUE"""),1.555009E7)</f>
        <v>15550090</v>
      </c>
      <c r="B134">
        <f>IFERROR(__xludf.DUMMYFUNCTION("""COMPUTED_VALUE"""),36.0)</f>
        <v>36</v>
      </c>
      <c r="D134" t="str">
        <f>IFERROR(__xludf.DUMMYFUNCTION("""COMPUTED_VALUE"""),"INGRESAR CENTRO DE COSTO A LA DERECHA")</f>
        <v>INGRESAR CENTRO DE COSTO A LA DERECHA</v>
      </c>
      <c r="E134" t="str">
        <f>IFERROR(__xludf.DUMMYFUNCTION("""COMPUTED_VALUE"""),"DIR. DE ASISTENCIA JURIDICA")</f>
        <v>DIR. DE ASISTENCIA JURIDICA</v>
      </c>
      <c r="F134" t="str">
        <f>IFERROR(__xludf.DUMMYFUNCTION("""COMPUTED_VALUE"""),"Abogado(a) Dirección Juridica")</f>
        <v>Abogado(a) Dirección Juridica</v>
      </c>
      <c r="G134" t="str">
        <f>IFERROR(__xludf.DUMMYFUNCTION("""COMPUTED_VALUE"""),"ABOGADO DIRECCIÓN JURÍDICA")</f>
        <v>ABOGADO DIRECCIÓN JURÍDICA</v>
      </c>
      <c r="H134">
        <f>IFERROR(__xludf.DUMMYFUNCTION("""COMPUTED_VALUE"""),8.0)</f>
        <v>8</v>
      </c>
      <c r="I134" t="str">
        <f>IFERROR(__xludf.DUMMYFUNCTION("""COMPUTED_VALUE"""),"Jornada Completa")</f>
        <v>Jornada Completa</v>
      </c>
      <c r="J134" t="str">
        <f>IFERROR(__xludf.DUMMYFUNCTION("""COMPUTED_VALUE"""),"A CONTRATA")</f>
        <v>A CONTRATA</v>
      </c>
      <c r="K134" t="str">
        <f>IFERROR(__xludf.DUMMYFUNCTION("""COMPUTED_VALUE"""),"PROFESIONAL")</f>
        <v>PROFESIONAL</v>
      </c>
      <c r="L134" t="str">
        <f>IFERROR(__xludf.DUMMYFUNCTION("""COMPUTED_VALUE"""),"NO")</f>
        <v>NO</v>
      </c>
      <c r="M134">
        <f>IFERROR(__xludf.DUMMYFUNCTION("""COMPUTED_VALUE"""),0.0)</f>
        <v>0</v>
      </c>
      <c r="N134" t="str">
        <f>IFERROR(__xludf.DUMMYFUNCTION("""COMPUTED_VALUE"""),"EXTERNO")</f>
        <v>EXTERNO</v>
      </c>
      <c r="O134">
        <f>IFERROR(__xludf.DUMMYFUNCTION("""COMPUTED_VALUE"""),52.0)</f>
        <v>52</v>
      </c>
      <c r="P134">
        <f>IFERROR(__xludf.DUMMYFUNCTION("""COMPUTED_VALUE"""),1.0)</f>
        <v>1</v>
      </c>
      <c r="Q134">
        <f>IFERROR(__xludf.DUMMYFUNCTION("""COMPUTED_VALUE"""),0.0)</f>
        <v>0</v>
      </c>
      <c r="R134" s="45" t="str">
        <f>IFERROR(__xludf.DUMMYFUNCTION("""COMPUTED_VALUE"""),"SELECCIONADO")</f>
        <v>SELECCIONADO</v>
      </c>
      <c r="S134" s="38">
        <f>IFERROR(__xludf.DUMMYFUNCTION("""COMPUTED_VALUE"""),43269.0)</f>
        <v>43269</v>
      </c>
      <c r="U134" t="str">
        <f>IFERROR(__xludf.DUMMYFUNCTION("""COMPUTED_VALUE"""),"STEPHAN ANDEREYA ESPINOSA")</f>
        <v>STEPHAN ANDEREYA ESPINOSA</v>
      </c>
      <c r="V134" t="str">
        <f>IFERROR(__xludf.DUMMYFUNCTION("""COMPUTED_VALUE"""),"15550090-5")</f>
        <v>15550090-5</v>
      </c>
      <c r="W134" t="str">
        <f>IFERROR(__xludf.DUMMYFUNCTION("""COMPUTED_VALUE"""),"NO")</f>
        <v>NO</v>
      </c>
      <c r="AA134" s="38">
        <f>IFERROR(__xludf.DUMMYFUNCTION("""COMPUTED_VALUE"""),43259.0)</f>
        <v>43259</v>
      </c>
      <c r="AB134" s="38">
        <f>IFERROR(__xludf.DUMMYFUNCTION("""COMPUTED_VALUE"""),43263.0)</f>
        <v>43263</v>
      </c>
      <c r="AH134" t="str">
        <f>IFERROR(__xludf.DUMMYFUNCTION("""COMPUTED_VALUE"""),"PROCESO DE SELECCIÓN")</f>
        <v>PROCESO DE SELECCIÓN</v>
      </c>
      <c r="AI134" t="str">
        <f>IFERROR(__xludf.DUMMYFUNCTION("""COMPUTED_VALUE"""),"- ")</f>
        <v>- </v>
      </c>
      <c r="AK134" t="str">
        <f>IFERROR(__xludf.DUMMYFUNCTION("""COMPUTED_VALUE"""),"E")</f>
        <v>E</v>
      </c>
      <c r="AL134">
        <f>IFERROR(__xludf.DUMMYFUNCTION("""COMPUTED_VALUE"""),5.0)</f>
        <v>5</v>
      </c>
      <c r="AM134">
        <f>IFERROR(__xludf.DUMMYFUNCTION("""COMPUTED_VALUE"""),2018.0)</f>
        <v>2018</v>
      </c>
    </row>
    <row r="135">
      <c r="A135">
        <f>IFERROR(__xludf.DUMMYFUNCTION("""COMPUTED_VALUE"""),1.5841378E7)</f>
        <v>15841378</v>
      </c>
      <c r="B135">
        <f>IFERROR(__xludf.DUMMYFUNCTION("""COMPUTED_VALUE"""),37.0)</f>
        <v>37</v>
      </c>
      <c r="C135" t="str">
        <f>IFERROR(__xludf.DUMMYFUNCTION("""COMPUTED_VALUE"""),"COMISION")</f>
        <v>COMISION</v>
      </c>
      <c r="D135" t="str">
        <f>IFERROR(__xludf.DUMMYFUNCTION("""COMPUTED_VALUE"""),"INGRESAR CENTRO DE COSTO A LA DERECHA")</f>
        <v>INGRESAR CENTRO DE COSTO A LA DERECHA</v>
      </c>
      <c r="E135" t="str">
        <f>IFERROR(__xludf.DUMMYFUNCTION("""COMPUTED_VALUE"""),"UNIDAD DE REGISTRO ACADEMICO Y CURRICULAR")</f>
        <v>UNIDAD DE REGISTRO ACADEMICO Y CURRICULAR</v>
      </c>
      <c r="F135" t="str">
        <f>IFERROR(__xludf.DUMMYFUNCTION("""COMPUTED_VALUE"""),"Analista de Base de Datos")</f>
        <v>Analista de Base de Datos</v>
      </c>
      <c r="G135" t="str">
        <f>IFERROR(__xludf.DUMMYFUNCTION("""COMPUTED_VALUE"""),"ANALISTA DE BASE DE DATOS")</f>
        <v>ANALISTA DE BASE DE DATOS</v>
      </c>
      <c r="H135">
        <f>IFERROR(__xludf.DUMMYFUNCTION("""COMPUTED_VALUE"""),13.0)</f>
        <v>13</v>
      </c>
      <c r="I135" t="str">
        <f>IFERROR(__xludf.DUMMYFUNCTION("""COMPUTED_VALUE"""),"Jornada Completa")</f>
        <v>Jornada Completa</v>
      </c>
      <c r="J135" t="str">
        <f>IFERROR(__xludf.DUMMYFUNCTION("""COMPUTED_VALUE"""),"A CONTRATA")</f>
        <v>A CONTRATA</v>
      </c>
      <c r="K135" t="str">
        <f>IFERROR(__xludf.DUMMYFUNCTION("""COMPUTED_VALUE"""),"PROFESIONAL")</f>
        <v>PROFESIONAL</v>
      </c>
      <c r="L135" t="str">
        <f>IFERROR(__xludf.DUMMYFUNCTION("""COMPUTED_VALUE"""),"INTERNO")</f>
        <v>INTERNO</v>
      </c>
      <c r="M135">
        <f>IFERROR(__xludf.DUMMYFUNCTION("""COMPUTED_VALUE"""),0.0)</f>
        <v>0</v>
      </c>
      <c r="N135" t="str">
        <f>IFERROR(__xludf.DUMMYFUNCTION("""COMPUTED_VALUE"""),"EXTERNO")</f>
        <v>EXTERNO</v>
      </c>
      <c r="O135">
        <f>IFERROR(__xludf.DUMMYFUNCTION("""COMPUTED_VALUE"""),7.0)</f>
        <v>7</v>
      </c>
      <c r="P135">
        <f>IFERROR(__xludf.DUMMYFUNCTION("""COMPUTED_VALUE"""),1.0)</f>
        <v>1</v>
      </c>
      <c r="Q135">
        <f>IFERROR(__xludf.DUMMYFUNCTION("""COMPUTED_VALUE"""),0.0)</f>
        <v>0</v>
      </c>
      <c r="R135" s="45" t="str">
        <f>IFERROR(__xludf.DUMMYFUNCTION("""COMPUTED_VALUE"""),"SELECCIONADO")</f>
        <v>SELECCIONADO</v>
      </c>
      <c r="S135" s="38">
        <f>IFERROR(__xludf.DUMMYFUNCTION("""COMPUTED_VALUE"""),43252.0)</f>
        <v>43252</v>
      </c>
      <c r="U135" t="str">
        <f>IFERROR(__xludf.DUMMYFUNCTION("""COMPUTED_VALUE"""),"FELIPE ARANCIBIA MIRANDA")</f>
        <v>FELIPE ARANCIBIA MIRANDA</v>
      </c>
      <c r="V135" t="str">
        <f>IFERROR(__xludf.DUMMYFUNCTION("""COMPUTED_VALUE"""),"15841378-7")</f>
        <v>15841378-7</v>
      </c>
      <c r="W135" t="str">
        <f>IFERROR(__xludf.DUMMYFUNCTION("""COMPUTED_VALUE"""),"NO")</f>
        <v>NO</v>
      </c>
      <c r="AA135" s="38">
        <f>IFERROR(__xludf.DUMMYFUNCTION("""COMPUTED_VALUE"""),43165.0)</f>
        <v>43165</v>
      </c>
      <c r="AB135" s="38">
        <f>IFERROR(__xludf.DUMMYFUNCTION("""COMPUTED_VALUE"""),43172.0)</f>
        <v>43172</v>
      </c>
      <c r="AH135" t="str">
        <f>IFERROR(__xludf.DUMMYFUNCTION("""COMPUTED_VALUE"""),"PROCESO DE SELECCIÓN")</f>
        <v>PROCESO DE SELECCIÓN</v>
      </c>
      <c r="AI135" t="str">
        <f>IFERROR(__xludf.DUMMYFUNCTION("""COMPUTED_VALUE"""),"- ")</f>
        <v>- </v>
      </c>
      <c r="AK135" t="str">
        <f>IFERROR(__xludf.DUMMYFUNCTION("""COMPUTED_VALUE"""),"E")</f>
        <v>E</v>
      </c>
      <c r="AL135">
        <f>IFERROR(__xludf.DUMMYFUNCTION("""COMPUTED_VALUE"""),59.0)</f>
        <v>59</v>
      </c>
      <c r="AM135">
        <f>IFERROR(__xludf.DUMMYFUNCTION("""COMPUTED_VALUE"""),2018.0)</f>
        <v>2018</v>
      </c>
    </row>
    <row r="136">
      <c r="A136">
        <f>IFERROR(__xludf.DUMMYFUNCTION("""COMPUTED_VALUE"""),1.5894218E7)</f>
        <v>15894218</v>
      </c>
      <c r="B136">
        <f>IFERROR(__xludf.DUMMYFUNCTION("""COMPUTED_VALUE"""),38.0)</f>
        <v>38</v>
      </c>
      <c r="C136" t="str">
        <f>IFERROR(__xludf.DUMMYFUNCTION("""COMPUTED_VALUE"""),"A191")</f>
        <v>A191</v>
      </c>
      <c r="D136" t="str">
        <f>IFERROR(__xludf.DUMMYFUNCTION("""COMPUTED_VALUE"""),"INGRESAR CENTRO DE COSTO A LA DERECHA")</f>
        <v>INGRESAR CENTRO DE COSTO A LA DERECHA</v>
      </c>
      <c r="E136" t="str">
        <f>IFERROR(__xludf.DUMMYFUNCTION("""COMPUTED_VALUE"""),"DPTO. DE INGENIERIA METALURGICA")</f>
        <v>DPTO. DE INGENIERIA METALURGICA</v>
      </c>
      <c r="F136" t="str">
        <f>IFERROR(__xludf.DUMMYFUNCTION("""COMPUTED_VALUE"""),"Encargado(a) de Laboratorio")</f>
        <v>Encargado(a) de Laboratorio</v>
      </c>
      <c r="G136" t="str">
        <f>IFERROR(__xludf.DUMMYFUNCTION("""COMPUTED_VALUE"""),"ENCARGADO DE LABORATORIO ( HIDROMETALURGIA)")</f>
        <v>ENCARGADO DE LABORATORIO ( HIDROMETALURGIA)</v>
      </c>
      <c r="H136">
        <f>IFERROR(__xludf.DUMMYFUNCTION("""COMPUTED_VALUE"""),13.0)</f>
        <v>13</v>
      </c>
      <c r="I136" t="str">
        <f>IFERROR(__xludf.DUMMYFUNCTION("""COMPUTED_VALUE"""),"Jornada Completa")</f>
        <v>Jornada Completa</v>
      </c>
      <c r="J136" t="str">
        <f>IFERROR(__xludf.DUMMYFUNCTION("""COMPUTED_VALUE"""),"A CONTRATA")</f>
        <v>A CONTRATA</v>
      </c>
      <c r="K136" t="str">
        <f>IFERROR(__xludf.DUMMYFUNCTION("""COMPUTED_VALUE"""),"PROFESIONAL")</f>
        <v>PROFESIONAL</v>
      </c>
      <c r="L136" t="str">
        <f>IFERROR(__xludf.DUMMYFUNCTION("""COMPUTED_VALUE"""),"INTERNO")</f>
        <v>INTERNO</v>
      </c>
      <c r="M136">
        <f>IFERROR(__xludf.DUMMYFUNCTION("""COMPUTED_VALUE"""),1.0)</f>
        <v>1</v>
      </c>
      <c r="N136" t="str">
        <f>IFERROR(__xludf.DUMMYFUNCTION("""COMPUTED_VALUE"""),"NO")</f>
        <v>NO</v>
      </c>
      <c r="O136">
        <f>IFERROR(__xludf.DUMMYFUNCTION("""COMPUTED_VALUE"""),0.0)</f>
        <v>0</v>
      </c>
      <c r="P136">
        <f>IFERROR(__xludf.DUMMYFUNCTION("""COMPUTED_VALUE"""),1.0)</f>
        <v>1</v>
      </c>
      <c r="Q136">
        <f>IFERROR(__xludf.DUMMYFUNCTION("""COMPUTED_VALUE"""),0.0)</f>
        <v>0</v>
      </c>
      <c r="R136" s="45" t="str">
        <f>IFERROR(__xludf.DUMMYFUNCTION("""COMPUTED_VALUE"""),"SELECCIONADO")</f>
        <v>SELECCIONADO</v>
      </c>
      <c r="S136" s="38">
        <f>IFERROR(__xludf.DUMMYFUNCTION("""COMPUTED_VALUE"""),43282.0)</f>
        <v>43282</v>
      </c>
      <c r="U136" t="str">
        <f>IFERROR(__xludf.DUMMYFUNCTION("""COMPUTED_VALUE"""),"DANIEL ESPINOZA ESPINOZA")</f>
        <v>DANIEL ESPINOZA ESPINOZA</v>
      </c>
      <c r="V136" t="str">
        <f>IFERROR(__xludf.DUMMYFUNCTION("""COMPUTED_VALUE"""),"15894218-6")</f>
        <v>15894218-6</v>
      </c>
      <c r="W136" t="str">
        <f>IFERROR(__xludf.DUMMYFUNCTION("""COMPUTED_VALUE"""),"SI")</f>
        <v>SI</v>
      </c>
      <c r="X136" t="str">
        <f>IFERROR(__xludf.DUMMYFUNCTION("""COMPUTED_VALUE"""),"Trabajo en Equipo")</f>
        <v>Trabajo en Equipo</v>
      </c>
      <c r="Y136" t="str">
        <f>IFERROR(__xludf.DUMMYFUNCTION("""COMPUTED_VALUE"""),"Capacidad de Planificacion y Organizacion")</f>
        <v>Capacidad de Planificacion y Organizacion</v>
      </c>
      <c r="AA136" s="38">
        <f>IFERROR(__xludf.DUMMYFUNCTION("""COMPUTED_VALUE"""),43251.0)</f>
        <v>43251</v>
      </c>
      <c r="AB136" s="38">
        <f>IFERROR(__xludf.DUMMYFUNCTION("""COMPUTED_VALUE"""),43257.0)</f>
        <v>43257</v>
      </c>
      <c r="AH136" t="str">
        <f>IFERROR(__xludf.DUMMYFUNCTION("""COMPUTED_VALUE"""),"PROCESO DE SELECCIÓN")</f>
        <v>PROCESO DE SELECCIÓN</v>
      </c>
      <c r="AI136" t="str">
        <f>IFERROR(__xludf.DUMMYFUNCTION("""COMPUTED_VALUE"""),"MUÑOZ ZUÑIGA PATRICIA ")</f>
        <v>MUÑOZ ZUÑIGA PATRICIA </v>
      </c>
      <c r="AK136" t="str">
        <f>IFERROR(__xludf.DUMMYFUNCTION("""COMPUTED_VALUE"""),"E")</f>
        <v>E</v>
      </c>
      <c r="AL136">
        <f>IFERROR(__xludf.DUMMYFUNCTION("""COMPUTED_VALUE"""),18.0)</f>
        <v>18</v>
      </c>
      <c r="AM136">
        <f>IFERROR(__xludf.DUMMYFUNCTION("""COMPUTED_VALUE"""),2018.0)</f>
        <v>2018</v>
      </c>
    </row>
    <row r="137">
      <c r="A137">
        <f>IFERROR(__xludf.DUMMYFUNCTION("""COMPUTED_VALUE"""),1.7381673E7)</f>
        <v>17381673</v>
      </c>
      <c r="B137">
        <f>IFERROR(__xludf.DUMMYFUNCTION("""COMPUTED_VALUE"""),39.0)</f>
        <v>39</v>
      </c>
      <c r="C137" t="str">
        <f>IFERROR(__xludf.DUMMYFUNCTION("""COMPUTED_VALUE"""),"A126")</f>
        <v>A126</v>
      </c>
      <c r="D137" t="str">
        <f>IFERROR(__xludf.DUMMYFUNCTION("""COMPUTED_VALUE"""),"INGRESAR CENTRO DE COSTO A LA DERECHA")</f>
        <v>INGRESAR CENTRO DE COSTO A LA DERECHA</v>
      </c>
      <c r="E137" t="str">
        <f>IFERROR(__xludf.DUMMYFUNCTION("""COMPUTED_VALUE"""),"UNIDAD DE ADM. SERV. ALIMENTARIOS")</f>
        <v>UNIDAD DE ADM. SERV. ALIMENTARIOS</v>
      </c>
      <c r="F137" t="str">
        <f>IFERROR(__xludf.DUMMYFUNCTION("""COMPUTED_VALUE"""),"Auxiliar de Servicios")</f>
        <v>Auxiliar de Servicios</v>
      </c>
      <c r="G137" t="str">
        <f>IFERROR(__xludf.DUMMYFUNCTION("""COMPUTED_VALUE"""),"AUXILIAR DE SERVICIO")</f>
        <v>AUXILIAR DE SERVICIO</v>
      </c>
      <c r="H137">
        <f>IFERROR(__xludf.DUMMYFUNCTION("""COMPUTED_VALUE"""),23.0)</f>
        <v>23</v>
      </c>
      <c r="I137" t="str">
        <f>IFERROR(__xludf.DUMMYFUNCTION("""COMPUTED_VALUE"""),"Jornada Completa")</f>
        <v>Jornada Completa</v>
      </c>
      <c r="J137" t="str">
        <f>IFERROR(__xludf.DUMMYFUNCTION("""COMPUTED_VALUE"""),"A CONTRATA")</f>
        <v>A CONTRATA</v>
      </c>
      <c r="K137" t="str">
        <f>IFERROR(__xludf.DUMMYFUNCTION("""COMPUTED_VALUE"""),"AUXILIAR")</f>
        <v>AUXILIAR</v>
      </c>
      <c r="L137" t="str">
        <f>IFERROR(__xludf.DUMMYFUNCTION("""COMPUTED_VALUE"""),"INTERNO")</f>
        <v>INTERNO</v>
      </c>
      <c r="M137">
        <f>IFERROR(__xludf.DUMMYFUNCTION("""COMPUTED_VALUE"""),0.0)</f>
        <v>0</v>
      </c>
      <c r="N137" t="str">
        <f>IFERROR(__xludf.DUMMYFUNCTION("""COMPUTED_VALUE"""),"EXTERNO")</f>
        <v>EXTERNO</v>
      </c>
      <c r="O137">
        <f>IFERROR(__xludf.DUMMYFUNCTION("""COMPUTED_VALUE"""),10.0)</f>
        <v>10</v>
      </c>
      <c r="P137">
        <f>IFERROR(__xludf.DUMMYFUNCTION("""COMPUTED_VALUE"""),3.0)</f>
        <v>3</v>
      </c>
      <c r="Q137">
        <f>IFERROR(__xludf.DUMMYFUNCTION("""COMPUTED_VALUE"""),4.0)</f>
        <v>4</v>
      </c>
      <c r="R137" s="45" t="str">
        <f>IFERROR(__xludf.DUMMYFUNCTION("""COMPUTED_VALUE"""),"SELECCIONADO")</f>
        <v>SELECCIONADO</v>
      </c>
      <c r="S137" s="38">
        <f>IFERROR(__xludf.DUMMYFUNCTION("""COMPUTED_VALUE"""),43252.0)</f>
        <v>43252</v>
      </c>
      <c r="U137" t="str">
        <f>IFERROR(__xludf.DUMMYFUNCTION("""COMPUTED_VALUE"""),"FREDDY ULLOA ORELLANA")</f>
        <v>FREDDY ULLOA ORELLANA</v>
      </c>
      <c r="V137" t="str">
        <f>IFERROR(__xludf.DUMMYFUNCTION("""COMPUTED_VALUE"""),"17381673-1")</f>
        <v>17381673-1</v>
      </c>
      <c r="W137" t="str">
        <f>IFERROR(__xludf.DUMMYFUNCTION("""COMPUTED_VALUE"""),"SI")</f>
        <v>SI</v>
      </c>
      <c r="X137" t="str">
        <f>IFERROR(__xludf.DUMMYFUNCTION("""COMPUTED_VALUE"""),"Trabajo en Equipo")</f>
        <v>Trabajo en Equipo</v>
      </c>
      <c r="Y137" t="str">
        <f>IFERROR(__xludf.DUMMYFUNCTION("""COMPUTED_VALUE"""),"Iniciativa")</f>
        <v>Iniciativa</v>
      </c>
      <c r="Z137" t="str">
        <f>IFERROR(__xludf.DUMMYFUNCTION("""COMPUTED_VALUE"""),"Comunicacion")</f>
        <v>Comunicacion</v>
      </c>
      <c r="AA137" s="38">
        <f>IFERROR(__xludf.DUMMYFUNCTION("""COMPUTED_VALUE"""),43222.0)</f>
        <v>43222</v>
      </c>
      <c r="AB137" s="38">
        <f>IFERROR(__xludf.DUMMYFUNCTION("""COMPUTED_VALUE"""),43228.0)</f>
        <v>43228</v>
      </c>
      <c r="AH137" t="str">
        <f>IFERROR(__xludf.DUMMYFUNCTION("""COMPUTED_VALUE"""),"PROCESO DE SELECCIÓN")</f>
        <v>PROCESO DE SELECCIÓN</v>
      </c>
      <c r="AI137" t="str">
        <f>IFERROR(__xludf.DUMMYFUNCTION("""COMPUTED_VALUE"""),"AVILA GALVEZ RAQUEL ")</f>
        <v>AVILA GALVEZ RAQUEL </v>
      </c>
      <c r="AK137" t="str">
        <f>IFERROR(__xludf.DUMMYFUNCTION("""COMPUTED_VALUE"""),"E")</f>
        <v>E</v>
      </c>
      <c r="AL137">
        <f>IFERROR(__xludf.DUMMYFUNCTION("""COMPUTED_VALUE"""),19.0)</f>
        <v>19</v>
      </c>
      <c r="AM137">
        <f>IFERROR(__xludf.DUMMYFUNCTION("""COMPUTED_VALUE"""),2018.0)</f>
        <v>2018</v>
      </c>
    </row>
    <row r="138">
      <c r="A138">
        <f>IFERROR(__xludf.DUMMYFUNCTION("""COMPUTED_VALUE"""),9577358.0)</f>
        <v>9577358</v>
      </c>
      <c r="B138">
        <f>IFERROR(__xludf.DUMMYFUNCTION("""COMPUTED_VALUE"""),40.0)</f>
        <v>40</v>
      </c>
      <c r="D138" t="str">
        <f>IFERROR(__xludf.DUMMYFUNCTION("""COMPUTED_VALUE"""),"INGRESAR CENTRO DE COSTO A LA DERECHA")</f>
        <v>INGRESAR CENTRO DE COSTO A LA DERECHA</v>
      </c>
      <c r="E138" t="str">
        <f>IFERROR(__xludf.DUMMYFUNCTION("""COMPUTED_VALUE"""),"DPTO. DE EDUCACION")</f>
        <v>DPTO. DE EDUCACION</v>
      </c>
      <c r="F138" t="str">
        <f>IFERROR(__xludf.DUMMYFUNCTION("""COMPUTED_VALUE"""),"Mayordomo(a)")</f>
        <v>Mayordomo(a)</v>
      </c>
      <c r="G138" t="str">
        <f>IFERROR(__xludf.DUMMYFUNCTION("""COMPUTED_VALUE"""),"MAYORDOMO")</f>
        <v>MAYORDOMO</v>
      </c>
      <c r="H138">
        <f>IFERROR(__xludf.DUMMYFUNCTION("""COMPUTED_VALUE"""),21.0)</f>
        <v>21</v>
      </c>
      <c r="I138" t="str">
        <f>IFERROR(__xludf.DUMMYFUNCTION("""COMPUTED_VALUE"""),"Jornada Completa")</f>
        <v>Jornada Completa</v>
      </c>
      <c r="J138" t="str">
        <f>IFERROR(__xludf.DUMMYFUNCTION("""COMPUTED_VALUE"""),"A CONTRATA")</f>
        <v>A CONTRATA</v>
      </c>
      <c r="K138" t="str">
        <f>IFERROR(__xludf.DUMMYFUNCTION("""COMPUTED_VALUE"""),"AUXILIAR")</f>
        <v>AUXILIAR</v>
      </c>
      <c r="L138" t="str">
        <f>IFERROR(__xludf.DUMMYFUNCTION("""COMPUTED_VALUE"""),"INTERNO")</f>
        <v>INTERNO</v>
      </c>
      <c r="M138">
        <f>IFERROR(__xludf.DUMMYFUNCTION("""COMPUTED_VALUE"""),0.0)</f>
        <v>0</v>
      </c>
      <c r="N138" t="str">
        <f>IFERROR(__xludf.DUMMYFUNCTION("""COMPUTED_VALUE"""),"EXTERNO")</f>
        <v>EXTERNO</v>
      </c>
      <c r="O138">
        <f>IFERROR(__xludf.DUMMYFUNCTION("""COMPUTED_VALUE"""),4.0)</f>
        <v>4</v>
      </c>
      <c r="P138">
        <f>IFERROR(__xludf.DUMMYFUNCTION("""COMPUTED_VALUE"""),1.0)</f>
        <v>1</v>
      </c>
      <c r="Q138">
        <f>IFERROR(__xludf.DUMMYFUNCTION("""COMPUTED_VALUE"""),3.0)</f>
        <v>3</v>
      </c>
      <c r="R138" s="45" t="str">
        <f>IFERROR(__xludf.DUMMYFUNCTION("""COMPUTED_VALUE"""),"SELECCIONADO")</f>
        <v>SELECCIONADO</v>
      </c>
      <c r="S138" s="38">
        <f>IFERROR(__xludf.DUMMYFUNCTION("""COMPUTED_VALUE"""),43266.0)</f>
        <v>43266</v>
      </c>
      <c r="U138" t="str">
        <f>IFERROR(__xludf.DUMMYFUNCTION("""COMPUTED_VALUE"""),"GUILLERMO CAMPOS CUTURRUFO")</f>
        <v>GUILLERMO CAMPOS CUTURRUFO</v>
      </c>
      <c r="V138" t="str">
        <f>IFERROR(__xludf.DUMMYFUNCTION("""COMPUTED_VALUE"""),"9577358-3")</f>
        <v>9577358-3</v>
      </c>
      <c r="W138" t="str">
        <f>IFERROR(__xludf.DUMMYFUNCTION("""COMPUTED_VALUE"""),"NO")</f>
        <v>NO</v>
      </c>
      <c r="AA138" s="38">
        <f>IFERROR(__xludf.DUMMYFUNCTION("""COMPUTED_VALUE"""),43207.0)</f>
        <v>43207</v>
      </c>
      <c r="AB138" s="38">
        <f>IFERROR(__xludf.DUMMYFUNCTION("""COMPUTED_VALUE"""),43214.0)</f>
        <v>43214</v>
      </c>
      <c r="AH138" t="str">
        <f>IFERROR(__xludf.DUMMYFUNCTION("""COMPUTED_VALUE"""),"PROCESO DE SELECCIÓN")</f>
        <v>PROCESO DE SELECCIÓN</v>
      </c>
      <c r="AI138" t="str">
        <f>IFERROR(__xludf.DUMMYFUNCTION("""COMPUTED_VALUE"""),"LEIVA MALDONADO CRISTIAN")</f>
        <v>LEIVA MALDONADO CRISTIAN</v>
      </c>
      <c r="AL138">
        <f>IFERROR(__xludf.DUMMYFUNCTION("""COMPUTED_VALUE"""),39.0)</f>
        <v>39</v>
      </c>
      <c r="AM138">
        <f>IFERROR(__xludf.DUMMYFUNCTION("""COMPUTED_VALUE"""),2018.0)</f>
        <v>2018</v>
      </c>
    </row>
    <row r="139">
      <c r="A139">
        <f>IFERROR(__xludf.DUMMYFUNCTION("""COMPUTED_VALUE"""),1.715035E7)</f>
        <v>17150350</v>
      </c>
      <c r="B139">
        <f>IFERROR(__xludf.DUMMYFUNCTION("""COMPUTED_VALUE"""),41.0)</f>
        <v>41</v>
      </c>
      <c r="D139" t="str">
        <f>IFERROR(__xludf.DUMMYFUNCTION("""COMPUTED_VALUE"""),"INGRESAR CENTRO DE COSTO A LA DERECHA")</f>
        <v>INGRESAR CENTRO DE COSTO A LA DERECHA</v>
      </c>
      <c r="E139" t="str">
        <f>IFERROR(__xludf.DUMMYFUNCTION("""COMPUTED_VALUE"""),"CONTRALORIA UNIVERSITARIA")</f>
        <v>CONTRALORIA UNIVERSITARIA</v>
      </c>
      <c r="F139" t="str">
        <f>IFERROR(__xludf.DUMMYFUNCTION("""COMPUTED_VALUE"""),"Abogado(a) Contraloria Universitaria")</f>
        <v>Abogado(a) Contraloria Universitaria</v>
      </c>
      <c r="G139" t="str">
        <f>IFERROR(__xludf.DUMMYFUNCTION("""COMPUTED_VALUE"""),"ABOGADO CONTRALORIA UNIVERSITARIA")</f>
        <v>ABOGADO CONTRALORIA UNIVERSITARIA</v>
      </c>
      <c r="H139">
        <f>IFERROR(__xludf.DUMMYFUNCTION("""COMPUTED_VALUE"""),8.0)</f>
        <v>8</v>
      </c>
      <c r="I139" t="str">
        <f>IFERROR(__xludf.DUMMYFUNCTION("""COMPUTED_VALUE"""),"Jornada Completa")</f>
        <v>Jornada Completa</v>
      </c>
      <c r="J139" t="str">
        <f>IFERROR(__xludf.DUMMYFUNCTION("""COMPUTED_VALUE"""),"A CONTRATA")</f>
        <v>A CONTRATA</v>
      </c>
      <c r="K139" t="str">
        <f>IFERROR(__xludf.DUMMYFUNCTION("""COMPUTED_VALUE"""),"PROFESIONAL")</f>
        <v>PROFESIONAL</v>
      </c>
      <c r="L139" t="str">
        <f>IFERROR(__xludf.DUMMYFUNCTION("""COMPUTED_VALUE"""),"INTERNO")</f>
        <v>INTERNO</v>
      </c>
      <c r="M139">
        <f>IFERROR(__xludf.DUMMYFUNCTION("""COMPUTED_VALUE"""),0.0)</f>
        <v>0</v>
      </c>
      <c r="N139" t="str">
        <f>IFERROR(__xludf.DUMMYFUNCTION("""COMPUTED_VALUE"""),"EXTERNO")</f>
        <v>EXTERNO</v>
      </c>
      <c r="O139">
        <f>IFERROR(__xludf.DUMMYFUNCTION("""COMPUTED_VALUE"""),34.0)</f>
        <v>34</v>
      </c>
      <c r="P139">
        <f>IFERROR(__xludf.DUMMYFUNCTION("""COMPUTED_VALUE"""),1.0)</f>
        <v>1</v>
      </c>
      <c r="Q139">
        <f>IFERROR(__xludf.DUMMYFUNCTION("""COMPUTED_VALUE"""),0.0)</f>
        <v>0</v>
      </c>
      <c r="R139" s="45" t="str">
        <f>IFERROR(__xludf.DUMMYFUNCTION("""COMPUTED_VALUE"""),"SELECCIONADA")</f>
        <v>SELECCIONADA</v>
      </c>
      <c r="S139" s="38">
        <f>IFERROR(__xludf.DUMMYFUNCTION("""COMPUTED_VALUE"""),43284.0)</f>
        <v>43284</v>
      </c>
      <c r="U139" t="str">
        <f>IFERROR(__xludf.DUMMYFUNCTION("""COMPUTED_VALUE"""),"JOCELYN ARCOS MORALES")</f>
        <v>JOCELYN ARCOS MORALES</v>
      </c>
      <c r="V139" t="str">
        <f>IFERROR(__xludf.DUMMYFUNCTION("""COMPUTED_VALUE"""),"17150350-7")</f>
        <v>17150350-7</v>
      </c>
      <c r="W139" t="str">
        <f>IFERROR(__xludf.DUMMYFUNCTION("""COMPUTED_VALUE"""),"SI")</f>
        <v>SI</v>
      </c>
      <c r="X139" t="str">
        <f>IFERROR(__xludf.DUMMYFUNCTION("""COMPUTED_VALUE"""),"Pensamiento Analitico")</f>
        <v>Pensamiento Analitico</v>
      </c>
      <c r="Y139" t="str">
        <f>IFERROR(__xludf.DUMMYFUNCTION("""COMPUTED_VALUE"""),"Iniciativa")</f>
        <v>Iniciativa</v>
      </c>
      <c r="AA139" s="38">
        <f>IFERROR(__xludf.DUMMYFUNCTION("""COMPUTED_VALUE"""),43258.0)</f>
        <v>43258</v>
      </c>
      <c r="AB139" s="38">
        <f>IFERROR(__xludf.DUMMYFUNCTION("""COMPUTED_VALUE"""),43263.0)</f>
        <v>43263</v>
      </c>
      <c r="AH139" t="str">
        <f>IFERROR(__xludf.DUMMYFUNCTION("""COMPUTED_VALUE"""),"PROCESO DE SELECCIÓN")</f>
        <v>PROCESO DE SELECCIÓN</v>
      </c>
      <c r="AI139" t="str">
        <f>IFERROR(__xludf.DUMMYFUNCTION("""COMPUTED_VALUE""")," PINCHEIRA SEPULVEDA CAROLINA")</f>
        <v> PINCHEIRA SEPULVEDA CAROLINA</v>
      </c>
      <c r="AK139" t="str">
        <f>IFERROR(__xludf.DUMMYFUNCTION("""COMPUTED_VALUE"""),"C")</f>
        <v>C</v>
      </c>
      <c r="AL139">
        <f>IFERROR(__xludf.DUMMYFUNCTION("""COMPUTED_VALUE"""),16.0)</f>
        <v>16</v>
      </c>
      <c r="AM139">
        <f>IFERROR(__xludf.DUMMYFUNCTION("""COMPUTED_VALUE"""),2018.0)</f>
        <v>2018</v>
      </c>
    </row>
    <row r="140">
      <c r="A140">
        <f>IFERROR(__xludf.DUMMYFUNCTION("""COMPUTED_VALUE"""),1.5639128E7)</f>
        <v>15639128</v>
      </c>
      <c r="B140">
        <f>IFERROR(__xludf.DUMMYFUNCTION("""COMPUTED_VALUE"""),42.0)</f>
        <v>42</v>
      </c>
      <c r="C140" t="str">
        <f>IFERROR(__xludf.DUMMYFUNCTION("""COMPUTED_VALUE"""),"ACTA VRAE")</f>
        <v>ACTA VRAE</v>
      </c>
      <c r="D140" t="str">
        <f>IFERROR(__xludf.DUMMYFUNCTION("""COMPUTED_VALUE"""),"INGRESAR CENTRO DE COSTO A LA DERECHA")</f>
        <v>INGRESAR CENTRO DE COSTO A LA DERECHA</v>
      </c>
      <c r="E140" t="str">
        <f>IFERROR(__xludf.DUMMYFUNCTION("""COMPUTED_VALUE"""),"DPTO. DE DEPORTES")</f>
        <v>DPTO. DE DEPORTES</v>
      </c>
      <c r="F140" t="str">
        <f>IFERROR(__xludf.DUMMYFUNCTION("""COMPUTED_VALUE"""),"Secretario(a) B")</f>
        <v>Secretario(a) B</v>
      </c>
      <c r="G140" t="str">
        <f>IFERROR(__xludf.DUMMYFUNCTION("""COMPUTED_VALUE"""),"SECRETARIA B")</f>
        <v>SECRETARIA B</v>
      </c>
      <c r="H140">
        <f>IFERROR(__xludf.DUMMYFUNCTION("""COMPUTED_VALUE"""),17.0)</f>
        <v>17</v>
      </c>
      <c r="I140" t="str">
        <f>IFERROR(__xludf.DUMMYFUNCTION("""COMPUTED_VALUE"""),"Jornada Completa")</f>
        <v>Jornada Completa</v>
      </c>
      <c r="J140" t="str">
        <f>IFERROR(__xludf.DUMMYFUNCTION("""COMPUTED_VALUE"""),"A CONTRATA")</f>
        <v>A CONTRATA</v>
      </c>
      <c r="K140" t="str">
        <f>IFERROR(__xludf.DUMMYFUNCTION("""COMPUTED_VALUE"""),"ADMINISTRATIVO")</f>
        <v>ADMINISTRATIVO</v>
      </c>
      <c r="L140" t="str">
        <f>IFERROR(__xludf.DUMMYFUNCTION("""COMPUTED_VALUE"""),"INTERNO")</f>
        <v>INTERNO</v>
      </c>
      <c r="M140">
        <f>IFERROR(__xludf.DUMMYFUNCTION("""COMPUTED_VALUE"""),2.0)</f>
        <v>2</v>
      </c>
      <c r="N140" t="str">
        <f>IFERROR(__xludf.DUMMYFUNCTION("""COMPUTED_VALUE"""),"NO")</f>
        <v>NO</v>
      </c>
      <c r="O140">
        <f>IFERROR(__xludf.DUMMYFUNCTION("""COMPUTED_VALUE"""),0.0)</f>
        <v>0</v>
      </c>
      <c r="P140">
        <f>IFERROR(__xludf.DUMMYFUNCTION("""COMPUTED_VALUE"""),2.0)</f>
        <v>2</v>
      </c>
      <c r="Q140">
        <f>IFERROR(__xludf.DUMMYFUNCTION("""COMPUTED_VALUE"""),0.0)</f>
        <v>0</v>
      </c>
      <c r="R140" s="45" t="str">
        <f>IFERROR(__xludf.DUMMYFUNCTION("""COMPUTED_VALUE"""),"SELECCIONADA")</f>
        <v>SELECCIONADA</v>
      </c>
      <c r="S140" s="38">
        <f>IFERROR(__xludf.DUMMYFUNCTION("""COMPUTED_VALUE"""),43293.0)</f>
        <v>43293</v>
      </c>
      <c r="T140" t="str">
        <f>IFERROR(__xludf.DUMMYFUNCTION("""COMPUTED_VALUE"""),"MIRANDA MIRANDA MYRTHA CAROLINA")</f>
        <v>MIRANDA MIRANDA MYRTHA CAROLINA</v>
      </c>
      <c r="V140" t="str">
        <f>IFERROR(__xludf.DUMMYFUNCTION("""COMPUTED_VALUE"""),"15639128-K")</f>
        <v>15639128-K</v>
      </c>
      <c r="W140" t="str">
        <f>IFERROR(__xludf.DUMMYFUNCTION("""COMPUTED_VALUE"""),"NO")</f>
        <v>NO</v>
      </c>
      <c r="AA140" s="38">
        <f>IFERROR(__xludf.DUMMYFUNCTION("""COMPUTED_VALUE"""),43248.0)</f>
        <v>43248</v>
      </c>
      <c r="AB140" s="38">
        <f>IFERROR(__xludf.DUMMYFUNCTION("""COMPUTED_VALUE"""),43255.0)</f>
        <v>43255</v>
      </c>
      <c r="AH140" t="str">
        <f>IFERROR(__xludf.DUMMYFUNCTION("""COMPUTED_VALUE"""),"PROCESO DE SELECCIÓN")</f>
        <v>PROCESO DE SELECCIÓN</v>
      </c>
      <c r="AI140" t="str">
        <f>IFERROR(__xludf.DUMMYFUNCTION("""COMPUTED_VALUE"""),"-")</f>
        <v>-</v>
      </c>
      <c r="AK140" t="str">
        <f>IFERROR(__xludf.DUMMYFUNCTION("""COMPUTED_VALUE"""),"C")</f>
        <v>C</v>
      </c>
      <c r="AL140">
        <f>IFERROR(__xludf.DUMMYFUNCTION("""COMPUTED_VALUE"""),29.0)</f>
        <v>29</v>
      </c>
      <c r="AM140">
        <f>IFERROR(__xludf.DUMMYFUNCTION("""COMPUTED_VALUE"""),2018.0)</f>
        <v>2018</v>
      </c>
    </row>
    <row r="141">
      <c r="A141">
        <f>IFERROR(__xludf.DUMMYFUNCTION("""COMPUTED_VALUE"""),1.3926873E7)</f>
        <v>13926873</v>
      </c>
      <c r="B141">
        <f>IFERROR(__xludf.DUMMYFUNCTION("""COMPUTED_VALUE"""),43.0)</f>
        <v>43</v>
      </c>
      <c r="C141" t="str">
        <f>IFERROR(__xludf.DUMMYFUNCTION("""COMPUTED_VALUE"""),"COMISION")</f>
        <v>COMISION</v>
      </c>
      <c r="D141" t="str">
        <f>IFERROR(__xludf.DUMMYFUNCTION("""COMPUTED_VALUE"""),"INGRESAR CENTRO DE COSTO A LA DERECHA")</f>
        <v>INGRESAR CENTRO DE COSTO A LA DERECHA</v>
      </c>
      <c r="E141" t="str">
        <f>IFERROR(__xludf.DUMMYFUNCTION("""COMPUTED_VALUE"""),"UNIDAD DE ADM. SERV. ALIMENTARIOS")</f>
        <v>UNIDAD DE ADM. SERV. ALIMENTARIOS</v>
      </c>
      <c r="F141" t="str">
        <f>IFERROR(__xludf.DUMMYFUNCTION("""COMPUTED_VALUE"""),"Auxiliar de Servicios")</f>
        <v>Auxiliar de Servicios</v>
      </c>
      <c r="G141" t="str">
        <f>IFERROR(__xludf.DUMMYFUNCTION("""COMPUTED_VALUE"""),"AUXILIAR DE SERVICIO")</f>
        <v>AUXILIAR DE SERVICIO</v>
      </c>
      <c r="H141">
        <f>IFERROR(__xludf.DUMMYFUNCTION("""COMPUTED_VALUE"""),23.0)</f>
        <v>23</v>
      </c>
      <c r="I141" t="str">
        <f>IFERROR(__xludf.DUMMYFUNCTION("""COMPUTED_VALUE"""),"Jornada Completa")</f>
        <v>Jornada Completa</v>
      </c>
      <c r="J141" t="str">
        <f>IFERROR(__xludf.DUMMYFUNCTION("""COMPUTED_VALUE"""),"A CONTRATA")</f>
        <v>A CONTRATA</v>
      </c>
      <c r="K141" t="str">
        <f>IFERROR(__xludf.DUMMYFUNCTION("""COMPUTED_VALUE"""),"AUXILIAR")</f>
        <v>AUXILIAR</v>
      </c>
      <c r="L141" t="str">
        <f>IFERROR(__xludf.DUMMYFUNCTION("""COMPUTED_VALUE"""),"INTERNO")</f>
        <v>INTERNO</v>
      </c>
      <c r="M141">
        <f>IFERROR(__xludf.DUMMYFUNCTION("""COMPUTED_VALUE"""),0.0)</f>
        <v>0</v>
      </c>
      <c r="N141" t="str">
        <f>IFERROR(__xludf.DUMMYFUNCTION("""COMPUTED_VALUE"""),"EXTERNO")</f>
        <v>EXTERNO</v>
      </c>
      <c r="O141">
        <f>IFERROR(__xludf.DUMMYFUNCTION("""COMPUTED_VALUE"""),5.0)</f>
        <v>5</v>
      </c>
      <c r="P141">
        <f>IFERROR(__xludf.DUMMYFUNCTION("""COMPUTED_VALUE"""),2.0)</f>
        <v>2</v>
      </c>
      <c r="Q141">
        <f>IFERROR(__xludf.DUMMYFUNCTION("""COMPUTED_VALUE"""),1.0)</f>
        <v>1</v>
      </c>
      <c r="R141" s="45" t="str">
        <f>IFERROR(__xludf.DUMMYFUNCTION("""COMPUTED_VALUE"""),"SELECCIONADO")</f>
        <v>SELECCIONADO</v>
      </c>
      <c r="S141" s="38">
        <f>IFERROR(__xludf.DUMMYFUNCTION("""COMPUTED_VALUE"""),43299.0)</f>
        <v>43299</v>
      </c>
      <c r="U141" t="str">
        <f>IFERROR(__xludf.DUMMYFUNCTION("""COMPUTED_VALUE"""),"LUIS NEGRETE LOPEZ")</f>
        <v>LUIS NEGRETE LOPEZ</v>
      </c>
      <c r="V141" t="str">
        <f>IFERROR(__xludf.DUMMYFUNCTION("""COMPUTED_VALUE"""),"13926873-3")</f>
        <v>13926873-3</v>
      </c>
      <c r="W141" t="str">
        <f>IFERROR(__xludf.DUMMYFUNCTION("""COMPUTED_VALUE"""),"SI")</f>
        <v>SI</v>
      </c>
      <c r="X141" t="str">
        <f>IFERROR(__xludf.DUMMYFUNCTION("""COMPUTED_VALUE"""),"Trabajo en Equipo")</f>
        <v>Trabajo en Equipo</v>
      </c>
      <c r="AA141" s="38">
        <f>IFERROR(__xludf.DUMMYFUNCTION("""COMPUTED_VALUE"""),43248.0)</f>
        <v>43248</v>
      </c>
      <c r="AB141" s="38">
        <f>IFERROR(__xludf.DUMMYFUNCTION("""COMPUTED_VALUE"""),43255.0)</f>
        <v>43255</v>
      </c>
      <c r="AH141" t="str">
        <f>IFERROR(__xludf.DUMMYFUNCTION("""COMPUTED_VALUE"""),"PROCESO DE SELECCIÓN")</f>
        <v>PROCESO DE SELECCIÓN</v>
      </c>
      <c r="AI141" t="str">
        <f>IFERROR(__xludf.DUMMYFUNCTION("""COMPUTED_VALUE"""),"- ")</f>
        <v>- </v>
      </c>
      <c r="AK141" t="str">
        <f>IFERROR(__xludf.DUMMYFUNCTION("""COMPUTED_VALUE"""),"E")</f>
        <v>E</v>
      </c>
      <c r="AL141">
        <f>IFERROR(__xludf.DUMMYFUNCTION("""COMPUTED_VALUE"""),33.0)</f>
        <v>33</v>
      </c>
      <c r="AM141">
        <f>IFERROR(__xludf.DUMMYFUNCTION("""COMPUTED_VALUE"""),2018.0)</f>
        <v>2018</v>
      </c>
    </row>
    <row r="142">
      <c r="A142">
        <f>IFERROR(__xludf.DUMMYFUNCTION("""COMPUTED_VALUE"""),1.2894346E7)</f>
        <v>12894346</v>
      </c>
      <c r="B142">
        <f>IFERROR(__xludf.DUMMYFUNCTION("""COMPUTED_VALUE"""),44.0)</f>
        <v>44</v>
      </c>
      <c r="D142" t="str">
        <f>IFERROR(__xludf.DUMMYFUNCTION("""COMPUTED_VALUE"""),"INGRESAR CENTRO DE COSTO A LA DERECHA")</f>
        <v>INGRESAR CENTRO DE COSTO A LA DERECHA</v>
      </c>
      <c r="E142" t="str">
        <f>IFERROR(__xludf.DUMMYFUNCTION("""COMPUTED_VALUE"""),"DPTO. DE RECURSOS HUMANOS")</f>
        <v>DPTO. DE RECURSOS HUMANOS</v>
      </c>
      <c r="F142" t="str">
        <f>IFERROR(__xludf.DUMMYFUNCTION("""COMPUTED_VALUE"""),"Secretario(a) B")</f>
        <v>Secretario(a) B</v>
      </c>
      <c r="G142" t="str">
        <f>IFERROR(__xludf.DUMMYFUNCTION("""COMPUTED_VALUE"""),"Secretaria B")</f>
        <v>Secretaria B</v>
      </c>
      <c r="H142">
        <f>IFERROR(__xludf.DUMMYFUNCTION("""COMPUTED_VALUE"""),17.0)</f>
        <v>17</v>
      </c>
      <c r="I142" t="str">
        <f>IFERROR(__xludf.DUMMYFUNCTION("""COMPUTED_VALUE"""),"Jornada Completa")</f>
        <v>Jornada Completa</v>
      </c>
      <c r="J142" t="str">
        <f>IFERROR(__xludf.DUMMYFUNCTION("""COMPUTED_VALUE"""),"A CONTRATA")</f>
        <v>A CONTRATA</v>
      </c>
      <c r="K142" t="str">
        <f>IFERROR(__xludf.DUMMYFUNCTION("""COMPUTED_VALUE"""),"ADMINISTRATIVO")</f>
        <v>ADMINISTRATIVO</v>
      </c>
      <c r="L142" t="str">
        <f>IFERROR(__xludf.DUMMYFUNCTION("""COMPUTED_VALUE"""),"INTERNO")</f>
        <v>INTERNO</v>
      </c>
      <c r="M142">
        <f>IFERROR(__xludf.DUMMYFUNCTION("""COMPUTED_VALUE"""),2.0)</f>
        <v>2</v>
      </c>
      <c r="N142" t="str">
        <f>IFERROR(__xludf.DUMMYFUNCTION("""COMPUTED_VALUE"""),"EXTERNO")</f>
        <v>EXTERNO</v>
      </c>
      <c r="O142">
        <f>IFERROR(__xludf.DUMMYFUNCTION("""COMPUTED_VALUE"""),19.0)</f>
        <v>19</v>
      </c>
      <c r="P142">
        <f>IFERROR(__xludf.DUMMYFUNCTION("""COMPUTED_VALUE"""),2.0)</f>
        <v>2</v>
      </c>
      <c r="Q142">
        <f>IFERROR(__xludf.DUMMYFUNCTION("""COMPUTED_VALUE"""),0.0)</f>
        <v>0</v>
      </c>
      <c r="R142" s="45" t="str">
        <f>IFERROR(__xludf.DUMMYFUNCTION("""COMPUTED_VALUE"""),"SELECCIONADA")</f>
        <v>SELECCIONADA</v>
      </c>
      <c r="S142" s="38">
        <f>IFERROR(__xludf.DUMMYFUNCTION("""COMPUTED_VALUE"""),43299.0)</f>
        <v>43299</v>
      </c>
      <c r="U142" t="str">
        <f>IFERROR(__xludf.DUMMYFUNCTION("""COMPUTED_VALUE"""),"EVELYN RIQUELME CUBILLOS")</f>
        <v>EVELYN RIQUELME CUBILLOS</v>
      </c>
      <c r="V142" t="str">
        <f>IFERROR(__xludf.DUMMYFUNCTION("""COMPUTED_VALUE"""),"12894346-3")</f>
        <v>12894346-3</v>
      </c>
      <c r="W142" t="str">
        <f>IFERROR(__xludf.DUMMYFUNCTION("""COMPUTED_VALUE"""),"NO")</f>
        <v>NO</v>
      </c>
      <c r="AA142" s="38">
        <f>IFERROR(__xludf.DUMMYFUNCTION("""COMPUTED_VALUE"""),43266.0)</f>
        <v>43266</v>
      </c>
      <c r="AB142" s="38">
        <f>IFERROR(__xludf.DUMMYFUNCTION("""COMPUTED_VALUE"""),43271.0)</f>
        <v>43271</v>
      </c>
      <c r="AH142" t="str">
        <f>IFERROR(__xludf.DUMMYFUNCTION("""COMPUTED_VALUE"""),"PROCESO DE SELECCIÓN")</f>
        <v>PROCESO DE SELECCIÓN</v>
      </c>
      <c r="AI142" t="str">
        <f>IFERROR(__xludf.DUMMYFUNCTION("""COMPUTED_VALUE"""),"CANTELLANO MARTINEZ VERONICA ")</f>
        <v>CANTELLANO MARTINEZ VERONICA </v>
      </c>
      <c r="AK142" t="str">
        <f>IFERROR(__xludf.DUMMYFUNCTION("""COMPUTED_VALUE"""),"C")</f>
        <v>C</v>
      </c>
      <c r="AL142">
        <f>IFERROR(__xludf.DUMMYFUNCTION("""COMPUTED_VALUE"""),21.0)</f>
        <v>21</v>
      </c>
      <c r="AM142">
        <f>IFERROR(__xludf.DUMMYFUNCTION("""COMPUTED_VALUE"""),2018.0)</f>
        <v>2018</v>
      </c>
    </row>
    <row r="143">
      <c r="A143">
        <f>IFERROR(__xludf.DUMMYFUNCTION("""COMPUTED_VALUE"""),1.4128405E7)</f>
        <v>14128405</v>
      </c>
      <c r="B143">
        <f>IFERROR(__xludf.DUMMYFUNCTION("""COMPUTED_VALUE"""),45.0)</f>
        <v>45</v>
      </c>
      <c r="C143" t="str">
        <f>IFERROR(__xludf.DUMMYFUNCTION("""COMPUTED_VALUE"""),"A207")</f>
        <v>A207</v>
      </c>
      <c r="D143" t="str">
        <f>IFERROR(__xludf.DUMMYFUNCTION("""COMPUTED_VALUE"""),"INGRESAR CENTRO DE COSTO A LA DERECHA")</f>
        <v>INGRESAR CENTRO DE COSTO A LA DERECHA</v>
      </c>
      <c r="E143" t="str">
        <f>IFERROR(__xludf.DUMMYFUNCTION("""COMPUTED_VALUE"""),"FACULTAD DE QUIMICA Y BIOLOGIA")</f>
        <v>FACULTAD DE QUIMICA Y BIOLOGIA</v>
      </c>
      <c r="F143" t="str">
        <f>IFERROR(__xludf.DUMMYFUNCTION("""COMPUTED_VALUE"""),"Técnico(a) de Laboratorio Especializado")</f>
        <v>Técnico(a) de Laboratorio Especializado</v>
      </c>
      <c r="G143" t="str">
        <f>IFERROR(__xludf.DUMMYFUNCTION("""COMPUTED_VALUE"""),"TECNICO DE LABORATORIO ESPECIALIZADO ( ESTABULARIO)")</f>
        <v>TECNICO DE LABORATORIO ESPECIALIZADO ( ESTABULARIO)</v>
      </c>
      <c r="H143">
        <f>IFERROR(__xludf.DUMMYFUNCTION("""COMPUTED_VALUE"""),14.0)</f>
        <v>14</v>
      </c>
      <c r="I143" t="str">
        <f>IFERROR(__xludf.DUMMYFUNCTION("""COMPUTED_VALUE"""),"Jornada Completa")</f>
        <v>Jornada Completa</v>
      </c>
      <c r="J143" t="str">
        <f>IFERROR(__xludf.DUMMYFUNCTION("""COMPUTED_VALUE"""),"A CONTRATA")</f>
        <v>A CONTRATA</v>
      </c>
      <c r="K143" t="str">
        <f>IFERROR(__xludf.DUMMYFUNCTION("""COMPUTED_VALUE"""),"TECNICO")</f>
        <v>TECNICO</v>
      </c>
      <c r="L143" t="str">
        <f>IFERROR(__xludf.DUMMYFUNCTION("""COMPUTED_VALUE"""),"NO")</f>
        <v>NO</v>
      </c>
      <c r="M143">
        <f>IFERROR(__xludf.DUMMYFUNCTION("""COMPUTED_VALUE"""),0.0)</f>
        <v>0</v>
      </c>
      <c r="N143" t="str">
        <f>IFERROR(__xludf.DUMMYFUNCTION("""COMPUTED_VALUE"""),"EXTERNO")</f>
        <v>EXTERNO</v>
      </c>
      <c r="O143">
        <f>IFERROR(__xludf.DUMMYFUNCTION("""COMPUTED_VALUE"""),7.0)</f>
        <v>7</v>
      </c>
      <c r="P143">
        <f>IFERROR(__xludf.DUMMYFUNCTION("""COMPUTED_VALUE"""),1.0)</f>
        <v>1</v>
      </c>
      <c r="Q143">
        <f>IFERROR(__xludf.DUMMYFUNCTION("""COMPUTED_VALUE"""),0.0)</f>
        <v>0</v>
      </c>
      <c r="R143" s="45" t="str">
        <f>IFERROR(__xludf.DUMMYFUNCTION("""COMPUTED_VALUE"""),"SELECCIONADO")</f>
        <v>SELECCIONADO</v>
      </c>
      <c r="S143" s="38">
        <f>IFERROR(__xludf.DUMMYFUNCTION("""COMPUTED_VALUE"""),43284.0)</f>
        <v>43284</v>
      </c>
      <c r="U143" t="str">
        <f>IFERROR(__xludf.DUMMYFUNCTION("""COMPUTED_VALUE"""),"ALEXIS BARRIOS POBLETE")</f>
        <v>ALEXIS BARRIOS POBLETE</v>
      </c>
      <c r="V143" t="str">
        <f>IFERROR(__xludf.DUMMYFUNCTION("""COMPUTED_VALUE"""),"14128405-3")</f>
        <v>14128405-3</v>
      </c>
      <c r="W143" t="str">
        <f>IFERROR(__xludf.DUMMYFUNCTION("""COMPUTED_VALUE"""),"SI")</f>
        <v>SI</v>
      </c>
      <c r="X143" t="str">
        <f>IFERROR(__xludf.DUMMYFUNCTION("""COMPUTED_VALUE"""),"Trabajo en Equipo")</f>
        <v>Trabajo en Equipo</v>
      </c>
      <c r="Y143" t="str">
        <f>IFERROR(__xludf.DUMMYFUNCTION("""COMPUTED_VALUE"""),"Iniciativa")</f>
        <v>Iniciativa</v>
      </c>
      <c r="AA143" s="38">
        <f>IFERROR(__xludf.DUMMYFUNCTION("""COMPUTED_VALUE"""),43234.0)</f>
        <v>43234</v>
      </c>
      <c r="AB143" s="38">
        <f>IFERROR(__xludf.DUMMYFUNCTION("""COMPUTED_VALUE"""),43236.0)</f>
        <v>43236</v>
      </c>
      <c r="AH143" t="str">
        <f>IFERROR(__xludf.DUMMYFUNCTION("""COMPUTED_VALUE"""),"PROCESO DE SELECCIÓN")</f>
        <v>PROCESO DE SELECCIÓN</v>
      </c>
      <c r="AI143" t="str">
        <f>IFERROR(__xludf.DUMMYFUNCTION("""COMPUTED_VALUE"""),"-")</f>
        <v>-</v>
      </c>
      <c r="AK143" t="str">
        <f>IFERROR(__xludf.DUMMYFUNCTION("""COMPUTED_VALUE"""),"E")</f>
        <v>E</v>
      </c>
      <c r="AL143">
        <f>IFERROR(__xludf.DUMMYFUNCTION("""COMPUTED_VALUE"""),35.0)</f>
        <v>35</v>
      </c>
      <c r="AM143">
        <f>IFERROR(__xludf.DUMMYFUNCTION("""COMPUTED_VALUE"""),2018.0)</f>
        <v>2018</v>
      </c>
    </row>
    <row r="144">
      <c r="A144">
        <f>IFERROR(__xludf.DUMMYFUNCTION("""COMPUTED_VALUE"""),1.0328126E7)</f>
        <v>10328126</v>
      </c>
      <c r="B144">
        <f>IFERROR(__xludf.DUMMYFUNCTION("""COMPUTED_VALUE"""),46.0)</f>
        <v>46</v>
      </c>
      <c r="C144" t="str">
        <f>IFERROR(__xludf.DUMMYFUNCTION("""COMPUTED_VALUE"""),"A217")</f>
        <v>A217</v>
      </c>
      <c r="D144" t="str">
        <f>IFERROR(__xludf.DUMMYFUNCTION("""COMPUTED_VALUE"""),"INGRESAR CENTRO DE COSTO A LA DERECHA")</f>
        <v>INGRESAR CENTRO DE COSTO A LA DERECHA</v>
      </c>
      <c r="E144" t="str">
        <f>IFERROR(__xludf.DUMMYFUNCTION("""COMPUTED_VALUE"""),"UNIDAD DE ATENCION DE SALUD")</f>
        <v>UNIDAD DE ATENCION DE SALUD</v>
      </c>
      <c r="F144" t="str">
        <f>IFERROR(__xludf.DUMMYFUNCTION("""COMPUTED_VALUE"""),"Médicos(as) y Dentistas")</f>
        <v>Médicos(as) y Dentistas</v>
      </c>
      <c r="G144" t="str">
        <f>IFERROR(__xludf.DUMMYFUNCTION("""COMPUTED_VALUE"""),"MEDICO CIRUJANO LEY 19664")</f>
        <v>MEDICO CIRUJANO LEY 19664</v>
      </c>
      <c r="I144" t="str">
        <f>IFERROR(__xludf.DUMMYFUNCTION("""COMPUTED_VALUE"""),"1/2 Jornada")</f>
        <v>1/2 Jornada</v>
      </c>
      <c r="J144" t="str">
        <f>IFERROR(__xludf.DUMMYFUNCTION("""COMPUTED_VALUE"""),"A CONTRATA")</f>
        <v>A CONTRATA</v>
      </c>
      <c r="L144" t="str">
        <f>IFERROR(__xludf.DUMMYFUNCTION("""COMPUTED_VALUE"""),"NO")</f>
        <v>NO</v>
      </c>
      <c r="M144">
        <f>IFERROR(__xludf.DUMMYFUNCTION("""COMPUTED_VALUE"""),0.0)</f>
        <v>0</v>
      </c>
      <c r="N144" t="str">
        <f>IFERROR(__xludf.DUMMYFUNCTION("""COMPUTED_VALUE"""),"EXTERNO")</f>
        <v>EXTERNO</v>
      </c>
      <c r="O144">
        <f>IFERROR(__xludf.DUMMYFUNCTION("""COMPUTED_VALUE"""),6.0)</f>
        <v>6</v>
      </c>
      <c r="P144">
        <f>IFERROR(__xludf.DUMMYFUNCTION("""COMPUTED_VALUE"""),2.0)</f>
        <v>2</v>
      </c>
      <c r="Q144">
        <f>IFERROR(__xludf.DUMMYFUNCTION("""COMPUTED_VALUE"""),0.0)</f>
        <v>0</v>
      </c>
      <c r="R144" s="45" t="str">
        <f>IFERROR(__xludf.DUMMYFUNCTION("""COMPUTED_VALUE"""),"SELECCIONADO")</f>
        <v>SELECCIONADO</v>
      </c>
      <c r="S144" s="38">
        <f>IFERROR(__xludf.DUMMYFUNCTION("""COMPUTED_VALUE"""),43298.0)</f>
        <v>43298</v>
      </c>
      <c r="U144" t="str">
        <f>IFERROR(__xludf.DUMMYFUNCTION("""COMPUTED_VALUE"""),"JORGE DOBBS LIZANA")</f>
        <v>JORGE DOBBS LIZANA</v>
      </c>
      <c r="V144" t="str">
        <f>IFERROR(__xludf.DUMMYFUNCTION("""COMPUTED_VALUE"""),"10328126-1")</f>
        <v>10328126-1</v>
      </c>
      <c r="W144" t="str">
        <f>IFERROR(__xludf.DUMMYFUNCTION("""COMPUTED_VALUE"""),"SI")</f>
        <v>SI</v>
      </c>
      <c r="X144" t="str">
        <f>IFERROR(__xludf.DUMMYFUNCTION("""COMPUTED_VALUE"""),"Capacidad de Planificacion y Organizacion")</f>
        <v>Capacidad de Planificacion y Organizacion</v>
      </c>
      <c r="AA144" s="38">
        <f>IFERROR(__xludf.DUMMYFUNCTION("""COMPUTED_VALUE"""),43257.0)</f>
        <v>43257</v>
      </c>
      <c r="AB144" s="38">
        <f>IFERROR(__xludf.DUMMYFUNCTION("""COMPUTED_VALUE"""),43264.0)</f>
        <v>43264</v>
      </c>
      <c r="AH144" t="str">
        <f>IFERROR(__xludf.DUMMYFUNCTION("""COMPUTED_VALUE"""),"PROCESO DE SELECCIÓN")</f>
        <v>PROCESO DE SELECCIÓN</v>
      </c>
      <c r="AI144" t="str">
        <f>IFERROR(__xludf.DUMMYFUNCTION("""COMPUTED_VALUE"""),"GUTIERREZ PEÑAILILLO PAULINA")</f>
        <v>GUTIERREZ PEÑAILILLO PAULINA</v>
      </c>
      <c r="AK144" t="str">
        <f>IFERROR(__xludf.DUMMYFUNCTION("""COMPUTED_VALUE"""),"C")</f>
        <v>C</v>
      </c>
      <c r="AL144">
        <f>IFERROR(__xludf.DUMMYFUNCTION("""COMPUTED_VALUE"""),25.0)</f>
        <v>25</v>
      </c>
      <c r="AM144">
        <f>IFERROR(__xludf.DUMMYFUNCTION("""COMPUTED_VALUE"""),2018.0)</f>
        <v>2018</v>
      </c>
    </row>
    <row r="145">
      <c r="A145">
        <f>IFERROR(__xludf.DUMMYFUNCTION("""COMPUTED_VALUE"""),1.7306385E7)</f>
        <v>17306385</v>
      </c>
      <c r="B145">
        <f>IFERROR(__xludf.DUMMYFUNCTION("""COMPUTED_VALUE"""),47.0)</f>
        <v>47</v>
      </c>
      <c r="C145" t="str">
        <f>IFERROR(__xludf.DUMMYFUNCTION("""COMPUTED_VALUE"""),"IR2018-01")</f>
        <v>IR2018-01</v>
      </c>
      <c r="D145" t="str">
        <f>IFERROR(__xludf.DUMMYFUNCTION("""COMPUTED_VALUE"""),"INGRESAR CENTRO DE COSTO A LA DERECHA")</f>
        <v>INGRESAR CENTRO DE COSTO A LA DERECHA</v>
      </c>
      <c r="E145" t="str">
        <f>IFERROR(__xludf.DUMMYFUNCTION("""COMPUTED_VALUE"""),"DPTO. DE EXTENSION")</f>
        <v>DPTO. DE EXTENSION</v>
      </c>
      <c r="F145" t="str">
        <f>IFERROR(__xludf.DUMMYFUNCTION("""COMPUTED_VALUE"""),"Asistente de Grupo Artistico")</f>
        <v>Asistente de Grupo Artistico</v>
      </c>
      <c r="G145" t="str">
        <f>IFERROR(__xludf.DUMMYFUNCTION("""COMPUTED_VALUE"""),"ASISTENTE GRUPO ARTISTICO ( INSPECTOR DE ORQUESTA)")</f>
        <v>ASISTENTE GRUPO ARTISTICO ( INSPECTOR DE ORQUESTA)</v>
      </c>
      <c r="H145">
        <f>IFERROR(__xludf.DUMMYFUNCTION("""COMPUTED_VALUE"""),20.0)</f>
        <v>20</v>
      </c>
      <c r="I145" t="str">
        <f>IFERROR(__xludf.DUMMYFUNCTION("""COMPUTED_VALUE"""),"Jornada Completa")</f>
        <v>Jornada Completa</v>
      </c>
      <c r="J145" t="str">
        <f>IFERROR(__xludf.DUMMYFUNCTION("""COMPUTED_VALUE"""),"A CONTRATA")</f>
        <v>A CONTRATA</v>
      </c>
      <c r="K145" t="str">
        <f>IFERROR(__xludf.DUMMYFUNCTION("""COMPUTED_VALUE"""),"TECNICO")</f>
        <v>TECNICO</v>
      </c>
      <c r="L145" t="str">
        <f>IFERROR(__xludf.DUMMYFUNCTION("""COMPUTED_VALUE"""),"INTERNO")</f>
        <v>INTERNO</v>
      </c>
      <c r="M145">
        <f>IFERROR(__xludf.DUMMYFUNCTION("""COMPUTED_VALUE"""),1.0)</f>
        <v>1</v>
      </c>
      <c r="N145" t="str">
        <f>IFERROR(__xludf.DUMMYFUNCTION("""COMPUTED_VALUE"""),"EXTERNO")</f>
        <v>EXTERNO</v>
      </c>
      <c r="O145">
        <f>IFERROR(__xludf.DUMMYFUNCTION("""COMPUTED_VALUE"""),2.0)</f>
        <v>2</v>
      </c>
      <c r="P145">
        <f>IFERROR(__xludf.DUMMYFUNCTION("""COMPUTED_VALUE"""),1.0)</f>
        <v>1</v>
      </c>
      <c r="Q145">
        <f>IFERROR(__xludf.DUMMYFUNCTION("""COMPUTED_VALUE"""),0.0)</f>
        <v>0</v>
      </c>
      <c r="R145" s="45" t="str">
        <f>IFERROR(__xludf.DUMMYFUNCTION("""COMPUTED_VALUE"""),"SELECCIONADA")</f>
        <v>SELECCIONADA</v>
      </c>
      <c r="S145" s="38">
        <f>IFERROR(__xludf.DUMMYFUNCTION("""COMPUTED_VALUE"""),43313.0)</f>
        <v>43313</v>
      </c>
      <c r="U145" t="str">
        <f>IFERROR(__xludf.DUMMYFUNCTION("""COMPUTED_VALUE"""),"DANIELA ZAMORANO GONZALEZ")</f>
        <v>DANIELA ZAMORANO GONZALEZ</v>
      </c>
      <c r="V145" t="str">
        <f>IFERROR(__xludf.DUMMYFUNCTION("""COMPUTED_VALUE"""),"17306385-7")</f>
        <v>17306385-7</v>
      </c>
      <c r="W145" t="str">
        <f>IFERROR(__xludf.DUMMYFUNCTION("""COMPUTED_VALUE"""),"NO")</f>
        <v>NO</v>
      </c>
      <c r="AA145" s="38">
        <f>IFERROR(__xludf.DUMMYFUNCTION("""COMPUTED_VALUE"""),43279.0)</f>
        <v>43279</v>
      </c>
      <c r="AB145" s="38">
        <f>IFERROR(__xludf.DUMMYFUNCTION("""COMPUTED_VALUE"""),43283.0)</f>
        <v>43283</v>
      </c>
      <c r="AH145" t="str">
        <f>IFERROR(__xludf.DUMMYFUNCTION("""COMPUTED_VALUE"""),"PROCESO DE SELECCIÓN")</f>
        <v>PROCESO DE SELECCIÓN</v>
      </c>
      <c r="AI145" t="str">
        <f>IFERROR(__xludf.DUMMYFUNCTION("""COMPUTED_VALUE"""),"GONZALEZ RECABAL CARLOS")</f>
        <v>GONZALEZ RECABAL CARLOS</v>
      </c>
      <c r="AK145" t="str">
        <f>IFERROR(__xludf.DUMMYFUNCTION("""COMPUTED_VALUE"""),"C")</f>
        <v>C</v>
      </c>
      <c r="AL145">
        <f>IFERROR(__xludf.DUMMYFUNCTION("""COMPUTED_VALUE"""),23.0)</f>
        <v>23</v>
      </c>
      <c r="AM145">
        <f>IFERROR(__xludf.DUMMYFUNCTION("""COMPUTED_VALUE"""),2018.0)</f>
        <v>2018</v>
      </c>
    </row>
    <row r="146">
      <c r="A146">
        <f>IFERROR(__xludf.DUMMYFUNCTION("""COMPUTED_VALUE"""),1.3661288E7)</f>
        <v>13661288</v>
      </c>
      <c r="B146">
        <f>IFERROR(__xludf.DUMMYFUNCTION("""COMPUTED_VALUE"""),48.0)</f>
        <v>48</v>
      </c>
      <c r="D146" t="str">
        <f>IFERROR(__xludf.DUMMYFUNCTION("""COMPUTED_VALUE"""),"INGRESAR CENTRO DE COSTO A LA DERECHA")</f>
        <v>INGRESAR CENTRO DE COSTO A LA DERECHA</v>
      </c>
      <c r="E146" t="str">
        <f>IFERROR(__xludf.DUMMYFUNCTION("""COMPUTED_VALUE"""),"FACULTAD DE CIENCIAS MEDICAS")</f>
        <v>FACULTAD DE CIENCIAS MEDICAS</v>
      </c>
      <c r="F146" t="str">
        <f>IFERROR(__xludf.DUMMYFUNCTION("""COMPUTED_VALUE"""),"Secretario(a) de Apoyo Docente")</f>
        <v>Secretario(a) de Apoyo Docente</v>
      </c>
      <c r="G146" t="str">
        <f>IFERROR(__xludf.DUMMYFUNCTION("""COMPUTED_VALUE"""),"SECRETARIA DE APOYO DOCENTE ( EDIFICIO INTECTUR)")</f>
        <v>SECRETARIA DE APOYO DOCENTE ( EDIFICIO INTECTUR)</v>
      </c>
      <c r="H146">
        <f>IFERROR(__xludf.DUMMYFUNCTION("""COMPUTED_VALUE"""),17.0)</f>
        <v>17</v>
      </c>
      <c r="I146" t="str">
        <f>IFERROR(__xludf.DUMMYFUNCTION("""COMPUTED_VALUE"""),"Jornada Completa")</f>
        <v>Jornada Completa</v>
      </c>
      <c r="J146" t="str">
        <f>IFERROR(__xludf.DUMMYFUNCTION("""COMPUTED_VALUE"""),"A CONTRATA")</f>
        <v>A CONTRATA</v>
      </c>
      <c r="K146" t="str">
        <f>IFERROR(__xludf.DUMMYFUNCTION("""COMPUTED_VALUE"""),"ADMINISTRATIVO")</f>
        <v>ADMINISTRATIVO</v>
      </c>
      <c r="L146" t="str">
        <f>IFERROR(__xludf.DUMMYFUNCTION("""COMPUTED_VALUE"""),"INTERNO")</f>
        <v>INTERNO</v>
      </c>
      <c r="M146">
        <f>IFERROR(__xludf.DUMMYFUNCTION("""COMPUTED_VALUE"""),3.0)</f>
        <v>3</v>
      </c>
      <c r="N146" t="str">
        <f>IFERROR(__xludf.DUMMYFUNCTION("""COMPUTED_VALUE"""),"EXTERNO")</f>
        <v>EXTERNO</v>
      </c>
      <c r="O146">
        <f>IFERROR(__xludf.DUMMYFUNCTION("""COMPUTED_VALUE"""),17.0)</f>
        <v>17</v>
      </c>
      <c r="P146">
        <f>IFERROR(__xludf.DUMMYFUNCTION("""COMPUTED_VALUE"""),4.0)</f>
        <v>4</v>
      </c>
      <c r="Q146">
        <f>IFERROR(__xludf.DUMMYFUNCTION("""COMPUTED_VALUE"""),0.0)</f>
        <v>0</v>
      </c>
      <c r="R146" s="45" t="str">
        <f>IFERROR(__xludf.DUMMYFUNCTION("""COMPUTED_VALUE"""),"SELECCIONADA")</f>
        <v>SELECCIONADA</v>
      </c>
      <c r="S146" s="38">
        <f>IFERROR(__xludf.DUMMYFUNCTION("""COMPUTED_VALUE"""),43299.0)</f>
        <v>43299</v>
      </c>
      <c r="U146" t="str">
        <f>IFERROR(__xludf.DUMMYFUNCTION("""COMPUTED_VALUE"""),"CAROLINA GARCIA VILLALOBOS")</f>
        <v>CAROLINA GARCIA VILLALOBOS</v>
      </c>
      <c r="V146" t="str">
        <f>IFERROR(__xludf.DUMMYFUNCTION("""COMPUTED_VALUE"""),"13661288-3")</f>
        <v>13661288-3</v>
      </c>
      <c r="W146" t="str">
        <f>IFERROR(__xludf.DUMMYFUNCTION("""COMPUTED_VALUE"""),"SI")</f>
        <v>SI</v>
      </c>
      <c r="X146" t="str">
        <f>IFERROR(__xludf.DUMMYFUNCTION("""COMPUTED_VALUE"""),"Iniciativa")</f>
        <v>Iniciativa</v>
      </c>
      <c r="AA146" s="38">
        <f>IFERROR(__xludf.DUMMYFUNCTION("""COMPUTED_VALUE"""),43242.0)</f>
        <v>43242</v>
      </c>
      <c r="AB146" s="38">
        <f>IFERROR(__xludf.DUMMYFUNCTION("""COMPUTED_VALUE"""),43248.0)</f>
        <v>43248</v>
      </c>
      <c r="AH146" t="str">
        <f>IFERROR(__xludf.DUMMYFUNCTION("""COMPUTED_VALUE"""),"PROCESO DE SELECCIÓN")</f>
        <v>PROCESO DE SELECCIÓN</v>
      </c>
      <c r="AI146" t="str">
        <f>IFERROR(__xludf.DUMMYFUNCTION("""COMPUTED_VALUE"""),"-")</f>
        <v>-</v>
      </c>
      <c r="AK146" t="str">
        <f>IFERROR(__xludf.DUMMYFUNCTION("""COMPUTED_VALUE"""),"E")</f>
        <v>E</v>
      </c>
      <c r="AL146">
        <f>IFERROR(__xludf.DUMMYFUNCTION("""COMPUTED_VALUE"""),38.0)</f>
        <v>38</v>
      </c>
      <c r="AM146">
        <f>IFERROR(__xludf.DUMMYFUNCTION("""COMPUTED_VALUE"""),2018.0)</f>
        <v>2018</v>
      </c>
    </row>
    <row r="147">
      <c r="A147">
        <f>IFERROR(__xludf.DUMMYFUNCTION("""COMPUTED_VALUE"""),1.8305027E7)</f>
        <v>18305027</v>
      </c>
      <c r="B147">
        <f>IFERROR(__xludf.DUMMYFUNCTION("""COMPUTED_VALUE"""),49.0)</f>
        <v>49</v>
      </c>
      <c r="C147" t="str">
        <f>IFERROR(__xludf.DUMMYFUNCTION("""COMPUTED_VALUE"""),"A212")</f>
        <v>A212</v>
      </c>
      <c r="D147" t="str">
        <f>IFERROR(__xludf.DUMMYFUNCTION("""COMPUTED_VALUE"""),"INGRESAR CENTRO DE COSTO A LA DERECHA")</f>
        <v>INGRESAR CENTRO DE COSTO A LA DERECHA</v>
      </c>
      <c r="E147" t="str">
        <f>IFERROR(__xludf.DUMMYFUNCTION("""COMPUTED_VALUE"""),"UNIDAD DE BIBLIOTECAS")</f>
        <v>UNIDAD DE BIBLIOTECAS</v>
      </c>
      <c r="F147" t="str">
        <f>IFERROR(__xludf.DUMMYFUNCTION("""COMPUTED_VALUE"""),"Bibliotecario(a)")</f>
        <v>Bibliotecario(a)</v>
      </c>
      <c r="G147" t="str">
        <f>IFERROR(__xludf.DUMMYFUNCTION("""COMPUTED_VALUE"""),"BIBLIOTECARIO")</f>
        <v>BIBLIOTECARIO</v>
      </c>
      <c r="H147">
        <f>IFERROR(__xludf.DUMMYFUNCTION("""COMPUTED_VALUE"""),14.0)</f>
        <v>14</v>
      </c>
      <c r="I147" t="str">
        <f>IFERROR(__xludf.DUMMYFUNCTION("""COMPUTED_VALUE"""),"Jornada Completa")</f>
        <v>Jornada Completa</v>
      </c>
      <c r="J147" t="str">
        <f>IFERROR(__xludf.DUMMYFUNCTION("""COMPUTED_VALUE"""),"A CONTRATA")</f>
        <v>A CONTRATA</v>
      </c>
      <c r="K147" t="str">
        <f>IFERROR(__xludf.DUMMYFUNCTION("""COMPUTED_VALUE"""),"PROFESIONAL")</f>
        <v>PROFESIONAL</v>
      </c>
      <c r="L147" t="str">
        <f>IFERROR(__xludf.DUMMYFUNCTION("""COMPUTED_VALUE"""),"INTERNO")</f>
        <v>INTERNO</v>
      </c>
      <c r="M147">
        <f>IFERROR(__xludf.DUMMYFUNCTION("""COMPUTED_VALUE"""),0.0)</f>
        <v>0</v>
      </c>
      <c r="N147" t="str">
        <f>IFERROR(__xludf.DUMMYFUNCTION("""COMPUTED_VALUE"""),"EXTERNO")</f>
        <v>EXTERNO</v>
      </c>
      <c r="O147">
        <f>IFERROR(__xludf.DUMMYFUNCTION("""COMPUTED_VALUE"""),16.0)</f>
        <v>16</v>
      </c>
      <c r="P147">
        <f>IFERROR(__xludf.DUMMYFUNCTION("""COMPUTED_VALUE"""),2.0)</f>
        <v>2</v>
      </c>
      <c r="Q147">
        <f>IFERROR(__xludf.DUMMYFUNCTION("""COMPUTED_VALUE"""),0.0)</f>
        <v>0</v>
      </c>
      <c r="R147" s="45" t="str">
        <f>IFERROR(__xludf.DUMMYFUNCTION("""COMPUTED_VALUE"""),"SELECCIONADA")</f>
        <v>SELECCIONADA</v>
      </c>
      <c r="S147" s="38">
        <f>IFERROR(__xludf.DUMMYFUNCTION("""COMPUTED_VALUE"""),43313.0)</f>
        <v>43313</v>
      </c>
      <c r="U147" t="str">
        <f>IFERROR(__xludf.DUMMYFUNCTION("""COMPUTED_VALUE"""),"FRESIA TAPIA PEREZ")</f>
        <v>FRESIA TAPIA PEREZ</v>
      </c>
      <c r="V147" t="str">
        <f>IFERROR(__xludf.DUMMYFUNCTION("""COMPUTED_VALUE"""),"18305027-3")</f>
        <v>18305027-3</v>
      </c>
      <c r="W147" t="str">
        <f>IFERROR(__xludf.DUMMYFUNCTION("""COMPUTED_VALUE"""),"SI")</f>
        <v>SI</v>
      </c>
      <c r="X147" t="str">
        <f>IFERROR(__xludf.DUMMYFUNCTION("""COMPUTED_VALUE"""),"Trabajo en Equipo")</f>
        <v>Trabajo en Equipo</v>
      </c>
      <c r="AA147" s="38">
        <f>IFERROR(__xludf.DUMMYFUNCTION("""COMPUTED_VALUE"""),43259.0)</f>
        <v>43259</v>
      </c>
      <c r="AB147" s="38">
        <f>IFERROR(__xludf.DUMMYFUNCTION("""COMPUTED_VALUE"""),43264.0)</f>
        <v>43264</v>
      </c>
      <c r="AH147" t="str">
        <f>IFERROR(__xludf.DUMMYFUNCTION("""COMPUTED_VALUE"""),"PROCESO DE SELECCIÓN")</f>
        <v>PROCESO DE SELECCIÓN</v>
      </c>
      <c r="AI147" t="str">
        <f>IFERROR(__xludf.DUMMYFUNCTION("""COMPUTED_VALUE"""),"CEPEDA BRITO OLENKHA")</f>
        <v>CEPEDA BRITO OLENKHA</v>
      </c>
      <c r="AK147" t="str">
        <f>IFERROR(__xludf.DUMMYFUNCTION("""COMPUTED_VALUE"""),"E")</f>
        <v>E</v>
      </c>
      <c r="AL147">
        <f>IFERROR(__xludf.DUMMYFUNCTION("""COMPUTED_VALUE"""),36.0)</f>
        <v>36</v>
      </c>
      <c r="AM147">
        <f>IFERROR(__xludf.DUMMYFUNCTION("""COMPUTED_VALUE"""),2018.0)</f>
        <v>2018</v>
      </c>
    </row>
    <row r="148">
      <c r="A148">
        <f>IFERROR(__xludf.DUMMYFUNCTION("""COMPUTED_VALUE"""),1.7030596E7)</f>
        <v>17030596</v>
      </c>
      <c r="B148">
        <f>IFERROR(__xludf.DUMMYFUNCTION("""COMPUTED_VALUE"""),50.0)</f>
        <v>50</v>
      </c>
      <c r="C148" t="str">
        <f>IFERROR(__xludf.DUMMYFUNCTION("""COMPUTED_VALUE"""),"S/F")</f>
        <v>S/F</v>
      </c>
      <c r="D148" t="str">
        <f>IFERROR(__xludf.DUMMYFUNCTION("""COMPUTED_VALUE"""),"INGRESAR CENTRO DE COSTO A LA DERECHA")</f>
        <v>INGRESAR CENTRO DE COSTO A LA DERECHA</v>
      </c>
      <c r="E148" t="str">
        <f>IFERROR(__xludf.DUMMYFUNCTION("""COMPUTED_VALUE"""),"VR. DE POSTGRADO")</f>
        <v>VR. DE POSTGRADO</v>
      </c>
      <c r="F148" t="str">
        <f>IFERROR(__xludf.DUMMYFUNCTION("""COMPUTED_VALUE"""),"Analista de Gestión I")</f>
        <v>Analista de Gestión I</v>
      </c>
      <c r="G148" t="str">
        <f>IFERROR(__xludf.DUMMYFUNCTION("""COMPUTED_VALUE"""),"ANALISTA DE GESTION I ")</f>
        <v>ANALISTA DE GESTION I </v>
      </c>
      <c r="H148">
        <f>IFERROR(__xludf.DUMMYFUNCTION("""COMPUTED_VALUE"""),10.0)</f>
        <v>10</v>
      </c>
      <c r="I148" t="str">
        <f>IFERROR(__xludf.DUMMYFUNCTION("""COMPUTED_VALUE"""),"Jornada Completa")</f>
        <v>Jornada Completa</v>
      </c>
      <c r="J148" t="str">
        <f>IFERROR(__xludf.DUMMYFUNCTION("""COMPUTED_VALUE"""),"A CONTRATA")</f>
        <v>A CONTRATA</v>
      </c>
      <c r="K148" t="str">
        <f>IFERROR(__xludf.DUMMYFUNCTION("""COMPUTED_VALUE"""),"PROFESIONAL")</f>
        <v>PROFESIONAL</v>
      </c>
      <c r="L148" t="str">
        <f>IFERROR(__xludf.DUMMYFUNCTION("""COMPUTED_VALUE"""),"INTERNO")</f>
        <v>INTERNO</v>
      </c>
      <c r="M148">
        <f>IFERROR(__xludf.DUMMYFUNCTION("""COMPUTED_VALUE"""),2.0)</f>
        <v>2</v>
      </c>
      <c r="N148" t="str">
        <f>IFERROR(__xludf.DUMMYFUNCTION("""COMPUTED_VALUE"""),"EXTERNO")</f>
        <v>EXTERNO</v>
      </c>
      <c r="O148">
        <f>IFERROR(__xludf.DUMMYFUNCTION("""COMPUTED_VALUE"""),32.0)</f>
        <v>32</v>
      </c>
      <c r="P148">
        <f>IFERROR(__xludf.DUMMYFUNCTION("""COMPUTED_VALUE"""),3.0)</f>
        <v>3</v>
      </c>
      <c r="Q148">
        <f>IFERROR(__xludf.DUMMYFUNCTION("""COMPUTED_VALUE"""),0.0)</f>
        <v>0</v>
      </c>
      <c r="R148" s="45" t="str">
        <f>IFERROR(__xludf.DUMMYFUNCTION("""COMPUTED_VALUE"""),"SELECCIONADA")</f>
        <v>SELECCIONADA</v>
      </c>
      <c r="S148" s="38">
        <f>IFERROR(__xludf.DUMMYFUNCTION("""COMPUTED_VALUE"""),43318.0)</f>
        <v>43318</v>
      </c>
      <c r="U148" t="str">
        <f>IFERROR(__xludf.DUMMYFUNCTION("""COMPUTED_VALUE"""),"CLAUDIA ARENAS YANTORNO")</f>
        <v>CLAUDIA ARENAS YANTORNO</v>
      </c>
      <c r="V148" t="str">
        <f>IFERROR(__xludf.DUMMYFUNCTION("""COMPUTED_VALUE"""),"17030596-5")</f>
        <v>17030596-5</v>
      </c>
      <c r="W148" t="str">
        <f>IFERROR(__xludf.DUMMYFUNCTION("""COMPUTED_VALUE"""),"NO")</f>
        <v>NO</v>
      </c>
      <c r="AA148" s="38">
        <f>IFERROR(__xludf.DUMMYFUNCTION("""COMPUTED_VALUE"""),43259.0)</f>
        <v>43259</v>
      </c>
      <c r="AB148" s="38">
        <f>IFERROR(__xludf.DUMMYFUNCTION("""COMPUTED_VALUE"""),43266.0)</f>
        <v>43266</v>
      </c>
      <c r="AH148" t="str">
        <f>IFERROR(__xludf.DUMMYFUNCTION("""COMPUTED_VALUE"""),"PROCESO DE SELECCIÓN")</f>
        <v>PROCESO DE SELECCIÓN</v>
      </c>
      <c r="AI148" t="str">
        <f>IFERROR(__xludf.DUMMYFUNCTION("""COMPUTED_VALUE"""),"- ")</f>
        <v>- </v>
      </c>
      <c r="AL148">
        <f>IFERROR(__xludf.DUMMYFUNCTION("""COMPUTED_VALUE"""),37.0)</f>
        <v>37</v>
      </c>
      <c r="AM148">
        <f>IFERROR(__xludf.DUMMYFUNCTION("""COMPUTED_VALUE"""),2018.0)</f>
        <v>2018</v>
      </c>
    </row>
    <row r="149">
      <c r="A149">
        <f>IFERROR(__xludf.DUMMYFUNCTION("""COMPUTED_VALUE"""),1.728677E7)</f>
        <v>17286770</v>
      </c>
      <c r="B149">
        <f>IFERROR(__xludf.DUMMYFUNCTION("""COMPUTED_VALUE"""),51.0)</f>
        <v>51</v>
      </c>
      <c r="C149" t="str">
        <f>IFERROR(__xludf.DUMMYFUNCTION("""COMPUTED_VALUE"""),"A213")</f>
        <v>A213</v>
      </c>
      <c r="D149" t="str">
        <f>IFERROR(__xludf.DUMMYFUNCTION("""COMPUTED_VALUE"""),"INGRESAR CENTRO DE COSTO A LA DERECHA")</f>
        <v>INGRESAR CENTRO DE COSTO A LA DERECHA</v>
      </c>
      <c r="E149" t="str">
        <f>IFERROR(__xludf.DUMMYFUNCTION("""COMPUTED_VALUE"""),"DPTO. DE RECURSOS HUMANOS")</f>
        <v>DPTO. DE RECURSOS HUMANOS</v>
      </c>
      <c r="F149" t="str">
        <f>IFERROR(__xludf.DUMMYFUNCTION("""COMPUTED_VALUE"""),"Administrativo(a) de Proceso")</f>
        <v>Administrativo(a) de Proceso</v>
      </c>
      <c r="G149" t="str">
        <f>IFERROR(__xludf.DUMMYFUNCTION("""COMPUTED_VALUE"""),"ADMINISTRATIVO DE PROCESO")</f>
        <v>ADMINISTRATIVO DE PROCESO</v>
      </c>
      <c r="H149">
        <f>IFERROR(__xludf.DUMMYFUNCTION("""COMPUTED_VALUE"""),17.0)</f>
        <v>17</v>
      </c>
      <c r="I149" t="str">
        <f>IFERROR(__xludf.DUMMYFUNCTION("""COMPUTED_VALUE"""),"Jornada Completa")</f>
        <v>Jornada Completa</v>
      </c>
      <c r="J149" t="str">
        <f>IFERROR(__xludf.DUMMYFUNCTION("""COMPUTED_VALUE"""),"A CONTRATA")</f>
        <v>A CONTRATA</v>
      </c>
      <c r="K149" t="str">
        <f>IFERROR(__xludf.DUMMYFUNCTION("""COMPUTED_VALUE"""),"ADMINISTRATIVO")</f>
        <v>ADMINISTRATIVO</v>
      </c>
      <c r="L149" t="str">
        <f>IFERROR(__xludf.DUMMYFUNCTION("""COMPUTED_VALUE"""),"INTERNO")</f>
        <v>INTERNO</v>
      </c>
      <c r="M149">
        <f>IFERROR(__xludf.DUMMYFUNCTION("""COMPUTED_VALUE"""),6.0)</f>
        <v>6</v>
      </c>
      <c r="N149" t="str">
        <f>IFERROR(__xludf.DUMMYFUNCTION("""COMPUTED_VALUE"""),"NO")</f>
        <v>NO</v>
      </c>
      <c r="O149">
        <f>IFERROR(__xludf.DUMMYFUNCTION("""COMPUTED_VALUE"""),0.0)</f>
        <v>0</v>
      </c>
      <c r="P149">
        <f>IFERROR(__xludf.DUMMYFUNCTION("""COMPUTED_VALUE"""),3.0)</f>
        <v>3</v>
      </c>
      <c r="Q149">
        <f>IFERROR(__xludf.DUMMYFUNCTION("""COMPUTED_VALUE"""),0.0)</f>
        <v>0</v>
      </c>
      <c r="R149" s="45" t="str">
        <f>IFERROR(__xludf.DUMMYFUNCTION("""COMPUTED_VALUE"""),"SELECCIONADA")</f>
        <v>SELECCIONADA</v>
      </c>
      <c r="S149" s="38">
        <f>IFERROR(__xludf.DUMMYFUNCTION("""COMPUTED_VALUE"""),43315.0)</f>
        <v>43315</v>
      </c>
      <c r="T149" t="str">
        <f>IFERROR(__xludf.DUMMYFUNCTION("""COMPUTED_VALUE"""),"VILLAR SANDOVAL SILVANA")</f>
        <v>VILLAR SANDOVAL SILVANA</v>
      </c>
      <c r="V149" t="str">
        <f>IFERROR(__xludf.DUMMYFUNCTION("""COMPUTED_VALUE"""),"17286770-7")</f>
        <v>17286770-7</v>
      </c>
      <c r="W149" t="str">
        <f>IFERROR(__xludf.DUMMYFUNCTION("""COMPUTED_VALUE"""),"NO")</f>
        <v>NO</v>
      </c>
      <c r="AA149" s="38">
        <f>IFERROR(__xludf.DUMMYFUNCTION("""COMPUTED_VALUE"""),43273.0)</f>
        <v>43273</v>
      </c>
      <c r="AB149" s="38">
        <f>IFERROR(__xludf.DUMMYFUNCTION("""COMPUTED_VALUE"""),43277.0)</f>
        <v>43277</v>
      </c>
      <c r="AH149" t="str">
        <f>IFERROR(__xludf.DUMMYFUNCTION("""COMPUTED_VALUE"""),"PROCESO DE SELECCIÓN")</f>
        <v>PROCESO DE SELECCIÓN</v>
      </c>
      <c r="AI149" t="str">
        <f>IFERROR(__xludf.DUMMYFUNCTION("""COMPUTED_VALUE"""),"ORDENES GARAY KATYA")</f>
        <v>ORDENES GARAY KATYA</v>
      </c>
      <c r="AK149" t="str">
        <f>IFERROR(__xludf.DUMMYFUNCTION("""COMPUTED_VALUE"""),"C")</f>
        <v>C</v>
      </c>
      <c r="AL149">
        <f>IFERROR(__xludf.DUMMYFUNCTION("""COMPUTED_VALUE"""),29.0)</f>
        <v>29</v>
      </c>
      <c r="AM149">
        <f>IFERROR(__xludf.DUMMYFUNCTION("""COMPUTED_VALUE"""),2018.0)</f>
        <v>2018</v>
      </c>
    </row>
    <row r="150">
      <c r="A150">
        <f>IFERROR(__xludf.DUMMYFUNCTION("""COMPUTED_VALUE"""),1.5463491E7)</f>
        <v>15463491</v>
      </c>
      <c r="B150">
        <f>IFERROR(__xludf.DUMMYFUNCTION("""COMPUTED_VALUE"""),52.0)</f>
        <v>52</v>
      </c>
      <c r="C150" t="str">
        <f>IFERROR(__xludf.DUMMYFUNCTION("""COMPUTED_VALUE"""),"IR2018-04")</f>
        <v>IR2018-04</v>
      </c>
      <c r="D150" t="str">
        <f>IFERROR(__xludf.DUMMYFUNCTION("""COMPUTED_VALUE"""),"INGRESAR CENTRO DE COSTO A LA DERECHA")</f>
        <v>INGRESAR CENTRO DE COSTO A LA DERECHA</v>
      </c>
      <c r="E150" t="str">
        <f>IFERROR(__xludf.DUMMYFUNCTION("""COMPUTED_VALUE"""),"UNIDAD DE ATENCION DE SALUD")</f>
        <v>UNIDAD DE ATENCION DE SALUD</v>
      </c>
      <c r="F150" t="str">
        <f>IFERROR(__xludf.DUMMYFUNCTION("""COMPUTED_VALUE"""),"Auxiliar de Enfermería")</f>
        <v>Auxiliar de Enfermería</v>
      </c>
      <c r="G150" t="str">
        <f>IFERROR(__xludf.DUMMYFUNCTION("""COMPUTED_VALUE"""),"AUXILIAR DE ENFERMERIA")</f>
        <v>AUXILIAR DE ENFERMERIA</v>
      </c>
      <c r="H150">
        <f>IFERROR(__xludf.DUMMYFUNCTION("""COMPUTED_VALUE"""),17.0)</f>
        <v>17</v>
      </c>
      <c r="I150" t="str">
        <f>IFERROR(__xludf.DUMMYFUNCTION("""COMPUTED_VALUE"""),"Jornada Completa")</f>
        <v>Jornada Completa</v>
      </c>
      <c r="J150" t="str">
        <f>IFERROR(__xludf.DUMMYFUNCTION("""COMPUTED_VALUE"""),"A CONTRATA")</f>
        <v>A CONTRATA</v>
      </c>
      <c r="K150" t="str">
        <f>IFERROR(__xludf.DUMMYFUNCTION("""COMPUTED_VALUE"""),"TECNICO")</f>
        <v>TECNICO</v>
      </c>
      <c r="L150" t="str">
        <f>IFERROR(__xludf.DUMMYFUNCTION("""COMPUTED_VALUE"""),"INTERNO")</f>
        <v>INTERNO</v>
      </c>
      <c r="M150">
        <f>IFERROR(__xludf.DUMMYFUNCTION("""COMPUTED_VALUE"""),0.0)</f>
        <v>0</v>
      </c>
      <c r="N150" t="str">
        <f>IFERROR(__xludf.DUMMYFUNCTION("""COMPUTED_VALUE"""),"EXTERNO")</f>
        <v>EXTERNO</v>
      </c>
      <c r="O150">
        <f>IFERROR(__xludf.DUMMYFUNCTION("""COMPUTED_VALUE"""),19.0)</f>
        <v>19</v>
      </c>
      <c r="P150">
        <f>IFERROR(__xludf.DUMMYFUNCTION("""COMPUTED_VALUE"""),3.0)</f>
        <v>3</v>
      </c>
      <c r="Q150">
        <f>IFERROR(__xludf.DUMMYFUNCTION("""COMPUTED_VALUE"""),0.0)</f>
        <v>0</v>
      </c>
      <c r="R150" s="45" t="str">
        <f>IFERROR(__xludf.DUMMYFUNCTION("""COMPUTED_VALUE"""),"SELECCIONADA")</f>
        <v>SELECCIONADA</v>
      </c>
      <c r="S150" s="38">
        <f>IFERROR(__xludf.DUMMYFUNCTION("""COMPUTED_VALUE"""),43318.0)</f>
        <v>43318</v>
      </c>
      <c r="U150" t="str">
        <f>IFERROR(__xludf.DUMMYFUNCTION("""COMPUTED_VALUE"""),"MARIA ALVAREZ GALLEGUILLOS")</f>
        <v>MARIA ALVAREZ GALLEGUILLOS</v>
      </c>
      <c r="V150" t="str">
        <f>IFERROR(__xludf.DUMMYFUNCTION("""COMPUTED_VALUE"""),"15463491-6")</f>
        <v>15463491-6</v>
      </c>
      <c r="W150" t="str">
        <f>IFERROR(__xludf.DUMMYFUNCTION("""COMPUTED_VALUE"""),"SI")</f>
        <v>SI</v>
      </c>
      <c r="X150" t="str">
        <f>IFERROR(__xludf.DUMMYFUNCTION("""COMPUTED_VALUE"""),"Trabajo en Equipo")</f>
        <v>Trabajo en Equipo</v>
      </c>
      <c r="AA150" s="38">
        <f>IFERROR(__xludf.DUMMYFUNCTION("""COMPUTED_VALUE"""),43279.0)</f>
        <v>43279</v>
      </c>
      <c r="AB150" s="38">
        <f>IFERROR(__xludf.DUMMYFUNCTION("""COMPUTED_VALUE"""),43285.0)</f>
        <v>43285</v>
      </c>
      <c r="AH150" t="str">
        <f>IFERROR(__xludf.DUMMYFUNCTION("""COMPUTED_VALUE"""),"PROCESO DE SELECCIÓN")</f>
        <v>PROCESO DE SELECCIÓN</v>
      </c>
      <c r="AI150" t="str">
        <f>IFERROR(__xludf.DUMMYFUNCTION("""COMPUTED_VALUE"""),"JARA SANDOVAL LIDIA")</f>
        <v>JARA SANDOVAL LIDIA</v>
      </c>
      <c r="AK150" t="str">
        <f>IFERROR(__xludf.DUMMYFUNCTION("""COMPUTED_VALUE"""),"E")</f>
        <v>E</v>
      </c>
      <c r="AL150">
        <f>IFERROR(__xludf.DUMMYFUNCTION("""COMPUTED_VALUE"""),24.0)</f>
        <v>24</v>
      </c>
      <c r="AM150">
        <f>IFERROR(__xludf.DUMMYFUNCTION("""COMPUTED_VALUE"""),2018.0)</f>
        <v>2018</v>
      </c>
    </row>
    <row r="151">
      <c r="A151">
        <f>IFERROR(__xludf.DUMMYFUNCTION("""COMPUTED_VALUE"""),1.7340975E7)</f>
        <v>17340975</v>
      </c>
      <c r="B151">
        <f>IFERROR(__xludf.DUMMYFUNCTION("""COMPUTED_VALUE"""),53.0)</f>
        <v>53</v>
      </c>
      <c r="D151" t="str">
        <f>IFERROR(__xludf.DUMMYFUNCTION("""COMPUTED_VALUE"""),"INGRESAR CENTRO DE COSTO A LA DERECHA")</f>
        <v>INGRESAR CENTRO DE COSTO A LA DERECHA</v>
      </c>
      <c r="E151" t="str">
        <f>IFERROR(__xludf.DUMMYFUNCTION("""COMPUTED_VALUE"""),"DPTO. DE FINANZAS Y TESORERIA")</f>
        <v>DPTO. DE FINANZAS Y TESORERIA</v>
      </c>
      <c r="F151" t="str">
        <f>IFERROR(__xludf.DUMMYFUNCTION("""COMPUTED_VALUE"""),"Administrativo(a) Especializado")</f>
        <v>Administrativo(a) Especializado</v>
      </c>
      <c r="G151" t="str">
        <f>IFERROR(__xludf.DUMMYFUNCTION("""COMPUTED_VALUE"""),"ADMINISTRATIVO ESPECIALIZADO ( CONTROL Y GESTION)")</f>
        <v>ADMINISTRATIVO ESPECIALIZADO ( CONTROL Y GESTION)</v>
      </c>
      <c r="H151">
        <f>IFERROR(__xludf.DUMMYFUNCTION("""COMPUTED_VALUE"""),12.0)</f>
        <v>12</v>
      </c>
      <c r="I151" t="str">
        <f>IFERROR(__xludf.DUMMYFUNCTION("""COMPUTED_VALUE"""),"Jornada Completa")</f>
        <v>Jornada Completa</v>
      </c>
      <c r="J151" t="str">
        <f>IFERROR(__xludf.DUMMYFUNCTION("""COMPUTED_VALUE"""),"A CONTRATA")</f>
        <v>A CONTRATA</v>
      </c>
      <c r="K151" t="str">
        <f>IFERROR(__xludf.DUMMYFUNCTION("""COMPUTED_VALUE"""),"ADMINISTRATIVO")</f>
        <v>ADMINISTRATIVO</v>
      </c>
      <c r="L151" t="str">
        <f>IFERROR(__xludf.DUMMYFUNCTION("""COMPUTED_VALUE"""),"NO")</f>
        <v>NO</v>
      </c>
      <c r="M151">
        <f>IFERROR(__xludf.DUMMYFUNCTION("""COMPUTED_VALUE"""),0.0)</f>
        <v>0</v>
      </c>
      <c r="N151" t="str">
        <f>IFERROR(__xludf.DUMMYFUNCTION("""COMPUTED_VALUE"""),"EXTERNO")</f>
        <v>EXTERNO</v>
      </c>
      <c r="O151">
        <f>IFERROR(__xludf.DUMMYFUNCTION("""COMPUTED_VALUE"""),9.0)</f>
        <v>9</v>
      </c>
      <c r="P151">
        <f>IFERROR(__xludf.DUMMYFUNCTION("""COMPUTED_VALUE"""),2.0)</f>
        <v>2</v>
      </c>
      <c r="Q151">
        <f>IFERROR(__xludf.DUMMYFUNCTION("""COMPUTED_VALUE"""),0.0)</f>
        <v>0</v>
      </c>
      <c r="R151" s="45" t="str">
        <f>IFERROR(__xludf.DUMMYFUNCTION("""COMPUTED_VALUE"""),"SELECCIONADO")</f>
        <v>SELECCIONADO</v>
      </c>
      <c r="S151" s="38">
        <f>IFERROR(__xludf.DUMMYFUNCTION("""COMPUTED_VALUE"""),43313.0)</f>
        <v>43313</v>
      </c>
      <c r="U151" t="str">
        <f>IFERROR(__xludf.DUMMYFUNCTION("""COMPUTED_VALUE"""),"JONATHAN VALDES HERRERA")</f>
        <v>JONATHAN VALDES HERRERA</v>
      </c>
      <c r="V151" t="str">
        <f>IFERROR(__xludf.DUMMYFUNCTION("""COMPUTED_VALUE"""),"17340975-3")</f>
        <v>17340975-3</v>
      </c>
      <c r="W151" t="str">
        <f>IFERROR(__xludf.DUMMYFUNCTION("""COMPUTED_VALUE"""),"SI")</f>
        <v>SI</v>
      </c>
      <c r="X151" t="str">
        <f>IFERROR(__xludf.DUMMYFUNCTION("""COMPUTED_VALUE"""),"Busqueda de Informacion")</f>
        <v>Busqueda de Informacion</v>
      </c>
      <c r="AA151" s="38">
        <f>IFERROR(__xludf.DUMMYFUNCTION("""COMPUTED_VALUE"""),43278.0)</f>
        <v>43278</v>
      </c>
      <c r="AB151" s="38">
        <f>IFERROR(__xludf.DUMMYFUNCTION("""COMPUTED_VALUE"""),43283.0)</f>
        <v>43283</v>
      </c>
      <c r="AH151" t="str">
        <f>IFERROR(__xludf.DUMMYFUNCTION("""COMPUTED_VALUE"""),"PROCESO DE SELECCIÓN")</f>
        <v>PROCESO DE SELECCIÓN</v>
      </c>
      <c r="AI151" t="str">
        <f>IFERROR(__xludf.DUMMYFUNCTION("""COMPUTED_VALUE"""),"GONZALEZ AVILES FRANCISCA")</f>
        <v>GONZALEZ AVILES FRANCISCA</v>
      </c>
      <c r="AK151" t="str">
        <f>IFERROR(__xludf.DUMMYFUNCTION("""COMPUTED_VALUE"""),"E")</f>
        <v>E</v>
      </c>
      <c r="AL151">
        <f>IFERROR(__xludf.DUMMYFUNCTION("""COMPUTED_VALUE"""),23.0)</f>
        <v>23</v>
      </c>
      <c r="AM151">
        <f>IFERROR(__xludf.DUMMYFUNCTION("""COMPUTED_VALUE"""),2018.0)</f>
        <v>2018</v>
      </c>
    </row>
    <row r="152">
      <c r="A152">
        <f>IFERROR(__xludf.DUMMYFUNCTION("""COMPUTED_VALUE"""),1.6418228E7)</f>
        <v>16418228</v>
      </c>
      <c r="B152">
        <f>IFERROR(__xludf.DUMMYFUNCTION("""COMPUTED_VALUE"""),54.0)</f>
        <v>54</v>
      </c>
      <c r="C152" t="str">
        <f>IFERROR(__xludf.DUMMYFUNCTION("""COMPUTED_VALUE"""),"IR2018-05")</f>
        <v>IR2018-05</v>
      </c>
      <c r="D152" t="str">
        <f>IFERROR(__xludf.DUMMYFUNCTION("""COMPUTED_VALUE"""),"INGRESAR CENTRO DE COSTO A LA DERECHA")</f>
        <v>INGRESAR CENTRO DE COSTO A LA DERECHA</v>
      </c>
      <c r="E152" t="str">
        <f>IFERROR(__xludf.DUMMYFUNCTION("""COMPUTED_VALUE"""),"UNIDAD DE ATENCION DE SALUD")</f>
        <v>UNIDAD DE ATENCION DE SALUD</v>
      </c>
      <c r="F152" t="str">
        <f>IFERROR(__xludf.DUMMYFUNCTION("""COMPUTED_VALUE"""),"Administrativo(a) de Apoyo")</f>
        <v>Administrativo(a) de Apoyo</v>
      </c>
      <c r="G152" t="str">
        <f>IFERROR(__xludf.DUMMYFUNCTION("""COMPUTED_VALUE"""),"ADMINISTRATIVO DE APOYO RECEPCIONISTA")</f>
        <v>ADMINISTRATIVO DE APOYO RECEPCIONISTA</v>
      </c>
      <c r="H152">
        <f>IFERROR(__xludf.DUMMYFUNCTION("""COMPUTED_VALUE"""),20.0)</f>
        <v>20</v>
      </c>
      <c r="I152" t="str">
        <f>IFERROR(__xludf.DUMMYFUNCTION("""COMPUTED_VALUE"""),"Jornada Completa")</f>
        <v>Jornada Completa</v>
      </c>
      <c r="J152" t="str">
        <f>IFERROR(__xludf.DUMMYFUNCTION("""COMPUTED_VALUE"""),"A CONTRATA")</f>
        <v>A CONTRATA</v>
      </c>
      <c r="K152" t="str">
        <f>IFERROR(__xludf.DUMMYFUNCTION("""COMPUTED_VALUE"""),"ADMINISTRATIVO")</f>
        <v>ADMINISTRATIVO</v>
      </c>
      <c r="L152" t="str">
        <f>IFERROR(__xludf.DUMMYFUNCTION("""COMPUTED_VALUE"""),"INTERNO")</f>
        <v>INTERNO</v>
      </c>
      <c r="M152">
        <f>IFERROR(__xludf.DUMMYFUNCTION("""COMPUTED_VALUE"""),1.0)</f>
        <v>1</v>
      </c>
      <c r="N152" t="str">
        <f>IFERROR(__xludf.DUMMYFUNCTION("""COMPUTED_VALUE"""),"NO")</f>
        <v>NO</v>
      </c>
      <c r="O152">
        <f>IFERROR(__xludf.DUMMYFUNCTION("""COMPUTED_VALUE"""),0.0)</f>
        <v>0</v>
      </c>
      <c r="P152">
        <f>IFERROR(__xludf.DUMMYFUNCTION("""COMPUTED_VALUE"""),1.0)</f>
        <v>1</v>
      </c>
      <c r="Q152">
        <f>IFERROR(__xludf.DUMMYFUNCTION("""COMPUTED_VALUE"""),0.0)</f>
        <v>0</v>
      </c>
      <c r="R152" s="45" t="str">
        <f>IFERROR(__xludf.DUMMYFUNCTION("""COMPUTED_VALUE"""),"SELECCIONADO")</f>
        <v>SELECCIONADO</v>
      </c>
      <c r="S152" s="38">
        <f>IFERROR(__xludf.DUMMYFUNCTION("""COMPUTED_VALUE"""),43326.0)</f>
        <v>43326</v>
      </c>
      <c r="T152" t="str">
        <f>IFERROR(__xludf.DUMMYFUNCTION("""COMPUTED_VALUE"""),"HUENUQUEO FERRADA JOSE MANUEL")</f>
        <v>HUENUQUEO FERRADA JOSE MANUEL</v>
      </c>
      <c r="V152" t="str">
        <f>IFERROR(__xludf.DUMMYFUNCTION("""COMPUTED_VALUE"""),"16418228-2")</f>
        <v>16418228-2</v>
      </c>
      <c r="W152" t="str">
        <f>IFERROR(__xludf.DUMMYFUNCTION("""COMPUTED_VALUE"""),"SI")</f>
        <v>SI</v>
      </c>
      <c r="X152" t="str">
        <f>IFERROR(__xludf.DUMMYFUNCTION("""COMPUTED_VALUE"""),"Trabajo en Equipo")</f>
        <v>Trabajo en Equipo</v>
      </c>
      <c r="AA152" s="38">
        <f>IFERROR(__xludf.DUMMYFUNCTION("""COMPUTED_VALUE"""),43273.0)</f>
        <v>43273</v>
      </c>
      <c r="AB152" s="38">
        <f>IFERROR(__xludf.DUMMYFUNCTION("""COMPUTED_VALUE"""),43278.0)</f>
        <v>43278</v>
      </c>
      <c r="AH152" t="str">
        <f>IFERROR(__xludf.DUMMYFUNCTION("""COMPUTED_VALUE"""),"PROCESO DE SELECCIÓN")</f>
        <v>PROCESO DE SELECCIÓN</v>
      </c>
      <c r="AI152" t="str">
        <f>IFERROR(__xludf.DUMMYFUNCTION("""COMPUTED_VALUE"""),"ORELLANA RIVERA DORIS")</f>
        <v>ORELLANA RIVERA DORIS</v>
      </c>
      <c r="AK152" t="str">
        <f>IFERROR(__xludf.DUMMYFUNCTION("""COMPUTED_VALUE"""),"C")</f>
        <v>C</v>
      </c>
      <c r="AL152">
        <f>IFERROR(__xludf.DUMMYFUNCTION("""COMPUTED_VALUE"""),35.0)</f>
        <v>35</v>
      </c>
      <c r="AM152">
        <f>IFERROR(__xludf.DUMMYFUNCTION("""COMPUTED_VALUE"""),2018.0)</f>
        <v>2018</v>
      </c>
    </row>
    <row r="153">
      <c r="A153">
        <f>IFERROR(__xludf.DUMMYFUNCTION("""COMPUTED_VALUE"""),1.4284438E7)</f>
        <v>14284438</v>
      </c>
      <c r="B153">
        <f>IFERROR(__xludf.DUMMYFUNCTION("""COMPUTED_VALUE"""),55.0)</f>
        <v>55</v>
      </c>
      <c r="C153" t="str">
        <f>IFERROR(__xludf.DUMMYFUNCTION("""COMPUTED_VALUE"""),"IR2018-02")</f>
        <v>IR2018-02</v>
      </c>
      <c r="D153" t="str">
        <f>IFERROR(__xludf.DUMMYFUNCTION("""COMPUTED_VALUE"""),"INGRESAR CENTRO DE COSTO A LA DERECHA")</f>
        <v>INGRESAR CENTRO DE COSTO A LA DERECHA</v>
      </c>
      <c r="E153" t="str">
        <f>IFERROR(__xludf.DUMMYFUNCTION("""COMPUTED_VALUE"""),"DPTO. DE INGENIERIA GEOGRAFICA")</f>
        <v>DPTO. DE INGENIERIA GEOGRAFICA</v>
      </c>
      <c r="F153" t="str">
        <f>IFERROR(__xludf.DUMMYFUNCTION("""COMPUTED_VALUE"""),"Mayordomo(a)")</f>
        <v>Mayordomo(a)</v>
      </c>
      <c r="G153" t="str">
        <f>IFERROR(__xludf.DUMMYFUNCTION("""COMPUTED_VALUE"""),"MAYORDOMO")</f>
        <v>MAYORDOMO</v>
      </c>
      <c r="H153">
        <f>IFERROR(__xludf.DUMMYFUNCTION("""COMPUTED_VALUE"""),21.0)</f>
        <v>21</v>
      </c>
      <c r="I153" t="str">
        <f>IFERROR(__xludf.DUMMYFUNCTION("""COMPUTED_VALUE"""),"Jornada Completa")</f>
        <v>Jornada Completa</v>
      </c>
      <c r="J153" t="str">
        <f>IFERROR(__xludf.DUMMYFUNCTION("""COMPUTED_VALUE"""),"A CONTRATA")</f>
        <v>A CONTRATA</v>
      </c>
      <c r="K153" t="str">
        <f>IFERROR(__xludf.DUMMYFUNCTION("""COMPUTED_VALUE"""),"AUXILIAR")</f>
        <v>AUXILIAR</v>
      </c>
      <c r="L153" t="str">
        <f>IFERROR(__xludf.DUMMYFUNCTION("""COMPUTED_VALUE"""),"INTERNO")</f>
        <v>INTERNO</v>
      </c>
      <c r="M153">
        <f>IFERROR(__xludf.DUMMYFUNCTION("""COMPUTED_VALUE"""),1.0)</f>
        <v>1</v>
      </c>
      <c r="N153" t="str">
        <f>IFERROR(__xludf.DUMMYFUNCTION("""COMPUTED_VALUE"""),"NO")</f>
        <v>NO</v>
      </c>
      <c r="O153">
        <f>IFERROR(__xludf.DUMMYFUNCTION("""COMPUTED_VALUE"""),0.0)</f>
        <v>0</v>
      </c>
      <c r="P153">
        <f>IFERROR(__xludf.DUMMYFUNCTION("""COMPUTED_VALUE"""),1.0)</f>
        <v>1</v>
      </c>
      <c r="Q153">
        <f>IFERROR(__xludf.DUMMYFUNCTION("""COMPUTED_VALUE"""),0.0)</f>
        <v>0</v>
      </c>
      <c r="R153" s="45" t="str">
        <f>IFERROR(__xludf.DUMMYFUNCTION("""COMPUTED_VALUE"""),"SELECCIONADO")</f>
        <v>SELECCIONADO</v>
      </c>
      <c r="S153" s="38">
        <f>IFERROR(__xludf.DUMMYFUNCTION("""COMPUTED_VALUE"""),43333.0)</f>
        <v>43333</v>
      </c>
      <c r="T153" t="str">
        <f>IFERROR(__xludf.DUMMYFUNCTION("""COMPUTED_VALUE"""),"BUSTOS SAEZ HUGO RUBEN")</f>
        <v>BUSTOS SAEZ HUGO RUBEN</v>
      </c>
      <c r="V153" t="str">
        <f>IFERROR(__xludf.DUMMYFUNCTION("""COMPUTED_VALUE"""),"14284438-9")</f>
        <v>14284438-9</v>
      </c>
      <c r="W153" t="str">
        <f>IFERROR(__xludf.DUMMYFUNCTION("""COMPUTED_VALUE"""),"SI")</f>
        <v>SI</v>
      </c>
      <c r="X153" t="str">
        <f>IFERROR(__xludf.DUMMYFUNCTION("""COMPUTED_VALUE"""),"Trabajo en Equipo")</f>
        <v>Trabajo en Equipo</v>
      </c>
      <c r="AA153" s="38">
        <f>IFERROR(__xludf.DUMMYFUNCTION("""COMPUTED_VALUE"""),43271.0)</f>
        <v>43271</v>
      </c>
      <c r="AB153" s="38">
        <f>IFERROR(__xludf.DUMMYFUNCTION("""COMPUTED_VALUE"""),43276.0)</f>
        <v>43276</v>
      </c>
      <c r="AH153" t="str">
        <f>IFERROR(__xludf.DUMMYFUNCTION("""COMPUTED_VALUE"""),"PROCESO DE SELECCIÓN")</f>
        <v>PROCESO DE SELECCIÓN</v>
      </c>
      <c r="AI153" t="str">
        <f>IFERROR(__xludf.DUMMYFUNCTION("""COMPUTED_VALUE"""),"PEÑA GODOY JUAN")</f>
        <v>PEÑA GODOY JUAN</v>
      </c>
      <c r="AK153" t="str">
        <f>IFERROR(__xludf.DUMMYFUNCTION("""COMPUTED_VALUE"""),"C")</f>
        <v>C</v>
      </c>
      <c r="AL153">
        <f>IFERROR(__xludf.DUMMYFUNCTION("""COMPUTED_VALUE"""),42.0)</f>
        <v>42</v>
      </c>
      <c r="AM153">
        <f>IFERROR(__xludf.DUMMYFUNCTION("""COMPUTED_VALUE"""),2018.0)</f>
        <v>2018</v>
      </c>
    </row>
    <row r="154">
      <c r="A154">
        <f>IFERROR(__xludf.DUMMYFUNCTION("""COMPUTED_VALUE"""),1.1667471E7)</f>
        <v>11667471</v>
      </c>
      <c r="B154">
        <f>IFERROR(__xludf.DUMMYFUNCTION("""COMPUTED_VALUE"""),56.0)</f>
        <v>56</v>
      </c>
      <c r="C154" t="str">
        <f>IFERROR(__xludf.DUMMYFUNCTION("""COMPUTED_VALUE"""),"IR2018-16")</f>
        <v>IR2018-16</v>
      </c>
      <c r="D154" t="str">
        <f>IFERROR(__xludf.DUMMYFUNCTION("""COMPUTED_VALUE"""),"INGRESAR CENTRO DE COSTO A LA DERECHA")</f>
        <v>INGRESAR CENTRO DE COSTO A LA DERECHA</v>
      </c>
      <c r="E154" t="str">
        <f>IFERROR(__xludf.DUMMYFUNCTION("""COMPUTED_VALUE"""),"VR. DE INVEST. DESARR E INNOVACION")</f>
        <v>VR. DE INVEST. DESARR E INNOVACION</v>
      </c>
      <c r="F154" t="str">
        <f>IFERROR(__xludf.DUMMYFUNCTION("""COMPUTED_VALUE"""),"Analista de Gestión Administrativa")</f>
        <v>Analista de Gestión Administrativa</v>
      </c>
      <c r="G154" t="str">
        <f>IFERROR(__xludf.DUMMYFUNCTION("""COMPUTED_VALUE"""),"ANALISTA DE GESTION ADMINISTRATIVA")</f>
        <v>ANALISTA DE GESTION ADMINISTRATIVA</v>
      </c>
      <c r="H154">
        <f>IFERROR(__xludf.DUMMYFUNCTION("""COMPUTED_VALUE"""),14.0)</f>
        <v>14</v>
      </c>
      <c r="I154" t="str">
        <f>IFERROR(__xludf.DUMMYFUNCTION("""COMPUTED_VALUE"""),"Jornada Completa")</f>
        <v>Jornada Completa</v>
      </c>
      <c r="J154" t="str">
        <f>IFERROR(__xludf.DUMMYFUNCTION("""COMPUTED_VALUE"""),"A CONTRATA")</f>
        <v>A CONTRATA</v>
      </c>
      <c r="K154" t="str">
        <f>IFERROR(__xludf.DUMMYFUNCTION("""COMPUTED_VALUE"""),"PROFESIONAL")</f>
        <v>PROFESIONAL</v>
      </c>
      <c r="L154" t="str">
        <f>IFERROR(__xludf.DUMMYFUNCTION("""COMPUTED_VALUE"""),"INTERNO")</f>
        <v>INTERNO</v>
      </c>
      <c r="M154">
        <f>IFERROR(__xludf.DUMMYFUNCTION("""COMPUTED_VALUE"""),2.0)</f>
        <v>2</v>
      </c>
      <c r="N154" t="str">
        <f>IFERROR(__xludf.DUMMYFUNCTION("""COMPUTED_VALUE"""),"NO")</f>
        <v>NO</v>
      </c>
      <c r="O154">
        <f>IFERROR(__xludf.DUMMYFUNCTION("""COMPUTED_VALUE"""),0.0)</f>
        <v>0</v>
      </c>
      <c r="P154">
        <f>IFERROR(__xludf.DUMMYFUNCTION("""COMPUTED_VALUE"""),1.0)</f>
        <v>1</v>
      </c>
      <c r="Q154">
        <f>IFERROR(__xludf.DUMMYFUNCTION("""COMPUTED_VALUE"""),0.0)</f>
        <v>0</v>
      </c>
      <c r="R154" s="45" t="str">
        <f>IFERROR(__xludf.DUMMYFUNCTION("""COMPUTED_VALUE"""),"SELECCIONADO")</f>
        <v>SELECCIONADO</v>
      </c>
      <c r="S154" s="38">
        <f>IFERROR(__xludf.DUMMYFUNCTION("""COMPUTED_VALUE"""),43332.0)</f>
        <v>43332</v>
      </c>
      <c r="T154" t="str">
        <f>IFERROR(__xludf.DUMMYFUNCTION("""COMPUTED_VALUE"""),"JIMENEZ RAMIREZ JAIME ANTONIO")</f>
        <v>JIMENEZ RAMIREZ JAIME ANTONIO</v>
      </c>
      <c r="V154" t="str">
        <f>IFERROR(__xludf.DUMMYFUNCTION("""COMPUTED_VALUE"""),"11667471-8")</f>
        <v>11667471-8</v>
      </c>
      <c r="W154" t="str">
        <f>IFERROR(__xludf.DUMMYFUNCTION("""COMPUTED_VALUE"""),"NO")</f>
        <v>NO</v>
      </c>
      <c r="AA154" s="38">
        <f>IFERROR(__xludf.DUMMYFUNCTION("""COMPUTED_VALUE"""),43306.0)</f>
        <v>43306</v>
      </c>
      <c r="AB154" s="38">
        <f>IFERROR(__xludf.DUMMYFUNCTION("""COMPUTED_VALUE"""),43311.0)</f>
        <v>43311</v>
      </c>
      <c r="AH154" t="str">
        <f>IFERROR(__xludf.DUMMYFUNCTION("""COMPUTED_VALUE"""),"PROCESO DE SELECCIÓN")</f>
        <v>PROCESO DE SELECCIÓN</v>
      </c>
      <c r="AI154" t="str">
        <f>IFERROR(__xludf.DUMMYFUNCTION("""COMPUTED_VALUE"""),"VALENZUELA CALDERON CRISTINA")</f>
        <v>VALENZUELA CALDERON CRISTINA</v>
      </c>
      <c r="AK154" t="str">
        <f>IFERROR(__xludf.DUMMYFUNCTION("""COMPUTED_VALUE"""),"P")</f>
        <v>P</v>
      </c>
      <c r="AL154">
        <f>IFERROR(__xludf.DUMMYFUNCTION("""COMPUTED_VALUE"""),16.0)</f>
        <v>16</v>
      </c>
      <c r="AM154">
        <f>IFERROR(__xludf.DUMMYFUNCTION("""COMPUTED_VALUE"""),2018.0)</f>
        <v>2018</v>
      </c>
    </row>
    <row r="155">
      <c r="A155">
        <f>IFERROR(__xludf.DUMMYFUNCTION("""COMPUTED_VALUE"""),1.7705852E7)</f>
        <v>17705852</v>
      </c>
      <c r="B155">
        <f>IFERROR(__xludf.DUMMYFUNCTION("""COMPUTED_VALUE"""),57.0)</f>
        <v>57</v>
      </c>
      <c r="D155" t="str">
        <f>IFERROR(__xludf.DUMMYFUNCTION("""COMPUTED_VALUE"""),"INGRESAR CENTRO DE COSTO A LA DERECHA")</f>
        <v>INGRESAR CENTRO DE COSTO A LA DERECHA</v>
      </c>
      <c r="E155" t="str">
        <f>IFERROR(__xludf.DUMMYFUNCTION("""COMPUTED_VALUE"""),"DIR. DE ASISTENCIA JURIDICA")</f>
        <v>DIR. DE ASISTENCIA JURIDICA</v>
      </c>
      <c r="F155" t="str">
        <f>IFERROR(__xludf.DUMMYFUNCTION("""COMPUTED_VALUE"""),"Abogado(a) Dirección Juridica")</f>
        <v>Abogado(a) Dirección Juridica</v>
      </c>
      <c r="G155" t="str">
        <f>IFERROR(__xludf.DUMMYFUNCTION("""COMPUTED_VALUE"""),"ABOGADO DIRECCIÓN JURÍDICA")</f>
        <v>ABOGADO DIRECCIÓN JURÍDICA</v>
      </c>
      <c r="H155">
        <f>IFERROR(__xludf.DUMMYFUNCTION("""COMPUTED_VALUE"""),8.0)</f>
        <v>8</v>
      </c>
      <c r="I155" t="str">
        <f>IFERROR(__xludf.DUMMYFUNCTION("""COMPUTED_VALUE"""),"Jornada Completa")</f>
        <v>Jornada Completa</v>
      </c>
      <c r="J155" t="str">
        <f>IFERROR(__xludf.DUMMYFUNCTION("""COMPUTED_VALUE"""),"A CONTRATA")</f>
        <v>A CONTRATA</v>
      </c>
      <c r="K155" t="str">
        <f>IFERROR(__xludf.DUMMYFUNCTION("""COMPUTED_VALUE"""),"PROFESIONAL")</f>
        <v>PROFESIONAL</v>
      </c>
      <c r="L155" t="str">
        <f>IFERROR(__xludf.DUMMYFUNCTION("""COMPUTED_VALUE"""),"NO")</f>
        <v>NO</v>
      </c>
      <c r="M155">
        <f>IFERROR(__xludf.DUMMYFUNCTION("""COMPUTED_VALUE"""),0.0)</f>
        <v>0</v>
      </c>
      <c r="N155" t="str">
        <f>IFERROR(__xludf.DUMMYFUNCTION("""COMPUTED_VALUE"""),"EXTERNO")</f>
        <v>EXTERNO</v>
      </c>
      <c r="O155">
        <f>IFERROR(__xludf.DUMMYFUNCTION("""COMPUTED_VALUE"""),52.0)</f>
        <v>52</v>
      </c>
      <c r="P155">
        <f>IFERROR(__xludf.DUMMYFUNCTION("""COMPUTED_VALUE"""),3.0)</f>
        <v>3</v>
      </c>
      <c r="Q155">
        <f>IFERROR(__xludf.DUMMYFUNCTION("""COMPUTED_VALUE"""),0.0)</f>
        <v>0</v>
      </c>
      <c r="R155" s="45" t="str">
        <f>IFERROR(__xludf.DUMMYFUNCTION("""COMPUTED_VALUE"""),"SELECCIONADO")</f>
        <v>SELECCIONADO</v>
      </c>
      <c r="S155" s="38">
        <f>IFERROR(__xludf.DUMMYFUNCTION("""COMPUTED_VALUE"""),43325.0)</f>
        <v>43325</v>
      </c>
      <c r="U155" t="str">
        <f>IFERROR(__xludf.DUMMYFUNCTION("""COMPUTED_VALUE"""),"IGNACIO PORTE BARREAUX")</f>
        <v>IGNACIO PORTE BARREAUX</v>
      </c>
      <c r="V155" t="str">
        <f>IFERROR(__xludf.DUMMYFUNCTION("""COMPUTED_VALUE"""),"17705852-1")</f>
        <v>17705852-1</v>
      </c>
      <c r="W155" t="str">
        <f>IFERROR(__xludf.DUMMYFUNCTION("""COMPUTED_VALUE"""),"NO")</f>
        <v>NO</v>
      </c>
      <c r="AA155" s="38">
        <f>IFERROR(__xludf.DUMMYFUNCTION("""COMPUTED_VALUE"""),43259.0)</f>
        <v>43259</v>
      </c>
      <c r="AB155" s="38">
        <f>IFERROR(__xludf.DUMMYFUNCTION("""COMPUTED_VALUE"""),43263.0)</f>
        <v>43263</v>
      </c>
      <c r="AM155">
        <f>IFERROR(__xludf.DUMMYFUNCTION("""COMPUTED_VALUE"""),2018.0)</f>
        <v>2018</v>
      </c>
    </row>
    <row r="156">
      <c r="A156">
        <f>IFERROR(__xludf.DUMMYFUNCTION("""COMPUTED_VALUE"""),1.6226942E7)</f>
        <v>16226942</v>
      </c>
      <c r="B156">
        <f>IFERROR(__xludf.DUMMYFUNCTION("""COMPUTED_VALUE"""),58.0)</f>
        <v>58</v>
      </c>
      <c r="D156" t="str">
        <f>IFERROR(__xludf.DUMMYFUNCTION("""COMPUTED_VALUE"""),"INGRESAR CENTRO DE COSTO A LA DERECHA")</f>
        <v>INGRESAR CENTRO DE COSTO A LA DERECHA</v>
      </c>
      <c r="E156" t="str">
        <f>IFERROR(__xludf.DUMMYFUNCTION("""COMPUTED_VALUE"""),"DPTO. DE FISICA")</f>
        <v>DPTO. DE FISICA</v>
      </c>
      <c r="F156" t="str">
        <f>IFERROR(__xludf.DUMMYFUNCTION("""COMPUTED_VALUE"""),"Encargado(a) de Laboratorio")</f>
        <v>Encargado(a) de Laboratorio</v>
      </c>
      <c r="G156" t="str">
        <f>IFERROR(__xludf.DUMMYFUNCTION("""COMPUTED_VALUE"""),"ENCARGADO DE LABORATORIO   ")</f>
        <v>ENCARGADO DE LABORATORIO   </v>
      </c>
      <c r="H156">
        <f>IFERROR(__xludf.DUMMYFUNCTION("""COMPUTED_VALUE"""),13.0)</f>
        <v>13</v>
      </c>
      <c r="I156" t="str">
        <f>IFERROR(__xludf.DUMMYFUNCTION("""COMPUTED_VALUE"""),"Jornada Completa")</f>
        <v>Jornada Completa</v>
      </c>
      <c r="J156" t="str">
        <f>IFERROR(__xludf.DUMMYFUNCTION("""COMPUTED_VALUE"""),"A CONTRATA")</f>
        <v>A CONTRATA</v>
      </c>
      <c r="K156" t="str">
        <f>IFERROR(__xludf.DUMMYFUNCTION("""COMPUTED_VALUE"""),"PROFESIONAL")</f>
        <v>PROFESIONAL</v>
      </c>
      <c r="L156" t="str">
        <f>IFERROR(__xludf.DUMMYFUNCTION("""COMPUTED_VALUE"""),"INTERNO")</f>
        <v>INTERNO</v>
      </c>
      <c r="M156">
        <f>IFERROR(__xludf.DUMMYFUNCTION("""COMPUTED_VALUE"""),0.0)</f>
        <v>0</v>
      </c>
      <c r="N156" t="str">
        <f>IFERROR(__xludf.DUMMYFUNCTION("""COMPUTED_VALUE"""),"EXTERNO")</f>
        <v>EXTERNO</v>
      </c>
      <c r="O156">
        <f>IFERROR(__xludf.DUMMYFUNCTION("""COMPUTED_VALUE"""),29.0)</f>
        <v>29</v>
      </c>
      <c r="P156">
        <f>IFERROR(__xludf.DUMMYFUNCTION("""COMPUTED_VALUE"""),3.0)</f>
        <v>3</v>
      </c>
      <c r="Q156">
        <f>IFERROR(__xludf.DUMMYFUNCTION("""COMPUTED_VALUE"""),0.0)</f>
        <v>0</v>
      </c>
      <c r="R156" s="45" t="str">
        <f>IFERROR(__xludf.DUMMYFUNCTION("""COMPUTED_VALUE"""),"SELECCIONADO")</f>
        <v>SELECCIONADO</v>
      </c>
      <c r="S156" s="38">
        <f>IFERROR(__xludf.DUMMYFUNCTION("""COMPUTED_VALUE"""),43344.0)</f>
        <v>43344</v>
      </c>
      <c r="U156" t="str">
        <f>IFERROR(__xludf.DUMMYFUNCTION("""COMPUTED_VALUE"""),"MAXIMILIANO VELEZ MONTECINOS")</f>
        <v>MAXIMILIANO VELEZ MONTECINOS</v>
      </c>
      <c r="V156" t="str">
        <f>IFERROR(__xludf.DUMMYFUNCTION("""COMPUTED_VALUE"""),"16226942-9")</f>
        <v>16226942-9</v>
      </c>
      <c r="W156" t="str">
        <f>IFERROR(__xludf.DUMMYFUNCTION("""COMPUTED_VALUE"""),"SI")</f>
        <v>SI</v>
      </c>
      <c r="X156" t="str">
        <f>IFERROR(__xludf.DUMMYFUNCTION("""COMPUTED_VALUE"""),"Capacidad de Planificacion y Organizacion")</f>
        <v>Capacidad de Planificacion y Organizacion</v>
      </c>
      <c r="AA156" s="38">
        <f>IFERROR(__xludf.DUMMYFUNCTION("""COMPUTED_VALUE"""),43236.0)</f>
        <v>43236</v>
      </c>
      <c r="AB156" s="38">
        <f>IFERROR(__xludf.DUMMYFUNCTION("""COMPUTED_VALUE"""),43255.0)</f>
        <v>43255</v>
      </c>
      <c r="AH156" t="str">
        <f>IFERROR(__xludf.DUMMYFUNCTION("""COMPUTED_VALUE"""),"PROCESO DE SELECCIÓN")</f>
        <v>PROCESO DE SELECCIÓN</v>
      </c>
      <c r="AI156" t="str">
        <f>IFERROR(__xludf.DUMMYFUNCTION("""COMPUTED_VALUE""")," - ")</f>
        <v> - </v>
      </c>
      <c r="AK156" t="str">
        <f>IFERROR(__xludf.DUMMYFUNCTION("""COMPUTED_VALUE"""),"E")</f>
        <v>E</v>
      </c>
      <c r="AL156">
        <f>IFERROR(__xludf.DUMMYFUNCTION("""COMPUTED_VALUE"""),65.0)</f>
        <v>65</v>
      </c>
      <c r="AM156">
        <f>IFERROR(__xludf.DUMMYFUNCTION("""COMPUTED_VALUE"""),2018.0)</f>
        <v>2018</v>
      </c>
    </row>
    <row r="157">
      <c r="A157">
        <f>IFERROR(__xludf.DUMMYFUNCTION("""COMPUTED_VALUE"""),1.2673028E7)</f>
        <v>12673028</v>
      </c>
      <c r="B157">
        <f>IFERROR(__xludf.DUMMYFUNCTION("""COMPUTED_VALUE"""),59.0)</f>
        <v>59</v>
      </c>
      <c r="D157" t="str">
        <f>IFERROR(__xludf.DUMMYFUNCTION("""COMPUTED_VALUE"""),"INGRESAR CENTRO DE COSTO A LA DERECHA")</f>
        <v>INGRESAR CENTRO DE COSTO A LA DERECHA</v>
      </c>
      <c r="E157" t="str">
        <f>IFERROR(__xludf.DUMMYFUNCTION("""COMPUTED_VALUE"""),"DPTO. DE GESTION AGRARIA")</f>
        <v>DPTO. DE GESTION AGRARIA</v>
      </c>
      <c r="F157" t="str">
        <f>IFERROR(__xludf.DUMMYFUNCTION("""COMPUTED_VALUE"""),"Secretario(a) de Apoyo Docente")</f>
        <v>Secretario(a) de Apoyo Docente</v>
      </c>
      <c r="G157" t="str">
        <f>IFERROR(__xludf.DUMMYFUNCTION("""COMPUTED_VALUE"""),"SECRETARIA DE APOYO DOCENTE    ")</f>
        <v>SECRETARIA DE APOYO DOCENTE    </v>
      </c>
      <c r="H157">
        <f>IFERROR(__xludf.DUMMYFUNCTION("""COMPUTED_VALUE"""),17.0)</f>
        <v>17</v>
      </c>
      <c r="I157" t="str">
        <f>IFERROR(__xludf.DUMMYFUNCTION("""COMPUTED_VALUE"""),"Jornada Completa")</f>
        <v>Jornada Completa</v>
      </c>
      <c r="J157" t="str">
        <f>IFERROR(__xludf.DUMMYFUNCTION("""COMPUTED_VALUE"""),"A CONTRATA")</f>
        <v>A CONTRATA</v>
      </c>
      <c r="K157" t="str">
        <f>IFERROR(__xludf.DUMMYFUNCTION("""COMPUTED_VALUE"""),"ADMINISTRATIVO")</f>
        <v>ADMINISTRATIVO</v>
      </c>
      <c r="L157" t="str">
        <f>IFERROR(__xludf.DUMMYFUNCTION("""COMPUTED_VALUE"""),"INTERNO")</f>
        <v>INTERNO</v>
      </c>
      <c r="M157">
        <f>IFERROR(__xludf.DUMMYFUNCTION("""COMPUTED_VALUE"""),1.0)</f>
        <v>1</v>
      </c>
      <c r="N157" t="str">
        <f>IFERROR(__xludf.DUMMYFUNCTION("""COMPUTED_VALUE"""),"EXTERNO")</f>
        <v>EXTERNO</v>
      </c>
      <c r="O157">
        <f>IFERROR(__xludf.DUMMYFUNCTION("""COMPUTED_VALUE"""),23.0)</f>
        <v>23</v>
      </c>
      <c r="P157">
        <f>IFERROR(__xludf.DUMMYFUNCTION("""COMPUTED_VALUE"""),3.0)</f>
        <v>3</v>
      </c>
      <c r="Q157">
        <f>IFERROR(__xludf.DUMMYFUNCTION("""COMPUTED_VALUE"""),0.0)</f>
        <v>0</v>
      </c>
      <c r="R157" s="45" t="str">
        <f>IFERROR(__xludf.DUMMYFUNCTION("""COMPUTED_VALUE"""),"SELECCIONADA")</f>
        <v>SELECCIONADA</v>
      </c>
      <c r="S157" s="38">
        <f>IFERROR(__xludf.DUMMYFUNCTION("""COMPUTED_VALUE"""),43346.0)</f>
        <v>43346</v>
      </c>
      <c r="U157" t="str">
        <f>IFERROR(__xludf.DUMMYFUNCTION("""COMPUTED_VALUE"""),"FRANCIA MOLINA VILLALOBOS")</f>
        <v>FRANCIA MOLINA VILLALOBOS</v>
      </c>
      <c r="V157" t="str">
        <f>IFERROR(__xludf.DUMMYFUNCTION("""COMPUTED_VALUE"""),"12673028-4")</f>
        <v>12673028-4</v>
      </c>
      <c r="W157" t="str">
        <f>IFERROR(__xludf.DUMMYFUNCTION("""COMPUTED_VALUE"""),"SI")</f>
        <v>SI</v>
      </c>
      <c r="X157" t="str">
        <f>IFERROR(__xludf.DUMMYFUNCTION("""COMPUTED_VALUE"""),"Trabajo en Equipo")</f>
        <v>Trabajo en Equipo</v>
      </c>
      <c r="Y157" t="str">
        <f>IFERROR(__xludf.DUMMYFUNCTION("""COMPUTED_VALUE"""),"Franqueza- Confiabilidad- Integridad")</f>
        <v>Franqueza- Confiabilidad- Integridad</v>
      </c>
      <c r="AA157" s="38">
        <f>IFERROR(__xludf.DUMMYFUNCTION("""COMPUTED_VALUE"""),43292.0)</f>
        <v>43292</v>
      </c>
      <c r="AB157" s="38">
        <f>IFERROR(__xludf.DUMMYFUNCTION("""COMPUTED_VALUE"""),43299.0)</f>
        <v>43299</v>
      </c>
      <c r="AH157" t="str">
        <f>IFERROR(__xludf.DUMMYFUNCTION("""COMPUTED_VALUE"""),"PROCESO DE SELECCIÓN")</f>
        <v>PROCESO DE SELECCIÓN</v>
      </c>
      <c r="AI157" t="str">
        <f>IFERROR(__xludf.DUMMYFUNCTION("""COMPUTED_VALUE"""),"ORELLANA SANDOVAL JAZMIN")</f>
        <v>ORELLANA SANDOVAL JAZMIN</v>
      </c>
      <c r="AK157" t="str">
        <f>IFERROR(__xludf.DUMMYFUNCTION("""COMPUTED_VALUE"""),"E")</f>
        <v>E</v>
      </c>
      <c r="AL157">
        <f>IFERROR(__xludf.DUMMYFUNCTION("""COMPUTED_VALUE"""),34.0)</f>
        <v>34</v>
      </c>
      <c r="AM157">
        <f>IFERROR(__xludf.DUMMYFUNCTION("""COMPUTED_VALUE"""),2018.0)</f>
        <v>2018</v>
      </c>
    </row>
    <row r="158">
      <c r="A158">
        <f>IFERROR(__xludf.DUMMYFUNCTION("""COMPUTED_VALUE"""),1.0531801E7)</f>
        <v>10531801</v>
      </c>
      <c r="B158">
        <f>IFERROR(__xludf.DUMMYFUNCTION("""COMPUTED_VALUE"""),60.0)</f>
        <v>60</v>
      </c>
      <c r="C158" t="str">
        <f>IFERROR(__xludf.DUMMYFUNCTION("""COMPUTED_VALUE"""),"IR2018-09")</f>
        <v>IR2018-09</v>
      </c>
      <c r="D158" t="str">
        <f>IFERROR(__xludf.DUMMYFUNCTION("""COMPUTED_VALUE"""),"INGRESAR CENTRO DE COSTO A LA DERECHA")</f>
        <v>INGRESAR CENTRO DE COSTO A LA DERECHA</v>
      </c>
      <c r="E158" t="str">
        <f>IFERROR(__xludf.DUMMYFUNCTION("""COMPUTED_VALUE"""),"FACULTAD TECNOLOGICA")</f>
        <v>FACULTAD TECNOLOGICA</v>
      </c>
      <c r="F158" t="str">
        <f>IFERROR(__xludf.DUMMYFUNCTION("""COMPUTED_VALUE"""),"Secretario(a) A")</f>
        <v>Secretario(a) A</v>
      </c>
      <c r="G158" t="str">
        <f>IFERROR(__xludf.DUMMYFUNCTION("""COMPUTED_VALUE"""),"SECRETARIA A DECANATO")</f>
        <v>SECRETARIA A DECANATO</v>
      </c>
      <c r="H158">
        <f>IFERROR(__xludf.DUMMYFUNCTION("""COMPUTED_VALUE"""),13.0)</f>
        <v>13</v>
      </c>
      <c r="I158" t="str">
        <f>IFERROR(__xludf.DUMMYFUNCTION("""COMPUTED_VALUE"""),"Jornada Completa")</f>
        <v>Jornada Completa</v>
      </c>
      <c r="J158" t="str">
        <f>IFERROR(__xludf.DUMMYFUNCTION("""COMPUTED_VALUE"""),"A CONTRATA")</f>
        <v>A CONTRATA</v>
      </c>
      <c r="K158" t="str">
        <f>IFERROR(__xludf.DUMMYFUNCTION("""COMPUTED_VALUE"""),"ADMINISTRATIVO")</f>
        <v>ADMINISTRATIVO</v>
      </c>
      <c r="L158" t="str">
        <f>IFERROR(__xludf.DUMMYFUNCTION("""COMPUTED_VALUE"""),"INTERNO")</f>
        <v>INTERNO</v>
      </c>
      <c r="M158">
        <f>IFERROR(__xludf.DUMMYFUNCTION("""COMPUTED_VALUE"""),9.0)</f>
        <v>9</v>
      </c>
      <c r="N158" t="str">
        <f>IFERROR(__xludf.DUMMYFUNCTION("""COMPUTED_VALUE"""),"NO")</f>
        <v>NO</v>
      </c>
      <c r="O158">
        <f>IFERROR(__xludf.DUMMYFUNCTION("""COMPUTED_VALUE"""),0.0)</f>
        <v>0</v>
      </c>
      <c r="P158">
        <f>IFERROR(__xludf.DUMMYFUNCTION("""COMPUTED_VALUE"""),3.0)</f>
        <v>3</v>
      </c>
      <c r="Q158">
        <f>IFERROR(__xludf.DUMMYFUNCTION("""COMPUTED_VALUE"""),0.0)</f>
        <v>0</v>
      </c>
      <c r="R158" s="45" t="str">
        <f>IFERROR(__xludf.DUMMYFUNCTION("""COMPUTED_VALUE"""),"SELECCIONADA")</f>
        <v>SELECCIONADA</v>
      </c>
      <c r="S158" s="38">
        <f>IFERROR(__xludf.DUMMYFUNCTION("""COMPUTED_VALUE"""),43346.0)</f>
        <v>43346</v>
      </c>
      <c r="T158" t="str">
        <f>IFERROR(__xludf.DUMMYFUNCTION("""COMPUTED_VALUE"""),"PEREZ ACUNA PATRICIA VERONICA")</f>
        <v>PEREZ ACUNA PATRICIA VERONICA</v>
      </c>
      <c r="V158" t="str">
        <f>IFERROR(__xludf.DUMMYFUNCTION("""COMPUTED_VALUE"""),"10531801-4")</f>
        <v>10531801-4</v>
      </c>
      <c r="W158" t="str">
        <f>IFERROR(__xludf.DUMMYFUNCTION("""COMPUTED_VALUE"""),"SI")</f>
        <v>SI</v>
      </c>
      <c r="X158" t="str">
        <f>IFERROR(__xludf.DUMMYFUNCTION("""COMPUTED_VALUE"""),"Franqueza- Confiabilidad- Integridad")</f>
        <v>Franqueza- Confiabilidad- Integridad</v>
      </c>
      <c r="AA158" s="38">
        <f>IFERROR(__xludf.DUMMYFUNCTION("""COMPUTED_VALUE"""),43298.0)</f>
        <v>43298</v>
      </c>
      <c r="AB158" s="38">
        <f>IFERROR(__xludf.DUMMYFUNCTION("""COMPUTED_VALUE"""),43301.0)</f>
        <v>43301</v>
      </c>
      <c r="AH158" t="str">
        <f>IFERROR(__xludf.DUMMYFUNCTION("""COMPUTED_VALUE"""),"PROCESO DE SELECCIÓN")</f>
        <v>PROCESO DE SELECCIÓN</v>
      </c>
      <c r="AI158" t="str">
        <f>IFERROR(__xludf.DUMMYFUNCTION("""COMPUTED_VALUE"""),"ROMERO CERDA ELIANA")</f>
        <v>ROMERO CERDA ELIANA</v>
      </c>
      <c r="AK158" t="str">
        <f>IFERROR(__xludf.DUMMYFUNCTION("""COMPUTED_VALUE"""),"P")</f>
        <v>P</v>
      </c>
      <c r="AL158">
        <f>IFERROR(__xludf.DUMMYFUNCTION("""COMPUTED_VALUE"""),32.0)</f>
        <v>32</v>
      </c>
      <c r="AM158">
        <f>IFERROR(__xludf.DUMMYFUNCTION("""COMPUTED_VALUE"""),2018.0)</f>
        <v>2018</v>
      </c>
    </row>
    <row r="159">
      <c r="A159">
        <f>IFERROR(__xludf.DUMMYFUNCTION("""COMPUTED_VALUE"""),1.0044346E7)</f>
        <v>10044346</v>
      </c>
      <c r="B159">
        <f>IFERROR(__xludf.DUMMYFUNCTION("""COMPUTED_VALUE"""),61.0)</f>
        <v>61</v>
      </c>
      <c r="D159" t="str">
        <f>IFERROR(__xludf.DUMMYFUNCTION("""COMPUTED_VALUE"""),"INGRESAR CENTRO DE COSTO A LA DERECHA")</f>
        <v>INGRESAR CENTRO DE COSTO A LA DERECHA</v>
      </c>
      <c r="E159" t="str">
        <f>IFERROR(__xludf.DUMMYFUNCTION("""COMPUTED_VALUE"""),"ESCUELA DE ARQUITECTURA")</f>
        <v>ESCUELA DE ARQUITECTURA</v>
      </c>
      <c r="F159" t="str">
        <f>IFERROR(__xludf.DUMMYFUNCTION("""COMPUTED_VALUE"""),"Mayordomo(a)")</f>
        <v>Mayordomo(a)</v>
      </c>
      <c r="G159" t="str">
        <f>IFERROR(__xludf.DUMMYFUNCTION("""COMPUTED_VALUE"""),"MAYORDOMO")</f>
        <v>MAYORDOMO</v>
      </c>
      <c r="H159">
        <f>IFERROR(__xludf.DUMMYFUNCTION("""COMPUTED_VALUE"""),21.0)</f>
        <v>21</v>
      </c>
      <c r="I159" t="str">
        <f>IFERROR(__xludf.DUMMYFUNCTION("""COMPUTED_VALUE"""),"Jornada Completa")</f>
        <v>Jornada Completa</v>
      </c>
      <c r="J159" t="str">
        <f>IFERROR(__xludf.DUMMYFUNCTION("""COMPUTED_VALUE"""),"A CONTRATA")</f>
        <v>A CONTRATA</v>
      </c>
      <c r="K159" t="str">
        <f>IFERROR(__xludf.DUMMYFUNCTION("""COMPUTED_VALUE"""),"AUXILIAR")</f>
        <v>AUXILIAR</v>
      </c>
      <c r="L159" t="str">
        <f>IFERROR(__xludf.DUMMYFUNCTION("""COMPUTED_VALUE"""),"INTERNO")</f>
        <v>INTERNO</v>
      </c>
      <c r="M159">
        <f>IFERROR(__xludf.DUMMYFUNCTION("""COMPUTED_VALUE"""),0.0)</f>
        <v>0</v>
      </c>
      <c r="N159" t="str">
        <f>IFERROR(__xludf.DUMMYFUNCTION("""COMPUTED_VALUE"""),"EXTERNO")</f>
        <v>EXTERNO</v>
      </c>
      <c r="O159">
        <f>IFERROR(__xludf.DUMMYFUNCTION("""COMPUTED_VALUE"""),20.0)</f>
        <v>20</v>
      </c>
      <c r="P159">
        <f>IFERROR(__xludf.DUMMYFUNCTION("""COMPUTED_VALUE"""),5.0)</f>
        <v>5</v>
      </c>
      <c r="Q159">
        <f>IFERROR(__xludf.DUMMYFUNCTION("""COMPUTED_VALUE"""),1.0)</f>
        <v>1</v>
      </c>
      <c r="R159" s="45" t="str">
        <f>IFERROR(__xludf.DUMMYFUNCTION("""COMPUTED_VALUE"""),"SELECCIONADO")</f>
        <v>SELECCIONADO</v>
      </c>
      <c r="S159" s="38">
        <f>IFERROR(__xludf.DUMMYFUNCTION("""COMPUTED_VALUE"""),43346.0)</f>
        <v>43346</v>
      </c>
      <c r="U159" t="str">
        <f>IFERROR(__xludf.DUMMYFUNCTION("""COMPUTED_VALUE"""),"MIGUEL ARRIAGADA ORTEGA")</f>
        <v>MIGUEL ARRIAGADA ORTEGA</v>
      </c>
      <c r="V159" t="str">
        <f>IFERROR(__xludf.DUMMYFUNCTION("""COMPUTED_VALUE"""),"10044346-5")</f>
        <v>10044346-5</v>
      </c>
      <c r="W159" t="str">
        <f>IFERROR(__xludf.DUMMYFUNCTION("""COMPUTED_VALUE"""),"NO")</f>
        <v>NO</v>
      </c>
      <c r="AA159" s="38">
        <f>IFERROR(__xludf.DUMMYFUNCTION("""COMPUTED_VALUE"""),43292.0)</f>
        <v>43292</v>
      </c>
      <c r="AB159" s="38">
        <f>IFERROR(__xludf.DUMMYFUNCTION("""COMPUTED_VALUE"""),43299.0)</f>
        <v>43299</v>
      </c>
      <c r="AH159" t="str">
        <f>IFERROR(__xludf.DUMMYFUNCTION("""COMPUTED_VALUE"""),"PROCESO DE SELECCIÓN")</f>
        <v>PROCESO DE SELECCIÓN</v>
      </c>
      <c r="AI159" t="str">
        <f>IFERROR(__xludf.DUMMYFUNCTION("""COMPUTED_VALUE"""),"ESPINOZA TORO SALVADOR")</f>
        <v>ESPINOZA TORO SALVADOR</v>
      </c>
      <c r="AK159" t="str">
        <f>IFERROR(__xludf.DUMMYFUNCTION("""COMPUTED_VALUE"""),"E")</f>
        <v>E</v>
      </c>
      <c r="AL159">
        <f>IFERROR(__xludf.DUMMYFUNCTION("""COMPUTED_VALUE"""),34.0)</f>
        <v>34</v>
      </c>
      <c r="AM159">
        <f>IFERROR(__xludf.DUMMYFUNCTION("""COMPUTED_VALUE"""),2018.0)</f>
        <v>2018</v>
      </c>
    </row>
    <row r="160">
      <c r="A160">
        <f>IFERROR(__xludf.DUMMYFUNCTION("""COMPUTED_VALUE"""),1.8410852E7)</f>
        <v>18410852</v>
      </c>
      <c r="B160">
        <f>IFERROR(__xludf.DUMMYFUNCTION("""COMPUTED_VALUE"""),62.0)</f>
        <v>62</v>
      </c>
      <c r="D160" t="str">
        <f>IFERROR(__xludf.DUMMYFUNCTION("""COMPUTED_VALUE"""),"INGRESAR CENTRO DE COSTO A LA DERECHA")</f>
        <v>INGRESAR CENTRO DE COSTO A LA DERECHA</v>
      </c>
      <c r="E160" t="str">
        <f>IFERROR(__xludf.DUMMYFUNCTION("""COMPUTED_VALUE"""),"ESCUELA DE ARQUITECTURA")</f>
        <v>ESCUELA DE ARQUITECTURA</v>
      </c>
      <c r="F160" t="str">
        <f>IFERROR(__xludf.DUMMYFUNCTION("""COMPUTED_VALUE"""),"Encargado(a) Técnico(a) de Laboratorio")</f>
        <v>Encargado(a) Técnico(a) de Laboratorio</v>
      </c>
      <c r="G160" t="str">
        <f>IFERROR(__xludf.DUMMYFUNCTION("""COMPUTED_VALUE"""),"ENCARGADO TECNICO DE LABORATORIO")</f>
        <v>ENCARGADO TECNICO DE LABORATORIO</v>
      </c>
      <c r="H160">
        <f>IFERROR(__xludf.DUMMYFUNCTION("""COMPUTED_VALUE"""),14.0)</f>
        <v>14</v>
      </c>
      <c r="I160" t="str">
        <f>IFERROR(__xludf.DUMMYFUNCTION("""COMPUTED_VALUE"""),"Jornada Completa")</f>
        <v>Jornada Completa</v>
      </c>
      <c r="J160" t="str">
        <f>IFERROR(__xludf.DUMMYFUNCTION("""COMPUTED_VALUE"""),"A CONTRATA")</f>
        <v>A CONTRATA</v>
      </c>
      <c r="K160" t="str">
        <f>IFERROR(__xludf.DUMMYFUNCTION("""COMPUTED_VALUE"""),"TECNICO")</f>
        <v>TECNICO</v>
      </c>
      <c r="L160" t="str">
        <f>IFERROR(__xludf.DUMMYFUNCTION("""COMPUTED_VALUE"""),"INTERNO")</f>
        <v>INTERNO</v>
      </c>
      <c r="M160">
        <f>IFERROR(__xludf.DUMMYFUNCTION("""COMPUTED_VALUE"""),5.0)</f>
        <v>5</v>
      </c>
      <c r="N160" t="str">
        <f>IFERROR(__xludf.DUMMYFUNCTION("""COMPUTED_VALUE"""),"EXTERNO")</f>
        <v>EXTERNO</v>
      </c>
      <c r="O160">
        <f>IFERROR(__xludf.DUMMYFUNCTION("""COMPUTED_VALUE"""),11.0)</f>
        <v>11</v>
      </c>
      <c r="P160">
        <f>IFERROR(__xludf.DUMMYFUNCTION("""COMPUTED_VALUE"""),6.0)</f>
        <v>6</v>
      </c>
      <c r="Q160">
        <f>IFERROR(__xludf.DUMMYFUNCTION("""COMPUTED_VALUE"""),1.0)</f>
        <v>1</v>
      </c>
      <c r="R160" s="45" t="str">
        <f>IFERROR(__xludf.DUMMYFUNCTION("""COMPUTED_VALUE"""),"SELECCIONADO")</f>
        <v>SELECCIONADO</v>
      </c>
      <c r="S160" s="38">
        <f>IFERROR(__xludf.DUMMYFUNCTION("""COMPUTED_VALUE"""),43346.0)</f>
        <v>43346</v>
      </c>
      <c r="U160" t="str">
        <f>IFERROR(__xludf.DUMMYFUNCTION("""COMPUTED_VALUE"""),"AGDALIN VALENZUELA SANHUEZA")</f>
        <v>AGDALIN VALENZUELA SANHUEZA</v>
      </c>
      <c r="V160" t="str">
        <f>IFERROR(__xludf.DUMMYFUNCTION("""COMPUTED_VALUE"""),"18410852-6")</f>
        <v>18410852-6</v>
      </c>
      <c r="W160" t="str">
        <f>IFERROR(__xludf.DUMMYFUNCTION("""COMPUTED_VALUE"""),"SI")</f>
        <v>SI</v>
      </c>
      <c r="X160" t="str">
        <f>IFERROR(__xludf.DUMMYFUNCTION("""COMPUTED_VALUE"""),"Capacidad de Planificacion y Organizacion")</f>
        <v>Capacidad de Planificacion y Organizacion</v>
      </c>
      <c r="Y160" t="str">
        <f>IFERROR(__xludf.DUMMYFUNCTION("""COMPUTED_VALUE"""),"Iniciativa")</f>
        <v>Iniciativa</v>
      </c>
      <c r="Z160" t="str">
        <f>IFERROR(__xludf.DUMMYFUNCTION("""COMPUTED_VALUE"""),"Orientacion a los Resultados")</f>
        <v>Orientacion a los Resultados</v>
      </c>
      <c r="AA160" s="38">
        <f>IFERROR(__xludf.DUMMYFUNCTION("""COMPUTED_VALUE"""),43315.0)</f>
        <v>43315</v>
      </c>
      <c r="AB160" s="38">
        <f>IFERROR(__xludf.DUMMYFUNCTION("""COMPUTED_VALUE"""),43320.0)</f>
        <v>43320</v>
      </c>
      <c r="AH160" t="str">
        <f>IFERROR(__xludf.DUMMYFUNCTION("""COMPUTED_VALUE"""),"PROCESO DE SELECCIÓN")</f>
        <v>PROCESO DE SELECCIÓN</v>
      </c>
      <c r="AI160" t="str">
        <f>IFERROR(__xludf.DUMMYFUNCTION("""COMPUTED_VALUE"""),"MOYANO FUENTES JUDITH")</f>
        <v>MOYANO FUENTES JUDITH</v>
      </c>
      <c r="AK160" t="str">
        <f>IFERROR(__xludf.DUMMYFUNCTION("""COMPUTED_VALUE"""),"C")</f>
        <v>C</v>
      </c>
      <c r="AL160">
        <f>IFERROR(__xludf.DUMMYFUNCTION("""COMPUTED_VALUE"""),19.0)</f>
        <v>19</v>
      </c>
      <c r="AM160">
        <f>IFERROR(__xludf.DUMMYFUNCTION("""COMPUTED_VALUE"""),2018.0)</f>
        <v>2018</v>
      </c>
    </row>
    <row r="161">
      <c r="A161">
        <f>IFERROR(__xludf.DUMMYFUNCTION("""COMPUTED_VALUE"""),1.0499435E7)</f>
        <v>10499435</v>
      </c>
      <c r="B161">
        <f>IFERROR(__xludf.DUMMYFUNCTION("""COMPUTED_VALUE"""),63.0)</f>
        <v>63</v>
      </c>
      <c r="C161" t="str">
        <f>IFERROR(__xludf.DUMMYFUNCTION("""COMPUTED_VALUE"""),"IR2018-11")</f>
        <v>IR2018-11</v>
      </c>
      <c r="D161" t="str">
        <f>IFERROR(__xludf.DUMMYFUNCTION("""COMPUTED_VALUE"""),"INGRESAR CENTRO DE COSTO A LA DERECHA")</f>
        <v>INGRESAR CENTRO DE COSTO A LA DERECHA</v>
      </c>
      <c r="E161" t="str">
        <f>IFERROR(__xludf.DUMMYFUNCTION("""COMPUTED_VALUE"""),"SELLO EDITORIAL")</f>
        <v>SELLO EDITORIAL</v>
      </c>
      <c r="F161" t="str">
        <f>IFERROR(__xludf.DUMMYFUNCTION("""COMPUTED_VALUE"""),"Cajero(a) B 2º categoria")</f>
        <v>Cajero(a) B 2º categoria</v>
      </c>
      <c r="G161" t="str">
        <f>IFERROR(__xludf.DUMMYFUNCTION("""COMPUTED_VALUE"""),"CAJERO B 2° CATEGORIA")</f>
        <v>CAJERO B 2° CATEGORIA</v>
      </c>
      <c r="H161">
        <f>IFERROR(__xludf.DUMMYFUNCTION("""COMPUTED_VALUE"""),17.0)</f>
        <v>17</v>
      </c>
      <c r="I161" t="str">
        <f>IFERROR(__xludf.DUMMYFUNCTION("""COMPUTED_VALUE"""),"Jornada Completa")</f>
        <v>Jornada Completa</v>
      </c>
      <c r="J161" t="str">
        <f>IFERROR(__xludf.DUMMYFUNCTION("""COMPUTED_VALUE"""),"A CONTRATA")</f>
        <v>A CONTRATA</v>
      </c>
      <c r="K161" t="str">
        <f>IFERROR(__xludf.DUMMYFUNCTION("""COMPUTED_VALUE"""),"TECNICO")</f>
        <v>TECNICO</v>
      </c>
      <c r="L161" t="str">
        <f>IFERROR(__xludf.DUMMYFUNCTION("""COMPUTED_VALUE"""),"INTERNO")</f>
        <v>INTERNO</v>
      </c>
      <c r="M161">
        <f>IFERROR(__xludf.DUMMYFUNCTION("""COMPUTED_VALUE"""),1.0)</f>
        <v>1</v>
      </c>
      <c r="N161" t="str">
        <f>IFERROR(__xludf.DUMMYFUNCTION("""COMPUTED_VALUE"""),"NO")</f>
        <v>NO</v>
      </c>
      <c r="O161">
        <f>IFERROR(__xludf.DUMMYFUNCTION("""COMPUTED_VALUE"""),0.0)</f>
        <v>0</v>
      </c>
      <c r="P161">
        <f>IFERROR(__xludf.DUMMYFUNCTION("""COMPUTED_VALUE"""),1.0)</f>
        <v>1</v>
      </c>
      <c r="Q161">
        <f>IFERROR(__xludf.DUMMYFUNCTION("""COMPUTED_VALUE"""),0.0)</f>
        <v>0</v>
      </c>
      <c r="R161" s="45" t="str">
        <f>IFERROR(__xludf.DUMMYFUNCTION("""COMPUTED_VALUE"""),"SELECCIONADO")</f>
        <v>SELECCIONADO</v>
      </c>
      <c r="S161" s="38">
        <f>IFERROR(__xludf.DUMMYFUNCTION("""COMPUTED_VALUE"""),43374.0)</f>
        <v>43374</v>
      </c>
      <c r="T161" t="str">
        <f>IFERROR(__xludf.DUMMYFUNCTION("""COMPUTED_VALUE"""),"SOLIS PEREZ JAVIER ALEJANDRO")</f>
        <v>SOLIS PEREZ JAVIER ALEJANDRO</v>
      </c>
      <c r="V161" t="str">
        <f>IFERROR(__xludf.DUMMYFUNCTION("""COMPUTED_VALUE"""),"10499435-0")</f>
        <v>10499435-0</v>
      </c>
      <c r="W161" t="str">
        <f>IFERROR(__xludf.DUMMYFUNCTION("""COMPUTED_VALUE"""),"SI")</f>
        <v>SI</v>
      </c>
      <c r="X161" t="str">
        <f>IFERROR(__xludf.DUMMYFUNCTION("""COMPUTED_VALUE"""),"Trabajo en Equipo")</f>
        <v>Trabajo en Equipo</v>
      </c>
      <c r="AA161" s="38">
        <f>IFERROR(__xludf.DUMMYFUNCTION("""COMPUTED_VALUE"""),43332.0)</f>
        <v>43332</v>
      </c>
      <c r="AB161" s="38">
        <f>IFERROR(__xludf.DUMMYFUNCTION("""COMPUTED_VALUE"""),43339.0)</f>
        <v>43339</v>
      </c>
      <c r="AH161" t="str">
        <f>IFERROR(__xludf.DUMMYFUNCTION("""COMPUTED_VALUE"""),"PROCESO DE SELECCIÓN")</f>
        <v>PROCESO DE SELECCIÓN</v>
      </c>
      <c r="AI161" t="str">
        <f>IFERROR(__xludf.DUMMYFUNCTION("""COMPUTED_VALUE"""),"CALDERON SOTO - AGUILAR GLORIA")</f>
        <v>CALDERON SOTO - AGUILAR GLORIA</v>
      </c>
      <c r="AK161" t="str">
        <f>IFERROR(__xludf.DUMMYFUNCTION("""COMPUTED_VALUE"""),"P")</f>
        <v>P</v>
      </c>
      <c r="AL161">
        <f>IFERROR(__xludf.DUMMYFUNCTION("""COMPUTED_VALUE"""),26.0)</f>
        <v>26</v>
      </c>
      <c r="AM161">
        <f>IFERROR(__xludf.DUMMYFUNCTION("""COMPUTED_VALUE"""),2018.0)</f>
        <v>2018</v>
      </c>
    </row>
    <row r="162">
      <c r="A162">
        <f>IFERROR(__xludf.DUMMYFUNCTION("""COMPUTED_VALUE"""),1.1752677E7)</f>
        <v>11752677</v>
      </c>
      <c r="B162">
        <f>IFERROR(__xludf.DUMMYFUNCTION("""COMPUTED_VALUE"""),64.0)</f>
        <v>64</v>
      </c>
      <c r="C162" t="str">
        <f>IFERROR(__xludf.DUMMYFUNCTION("""COMPUTED_VALUE"""),"IR2018-10")</f>
        <v>IR2018-10</v>
      </c>
      <c r="D162" t="str">
        <f>IFERROR(__xludf.DUMMYFUNCTION("""COMPUTED_VALUE"""),"INGRESAR CENTRO DE COSTO A LA DERECHA")</f>
        <v>INGRESAR CENTRO DE COSTO A LA DERECHA</v>
      </c>
      <c r="E162" t="str">
        <f>IFERROR(__xludf.DUMMYFUNCTION("""COMPUTED_VALUE"""),"UNIDAD DE BIENESTAR DEL PERSONAL")</f>
        <v>UNIDAD DE BIENESTAR DEL PERSONAL</v>
      </c>
      <c r="F162" t="str">
        <f>IFERROR(__xludf.DUMMYFUNCTION("""COMPUTED_VALUE"""),"Técnico(a) en Atención de Párvulos")</f>
        <v>Técnico(a) en Atención de Párvulos</v>
      </c>
      <c r="G162" t="str">
        <f>IFERROR(__xludf.DUMMYFUNCTION("""COMPUTED_VALUE"""),"TECNICO EN ATENCION DE PARVULOS")</f>
        <v>TECNICO EN ATENCION DE PARVULOS</v>
      </c>
      <c r="H162">
        <f>IFERROR(__xludf.DUMMYFUNCTION("""COMPUTED_VALUE"""),17.0)</f>
        <v>17</v>
      </c>
      <c r="I162" t="str">
        <f>IFERROR(__xludf.DUMMYFUNCTION("""COMPUTED_VALUE"""),"Jornada Completa")</f>
        <v>Jornada Completa</v>
      </c>
      <c r="J162" t="str">
        <f>IFERROR(__xludf.DUMMYFUNCTION("""COMPUTED_VALUE"""),"A CONTRATA")</f>
        <v>A CONTRATA</v>
      </c>
      <c r="K162" t="str">
        <f>IFERROR(__xludf.DUMMYFUNCTION("""COMPUTED_VALUE"""),"TECNICO")</f>
        <v>TECNICO</v>
      </c>
      <c r="L162" t="str">
        <f>IFERROR(__xludf.DUMMYFUNCTION("""COMPUTED_VALUE"""),"INTERNO")</f>
        <v>INTERNO</v>
      </c>
      <c r="M162">
        <f>IFERROR(__xludf.DUMMYFUNCTION("""COMPUTED_VALUE"""),0.0)</f>
        <v>0</v>
      </c>
      <c r="N162" t="str">
        <f>IFERROR(__xludf.DUMMYFUNCTION("""COMPUTED_VALUE"""),"EXTERNO")</f>
        <v>EXTERNO</v>
      </c>
      <c r="O162">
        <f>IFERROR(__xludf.DUMMYFUNCTION("""COMPUTED_VALUE"""),14.0)</f>
        <v>14</v>
      </c>
      <c r="P162">
        <f>IFERROR(__xludf.DUMMYFUNCTION("""COMPUTED_VALUE"""),3.0)</f>
        <v>3</v>
      </c>
      <c r="Q162">
        <f>IFERROR(__xludf.DUMMYFUNCTION("""COMPUTED_VALUE"""),0.0)</f>
        <v>0</v>
      </c>
      <c r="R162" s="45" t="str">
        <f>IFERROR(__xludf.DUMMYFUNCTION("""COMPUTED_VALUE"""),"SELECCIONADA")</f>
        <v>SELECCIONADA</v>
      </c>
      <c r="S162" s="38">
        <f>IFERROR(__xludf.DUMMYFUNCTION("""COMPUTED_VALUE"""),43374.0)</f>
        <v>43374</v>
      </c>
      <c r="U162" t="str">
        <f>IFERROR(__xludf.DUMMYFUNCTION("""COMPUTED_VALUE"""),"MARICEL SILVA GUTIERREZ")</f>
        <v>MARICEL SILVA GUTIERREZ</v>
      </c>
      <c r="V162" t="str">
        <f>IFERROR(__xludf.DUMMYFUNCTION("""COMPUTED_VALUE"""),"11752677-1")</f>
        <v>11752677-1</v>
      </c>
      <c r="W162" t="str">
        <f>IFERROR(__xludf.DUMMYFUNCTION("""COMPUTED_VALUE"""),"SI")</f>
        <v>SI</v>
      </c>
      <c r="X162" t="str">
        <f>IFERROR(__xludf.DUMMYFUNCTION("""COMPUTED_VALUE"""),"Tolerancia a la presion")</f>
        <v>Tolerancia a la presion</v>
      </c>
      <c r="Y162" t="str">
        <f>IFERROR(__xludf.DUMMYFUNCTION("""COMPUTED_VALUE"""),"Autocontrol")</f>
        <v>Autocontrol</v>
      </c>
      <c r="AA162" s="38">
        <f>IFERROR(__xludf.DUMMYFUNCTION("""COMPUTED_VALUE"""),43308.0)</f>
        <v>43308</v>
      </c>
      <c r="AB162" s="38">
        <f>IFERROR(__xludf.DUMMYFUNCTION("""COMPUTED_VALUE"""),43315.0)</f>
        <v>43315</v>
      </c>
      <c r="AH162" t="str">
        <f>IFERROR(__xludf.DUMMYFUNCTION("""COMPUTED_VALUE"""),"PROCESO DE SELECCIÓN")</f>
        <v>PROCESO DE SELECCIÓN</v>
      </c>
      <c r="AI162" t="str">
        <f>IFERROR(__xludf.DUMMYFUNCTION("""COMPUTED_VALUE"""),"BRIONES VIDAL PATRICIA")</f>
        <v>BRIONES VIDAL PATRICIA</v>
      </c>
      <c r="AK162" t="str">
        <f>IFERROR(__xludf.DUMMYFUNCTION("""COMPUTED_VALUE"""),"E")</f>
        <v>E</v>
      </c>
      <c r="AL162">
        <f>IFERROR(__xludf.DUMMYFUNCTION("""COMPUTED_VALUE"""),42.0)</f>
        <v>42</v>
      </c>
      <c r="AM162">
        <f>IFERROR(__xludf.DUMMYFUNCTION("""COMPUTED_VALUE"""),2018.0)</f>
        <v>2018</v>
      </c>
    </row>
    <row r="163">
      <c r="A163">
        <f>IFERROR(__xludf.DUMMYFUNCTION("""COMPUTED_VALUE"""),1.7663754E7)</f>
        <v>17663754</v>
      </c>
      <c r="B163">
        <f>IFERROR(__xludf.DUMMYFUNCTION("""COMPUTED_VALUE"""),65.0)</f>
        <v>65</v>
      </c>
      <c r="C163" t="str">
        <f>IFERROR(__xludf.DUMMYFUNCTION("""COMPUTED_VALUE"""),"A177")</f>
        <v>A177</v>
      </c>
      <c r="D163" t="str">
        <f>IFERROR(__xludf.DUMMYFUNCTION("""COMPUTED_VALUE"""),"INGRESAR CENTRO DE COSTO A LA DERECHA")</f>
        <v>INGRESAR CENTRO DE COSTO A LA DERECHA</v>
      </c>
      <c r="E163" t="str">
        <f>IFERROR(__xludf.DUMMYFUNCTION("""COMPUTED_VALUE"""),"VR. DE INVEST. DESARR E INNOVACION")</f>
        <v>VR. DE INVEST. DESARR E INNOVACION</v>
      </c>
      <c r="F163" t="str">
        <f>IFERROR(__xludf.DUMMYFUNCTION("""COMPUTED_VALUE"""),"Administrativo(a) de Proceso")</f>
        <v>Administrativo(a) de Proceso</v>
      </c>
      <c r="G163" t="str">
        <f>IFERROR(__xludf.DUMMYFUNCTION("""COMPUTED_VALUE"""),"ADMINISTRATIVO DE PROCESO")</f>
        <v>ADMINISTRATIVO DE PROCESO</v>
      </c>
      <c r="H163">
        <f>IFERROR(__xludf.DUMMYFUNCTION("""COMPUTED_VALUE"""),17.0)</f>
        <v>17</v>
      </c>
      <c r="I163" t="str">
        <f>IFERROR(__xludf.DUMMYFUNCTION("""COMPUTED_VALUE"""),"Jornada Completa")</f>
        <v>Jornada Completa</v>
      </c>
      <c r="J163" t="str">
        <f>IFERROR(__xludf.DUMMYFUNCTION("""COMPUTED_VALUE"""),"A CONTRATA")</f>
        <v>A CONTRATA</v>
      </c>
      <c r="K163" t="str">
        <f>IFERROR(__xludf.DUMMYFUNCTION("""COMPUTED_VALUE"""),"ADMINISTRATIVO")</f>
        <v>ADMINISTRATIVO</v>
      </c>
      <c r="L163" t="str">
        <f>IFERROR(__xludf.DUMMYFUNCTION("""COMPUTED_VALUE"""),"INTERNO")</f>
        <v>INTERNO</v>
      </c>
      <c r="M163">
        <f>IFERROR(__xludf.DUMMYFUNCTION("""COMPUTED_VALUE"""),3.0)</f>
        <v>3</v>
      </c>
      <c r="N163" t="str">
        <f>IFERROR(__xludf.DUMMYFUNCTION("""COMPUTED_VALUE"""),"NO")</f>
        <v>NO</v>
      </c>
      <c r="O163">
        <f>IFERROR(__xludf.DUMMYFUNCTION("""COMPUTED_VALUE"""),5.0)</f>
        <v>5</v>
      </c>
      <c r="P163">
        <f>IFERROR(__xludf.DUMMYFUNCTION("""COMPUTED_VALUE"""),1.0)</f>
        <v>1</v>
      </c>
      <c r="Q163">
        <f>IFERROR(__xludf.DUMMYFUNCTION("""COMPUTED_VALUE"""),1.0)</f>
        <v>1</v>
      </c>
      <c r="R163" s="45" t="str">
        <f>IFERROR(__xludf.DUMMYFUNCTION("""COMPUTED_VALUE"""),"SELECCIONADA")</f>
        <v>SELECCIONADA</v>
      </c>
      <c r="S163" s="38">
        <f>IFERROR(__xludf.DUMMYFUNCTION("""COMPUTED_VALUE"""),43356.0)</f>
        <v>43356</v>
      </c>
      <c r="T163" t="str">
        <f>IFERROR(__xludf.DUMMYFUNCTION("""COMPUTED_VALUE"""),"CUBILLOS CASTRO MARIA PAZ")</f>
        <v>CUBILLOS CASTRO MARIA PAZ</v>
      </c>
      <c r="V163" t="str">
        <f>IFERROR(__xludf.DUMMYFUNCTION("""COMPUTED_VALUE"""),"17663754-4")</f>
        <v>17663754-4</v>
      </c>
      <c r="W163" t="str">
        <f>IFERROR(__xludf.DUMMYFUNCTION("""COMPUTED_VALUE"""),"SI")</f>
        <v>SI</v>
      </c>
      <c r="X163" t="str">
        <f>IFERROR(__xludf.DUMMYFUNCTION("""COMPUTED_VALUE"""),"Orientacion a los Resultados")</f>
        <v>Orientacion a los Resultados</v>
      </c>
      <c r="AA163" s="38">
        <f>IFERROR(__xludf.DUMMYFUNCTION("""COMPUTED_VALUE"""),43314.0)</f>
        <v>43314</v>
      </c>
      <c r="AB163" s="38">
        <f>IFERROR(__xludf.DUMMYFUNCTION("""COMPUTED_VALUE"""),43320.0)</f>
        <v>43320</v>
      </c>
      <c r="AH163" t="str">
        <f>IFERROR(__xludf.DUMMYFUNCTION("""COMPUTED_VALUE"""),"PROCESO DE SELECCIÓN")</f>
        <v>PROCESO DE SELECCIÓN</v>
      </c>
      <c r="AI163" t="str">
        <f>IFERROR(__xludf.DUMMYFUNCTION("""COMPUTED_VALUE"""),"OLGUIN FERNANDEZ VERONICA")</f>
        <v>OLGUIN FERNANDEZ VERONICA</v>
      </c>
      <c r="AK163" t="str">
        <f>IFERROR(__xludf.DUMMYFUNCTION("""COMPUTED_VALUE"""),"C")</f>
        <v>C</v>
      </c>
      <c r="AL163">
        <f>IFERROR(__xludf.DUMMYFUNCTION("""COMPUTED_VALUE"""),27.0)</f>
        <v>27</v>
      </c>
      <c r="AM163">
        <f>IFERROR(__xludf.DUMMYFUNCTION("""COMPUTED_VALUE"""),2018.0)</f>
        <v>2018</v>
      </c>
    </row>
    <row r="164">
      <c r="A164">
        <f>IFERROR(__xludf.DUMMYFUNCTION("""COMPUTED_VALUE"""),1.7225035E7)</f>
        <v>17225035</v>
      </c>
      <c r="B164">
        <f>IFERROR(__xludf.DUMMYFUNCTION("""COMPUTED_VALUE"""),66.0)</f>
        <v>66</v>
      </c>
      <c r="C164" t="str">
        <f>IFERROR(__xludf.DUMMYFUNCTION("""COMPUTED_VALUE"""),"A215")</f>
        <v>A215</v>
      </c>
      <c r="D164" t="str">
        <f>IFERROR(__xludf.DUMMYFUNCTION("""COMPUTED_VALUE"""),"INGRESAR CENTRO DE COSTO A LA DERECHA")</f>
        <v>INGRESAR CENTRO DE COSTO A LA DERECHA</v>
      </c>
      <c r="E164" t="str">
        <f>IFERROR(__xludf.DUMMYFUNCTION("""COMPUTED_VALUE"""),"DPTO. DE CALIDAD Y ACREDITACION")</f>
        <v>DPTO. DE CALIDAD Y ACREDITACION</v>
      </c>
      <c r="F164" t="str">
        <f>IFERROR(__xludf.DUMMYFUNCTION("""COMPUTED_VALUE"""),"Analista de Acreditación")</f>
        <v>Analista de Acreditación</v>
      </c>
      <c r="G164" t="str">
        <f>IFERROR(__xludf.DUMMYFUNCTION("""COMPUTED_VALUE"""),"ANALISTA DE ACREDITACION")</f>
        <v>ANALISTA DE ACREDITACION</v>
      </c>
      <c r="H164">
        <f>IFERROR(__xludf.DUMMYFUNCTION("""COMPUTED_VALUE"""),10.0)</f>
        <v>10</v>
      </c>
      <c r="I164" t="str">
        <f>IFERROR(__xludf.DUMMYFUNCTION("""COMPUTED_VALUE"""),"Jornada Completa")</f>
        <v>Jornada Completa</v>
      </c>
      <c r="J164" t="str">
        <f>IFERROR(__xludf.DUMMYFUNCTION("""COMPUTED_VALUE"""),"A CONTRATA")</f>
        <v>A CONTRATA</v>
      </c>
      <c r="K164" t="str">
        <f>IFERROR(__xludf.DUMMYFUNCTION("""COMPUTED_VALUE"""),"PROFESIONAL")</f>
        <v>PROFESIONAL</v>
      </c>
      <c r="L164" t="str">
        <f>IFERROR(__xludf.DUMMYFUNCTION("""COMPUTED_VALUE"""),"INTERNO")</f>
        <v>INTERNO</v>
      </c>
      <c r="M164">
        <f>IFERROR(__xludf.DUMMYFUNCTION("""COMPUTED_VALUE"""),2.0)</f>
        <v>2</v>
      </c>
      <c r="N164" t="str">
        <f>IFERROR(__xludf.DUMMYFUNCTION("""COMPUTED_VALUE"""),"EXTERNO")</f>
        <v>EXTERNO</v>
      </c>
      <c r="O164">
        <f>IFERROR(__xludf.DUMMYFUNCTION("""COMPUTED_VALUE"""),14.0)</f>
        <v>14</v>
      </c>
      <c r="P164">
        <f>IFERROR(__xludf.DUMMYFUNCTION("""COMPUTED_VALUE"""),1.0)</f>
        <v>1</v>
      </c>
      <c r="Q164">
        <f>IFERROR(__xludf.DUMMYFUNCTION("""COMPUTED_VALUE"""),0.0)</f>
        <v>0</v>
      </c>
      <c r="R164" s="45" t="str">
        <f>IFERROR(__xludf.DUMMYFUNCTION("""COMPUTED_VALUE"""),"SELECCIONADO")</f>
        <v>SELECCIONADO</v>
      </c>
      <c r="S164" s="38">
        <f>IFERROR(__xludf.DUMMYFUNCTION("""COMPUTED_VALUE"""),43344.0)</f>
        <v>43344</v>
      </c>
      <c r="U164" t="str">
        <f>IFERROR(__xludf.DUMMYFUNCTION("""COMPUTED_VALUE"""),"FELIPE MATUS VALENZUELA")</f>
        <v>FELIPE MATUS VALENZUELA</v>
      </c>
      <c r="V164" t="str">
        <f>IFERROR(__xludf.DUMMYFUNCTION("""COMPUTED_VALUE"""),"17225035-1")</f>
        <v>17225035-1</v>
      </c>
      <c r="W164" t="str">
        <f>IFERROR(__xludf.DUMMYFUNCTION("""COMPUTED_VALUE"""),"SI")</f>
        <v>SI</v>
      </c>
      <c r="X164" t="str">
        <f>IFERROR(__xludf.DUMMYFUNCTION("""COMPUTED_VALUE"""),"Pensamiento Analitico")</f>
        <v>Pensamiento Analitico</v>
      </c>
      <c r="Y164" t="str">
        <f>IFERROR(__xludf.DUMMYFUNCTION("""COMPUTED_VALUE"""),"Capacidad de Planificacion y Organizacion")</f>
        <v>Capacidad de Planificacion y Organizacion</v>
      </c>
      <c r="AA164" s="38">
        <f>IFERROR(__xludf.DUMMYFUNCTION("""COMPUTED_VALUE"""),43306.0)</f>
        <v>43306</v>
      </c>
      <c r="AB164" s="38">
        <f>IFERROR(__xludf.DUMMYFUNCTION("""COMPUTED_VALUE"""),43312.0)</f>
        <v>43312</v>
      </c>
      <c r="AH164" t="str">
        <f>IFERROR(__xludf.DUMMYFUNCTION("""COMPUTED_VALUE"""),"PROCESO DE SELECCIÓN")</f>
        <v>PROCESO DE SELECCIÓN</v>
      </c>
      <c r="AI164" t="str">
        <f>IFERROR(__xludf.DUMMYFUNCTION("""COMPUTED_VALUE"""),"ORELLANA GARRIDO CLAUDIA")</f>
        <v>ORELLANA GARRIDO CLAUDIA</v>
      </c>
      <c r="AK164" t="str">
        <f>IFERROR(__xludf.DUMMYFUNCTION("""COMPUTED_VALUE"""),"E")</f>
        <v>E</v>
      </c>
      <c r="AL164">
        <f>IFERROR(__xludf.DUMMYFUNCTION("""COMPUTED_VALUE"""),24.0)</f>
        <v>24</v>
      </c>
      <c r="AM164">
        <f>IFERROR(__xludf.DUMMYFUNCTION("""COMPUTED_VALUE"""),2018.0)</f>
        <v>2018</v>
      </c>
    </row>
    <row r="165">
      <c r="A165">
        <f>IFERROR(__xludf.DUMMYFUNCTION("""COMPUTED_VALUE"""),1.7879933E7)</f>
        <v>17879933</v>
      </c>
      <c r="B165">
        <f>IFERROR(__xludf.DUMMYFUNCTION("""COMPUTED_VALUE"""),67.0)</f>
        <v>67</v>
      </c>
      <c r="C165" t="str">
        <f>IFERROR(__xludf.DUMMYFUNCTION("""COMPUTED_VALUE"""),"IR2018-18")</f>
        <v>IR2018-18</v>
      </c>
      <c r="D165" t="str">
        <f>IFERROR(__xludf.DUMMYFUNCTION("""COMPUTED_VALUE"""),"INGRESAR CENTRO DE COSTO A LA DERECHA")</f>
        <v>INGRESAR CENTRO DE COSTO A LA DERECHA</v>
      </c>
      <c r="E165" t="str">
        <f>IFERROR(__xludf.DUMMYFUNCTION("""COMPUTED_VALUE"""),"UNIDAD DE BIBLIOTECAS")</f>
        <v>UNIDAD DE BIBLIOTECAS</v>
      </c>
      <c r="F165" t="str">
        <f>IFERROR(__xludf.DUMMYFUNCTION("""COMPUTED_VALUE"""),"Asistente de Biblioteca")</f>
        <v>Asistente de Biblioteca</v>
      </c>
      <c r="G165" t="str">
        <f>IFERROR(__xludf.DUMMYFUNCTION("""COMPUTED_VALUE"""),"ASISTENTE DE BIBLIOTECA  ")</f>
        <v>ASISTENTE DE BIBLIOTECA  </v>
      </c>
      <c r="H165">
        <f>IFERROR(__xludf.DUMMYFUNCTION("""COMPUTED_VALUE"""),20.0)</f>
        <v>20</v>
      </c>
      <c r="I165" t="str">
        <f>IFERROR(__xludf.DUMMYFUNCTION("""COMPUTED_VALUE"""),"Jornada Completa")</f>
        <v>Jornada Completa</v>
      </c>
      <c r="J165" t="str">
        <f>IFERROR(__xludf.DUMMYFUNCTION("""COMPUTED_VALUE"""),"A CONTRATA")</f>
        <v>A CONTRATA</v>
      </c>
      <c r="K165" t="str">
        <f>IFERROR(__xludf.DUMMYFUNCTION("""COMPUTED_VALUE"""),"ADMINISTRATIVO")</f>
        <v>ADMINISTRATIVO</v>
      </c>
      <c r="L165" t="str">
        <f>IFERROR(__xludf.DUMMYFUNCTION("""COMPUTED_VALUE"""),"INTERNO")</f>
        <v>INTERNO</v>
      </c>
      <c r="M165">
        <f>IFERROR(__xludf.DUMMYFUNCTION("""COMPUTED_VALUE"""),1.0)</f>
        <v>1</v>
      </c>
      <c r="N165" t="str">
        <f>IFERROR(__xludf.DUMMYFUNCTION("""COMPUTED_VALUE"""),"NO")</f>
        <v>NO</v>
      </c>
      <c r="O165">
        <f>IFERROR(__xludf.DUMMYFUNCTION("""COMPUTED_VALUE"""),0.0)</f>
        <v>0</v>
      </c>
      <c r="P165">
        <f>IFERROR(__xludf.DUMMYFUNCTION("""COMPUTED_VALUE"""),1.0)</f>
        <v>1</v>
      </c>
      <c r="Q165">
        <f>IFERROR(__xludf.DUMMYFUNCTION("""COMPUTED_VALUE"""),0.0)</f>
        <v>0</v>
      </c>
      <c r="R165" s="45" t="str">
        <f>IFERROR(__xludf.DUMMYFUNCTION("""COMPUTED_VALUE"""),"SELECCIONADA")</f>
        <v>SELECCIONADA</v>
      </c>
      <c r="S165" s="38">
        <f>IFERROR(__xludf.DUMMYFUNCTION("""COMPUTED_VALUE"""),43374.0)</f>
        <v>43374</v>
      </c>
      <c r="T165" t="str">
        <f>IFERROR(__xludf.DUMMYFUNCTION("""COMPUTED_VALUE"""),"CERDA ARANCIBIA SUSANA ANDREA")</f>
        <v>CERDA ARANCIBIA SUSANA ANDREA</v>
      </c>
      <c r="V165" t="str">
        <f>IFERROR(__xludf.DUMMYFUNCTION("""COMPUTED_VALUE"""),"17879933-9")</f>
        <v>17879933-9</v>
      </c>
      <c r="W165" t="str">
        <f>IFERROR(__xludf.DUMMYFUNCTION("""COMPUTED_VALUE"""),"SI")</f>
        <v>SI</v>
      </c>
      <c r="X165" t="str">
        <f>IFERROR(__xludf.DUMMYFUNCTION("""COMPUTED_VALUE"""),"Preocupacion por el Orden y la Claridad")</f>
        <v>Preocupacion por el Orden y la Claridad</v>
      </c>
      <c r="AA165" s="38">
        <f>IFERROR(__xludf.DUMMYFUNCTION("""COMPUTED_VALUE"""),43381.0)</f>
        <v>43381</v>
      </c>
      <c r="AB165" s="38">
        <f>IFERROR(__xludf.DUMMYFUNCTION("""COMPUTED_VALUE"""),43325.0)</f>
        <v>43325</v>
      </c>
      <c r="AH165" t="str">
        <f>IFERROR(__xludf.DUMMYFUNCTION("""COMPUTED_VALUE"""),"PROCESO DE SELECCIÓN")</f>
        <v>PROCESO DE SELECCIÓN</v>
      </c>
      <c r="AI165" t="str">
        <f>IFERROR(__xludf.DUMMYFUNCTION("""COMPUTED_VALUE"""),"- ")</f>
        <v>- </v>
      </c>
      <c r="AK165" t="str">
        <f>IFERROR(__xludf.DUMMYFUNCTION("""COMPUTED_VALUE"""),"C")</f>
        <v>C</v>
      </c>
      <c r="AL165">
        <f>IFERROR(__xludf.DUMMYFUNCTION("""COMPUTED_VALUE"""),36.0)</f>
        <v>36</v>
      </c>
      <c r="AM165">
        <f>IFERROR(__xludf.DUMMYFUNCTION("""COMPUTED_VALUE"""),2018.0)</f>
        <v>2018</v>
      </c>
    </row>
    <row r="166">
      <c r="A166">
        <f>IFERROR(__xludf.DUMMYFUNCTION("""COMPUTED_VALUE"""),9095484.0)</f>
        <v>9095484</v>
      </c>
      <c r="B166">
        <f>IFERROR(__xludf.DUMMYFUNCTION("""COMPUTED_VALUE"""),68.0)</f>
        <v>68</v>
      </c>
      <c r="C166" t="str">
        <f>IFERROR(__xludf.DUMMYFUNCTION("""COMPUTED_VALUE"""),"IR2018-19")</f>
        <v>IR2018-19</v>
      </c>
      <c r="D166" t="str">
        <f>IFERROR(__xludf.DUMMYFUNCTION("""COMPUTED_VALUE"""),"INGRESAR CENTRO DE COSTO A LA DERECHA")</f>
        <v>INGRESAR CENTRO DE COSTO A LA DERECHA</v>
      </c>
      <c r="E166" t="str">
        <f>IFERROR(__xludf.DUMMYFUNCTION("""COMPUTED_VALUE"""),"UNIDAD DE BIBLIOTECAS")</f>
        <v>UNIDAD DE BIBLIOTECAS</v>
      </c>
      <c r="F166" t="str">
        <f>IFERROR(__xludf.DUMMYFUNCTION("""COMPUTED_VALUE"""),"Asistente de Biblioteca")</f>
        <v>Asistente de Biblioteca</v>
      </c>
      <c r="G166" t="str">
        <f>IFERROR(__xludf.DUMMYFUNCTION("""COMPUTED_VALUE"""),"ASISTENTE DE BIBLIOTECA ( HORARIO VESPERTINO)")</f>
        <v>ASISTENTE DE BIBLIOTECA ( HORARIO VESPERTINO)</v>
      </c>
      <c r="H166">
        <f>IFERROR(__xludf.DUMMYFUNCTION("""COMPUTED_VALUE"""),20.0)</f>
        <v>20</v>
      </c>
      <c r="I166" t="str">
        <f>IFERROR(__xludf.DUMMYFUNCTION("""COMPUTED_VALUE"""),"Jornada Completa")</f>
        <v>Jornada Completa</v>
      </c>
      <c r="J166" t="str">
        <f>IFERROR(__xludf.DUMMYFUNCTION("""COMPUTED_VALUE"""),"A CONTRATA")</f>
        <v>A CONTRATA</v>
      </c>
      <c r="K166" t="str">
        <f>IFERROR(__xludf.DUMMYFUNCTION("""COMPUTED_VALUE"""),"ADMINISTRATIVO")</f>
        <v>ADMINISTRATIVO</v>
      </c>
      <c r="L166" t="str">
        <f>IFERROR(__xludf.DUMMYFUNCTION("""COMPUTED_VALUE"""),"INTERNO")</f>
        <v>INTERNO</v>
      </c>
      <c r="M166">
        <f>IFERROR(__xludf.DUMMYFUNCTION("""COMPUTED_VALUE"""),0.0)</f>
        <v>0</v>
      </c>
      <c r="N166" t="str">
        <f>IFERROR(__xludf.DUMMYFUNCTION("""COMPUTED_VALUE"""),"EXTERNO")</f>
        <v>EXTERNO</v>
      </c>
      <c r="O166">
        <f>IFERROR(__xludf.DUMMYFUNCTION("""COMPUTED_VALUE"""),6.0)</f>
        <v>6</v>
      </c>
      <c r="P166">
        <f>IFERROR(__xludf.DUMMYFUNCTION("""COMPUTED_VALUE"""),1.0)</f>
        <v>1</v>
      </c>
      <c r="Q166">
        <f>IFERROR(__xludf.DUMMYFUNCTION("""COMPUTED_VALUE"""),0.0)</f>
        <v>0</v>
      </c>
      <c r="R166" s="45" t="str">
        <f>IFERROR(__xludf.DUMMYFUNCTION("""COMPUTED_VALUE"""),"SELECCIONADO")</f>
        <v>SELECCIONADO</v>
      </c>
      <c r="S166" s="38">
        <f>IFERROR(__xludf.DUMMYFUNCTION("""COMPUTED_VALUE"""),43374.0)</f>
        <v>43374</v>
      </c>
      <c r="U166" t="str">
        <f>IFERROR(__xludf.DUMMYFUNCTION("""COMPUTED_VALUE"""),"LUIS FUENTES COELLO")</f>
        <v>LUIS FUENTES COELLO</v>
      </c>
      <c r="V166" t="str">
        <f>IFERROR(__xludf.DUMMYFUNCTION("""COMPUTED_VALUE"""),"9095484-9")</f>
        <v>9095484-9</v>
      </c>
      <c r="W166" t="str">
        <f>IFERROR(__xludf.DUMMYFUNCTION("""COMPUTED_VALUE"""),"SI")</f>
        <v>SI</v>
      </c>
      <c r="X166" t="str">
        <f>IFERROR(__xludf.DUMMYFUNCTION("""COMPUTED_VALUE"""),"Comunicacion")</f>
        <v>Comunicacion</v>
      </c>
      <c r="AA166" s="38">
        <f>IFERROR(__xludf.DUMMYFUNCTION("""COMPUTED_VALUE"""),43316.0)</f>
        <v>43316</v>
      </c>
      <c r="AB166" s="38">
        <f>IFERROR(__xludf.DUMMYFUNCTION("""COMPUTED_VALUE"""),43332.0)</f>
        <v>43332</v>
      </c>
      <c r="AH166" t="str">
        <f>IFERROR(__xludf.DUMMYFUNCTION("""COMPUTED_VALUE"""),"PROCESO DE SELECCIÓN")</f>
        <v>PROCESO DE SELECCIÓN</v>
      </c>
      <c r="AI166" t="str">
        <f>IFERROR(__xludf.DUMMYFUNCTION("""COMPUTED_VALUE""")," - ")</f>
        <v> - </v>
      </c>
      <c r="AK166" t="str">
        <f>IFERROR(__xludf.DUMMYFUNCTION("""COMPUTED_VALUE"""),"C")</f>
        <v>C</v>
      </c>
      <c r="AL166">
        <f>IFERROR(__xludf.DUMMYFUNCTION("""COMPUTED_VALUE"""),31.0)</f>
        <v>31</v>
      </c>
      <c r="AM166">
        <f>IFERROR(__xludf.DUMMYFUNCTION("""COMPUTED_VALUE"""),2018.0)</f>
        <v>2018</v>
      </c>
    </row>
    <row r="167">
      <c r="A167">
        <f>IFERROR(__xludf.DUMMYFUNCTION("""COMPUTED_VALUE"""),1.6562789E7)</f>
        <v>16562789</v>
      </c>
      <c r="B167">
        <f>IFERROR(__xludf.DUMMYFUNCTION("""COMPUTED_VALUE"""),70.0)</f>
        <v>70</v>
      </c>
      <c r="C167" t="str">
        <f>IFERROR(__xludf.DUMMYFUNCTION("""COMPUTED_VALUE"""),"A223")</f>
        <v>A223</v>
      </c>
      <c r="D167" t="str">
        <f>IFERROR(__xludf.DUMMYFUNCTION("""COMPUTED_VALUE"""),"INGRESAR CENTRO DE COSTO A LA DERECHA")</f>
        <v>INGRESAR CENTRO DE COSTO A LA DERECHA</v>
      </c>
      <c r="E167" t="str">
        <f>IFERROR(__xludf.DUMMYFUNCTION("""COMPUTED_VALUE"""),"UNIDAD DE ADM. SERV. ALIMENTARIOS")</f>
        <v>UNIDAD DE ADM. SERV. ALIMENTARIOS</v>
      </c>
      <c r="F167" t="str">
        <f>IFERROR(__xludf.DUMMYFUNCTION("""COMPUTED_VALUE"""),"Encargado(a) de Compras Unidad")</f>
        <v>Encargado(a) de Compras Unidad</v>
      </c>
      <c r="G167" t="str">
        <f>IFERROR(__xludf.DUMMYFUNCTION("""COMPUTED_VALUE"""),"ENCARGADO DE COMPRAS UNIDAD")</f>
        <v>ENCARGADO DE COMPRAS UNIDAD</v>
      </c>
      <c r="H167">
        <f>IFERROR(__xludf.DUMMYFUNCTION("""COMPUTED_VALUE"""),17.0)</f>
        <v>17</v>
      </c>
      <c r="I167" t="str">
        <f>IFERROR(__xludf.DUMMYFUNCTION("""COMPUTED_VALUE"""),"Jornada Completa")</f>
        <v>Jornada Completa</v>
      </c>
      <c r="J167" t="str">
        <f>IFERROR(__xludf.DUMMYFUNCTION("""COMPUTED_VALUE"""),"A CONTRATA")</f>
        <v>A CONTRATA</v>
      </c>
      <c r="K167" t="str">
        <f>IFERROR(__xludf.DUMMYFUNCTION("""COMPUTED_VALUE"""),"ADMINISTRATIVO")</f>
        <v>ADMINISTRATIVO</v>
      </c>
      <c r="L167" t="str">
        <f>IFERROR(__xludf.DUMMYFUNCTION("""COMPUTED_VALUE"""),"INTERNO")</f>
        <v>INTERNO</v>
      </c>
      <c r="M167">
        <f>IFERROR(__xludf.DUMMYFUNCTION("""COMPUTED_VALUE"""),2.0)</f>
        <v>2</v>
      </c>
      <c r="N167" t="str">
        <f>IFERROR(__xludf.DUMMYFUNCTION("""COMPUTED_VALUE"""),"NO")</f>
        <v>NO</v>
      </c>
      <c r="O167">
        <f>IFERROR(__xludf.DUMMYFUNCTION("""COMPUTED_VALUE"""),0.0)</f>
        <v>0</v>
      </c>
      <c r="P167">
        <f>IFERROR(__xludf.DUMMYFUNCTION("""COMPUTED_VALUE"""),2.0)</f>
        <v>2</v>
      </c>
      <c r="Q167">
        <f>IFERROR(__xludf.DUMMYFUNCTION("""COMPUTED_VALUE"""),0.0)</f>
        <v>0</v>
      </c>
      <c r="R167" s="45" t="str">
        <f>IFERROR(__xludf.DUMMYFUNCTION("""COMPUTED_VALUE"""),"SELECCIONADO")</f>
        <v>SELECCIONADO</v>
      </c>
      <c r="S167" s="38">
        <f>IFERROR(__xludf.DUMMYFUNCTION("""COMPUTED_VALUE"""),43376.0)</f>
        <v>43376</v>
      </c>
      <c r="T167" t="str">
        <f>IFERROR(__xludf.DUMMYFUNCTION("""COMPUTED_VALUE"""),"CARRERA MOLINA JUAN ANDRES")</f>
        <v>CARRERA MOLINA JUAN ANDRES</v>
      </c>
      <c r="V167" t="str">
        <f>IFERROR(__xludf.DUMMYFUNCTION("""COMPUTED_VALUE"""),"16562789-K")</f>
        <v>16562789-K</v>
      </c>
      <c r="W167" t="str">
        <f>IFERROR(__xludf.DUMMYFUNCTION("""COMPUTED_VALUE"""),"SI")</f>
        <v>SI</v>
      </c>
      <c r="X167" t="str">
        <f>IFERROR(__xludf.DUMMYFUNCTION("""COMPUTED_VALUE"""),"Preocupacion por el Orden y la Claridad")</f>
        <v>Preocupacion por el Orden y la Claridad</v>
      </c>
      <c r="AA167" s="38">
        <f>IFERROR(__xludf.DUMMYFUNCTION("""COMPUTED_VALUE"""),43329.0)</f>
        <v>43329</v>
      </c>
      <c r="AB167" s="38">
        <f>IFERROR(__xludf.DUMMYFUNCTION("""COMPUTED_VALUE"""),43336.0)</f>
        <v>43336</v>
      </c>
      <c r="AH167" t="str">
        <f>IFERROR(__xludf.DUMMYFUNCTION("""COMPUTED_VALUE"""),"PROCESO DE SELECCIÓN")</f>
        <v>PROCESO DE SELECCIÓN</v>
      </c>
      <c r="AI167" t="str">
        <f>IFERROR(__xludf.DUMMYFUNCTION("""COMPUTED_VALUE"""),"ARMIJO CORNEJO MIGUEL")</f>
        <v>ARMIJO CORNEJO MIGUEL</v>
      </c>
      <c r="AK167" t="str">
        <f>IFERROR(__xludf.DUMMYFUNCTION("""COMPUTED_VALUE"""),"P")</f>
        <v>P</v>
      </c>
      <c r="AL167">
        <f>IFERROR(__xludf.DUMMYFUNCTION("""COMPUTED_VALUE"""),29.0)</f>
        <v>29</v>
      </c>
      <c r="AM167">
        <f>IFERROR(__xludf.DUMMYFUNCTION("""COMPUTED_VALUE"""),2018.0)</f>
        <v>2018</v>
      </c>
    </row>
    <row r="168">
      <c r="A168">
        <f>IFERROR(__xludf.DUMMYFUNCTION("""COMPUTED_VALUE"""),2.6033733E7)</f>
        <v>26033733</v>
      </c>
      <c r="B168">
        <f>IFERROR(__xludf.DUMMYFUNCTION("""COMPUTED_VALUE"""),71.0)</f>
        <v>71</v>
      </c>
      <c r="D168" t="str">
        <f>IFERROR(__xludf.DUMMYFUNCTION("""COMPUTED_VALUE"""),"INGRESAR CENTRO DE COSTO A LA DERECHA")</f>
        <v>INGRESAR CENTRO DE COSTO A LA DERECHA</v>
      </c>
      <c r="E168" t="str">
        <f>IFERROR(__xludf.DUMMYFUNCTION("""COMPUTED_VALUE"""),"UNIDAD DE ATENCION DE SALUD")</f>
        <v>UNIDAD DE ATENCION DE SALUD</v>
      </c>
      <c r="F168" t="str">
        <f>IFERROR(__xludf.DUMMYFUNCTION("""COMPUTED_VALUE"""),"Médicos(as) y Dentistas")</f>
        <v>Médicos(as) y Dentistas</v>
      </c>
      <c r="G168" t="str">
        <f>IFERROR(__xludf.DUMMYFUNCTION("""COMPUTED_VALUE"""),"MEDICO GINECOLOGO LEY 19664 ")</f>
        <v>MEDICO GINECOLOGO LEY 19664 </v>
      </c>
      <c r="I168" t="str">
        <f>IFERROR(__xludf.DUMMYFUNCTION("""COMPUTED_VALUE"""),"1/2 Jornada")</f>
        <v>1/2 Jornada</v>
      </c>
      <c r="J168" t="str">
        <f>IFERROR(__xludf.DUMMYFUNCTION("""COMPUTED_VALUE"""),"A CONTRATA")</f>
        <v>A CONTRATA</v>
      </c>
      <c r="L168" t="str">
        <f>IFERROR(__xludf.DUMMYFUNCTION("""COMPUTED_VALUE"""),"NO")</f>
        <v>NO</v>
      </c>
      <c r="M168">
        <f>IFERROR(__xludf.DUMMYFUNCTION("""COMPUTED_VALUE"""),0.0)</f>
        <v>0</v>
      </c>
      <c r="N168" t="str">
        <f>IFERROR(__xludf.DUMMYFUNCTION("""COMPUTED_VALUE"""),"EXTERNO")</f>
        <v>EXTERNO</v>
      </c>
      <c r="O168">
        <f>IFERROR(__xludf.DUMMYFUNCTION("""COMPUTED_VALUE"""),5.0)</f>
        <v>5</v>
      </c>
      <c r="P168">
        <f>IFERROR(__xludf.DUMMYFUNCTION("""COMPUTED_VALUE"""),3.0)</f>
        <v>3</v>
      </c>
      <c r="Q168">
        <f>IFERROR(__xludf.DUMMYFUNCTION("""COMPUTED_VALUE"""),5.0)</f>
        <v>5</v>
      </c>
      <c r="R168" s="45" t="str">
        <f>IFERROR(__xludf.DUMMYFUNCTION("""COMPUTED_VALUE"""),"SELECCIONADA")</f>
        <v>SELECCIONADA</v>
      </c>
      <c r="S168" s="38">
        <f>IFERROR(__xludf.DUMMYFUNCTION("""COMPUTED_VALUE"""),43374.0)</f>
        <v>43374</v>
      </c>
      <c r="U168" t="str">
        <f>IFERROR(__xludf.DUMMYFUNCTION("""COMPUTED_VALUE"""),"JESSICA BASTOURI CARRASCO")</f>
        <v>JESSICA BASTOURI CARRASCO</v>
      </c>
      <c r="V168" t="str">
        <f>IFERROR(__xludf.DUMMYFUNCTION("""COMPUTED_VALUE"""),"26033733-5")</f>
        <v>26033733-5</v>
      </c>
      <c r="W168" t="str">
        <f>IFERROR(__xludf.DUMMYFUNCTION("""COMPUTED_VALUE"""),"NO")</f>
        <v>NO</v>
      </c>
      <c r="AA168" s="38">
        <f>IFERROR(__xludf.DUMMYFUNCTION("""COMPUTED_VALUE"""),43301.0)</f>
        <v>43301</v>
      </c>
      <c r="AB168" s="38">
        <f>IFERROR(__xludf.DUMMYFUNCTION("""COMPUTED_VALUE"""),43332.0)</f>
        <v>43332</v>
      </c>
      <c r="AH168" t="str">
        <f>IFERROR(__xludf.DUMMYFUNCTION("""COMPUTED_VALUE"""),"PROCESO DE SELECCIÓN")</f>
        <v>PROCESO DE SELECCIÓN</v>
      </c>
      <c r="AI168" t="str">
        <f>IFERROR(__xludf.DUMMYFUNCTION("""COMPUTED_VALUE"""),"- ")</f>
        <v>- </v>
      </c>
      <c r="AK168" t="str">
        <f>IFERROR(__xludf.DUMMYFUNCTION("""COMPUTED_VALUE"""),"C")</f>
        <v>C</v>
      </c>
      <c r="AL168">
        <f>IFERROR(__xludf.DUMMYFUNCTION("""COMPUTED_VALUE"""),31.0)</f>
        <v>31</v>
      </c>
      <c r="AM168">
        <f>IFERROR(__xludf.DUMMYFUNCTION("""COMPUTED_VALUE"""),2018.0)</f>
        <v>2018</v>
      </c>
    </row>
    <row r="169">
      <c r="A169">
        <f>IFERROR(__xludf.DUMMYFUNCTION("""COMPUTED_VALUE"""),1.8538269E7)</f>
        <v>18538269</v>
      </c>
      <c r="B169">
        <f>IFERROR(__xludf.DUMMYFUNCTION("""COMPUTED_VALUE"""),72.0)</f>
        <v>72</v>
      </c>
      <c r="C169" t="str">
        <f>IFERROR(__xludf.DUMMYFUNCTION("""COMPUTED_VALUE"""),"A241")</f>
        <v>A241</v>
      </c>
      <c r="D169" t="str">
        <f>IFERROR(__xludf.DUMMYFUNCTION("""COMPUTED_VALUE"""),"INGRESAR CENTRO DE COSTO A LA DERECHA")</f>
        <v>INGRESAR CENTRO DE COSTO A LA DERECHA</v>
      </c>
      <c r="E169" t="str">
        <f>IFERROR(__xludf.DUMMYFUNCTION("""COMPUTED_VALUE"""),"DPTO. DE INGENIERIA EN MINAS")</f>
        <v>DPTO. DE INGENIERIA EN MINAS</v>
      </c>
      <c r="F169" t="str">
        <f>IFERROR(__xludf.DUMMYFUNCTION("""COMPUTED_VALUE"""),"Encargado(a) de Laboratorio")</f>
        <v>Encargado(a) de Laboratorio</v>
      </c>
      <c r="G169" t="str">
        <f>IFERROR(__xludf.DUMMYFUNCTION("""COMPUTED_VALUE"""),"ENCARGADO DE LABORATORIO ( PROCESAMIENTO EN MINERALES)")</f>
        <v>ENCARGADO DE LABORATORIO ( PROCESAMIENTO EN MINERALES)</v>
      </c>
      <c r="H169">
        <f>IFERROR(__xludf.DUMMYFUNCTION("""COMPUTED_VALUE"""),13.0)</f>
        <v>13</v>
      </c>
      <c r="I169" t="str">
        <f>IFERROR(__xludf.DUMMYFUNCTION("""COMPUTED_VALUE"""),"Jornada Completa")</f>
        <v>Jornada Completa</v>
      </c>
      <c r="J169" t="str">
        <f>IFERROR(__xludf.DUMMYFUNCTION("""COMPUTED_VALUE"""),"A CONTRATA")</f>
        <v>A CONTRATA</v>
      </c>
      <c r="K169" t="str">
        <f>IFERROR(__xludf.DUMMYFUNCTION("""COMPUTED_VALUE"""),"PROFESIONAL")</f>
        <v>PROFESIONAL</v>
      </c>
      <c r="L169" t="str">
        <f>IFERROR(__xludf.DUMMYFUNCTION("""COMPUTED_VALUE"""),"INTERNO")</f>
        <v>INTERNO</v>
      </c>
      <c r="M169">
        <f>IFERROR(__xludf.DUMMYFUNCTION("""COMPUTED_VALUE"""),0.0)</f>
        <v>0</v>
      </c>
      <c r="N169" t="str">
        <f>IFERROR(__xludf.DUMMYFUNCTION("""COMPUTED_VALUE"""),"EXTERNO")</f>
        <v>EXTERNO</v>
      </c>
      <c r="O169">
        <f>IFERROR(__xludf.DUMMYFUNCTION("""COMPUTED_VALUE"""),7.0)</f>
        <v>7</v>
      </c>
      <c r="P169">
        <f>IFERROR(__xludf.DUMMYFUNCTION("""COMPUTED_VALUE"""),1.0)</f>
        <v>1</v>
      </c>
      <c r="Q169">
        <f>IFERROR(__xludf.DUMMYFUNCTION("""COMPUTED_VALUE"""),0.0)</f>
        <v>0</v>
      </c>
      <c r="R169" s="45" t="str">
        <f>IFERROR(__xludf.DUMMYFUNCTION("""COMPUTED_VALUE"""),"SELECCIONADO")</f>
        <v>SELECCIONADO</v>
      </c>
      <c r="S169" s="38">
        <f>IFERROR(__xludf.DUMMYFUNCTION("""COMPUTED_VALUE"""),43381.0)</f>
        <v>43381</v>
      </c>
      <c r="U169" t="str">
        <f>IFERROR(__xludf.DUMMYFUNCTION("""COMPUTED_VALUE"""),"VICTOR VALDES PEREZ")</f>
        <v>VICTOR VALDES PEREZ</v>
      </c>
      <c r="V169" t="str">
        <f>IFERROR(__xludf.DUMMYFUNCTION("""COMPUTED_VALUE"""),"18538269-9")</f>
        <v>18538269-9</v>
      </c>
      <c r="W169" t="str">
        <f>IFERROR(__xludf.DUMMYFUNCTION("""COMPUTED_VALUE"""),"SI")</f>
        <v>SI</v>
      </c>
      <c r="X169" t="str">
        <f>IFERROR(__xludf.DUMMYFUNCTION("""COMPUTED_VALUE"""),"Trabajo en Equipo")</f>
        <v>Trabajo en Equipo</v>
      </c>
      <c r="Y169" t="str">
        <f>IFERROR(__xludf.DUMMYFUNCTION("""COMPUTED_VALUE"""),"Capacidad de Planificacion y Organizacion")</f>
        <v>Capacidad de Planificacion y Organizacion</v>
      </c>
      <c r="AA169" s="38">
        <f>IFERROR(__xludf.DUMMYFUNCTION("""COMPUTED_VALUE"""),43356.0)</f>
        <v>43356</v>
      </c>
      <c r="AB169" s="38">
        <f>IFERROR(__xludf.DUMMYFUNCTION("""COMPUTED_VALUE"""),43364.0)</f>
        <v>43364</v>
      </c>
      <c r="AH169" t="str">
        <f>IFERROR(__xludf.DUMMYFUNCTION("""COMPUTED_VALUE"""),"PROCESO DE SELECCIÓN")</f>
        <v>PROCESO DE SELECCIÓN</v>
      </c>
      <c r="AI169" t="str">
        <f>IFERROR(__xludf.DUMMYFUNCTION("""COMPUTED_VALUE"""),"LEON FAGNILLI RAMIRO")</f>
        <v>LEON FAGNILLI RAMIRO</v>
      </c>
      <c r="AK169" t="str">
        <f>IFERROR(__xludf.DUMMYFUNCTION("""COMPUTED_VALUE"""),"E")</f>
        <v>E</v>
      </c>
      <c r="AL169">
        <f>IFERROR(__xludf.DUMMYFUNCTION("""COMPUTED_VALUE"""),12.0)</f>
        <v>12</v>
      </c>
      <c r="AM169">
        <f>IFERROR(__xludf.DUMMYFUNCTION("""COMPUTED_VALUE"""),2018.0)</f>
        <v>2018</v>
      </c>
    </row>
    <row r="170">
      <c r="A170">
        <f>IFERROR(__xludf.DUMMYFUNCTION("""COMPUTED_VALUE"""),1.7834829E7)</f>
        <v>17834829</v>
      </c>
      <c r="B170">
        <f>IFERROR(__xludf.DUMMYFUNCTION("""COMPUTED_VALUE"""),73.0)</f>
        <v>73</v>
      </c>
      <c r="D170" t="str">
        <f>IFERROR(__xludf.DUMMYFUNCTION("""COMPUTED_VALUE"""),"INGRESAR CENTRO DE COSTO A LA DERECHA")</f>
        <v>INGRESAR CENTRO DE COSTO A LA DERECHA</v>
      </c>
      <c r="E170" t="str">
        <f>IFERROR(__xludf.DUMMYFUNCTION("""COMPUTED_VALUE"""),"DIR. DE ASISTENCIA JURIDICA")</f>
        <v>DIR. DE ASISTENCIA JURIDICA</v>
      </c>
      <c r="F170" t="str">
        <f>IFERROR(__xludf.DUMMYFUNCTION("""COMPUTED_VALUE"""),"Abogado(a) Dirección Juridica")</f>
        <v>Abogado(a) Dirección Juridica</v>
      </c>
      <c r="G170" t="str">
        <f>IFERROR(__xludf.DUMMYFUNCTION("""COMPUTED_VALUE"""),"ABOGADO DIRECCIÓN JURÍDICA")</f>
        <v>ABOGADO DIRECCIÓN JURÍDICA</v>
      </c>
      <c r="H170">
        <f>IFERROR(__xludf.DUMMYFUNCTION("""COMPUTED_VALUE"""),8.0)</f>
        <v>8</v>
      </c>
      <c r="I170" t="str">
        <f>IFERROR(__xludf.DUMMYFUNCTION("""COMPUTED_VALUE"""),"Jornada Completa")</f>
        <v>Jornada Completa</v>
      </c>
      <c r="J170" t="str">
        <f>IFERROR(__xludf.DUMMYFUNCTION("""COMPUTED_VALUE"""),"A CONTRATA")</f>
        <v>A CONTRATA</v>
      </c>
      <c r="K170" t="str">
        <f>IFERROR(__xludf.DUMMYFUNCTION("""COMPUTED_VALUE"""),"PROFESIONAL")</f>
        <v>PROFESIONAL</v>
      </c>
      <c r="L170" t="str">
        <f>IFERROR(__xludf.DUMMYFUNCTION("""COMPUTED_VALUE"""),"NO")</f>
        <v>NO</v>
      </c>
      <c r="M170">
        <f>IFERROR(__xludf.DUMMYFUNCTION("""COMPUTED_VALUE"""),0.0)</f>
        <v>0</v>
      </c>
      <c r="N170" t="str">
        <f>IFERROR(__xludf.DUMMYFUNCTION("""COMPUTED_VALUE"""),"EXTERNO")</f>
        <v>EXTERNO</v>
      </c>
      <c r="O170">
        <f>IFERROR(__xludf.DUMMYFUNCTION("""COMPUTED_VALUE"""),52.0)</f>
        <v>52</v>
      </c>
      <c r="P170">
        <f>IFERROR(__xludf.DUMMYFUNCTION("""COMPUTED_VALUE"""),3.0)</f>
        <v>3</v>
      </c>
      <c r="Q170">
        <f>IFERROR(__xludf.DUMMYFUNCTION("""COMPUTED_VALUE"""),0.0)</f>
        <v>0</v>
      </c>
      <c r="R170" s="45" t="str">
        <f>IFERROR(__xludf.DUMMYFUNCTION("""COMPUTED_VALUE"""),"SELECCIONADA")</f>
        <v>SELECCIONADA</v>
      </c>
      <c r="S170" s="38">
        <f>IFERROR(__xludf.DUMMYFUNCTION("""COMPUTED_VALUE"""),43339.0)</f>
        <v>43339</v>
      </c>
      <c r="U170" t="str">
        <f>IFERROR(__xludf.DUMMYFUNCTION("""COMPUTED_VALUE"""),"TIHARE DIAZ GONZALEZ")</f>
        <v>TIHARE DIAZ GONZALEZ</v>
      </c>
      <c r="V170" t="str">
        <f>IFERROR(__xludf.DUMMYFUNCTION("""COMPUTED_VALUE"""),"17834829-9")</f>
        <v>17834829-9</v>
      </c>
      <c r="W170" t="str">
        <f>IFERROR(__xludf.DUMMYFUNCTION("""COMPUTED_VALUE"""),"NO")</f>
        <v>NO</v>
      </c>
      <c r="AA170" s="38">
        <f>IFERROR(__xludf.DUMMYFUNCTION("""COMPUTED_VALUE"""),43259.0)</f>
        <v>43259</v>
      </c>
      <c r="AB170" s="38">
        <f>IFERROR(__xludf.DUMMYFUNCTION("""COMPUTED_VALUE"""),43263.0)</f>
        <v>43263</v>
      </c>
      <c r="AK170" t="str">
        <f>IFERROR(__xludf.DUMMYFUNCTION("""COMPUTED_VALUE"""),"E")</f>
        <v>E</v>
      </c>
      <c r="AL170">
        <f>IFERROR(__xludf.DUMMYFUNCTION("""COMPUTED_VALUE"""),55.0)</f>
        <v>55</v>
      </c>
      <c r="AM170">
        <f>IFERROR(__xludf.DUMMYFUNCTION("""COMPUTED_VALUE"""),2018.0)</f>
        <v>2018</v>
      </c>
    </row>
    <row r="171">
      <c r="A171">
        <f>IFERROR(__xludf.DUMMYFUNCTION("""COMPUTED_VALUE"""),1.8756738E7)</f>
        <v>18756738</v>
      </c>
      <c r="B171">
        <f>IFERROR(__xludf.DUMMYFUNCTION("""COMPUTED_VALUE"""),74.0)</f>
        <v>74</v>
      </c>
      <c r="C171" t="str">
        <f>IFERROR(__xludf.DUMMYFUNCTION("""COMPUTED_VALUE"""),"A222")</f>
        <v>A222</v>
      </c>
      <c r="D171" t="str">
        <f>IFERROR(__xludf.DUMMYFUNCTION("""COMPUTED_VALUE"""),"INGRESAR CENTRO DE COSTO A LA DERECHA")</f>
        <v>INGRESAR CENTRO DE COSTO A LA DERECHA</v>
      </c>
      <c r="E171" t="str">
        <f>IFERROR(__xludf.DUMMYFUNCTION("""COMPUTED_VALUE"""),"DPTO. DE FINANZAS Y TESORERIA")</f>
        <v>DPTO. DE FINANZAS Y TESORERIA</v>
      </c>
      <c r="F171" t="str">
        <f>IFERROR(__xludf.DUMMYFUNCTION("""COMPUTED_VALUE"""),"Administrativo(a) Contable")</f>
        <v>Administrativo(a) Contable</v>
      </c>
      <c r="G171" t="str">
        <f>IFERROR(__xludf.DUMMYFUNCTION("""COMPUTED_VALUE"""),"ADMINISTRATIVO CONTABLE ( OPERACIONES)")</f>
        <v>ADMINISTRATIVO CONTABLE ( OPERACIONES)</v>
      </c>
      <c r="H171">
        <f>IFERROR(__xludf.DUMMYFUNCTION("""COMPUTED_VALUE"""),17.0)</f>
        <v>17</v>
      </c>
      <c r="I171" t="str">
        <f>IFERROR(__xludf.DUMMYFUNCTION("""COMPUTED_VALUE"""),"Jornada Completa")</f>
        <v>Jornada Completa</v>
      </c>
      <c r="J171" t="str">
        <f>IFERROR(__xludf.DUMMYFUNCTION("""COMPUTED_VALUE"""),"A CONTRATA")</f>
        <v>A CONTRATA</v>
      </c>
      <c r="K171" t="str">
        <f>IFERROR(__xludf.DUMMYFUNCTION("""COMPUTED_VALUE"""),"TECNICO")</f>
        <v>TECNICO</v>
      </c>
      <c r="L171" t="str">
        <f>IFERROR(__xludf.DUMMYFUNCTION("""COMPUTED_VALUE"""),"INTERNO")</f>
        <v>INTERNO</v>
      </c>
      <c r="M171">
        <f>IFERROR(__xludf.DUMMYFUNCTION("""COMPUTED_VALUE"""),1.0)</f>
        <v>1</v>
      </c>
      <c r="N171" t="str">
        <f>IFERROR(__xludf.DUMMYFUNCTION("""COMPUTED_VALUE"""),"EXTERNO")</f>
        <v>EXTERNO</v>
      </c>
      <c r="O171">
        <f>IFERROR(__xludf.DUMMYFUNCTION("""COMPUTED_VALUE"""),7.0)</f>
        <v>7</v>
      </c>
      <c r="P171">
        <f>IFERROR(__xludf.DUMMYFUNCTION("""COMPUTED_VALUE"""),1.0)</f>
        <v>1</v>
      </c>
      <c r="Q171">
        <f>IFERROR(__xludf.DUMMYFUNCTION("""COMPUTED_VALUE"""),0.0)</f>
        <v>0</v>
      </c>
      <c r="R171" s="45" t="str">
        <f>IFERROR(__xludf.DUMMYFUNCTION("""COMPUTED_VALUE"""),"SELECCIONADO")</f>
        <v>SELECCIONADO</v>
      </c>
      <c r="S171" s="38">
        <f>IFERROR(__xludf.DUMMYFUNCTION("""COMPUTED_VALUE"""),43381.0)</f>
        <v>43381</v>
      </c>
      <c r="U171" t="str">
        <f>IFERROR(__xludf.DUMMYFUNCTION("""COMPUTED_VALUE"""),"JORGE MENDEZ LOPEZ")</f>
        <v>JORGE MENDEZ LOPEZ</v>
      </c>
      <c r="V171" t="str">
        <f>IFERROR(__xludf.DUMMYFUNCTION("""COMPUTED_VALUE"""),"18756738-6")</f>
        <v>18756738-6</v>
      </c>
      <c r="W171" t="str">
        <f>IFERROR(__xludf.DUMMYFUNCTION("""COMPUTED_VALUE"""),"SI")</f>
        <v>SI</v>
      </c>
      <c r="X171" t="str">
        <f>IFERROR(__xludf.DUMMYFUNCTION("""COMPUTED_VALUE"""),"Trabajo en Equipo")</f>
        <v>Trabajo en Equipo</v>
      </c>
      <c r="AA171" s="38">
        <f>IFERROR(__xludf.DUMMYFUNCTION("""COMPUTED_VALUE"""),43315.0)</f>
        <v>43315</v>
      </c>
      <c r="AB171" s="38">
        <f>IFERROR(__xludf.DUMMYFUNCTION("""COMPUTED_VALUE"""),43322.0)</f>
        <v>43322</v>
      </c>
      <c r="AH171" t="str">
        <f>IFERROR(__xludf.DUMMYFUNCTION("""COMPUTED_VALUE"""),"PROCESO DE SELECCIÓN")</f>
        <v>PROCESO DE SELECCIÓN</v>
      </c>
      <c r="AI171" t="str">
        <f>IFERROR(__xludf.DUMMYFUNCTION("""COMPUTED_VALUE"""),"MIRANDA MIRANDA MYRTHA")</f>
        <v>MIRANDA MIRANDA MYRTHA</v>
      </c>
      <c r="AK171" t="str">
        <f>IFERROR(__xludf.DUMMYFUNCTION("""COMPUTED_VALUE"""),"C")</f>
        <v>C</v>
      </c>
      <c r="AL171">
        <f>IFERROR(__xludf.DUMMYFUNCTION("""COMPUTED_VALUE"""),42.0)</f>
        <v>42</v>
      </c>
      <c r="AM171">
        <f>IFERROR(__xludf.DUMMYFUNCTION("""COMPUTED_VALUE"""),2018.0)</f>
        <v>2018</v>
      </c>
    </row>
    <row r="172">
      <c r="A172">
        <f>IFERROR(__xludf.DUMMYFUNCTION("""COMPUTED_VALUE"""),1.8535351E7)</f>
        <v>18535351</v>
      </c>
      <c r="B172">
        <f>IFERROR(__xludf.DUMMYFUNCTION("""COMPUTED_VALUE"""),75.0)</f>
        <v>75</v>
      </c>
      <c r="C172" t="str">
        <f>IFERROR(__xludf.DUMMYFUNCTION("""COMPUTED_VALUE"""),"A235")</f>
        <v>A235</v>
      </c>
      <c r="D172" t="str">
        <f>IFERROR(__xludf.DUMMYFUNCTION("""COMPUTED_VALUE"""),"INGRESAR CENTRO DE COSTO A LA DERECHA")</f>
        <v>INGRESAR CENTRO DE COSTO A LA DERECHA</v>
      </c>
      <c r="E172" t="str">
        <f>IFERROR(__xludf.DUMMYFUNCTION("""COMPUTED_VALUE"""),"VR. DE VINCULACION CON EL MEDIO")</f>
        <v>VR. DE VINCULACION CON EL MEDIO</v>
      </c>
      <c r="F172" t="str">
        <f>IFERROR(__xludf.DUMMYFUNCTION("""COMPUTED_VALUE"""),"Psicólogo(a)")</f>
        <v>Psicólogo(a)</v>
      </c>
      <c r="G172" t="str">
        <f>IFERROR(__xludf.DUMMYFUNCTION("""COMPUTED_VALUE"""),"PSICOLOGO UNIDAD FUNCIONAL DE GENERO , DIVERSIDAD Y EQUIDAD")</f>
        <v>PSICOLOGO UNIDAD FUNCIONAL DE GENERO , DIVERSIDAD Y EQUIDAD</v>
      </c>
      <c r="H172">
        <f>IFERROR(__xludf.DUMMYFUNCTION("""COMPUTED_VALUE"""),13.0)</f>
        <v>13</v>
      </c>
      <c r="I172" t="str">
        <f>IFERROR(__xludf.DUMMYFUNCTION("""COMPUTED_VALUE"""),"Jornada Completa")</f>
        <v>Jornada Completa</v>
      </c>
      <c r="J172" t="str">
        <f>IFERROR(__xludf.DUMMYFUNCTION("""COMPUTED_VALUE"""),"A CONTRATA")</f>
        <v>A CONTRATA</v>
      </c>
      <c r="K172" t="str">
        <f>IFERROR(__xludf.DUMMYFUNCTION("""COMPUTED_VALUE"""),"PROFESIONAL")</f>
        <v>PROFESIONAL</v>
      </c>
      <c r="L172" t="str">
        <f>IFERROR(__xludf.DUMMYFUNCTION("""COMPUTED_VALUE"""),"INTERNO")</f>
        <v>INTERNO</v>
      </c>
      <c r="M172">
        <f>IFERROR(__xludf.DUMMYFUNCTION("""COMPUTED_VALUE"""),3.0)</f>
        <v>3</v>
      </c>
      <c r="N172" t="str">
        <f>IFERROR(__xludf.DUMMYFUNCTION("""COMPUTED_VALUE"""),"EXTERNO")</f>
        <v>EXTERNO</v>
      </c>
      <c r="O172">
        <f>IFERROR(__xludf.DUMMYFUNCTION("""COMPUTED_VALUE"""),28.0)</f>
        <v>28</v>
      </c>
      <c r="P172">
        <f>IFERROR(__xludf.DUMMYFUNCTION("""COMPUTED_VALUE"""),3.0)</f>
        <v>3</v>
      </c>
      <c r="Q172">
        <f>IFERROR(__xludf.DUMMYFUNCTION("""COMPUTED_VALUE"""),0.0)</f>
        <v>0</v>
      </c>
      <c r="R172" s="45" t="str">
        <f>IFERROR(__xludf.DUMMYFUNCTION("""COMPUTED_VALUE"""),"SELECCIONADA")</f>
        <v>SELECCIONADA</v>
      </c>
      <c r="S172" s="38">
        <f>IFERROR(__xludf.DUMMYFUNCTION("""COMPUTED_VALUE"""),43389.0)</f>
        <v>43389</v>
      </c>
      <c r="U172" t="str">
        <f>IFERROR(__xludf.DUMMYFUNCTION("""COMPUTED_VALUE"""),"PAULA VARGAS REYES")</f>
        <v>PAULA VARGAS REYES</v>
      </c>
      <c r="V172" t="str">
        <f>IFERROR(__xludf.DUMMYFUNCTION("""COMPUTED_VALUE"""),"18535351-6")</f>
        <v>18535351-6</v>
      </c>
      <c r="W172" t="str">
        <f>IFERROR(__xludf.DUMMYFUNCTION("""COMPUTED_VALUE"""),"NO")</f>
        <v>NO</v>
      </c>
      <c r="AA172" s="38">
        <f>IFERROR(__xludf.DUMMYFUNCTION("""COMPUTED_VALUE"""),43347.0)</f>
        <v>43347</v>
      </c>
      <c r="AB172" s="38">
        <f>IFERROR(__xludf.DUMMYFUNCTION("""COMPUTED_VALUE"""),43353.0)</f>
        <v>43353</v>
      </c>
      <c r="AH172" t="str">
        <f>IFERROR(__xludf.DUMMYFUNCTION("""COMPUTED_VALUE"""),"PROCESO DE SELECCIÓN")</f>
        <v>PROCESO DE SELECCIÓN</v>
      </c>
      <c r="AI172" t="str">
        <f>IFERROR(__xludf.DUMMYFUNCTION("""COMPUTED_VALUE""")," - ")</f>
        <v> - </v>
      </c>
      <c r="AK172" t="str">
        <f>IFERROR(__xludf.DUMMYFUNCTION("""COMPUTED_VALUE"""),"E")</f>
        <v>E</v>
      </c>
      <c r="AL172">
        <f>IFERROR(__xludf.DUMMYFUNCTION("""COMPUTED_VALUE"""),27.0)</f>
        <v>27</v>
      </c>
      <c r="AM172">
        <f>IFERROR(__xludf.DUMMYFUNCTION("""COMPUTED_VALUE"""),2018.0)</f>
        <v>2018</v>
      </c>
    </row>
    <row r="173">
      <c r="A173">
        <f>IFERROR(__xludf.DUMMYFUNCTION("""COMPUTED_VALUE"""),1.2879504E7)</f>
        <v>12879504</v>
      </c>
      <c r="B173">
        <f>IFERROR(__xludf.DUMMYFUNCTION("""COMPUTED_VALUE"""),76.0)</f>
        <v>76</v>
      </c>
      <c r="C173" t="str">
        <f>IFERROR(__xludf.DUMMYFUNCTION("""COMPUTED_VALUE"""),"IR2018-13")</f>
        <v>IR2018-13</v>
      </c>
      <c r="D173" t="str">
        <f>IFERROR(__xludf.DUMMYFUNCTION("""COMPUTED_VALUE"""),"INGRESAR CENTRO DE COSTO A LA DERECHA")</f>
        <v>INGRESAR CENTRO DE COSTO A LA DERECHA</v>
      </c>
      <c r="E173" t="str">
        <f>IFERROR(__xludf.DUMMYFUNCTION("""COMPUTED_VALUE"""),"DPTO. DE INGENIERIA INFORMATICA")</f>
        <v>DPTO. DE INGENIERIA INFORMATICA</v>
      </c>
      <c r="F173" t="str">
        <f>IFERROR(__xludf.DUMMYFUNCTION("""COMPUTED_VALUE"""),"Secretario(a) B")</f>
        <v>Secretario(a) B</v>
      </c>
      <c r="G173" t="str">
        <f>IFERROR(__xludf.DUMMYFUNCTION("""COMPUTED_VALUE"""),"SECRETARIA B ( DEPARTAMENTO)")</f>
        <v>SECRETARIA B ( DEPARTAMENTO)</v>
      </c>
      <c r="H173">
        <f>IFERROR(__xludf.DUMMYFUNCTION("""COMPUTED_VALUE"""),17.0)</f>
        <v>17</v>
      </c>
      <c r="I173" t="str">
        <f>IFERROR(__xludf.DUMMYFUNCTION("""COMPUTED_VALUE"""),"Jornada Completa")</f>
        <v>Jornada Completa</v>
      </c>
      <c r="J173" t="str">
        <f>IFERROR(__xludf.DUMMYFUNCTION("""COMPUTED_VALUE"""),"A CONTRATA")</f>
        <v>A CONTRATA</v>
      </c>
      <c r="K173" t="str">
        <f>IFERROR(__xludf.DUMMYFUNCTION("""COMPUTED_VALUE"""),"ADMINISTRATIVO")</f>
        <v>ADMINISTRATIVO</v>
      </c>
      <c r="L173" t="str">
        <f>IFERROR(__xludf.DUMMYFUNCTION("""COMPUTED_VALUE"""),"INTERNO")</f>
        <v>INTERNO</v>
      </c>
      <c r="M173">
        <f>IFERROR(__xludf.DUMMYFUNCTION("""COMPUTED_VALUE"""),2.0)</f>
        <v>2</v>
      </c>
      <c r="N173" t="str">
        <f>IFERROR(__xludf.DUMMYFUNCTION("""COMPUTED_VALUE"""),"EXTERNO")</f>
        <v>EXTERNO</v>
      </c>
      <c r="O173">
        <f>IFERROR(__xludf.DUMMYFUNCTION("""COMPUTED_VALUE"""),33.0)</f>
        <v>33</v>
      </c>
      <c r="P173">
        <f>IFERROR(__xludf.DUMMYFUNCTION("""COMPUTED_VALUE"""),3.0)</f>
        <v>3</v>
      </c>
      <c r="Q173">
        <f>IFERROR(__xludf.DUMMYFUNCTION("""COMPUTED_VALUE"""),1.0)</f>
        <v>1</v>
      </c>
      <c r="R173" s="45" t="str">
        <f>IFERROR(__xludf.DUMMYFUNCTION("""COMPUTED_VALUE"""),"SELECCIONADA")</f>
        <v>SELECCIONADA</v>
      </c>
      <c r="S173" s="38">
        <f>IFERROR(__xludf.DUMMYFUNCTION("""COMPUTED_VALUE"""),43389.0)</f>
        <v>43389</v>
      </c>
      <c r="U173" t="str">
        <f>IFERROR(__xludf.DUMMYFUNCTION("""COMPUTED_VALUE"""),"XIMENA SILVA TRAILLANCA")</f>
        <v>XIMENA SILVA TRAILLANCA</v>
      </c>
      <c r="V173" t="str">
        <f>IFERROR(__xludf.DUMMYFUNCTION("""COMPUTED_VALUE"""),"12879504-9")</f>
        <v>12879504-9</v>
      </c>
      <c r="W173" t="str">
        <f>IFERROR(__xludf.DUMMYFUNCTION("""COMPUTED_VALUE"""),"SI")</f>
        <v>SI</v>
      </c>
      <c r="X173" t="str">
        <f>IFERROR(__xludf.DUMMYFUNCTION("""COMPUTED_VALUE"""),"Autocontrol")</f>
        <v>Autocontrol</v>
      </c>
      <c r="AA173" s="38">
        <f>IFERROR(__xludf.DUMMYFUNCTION("""COMPUTED_VALUE"""),43314.0)</f>
        <v>43314</v>
      </c>
      <c r="AB173" s="38">
        <f>IFERROR(__xludf.DUMMYFUNCTION("""COMPUTED_VALUE"""),43323.0)</f>
        <v>43323</v>
      </c>
      <c r="AH173" t="str">
        <f>IFERROR(__xludf.DUMMYFUNCTION("""COMPUTED_VALUE"""),"PROCESO DE SELECCIÓN")</f>
        <v>PROCESO DE SELECCIÓN</v>
      </c>
      <c r="AI173" t="str">
        <f>IFERROR(__xludf.DUMMYFUNCTION("""COMPUTED_VALUE"""),"MIRANDA GUERRERO SOLEDAD")</f>
        <v>MIRANDA GUERRERO SOLEDAD</v>
      </c>
      <c r="AK173" t="str">
        <f>IFERROR(__xludf.DUMMYFUNCTION("""COMPUTED_VALUE"""),"E")</f>
        <v>E</v>
      </c>
      <c r="AL173">
        <f>IFERROR(__xludf.DUMMYFUNCTION("""COMPUTED_VALUE"""),47.0)</f>
        <v>47</v>
      </c>
      <c r="AM173">
        <f>IFERROR(__xludf.DUMMYFUNCTION("""COMPUTED_VALUE"""),2018.0)</f>
        <v>2018</v>
      </c>
    </row>
    <row r="174">
      <c r="A174">
        <f>IFERROR(__xludf.DUMMYFUNCTION("""COMPUTED_VALUE"""),1.2007137E7)</f>
        <v>12007137</v>
      </c>
      <c r="B174">
        <f>IFERROR(__xludf.DUMMYFUNCTION("""COMPUTED_VALUE"""),77.0)</f>
        <v>77</v>
      </c>
      <c r="C174" t="str">
        <f>IFERROR(__xludf.DUMMYFUNCTION("""COMPUTED_VALUE"""),"IR2018-18")</f>
        <v>IR2018-18</v>
      </c>
      <c r="D174" t="str">
        <f>IFERROR(__xludf.DUMMYFUNCTION("""COMPUTED_VALUE"""),"INGRESAR CENTRO DE COSTO A LA DERECHA")</f>
        <v>INGRESAR CENTRO DE COSTO A LA DERECHA</v>
      </c>
      <c r="E174" t="str">
        <f>IFERROR(__xludf.DUMMYFUNCTION("""COMPUTED_VALUE"""),"DPTO. DE INGENIERIA ELECTRICA")</f>
        <v>DPTO. DE INGENIERIA ELECTRICA</v>
      </c>
      <c r="F174" t="str">
        <f>IFERROR(__xludf.DUMMYFUNCTION("""COMPUTED_VALUE"""),"Secretario(a) de Apoyo Docente")</f>
        <v>Secretario(a) de Apoyo Docente</v>
      </c>
      <c r="G174" t="str">
        <f>IFERROR(__xludf.DUMMYFUNCTION("""COMPUTED_VALUE"""),"SECRETARIA DE APOYO DOCENTE")</f>
        <v>SECRETARIA DE APOYO DOCENTE</v>
      </c>
      <c r="H174">
        <f>IFERROR(__xludf.DUMMYFUNCTION("""COMPUTED_VALUE"""),17.0)</f>
        <v>17</v>
      </c>
      <c r="I174" t="str">
        <f>IFERROR(__xludf.DUMMYFUNCTION("""COMPUTED_VALUE"""),"Jornada Completa")</f>
        <v>Jornada Completa</v>
      </c>
      <c r="J174" t="str">
        <f>IFERROR(__xludf.DUMMYFUNCTION("""COMPUTED_VALUE"""),"A CONTRATA")</f>
        <v>A CONTRATA</v>
      </c>
      <c r="K174" t="str">
        <f>IFERROR(__xludf.DUMMYFUNCTION("""COMPUTED_VALUE"""),"ADMINISTRATIVO")</f>
        <v>ADMINISTRATIVO</v>
      </c>
      <c r="L174" t="str">
        <f>IFERROR(__xludf.DUMMYFUNCTION("""COMPUTED_VALUE"""),"INTERNO")</f>
        <v>INTERNO</v>
      </c>
      <c r="M174">
        <f>IFERROR(__xludf.DUMMYFUNCTION("""COMPUTED_VALUE"""),2.0)</f>
        <v>2</v>
      </c>
      <c r="N174" t="str">
        <f>IFERROR(__xludf.DUMMYFUNCTION("""COMPUTED_VALUE"""),"EXTERNO")</f>
        <v>EXTERNO</v>
      </c>
      <c r="O174">
        <f>IFERROR(__xludf.DUMMYFUNCTION("""COMPUTED_VALUE"""),20.0)</f>
        <v>20</v>
      </c>
      <c r="P174">
        <f>IFERROR(__xludf.DUMMYFUNCTION("""COMPUTED_VALUE"""),1.0)</f>
        <v>1</v>
      </c>
      <c r="Q174">
        <f>IFERROR(__xludf.DUMMYFUNCTION("""COMPUTED_VALUE"""),0.0)</f>
        <v>0</v>
      </c>
      <c r="R174" s="45" t="str">
        <f>IFERROR(__xludf.DUMMYFUNCTION("""COMPUTED_VALUE"""),"SELECCIONADA")</f>
        <v>SELECCIONADA</v>
      </c>
      <c r="S174" s="38">
        <f>IFERROR(__xludf.DUMMYFUNCTION("""COMPUTED_VALUE"""),43405.0)</f>
        <v>43405</v>
      </c>
      <c r="U174" t="str">
        <f>IFERROR(__xludf.DUMMYFUNCTION("""COMPUTED_VALUE"""),"BARBARA SALAZAR SANTIBAÑEZ")</f>
        <v>BARBARA SALAZAR SANTIBAÑEZ</v>
      </c>
      <c r="V174" t="str">
        <f>IFERROR(__xludf.DUMMYFUNCTION("""COMPUTED_VALUE"""),"12007137-8")</f>
        <v>12007137-8</v>
      </c>
      <c r="W174" t="str">
        <f>IFERROR(__xludf.DUMMYFUNCTION("""COMPUTED_VALUE"""),"NO")</f>
        <v>NO</v>
      </c>
      <c r="AA174" s="38">
        <f>IFERROR(__xludf.DUMMYFUNCTION("""COMPUTED_VALUE"""),43343.0)</f>
        <v>43343</v>
      </c>
      <c r="AB174" s="38">
        <f>IFERROR(__xludf.DUMMYFUNCTION("""COMPUTED_VALUE"""),43350.0)</f>
        <v>43350</v>
      </c>
      <c r="AH174" t="str">
        <f>IFERROR(__xludf.DUMMYFUNCTION("""COMPUTED_VALUE"""),"PROCESO DE SELECCIÓN")</f>
        <v>PROCESO DE SELECCIÓN</v>
      </c>
      <c r="AI174" t="str">
        <f>IFERROR(__xludf.DUMMYFUNCTION("""COMPUTED_VALUE""")," - ")</f>
        <v> - </v>
      </c>
      <c r="AK174" t="str">
        <f>IFERROR(__xludf.DUMMYFUNCTION("""COMPUTED_VALUE"""),"P")</f>
        <v>P</v>
      </c>
      <c r="AL174">
        <f>IFERROR(__xludf.DUMMYFUNCTION("""COMPUTED_VALUE"""),40.0)</f>
        <v>40</v>
      </c>
      <c r="AM174">
        <f>IFERROR(__xludf.DUMMYFUNCTION("""COMPUTED_VALUE"""),2018.0)</f>
        <v>2018</v>
      </c>
    </row>
    <row r="175">
      <c r="A175">
        <f>IFERROR(__xludf.DUMMYFUNCTION("""COMPUTED_VALUE"""),1.609212E7)</f>
        <v>16092120</v>
      </c>
      <c r="B175">
        <f>IFERROR(__xludf.DUMMYFUNCTION("""COMPUTED_VALUE"""),78.0)</f>
        <v>78</v>
      </c>
      <c r="D175" t="str">
        <f>IFERROR(__xludf.DUMMYFUNCTION("""COMPUTED_VALUE"""),"INGRESAR CENTRO DE COSTO A LA DERECHA")</f>
        <v>INGRESAR CENTRO DE COSTO A LA DERECHA</v>
      </c>
      <c r="E175" t="str">
        <f>IFERROR(__xludf.DUMMYFUNCTION("""COMPUTED_VALUE"""),"DPTO. DE CIENCIA Y TEC.DE LOS ALIM")</f>
        <v>DPTO. DE CIENCIA Y TEC.DE LOS ALIM</v>
      </c>
      <c r="F175" t="str">
        <f>IFERROR(__xludf.DUMMYFUNCTION("""COMPUTED_VALUE"""),"Secretario(a) de Apoyo Docente")</f>
        <v>Secretario(a) de Apoyo Docente</v>
      </c>
      <c r="G175" t="str">
        <f>IFERROR(__xludf.DUMMYFUNCTION("""COMPUTED_VALUE"""),"SECRETARIA DE APOYO DOCENTE")</f>
        <v>SECRETARIA DE APOYO DOCENTE</v>
      </c>
      <c r="H175">
        <f>IFERROR(__xludf.DUMMYFUNCTION("""COMPUTED_VALUE"""),17.0)</f>
        <v>17</v>
      </c>
      <c r="I175" t="str">
        <f>IFERROR(__xludf.DUMMYFUNCTION("""COMPUTED_VALUE"""),"Jornada Completa")</f>
        <v>Jornada Completa</v>
      </c>
      <c r="J175" t="str">
        <f>IFERROR(__xludf.DUMMYFUNCTION("""COMPUTED_VALUE"""),"A CONTRATA")</f>
        <v>A CONTRATA</v>
      </c>
      <c r="K175" t="str">
        <f>IFERROR(__xludf.DUMMYFUNCTION("""COMPUTED_VALUE"""),"ADMINISTRATIVO")</f>
        <v>ADMINISTRATIVO</v>
      </c>
      <c r="L175" t="str">
        <f>IFERROR(__xludf.DUMMYFUNCTION("""COMPUTED_VALUE"""),"INTERNO")</f>
        <v>INTERNO</v>
      </c>
      <c r="M175">
        <f>IFERROR(__xludf.DUMMYFUNCTION("""COMPUTED_VALUE"""),1.0)</f>
        <v>1</v>
      </c>
      <c r="N175" t="str">
        <f>IFERROR(__xludf.DUMMYFUNCTION("""COMPUTED_VALUE"""),"EXTERNO")</f>
        <v>EXTERNO</v>
      </c>
      <c r="O175">
        <f>IFERROR(__xludf.DUMMYFUNCTION("""COMPUTED_VALUE"""),13.0)</f>
        <v>13</v>
      </c>
      <c r="P175">
        <f>IFERROR(__xludf.DUMMYFUNCTION("""COMPUTED_VALUE"""),3.0)</f>
        <v>3</v>
      </c>
      <c r="Q175">
        <f>IFERROR(__xludf.DUMMYFUNCTION("""COMPUTED_VALUE"""),0.0)</f>
        <v>0</v>
      </c>
      <c r="R175" s="45" t="str">
        <f>IFERROR(__xludf.DUMMYFUNCTION("""COMPUTED_VALUE"""),"SELECCIONADA")</f>
        <v>SELECCIONADA</v>
      </c>
      <c r="S175" s="38">
        <f>IFERROR(__xludf.DUMMYFUNCTION("""COMPUTED_VALUE"""),43412.0)</f>
        <v>43412</v>
      </c>
      <c r="U175" t="str">
        <f>IFERROR(__xludf.DUMMYFUNCTION("""COMPUTED_VALUE"""),"CAROLINA ESTAY UBILLA")</f>
        <v>CAROLINA ESTAY UBILLA</v>
      </c>
      <c r="V175" t="str">
        <f>IFERROR(__xludf.DUMMYFUNCTION("""COMPUTED_VALUE"""),"16092120-K")</f>
        <v>16092120-K</v>
      </c>
      <c r="W175" t="str">
        <f>IFERROR(__xludf.DUMMYFUNCTION("""COMPUTED_VALUE"""),"SI")</f>
        <v>SI</v>
      </c>
      <c r="X175" t="str">
        <f>IFERROR(__xludf.DUMMYFUNCTION("""COMPUTED_VALUE"""),"Trabajo en Equipo")</f>
        <v>Trabajo en Equipo</v>
      </c>
      <c r="AA175" s="38">
        <f>IFERROR(__xludf.DUMMYFUNCTION("""COMPUTED_VALUE"""),43369.0)</f>
        <v>43369</v>
      </c>
      <c r="AB175" s="38">
        <f>IFERROR(__xludf.DUMMYFUNCTION("""COMPUTED_VALUE"""),43376.0)</f>
        <v>43376</v>
      </c>
      <c r="AH175" t="str">
        <f>IFERROR(__xludf.DUMMYFUNCTION("""COMPUTED_VALUE"""),"PROCESO DE SELECCIÓN")</f>
        <v>PROCESO DE SELECCIÓN</v>
      </c>
      <c r="AI175" t="str">
        <f>IFERROR(__xludf.DUMMYFUNCTION("""COMPUTED_VALUE"""),"PEREZ ACUNA PATRICIA ")</f>
        <v>PEREZ ACUNA PATRICIA </v>
      </c>
      <c r="AK175" t="str">
        <f>IFERROR(__xludf.DUMMYFUNCTION("""COMPUTED_VALUE"""),"C")</f>
        <v>C</v>
      </c>
      <c r="AL175">
        <f>IFERROR(__xludf.DUMMYFUNCTION("""COMPUTED_VALUE"""),27.0)</f>
        <v>27</v>
      </c>
      <c r="AM175">
        <f>IFERROR(__xludf.DUMMYFUNCTION("""COMPUTED_VALUE"""),2018.0)</f>
        <v>2018</v>
      </c>
    </row>
    <row r="176">
      <c r="A176">
        <f>IFERROR(__xludf.DUMMYFUNCTION("""COMPUTED_VALUE"""),1.5333652E7)</f>
        <v>15333652</v>
      </c>
      <c r="B176">
        <f>IFERROR(__xludf.DUMMYFUNCTION("""COMPUTED_VALUE"""),79.0)</f>
        <v>79</v>
      </c>
      <c r="C176" t="str">
        <f>IFERROR(__xludf.DUMMYFUNCTION("""COMPUTED_VALUE"""),"IR2018-08")</f>
        <v>IR2018-08</v>
      </c>
      <c r="D176" t="str">
        <f>IFERROR(__xludf.DUMMYFUNCTION("""COMPUTED_VALUE"""),"INGRESAR CENTRO DE COSTO A LA DERECHA")</f>
        <v>INGRESAR CENTRO DE COSTO A LA DERECHA</v>
      </c>
      <c r="E176" t="str">
        <f>IFERROR(__xludf.DUMMYFUNCTION("""COMPUTED_VALUE"""),"DPTO. DE INGENIERIA ELECTRICA")</f>
        <v>DPTO. DE INGENIERIA ELECTRICA</v>
      </c>
      <c r="F176" t="str">
        <f>IFERROR(__xludf.DUMMYFUNCTION("""COMPUTED_VALUE"""),"Secretario(a) B")</f>
        <v>Secretario(a) B</v>
      </c>
      <c r="G176" t="str">
        <f>IFERROR(__xludf.DUMMYFUNCTION("""COMPUTED_VALUE"""),"SECRETARIA B ( DEPARTAMENTO)")</f>
        <v>SECRETARIA B ( DEPARTAMENTO)</v>
      </c>
      <c r="H176">
        <f>IFERROR(__xludf.DUMMYFUNCTION("""COMPUTED_VALUE"""),17.0)</f>
        <v>17</v>
      </c>
      <c r="I176" t="str">
        <f>IFERROR(__xludf.DUMMYFUNCTION("""COMPUTED_VALUE"""),"Jornada Completa")</f>
        <v>Jornada Completa</v>
      </c>
      <c r="J176" t="str">
        <f>IFERROR(__xludf.DUMMYFUNCTION("""COMPUTED_VALUE"""),"A CONTRATA")</f>
        <v>A CONTRATA</v>
      </c>
      <c r="K176" t="str">
        <f>IFERROR(__xludf.DUMMYFUNCTION("""COMPUTED_VALUE"""),"ADMINISTRATIVO")</f>
        <v>ADMINISTRATIVO</v>
      </c>
      <c r="L176" t="str">
        <f>IFERROR(__xludf.DUMMYFUNCTION("""COMPUTED_VALUE"""),"INTERNO")</f>
        <v>INTERNO</v>
      </c>
      <c r="M176">
        <f>IFERROR(__xludf.DUMMYFUNCTION("""COMPUTED_VALUE"""),1.0)</f>
        <v>1</v>
      </c>
      <c r="N176" t="str">
        <f>IFERROR(__xludf.DUMMYFUNCTION("""COMPUTED_VALUE"""),"EXTERNO")</f>
        <v>EXTERNO</v>
      </c>
      <c r="O176">
        <f>IFERROR(__xludf.DUMMYFUNCTION("""COMPUTED_VALUE"""),20.0)</f>
        <v>20</v>
      </c>
      <c r="P176">
        <f>IFERROR(__xludf.DUMMYFUNCTION("""COMPUTED_VALUE"""),1.0)</f>
        <v>1</v>
      </c>
      <c r="Q176">
        <f>IFERROR(__xludf.DUMMYFUNCTION("""COMPUTED_VALUE"""),0.0)</f>
        <v>0</v>
      </c>
      <c r="R176" s="45" t="str">
        <f>IFERROR(__xludf.DUMMYFUNCTION("""COMPUTED_VALUE"""),"SELECCIONADA")</f>
        <v>SELECCIONADA</v>
      </c>
      <c r="S176" s="38">
        <f>IFERROR(__xludf.DUMMYFUNCTION("""COMPUTED_VALUE"""),43405.0)</f>
        <v>43405</v>
      </c>
      <c r="U176" t="str">
        <f>IFERROR(__xludf.DUMMYFUNCTION("""COMPUTED_VALUE"""),"MARIA VALDES GAMBINO")</f>
        <v>MARIA VALDES GAMBINO</v>
      </c>
      <c r="V176" t="str">
        <f>IFERROR(__xludf.DUMMYFUNCTION("""COMPUTED_VALUE"""),"15333652-0")</f>
        <v>15333652-0</v>
      </c>
      <c r="W176" t="str">
        <f>IFERROR(__xludf.DUMMYFUNCTION("""COMPUTED_VALUE"""),"SI")</f>
        <v>SI</v>
      </c>
      <c r="X176" t="str">
        <f>IFERROR(__xludf.DUMMYFUNCTION("""COMPUTED_VALUE"""),"Iniciativa")</f>
        <v>Iniciativa</v>
      </c>
      <c r="Y176" t="str">
        <f>IFERROR(__xludf.DUMMYFUNCTION("""COMPUTED_VALUE"""),"Franqueza- Confiabilidad- Integridad")</f>
        <v>Franqueza- Confiabilidad- Integridad</v>
      </c>
      <c r="AA176" s="38">
        <f>IFERROR(__xludf.DUMMYFUNCTION("""COMPUTED_VALUE"""),43343.0)</f>
        <v>43343</v>
      </c>
      <c r="AB176" s="38">
        <f>IFERROR(__xludf.DUMMYFUNCTION("""COMPUTED_VALUE"""),43350.0)</f>
        <v>43350</v>
      </c>
      <c r="AH176" t="str">
        <f>IFERROR(__xludf.DUMMYFUNCTION("""COMPUTED_VALUE"""),"PROCESO DE SELECCIÓN")</f>
        <v>PROCESO DE SELECCIÓN</v>
      </c>
      <c r="AI176" t="str">
        <f>IFERROR(__xludf.DUMMYFUNCTION("""COMPUTED_VALUE"""),"LOYOLA CONTRERAS BENITA")</f>
        <v>LOYOLA CONTRERAS BENITA</v>
      </c>
      <c r="AK176" t="str">
        <f>IFERROR(__xludf.DUMMYFUNCTION("""COMPUTED_VALUE"""),"P")</f>
        <v>P</v>
      </c>
      <c r="AL176">
        <f>IFERROR(__xludf.DUMMYFUNCTION("""COMPUTED_VALUE"""),40.0)</f>
        <v>40</v>
      </c>
      <c r="AM176">
        <f>IFERROR(__xludf.DUMMYFUNCTION("""COMPUTED_VALUE"""),2018.0)</f>
        <v>2018</v>
      </c>
    </row>
    <row r="177">
      <c r="A177">
        <f>IFERROR(__xludf.DUMMYFUNCTION("""COMPUTED_VALUE"""),1.5840498E7)</f>
        <v>15840498</v>
      </c>
      <c r="B177">
        <f>IFERROR(__xludf.DUMMYFUNCTION("""COMPUTED_VALUE"""),80.0)</f>
        <v>80</v>
      </c>
      <c r="C177" t="str">
        <f>IFERROR(__xludf.DUMMYFUNCTION("""COMPUTED_VALUE"""),"A230")</f>
        <v>A230</v>
      </c>
      <c r="D177" t="str">
        <f>IFERROR(__xludf.DUMMYFUNCTION("""COMPUTED_VALUE"""),"INGRESAR CENTRO DE COSTO A LA DERECHA")</f>
        <v>INGRESAR CENTRO DE COSTO A LA DERECHA</v>
      </c>
      <c r="E177" t="str">
        <f>IFERROR(__xludf.DUMMYFUNCTION("""COMPUTED_VALUE"""),"DPTO. DE CIENCIA Y TEC.DE LOS ALIM")</f>
        <v>DPTO. DE CIENCIA Y TEC.DE LOS ALIM</v>
      </c>
      <c r="F177" t="str">
        <f>IFERROR(__xludf.DUMMYFUNCTION("""COMPUTED_VALUE"""),"Encargado(a) de Laboratorio")</f>
        <v>Encargado(a) de Laboratorio</v>
      </c>
      <c r="G177" t="str">
        <f>IFERROR(__xludf.DUMMYFUNCTION("""COMPUTED_VALUE"""),"ENCARGADO DE LABORATORIO ( MICROBIOLOGIA)")</f>
        <v>ENCARGADO DE LABORATORIO ( MICROBIOLOGIA)</v>
      </c>
      <c r="H177">
        <f>IFERROR(__xludf.DUMMYFUNCTION("""COMPUTED_VALUE"""),13.0)</f>
        <v>13</v>
      </c>
      <c r="I177" t="str">
        <f>IFERROR(__xludf.DUMMYFUNCTION("""COMPUTED_VALUE"""),"Jornada Completa")</f>
        <v>Jornada Completa</v>
      </c>
      <c r="J177" t="str">
        <f>IFERROR(__xludf.DUMMYFUNCTION("""COMPUTED_VALUE"""),"A CONTRATA")</f>
        <v>A CONTRATA</v>
      </c>
      <c r="K177" t="str">
        <f>IFERROR(__xludf.DUMMYFUNCTION("""COMPUTED_VALUE"""),"PROFESIONAL")</f>
        <v>PROFESIONAL</v>
      </c>
      <c r="L177" t="str">
        <f>IFERROR(__xludf.DUMMYFUNCTION("""COMPUTED_VALUE"""),"INTERNO")</f>
        <v>INTERNO</v>
      </c>
      <c r="M177">
        <f>IFERROR(__xludf.DUMMYFUNCTION("""COMPUTED_VALUE"""),1.0)</f>
        <v>1</v>
      </c>
      <c r="N177" t="str">
        <f>IFERROR(__xludf.DUMMYFUNCTION("""COMPUTED_VALUE"""),"EXTERNO")</f>
        <v>EXTERNO</v>
      </c>
      <c r="O177">
        <f>IFERROR(__xludf.DUMMYFUNCTION("""COMPUTED_VALUE"""),15.0)</f>
        <v>15</v>
      </c>
      <c r="P177">
        <f>IFERROR(__xludf.DUMMYFUNCTION("""COMPUTED_VALUE"""),3.0)</f>
        <v>3</v>
      </c>
      <c r="Q177">
        <f>IFERROR(__xludf.DUMMYFUNCTION("""COMPUTED_VALUE"""),0.0)</f>
        <v>0</v>
      </c>
      <c r="R177" s="45" t="str">
        <f>IFERROR(__xludf.DUMMYFUNCTION("""COMPUTED_VALUE"""),"SELECCIONADO")</f>
        <v>SELECCIONADO</v>
      </c>
      <c r="S177" s="38">
        <f>IFERROR(__xludf.DUMMYFUNCTION("""COMPUTED_VALUE"""),43425.0)</f>
        <v>43425</v>
      </c>
      <c r="U177" t="str">
        <f>IFERROR(__xludf.DUMMYFUNCTION("""COMPUTED_VALUE"""),"RUBEN PEÑA BERNALES")</f>
        <v>RUBEN PEÑA BERNALES</v>
      </c>
      <c r="V177" t="str">
        <f>IFERROR(__xludf.DUMMYFUNCTION("""COMPUTED_VALUE"""),"15840498-2")</f>
        <v>15840498-2</v>
      </c>
      <c r="W177" t="str">
        <f>IFERROR(__xludf.DUMMYFUNCTION("""COMPUTED_VALUE"""),"SI")</f>
        <v>SI</v>
      </c>
      <c r="X177" t="str">
        <f>IFERROR(__xludf.DUMMYFUNCTION("""COMPUTED_VALUE"""),"Trabajo en Equipo")</f>
        <v>Trabajo en Equipo</v>
      </c>
      <c r="AA177" s="38">
        <f>IFERROR(__xludf.DUMMYFUNCTION("""COMPUTED_VALUE"""),43375.0)</f>
        <v>43375</v>
      </c>
      <c r="AB177" s="38">
        <f>IFERROR(__xludf.DUMMYFUNCTION("""COMPUTED_VALUE"""),43381.0)</f>
        <v>43381</v>
      </c>
      <c r="AH177" t="str">
        <f>IFERROR(__xludf.DUMMYFUNCTION("""COMPUTED_VALUE"""),"PROCESO DE SELECCIÓN")</f>
        <v>PROCESO DE SELECCIÓN</v>
      </c>
      <c r="AI177" t="str">
        <f>IFERROR(__xludf.DUMMYFUNCTION("""COMPUTED_VALUE"""),"CASTILLO ACUÑA CARMEN")</f>
        <v>CASTILLO ACUÑA CARMEN</v>
      </c>
      <c r="AK177" t="str">
        <f>IFERROR(__xludf.DUMMYFUNCTION("""COMPUTED_VALUE"""),"E")</f>
        <v>E</v>
      </c>
      <c r="AL177">
        <f>IFERROR(__xludf.DUMMYFUNCTION("""COMPUTED_VALUE"""),33.0)</f>
        <v>33</v>
      </c>
      <c r="AM177">
        <f>IFERROR(__xludf.DUMMYFUNCTION("""COMPUTED_VALUE"""),2018.0)</f>
        <v>2018</v>
      </c>
    </row>
    <row r="178">
      <c r="A178">
        <f>IFERROR(__xludf.DUMMYFUNCTION("""COMPUTED_VALUE"""),1.6941755E7)</f>
        <v>16941755</v>
      </c>
      <c r="B178">
        <f>IFERROR(__xludf.DUMMYFUNCTION("""COMPUTED_VALUE"""),81.0)</f>
        <v>81</v>
      </c>
      <c r="C178" t="str">
        <f>IFERROR(__xludf.DUMMYFUNCTION("""COMPUTED_VALUE"""),"A167")</f>
        <v>A167</v>
      </c>
      <c r="D178" t="str">
        <f>IFERROR(__xludf.DUMMYFUNCTION("""COMPUTED_VALUE"""),"INGRESAR CENTRO DE COSTO A LA DERECHA")</f>
        <v>INGRESAR CENTRO DE COSTO A LA DERECHA</v>
      </c>
      <c r="E178" t="str">
        <f>IFERROR(__xludf.DUMMYFUNCTION("""COMPUTED_VALUE"""),"DPTO. DE DESARROLLO DE PERSONAS")</f>
        <v>DPTO. DE DESARROLLO DE PERSONAS</v>
      </c>
      <c r="F178" t="str">
        <f>IFERROR(__xludf.DUMMYFUNCTION("""COMPUTED_VALUE"""),"Analista de Gestión de Personas")</f>
        <v>Analista de Gestión de Personas</v>
      </c>
      <c r="G178" t="str">
        <f>IFERROR(__xludf.DUMMYFUNCTION("""COMPUTED_VALUE"""),"ANALISTA DE GESTION DE PERSONAS")</f>
        <v>ANALISTA DE GESTION DE PERSONAS</v>
      </c>
      <c r="H178">
        <f>IFERROR(__xludf.DUMMYFUNCTION("""COMPUTED_VALUE"""),10.0)</f>
        <v>10</v>
      </c>
      <c r="I178" t="str">
        <f>IFERROR(__xludf.DUMMYFUNCTION("""COMPUTED_VALUE"""),"Jornada Completa")</f>
        <v>Jornada Completa</v>
      </c>
      <c r="J178" t="str">
        <f>IFERROR(__xludf.DUMMYFUNCTION("""COMPUTED_VALUE"""),"A CONTRATA")</f>
        <v>A CONTRATA</v>
      </c>
      <c r="K178" t="str">
        <f>IFERROR(__xludf.DUMMYFUNCTION("""COMPUTED_VALUE"""),"PROFESIONAL")</f>
        <v>PROFESIONAL</v>
      </c>
      <c r="L178" t="str">
        <f>IFERROR(__xludf.DUMMYFUNCTION("""COMPUTED_VALUE"""),"INTERNO")</f>
        <v>INTERNO</v>
      </c>
      <c r="M178">
        <f>IFERROR(__xludf.DUMMYFUNCTION("""COMPUTED_VALUE"""),1.0)</f>
        <v>1</v>
      </c>
      <c r="N178" t="str">
        <f>IFERROR(__xludf.DUMMYFUNCTION("""COMPUTED_VALUE"""),"EXTERNO")</f>
        <v>EXTERNO</v>
      </c>
      <c r="O178">
        <f>IFERROR(__xludf.DUMMYFUNCTION("""COMPUTED_VALUE"""),6.0)</f>
        <v>6</v>
      </c>
      <c r="P178">
        <f>IFERROR(__xludf.DUMMYFUNCTION("""COMPUTED_VALUE"""),3.0)</f>
        <v>3</v>
      </c>
      <c r="Q178">
        <f>IFERROR(__xludf.DUMMYFUNCTION("""COMPUTED_VALUE"""),3.0)</f>
        <v>3</v>
      </c>
      <c r="R178" s="45" t="str">
        <f>IFERROR(__xludf.DUMMYFUNCTION("""COMPUTED_VALUE"""),"SELECCIONADA")</f>
        <v>SELECCIONADA</v>
      </c>
      <c r="S178" s="38">
        <f>IFERROR(__xludf.DUMMYFUNCTION("""COMPUTED_VALUE"""),43396.0)</f>
        <v>43396</v>
      </c>
      <c r="U178" t="str">
        <f>IFERROR(__xludf.DUMMYFUNCTION("""COMPUTED_VALUE"""),"TRINIDAD INFANTE PINTO")</f>
        <v>TRINIDAD INFANTE PINTO</v>
      </c>
      <c r="V178" t="str">
        <f>IFERROR(__xludf.DUMMYFUNCTION("""COMPUTED_VALUE"""),"16941755-5")</f>
        <v>16941755-5</v>
      </c>
      <c r="W178" t="str">
        <f>IFERROR(__xludf.DUMMYFUNCTION("""COMPUTED_VALUE"""),"NO")</f>
        <v>NO</v>
      </c>
      <c r="AA178" s="38">
        <f>IFERROR(__xludf.DUMMYFUNCTION("""COMPUTED_VALUE"""),43357.0)</f>
        <v>43357</v>
      </c>
      <c r="AB178" s="38">
        <f>IFERROR(__xludf.DUMMYFUNCTION("""COMPUTED_VALUE"""),43366.0)</f>
        <v>43366</v>
      </c>
      <c r="AH178" t="str">
        <f>IFERROR(__xludf.DUMMYFUNCTION("""COMPUTED_VALUE"""),"PROCESO DE SELECCIÓN")</f>
        <v>PROCESO DE SELECCIÓN</v>
      </c>
      <c r="AI178" t="str">
        <f>IFERROR(__xludf.DUMMYFUNCTION("""COMPUTED_VALUE"""),"GARRIDO CARRASCO MACARENA")</f>
        <v>GARRIDO CARRASCO MACARENA</v>
      </c>
      <c r="AK178" t="str">
        <f>IFERROR(__xludf.DUMMYFUNCTION("""COMPUTED_VALUE"""),"E")</f>
        <v>E</v>
      </c>
      <c r="AL178">
        <f>IFERROR(__xludf.DUMMYFUNCTION("""COMPUTED_VALUE"""),22.0)</f>
        <v>22</v>
      </c>
      <c r="AM178">
        <f>IFERROR(__xludf.DUMMYFUNCTION("""COMPUTED_VALUE"""),2018.0)</f>
        <v>2018</v>
      </c>
    </row>
    <row r="179">
      <c r="A179">
        <f>IFERROR(__xludf.DUMMYFUNCTION("""COMPUTED_VALUE"""),1.262472E7)</f>
        <v>12624720</v>
      </c>
      <c r="B179">
        <f>IFERROR(__xludf.DUMMYFUNCTION("""COMPUTED_VALUE"""),82.0)</f>
        <v>82</v>
      </c>
      <c r="C179" t="str">
        <f>IFERROR(__xludf.DUMMYFUNCTION("""COMPUTED_VALUE"""),"IR2018-23")</f>
        <v>IR2018-23</v>
      </c>
      <c r="D179" t="str">
        <f>IFERROR(__xludf.DUMMYFUNCTION("""COMPUTED_VALUE"""),"INGRESAR CENTRO DE COSTO A LA DERECHA")</f>
        <v>INGRESAR CENTRO DE COSTO A LA DERECHA</v>
      </c>
      <c r="E179" t="str">
        <f>IFERROR(__xludf.DUMMYFUNCTION("""COMPUTED_VALUE"""),"UNIDAD DE BIENESTAR DEL PERSONAL")</f>
        <v>UNIDAD DE BIENESTAR DEL PERSONAL</v>
      </c>
      <c r="F179" t="str">
        <f>IFERROR(__xludf.DUMMYFUNCTION("""COMPUTED_VALUE"""),"Jefe(a) de Sección")</f>
        <v>Jefe(a) de Sección</v>
      </c>
      <c r="G179" t="str">
        <f>IFERROR(__xludf.DUMMYFUNCTION("""COMPUTED_VALUE"""),"DIRECTORA SALA CUNA Y JARDIN INFANTIL ( JEFE DE SECCION)")</f>
        <v>DIRECTORA SALA CUNA Y JARDIN INFANTIL ( JEFE DE SECCION)</v>
      </c>
      <c r="H179">
        <f>IFERROR(__xludf.DUMMYFUNCTION("""COMPUTED_VALUE"""),10.0)</f>
        <v>10</v>
      </c>
      <c r="I179" t="str">
        <f>IFERROR(__xludf.DUMMYFUNCTION("""COMPUTED_VALUE"""),"Jornada Completa")</f>
        <v>Jornada Completa</v>
      </c>
      <c r="J179" t="str">
        <f>IFERROR(__xludf.DUMMYFUNCTION("""COMPUTED_VALUE"""),"A CONTRATA")</f>
        <v>A CONTRATA</v>
      </c>
      <c r="K179" t="str">
        <f>IFERROR(__xludf.DUMMYFUNCTION("""COMPUTED_VALUE"""),"PROFESIONAL")</f>
        <v>PROFESIONAL</v>
      </c>
      <c r="L179" t="str">
        <f>IFERROR(__xludf.DUMMYFUNCTION("""COMPUTED_VALUE"""),"INTERNO")</f>
        <v>INTERNO</v>
      </c>
      <c r="M179">
        <f>IFERROR(__xludf.DUMMYFUNCTION("""COMPUTED_VALUE"""),2.0)</f>
        <v>2</v>
      </c>
      <c r="N179" t="str">
        <f>IFERROR(__xludf.DUMMYFUNCTION("""COMPUTED_VALUE"""),"EXTERNO")</f>
        <v>EXTERNO</v>
      </c>
      <c r="O179">
        <f>IFERROR(__xludf.DUMMYFUNCTION("""COMPUTED_VALUE"""),20.0)</f>
        <v>20</v>
      </c>
      <c r="P179">
        <f>IFERROR(__xludf.DUMMYFUNCTION("""COMPUTED_VALUE"""),3.0)</f>
        <v>3</v>
      </c>
      <c r="Q179">
        <f>IFERROR(__xludf.DUMMYFUNCTION("""COMPUTED_VALUE"""),0.0)</f>
        <v>0</v>
      </c>
      <c r="R179" s="45" t="str">
        <f>IFERROR(__xludf.DUMMYFUNCTION("""COMPUTED_VALUE"""),"SELECCIONADA")</f>
        <v>SELECCIONADA</v>
      </c>
      <c r="S179" s="38">
        <f>IFERROR(__xludf.DUMMYFUNCTION("""COMPUTED_VALUE"""),43433.0)</f>
        <v>43433</v>
      </c>
      <c r="U179" t="str">
        <f>IFERROR(__xludf.DUMMYFUNCTION("""COMPUTED_VALUE"""),"EVA PERALES SKARPA")</f>
        <v>EVA PERALES SKARPA</v>
      </c>
      <c r="V179" t="str">
        <f>IFERROR(__xludf.DUMMYFUNCTION("""COMPUTED_VALUE"""),"12624720-6")</f>
        <v>12624720-6</v>
      </c>
      <c r="W179" t="str">
        <f>IFERROR(__xludf.DUMMYFUNCTION("""COMPUTED_VALUE"""),"SI")</f>
        <v>SI</v>
      </c>
      <c r="X179" t="str">
        <f>IFERROR(__xludf.DUMMYFUNCTION("""COMPUTED_VALUE"""),"Iniciativa")</f>
        <v>Iniciativa</v>
      </c>
      <c r="AA179" s="38">
        <f>IFERROR(__xludf.DUMMYFUNCTION("""COMPUTED_VALUE"""),43390.0)</f>
        <v>43390</v>
      </c>
      <c r="AB179" s="38">
        <f>IFERROR(__xludf.DUMMYFUNCTION("""COMPUTED_VALUE"""),43397.0)</f>
        <v>43397</v>
      </c>
      <c r="AH179" t="str">
        <f>IFERROR(__xludf.DUMMYFUNCTION("""COMPUTED_VALUE"""),"PROCESO DE SELECCIÓN")</f>
        <v>PROCESO DE SELECCIÓN</v>
      </c>
      <c r="AI179" t="str">
        <f>IFERROR(__xludf.DUMMYFUNCTION("""COMPUTED_VALUE"""),"VERGARA OSORIO PILAR")</f>
        <v>VERGARA OSORIO PILAR</v>
      </c>
      <c r="AK179" t="str">
        <f>IFERROR(__xludf.DUMMYFUNCTION("""COMPUTED_VALUE"""),"E")</f>
        <v>E</v>
      </c>
      <c r="AL179">
        <f>IFERROR(__xludf.DUMMYFUNCTION("""COMPUTED_VALUE"""),27.0)</f>
        <v>27</v>
      </c>
      <c r="AM179">
        <f>IFERROR(__xludf.DUMMYFUNCTION("""COMPUTED_VALUE"""),2018.0)</f>
        <v>2018</v>
      </c>
    </row>
    <row r="180">
      <c r="A180">
        <f>IFERROR(__xludf.DUMMYFUNCTION("""COMPUTED_VALUE"""),7687205.0)</f>
        <v>7687205</v>
      </c>
      <c r="B180">
        <f>IFERROR(__xludf.DUMMYFUNCTION("""COMPUTED_VALUE"""),83.0)</f>
        <v>83</v>
      </c>
      <c r="C180" t="str">
        <f>IFERROR(__xludf.DUMMYFUNCTION("""COMPUTED_VALUE"""),"A229")</f>
        <v>A229</v>
      </c>
      <c r="D180" t="str">
        <f>IFERROR(__xludf.DUMMYFUNCTION("""COMPUTED_VALUE"""),"INGRESAR CENTRO DE COSTO A LA DERECHA")</f>
        <v>INGRESAR CENTRO DE COSTO A LA DERECHA</v>
      </c>
      <c r="E180" t="str">
        <f>IFERROR(__xludf.DUMMYFUNCTION("""COMPUTED_VALUE"""),"ESCUELA DE PERIODISMO")</f>
        <v>ESCUELA DE PERIODISMO</v>
      </c>
      <c r="F180" t="str">
        <f>IFERROR(__xludf.DUMMYFUNCTION("""COMPUTED_VALUE"""),"Mayordomo(a)")</f>
        <v>Mayordomo(a)</v>
      </c>
      <c r="G180" t="str">
        <f>IFERROR(__xludf.DUMMYFUNCTION("""COMPUTED_VALUE"""),"MAYORDOMO")</f>
        <v>MAYORDOMO</v>
      </c>
      <c r="H180">
        <f>IFERROR(__xludf.DUMMYFUNCTION("""COMPUTED_VALUE"""),21.0)</f>
        <v>21</v>
      </c>
      <c r="I180" t="str">
        <f>IFERROR(__xludf.DUMMYFUNCTION("""COMPUTED_VALUE"""),"Jornada Completa")</f>
        <v>Jornada Completa</v>
      </c>
      <c r="J180" t="str">
        <f>IFERROR(__xludf.DUMMYFUNCTION("""COMPUTED_VALUE"""),"A CONTRATA")</f>
        <v>A CONTRATA</v>
      </c>
      <c r="K180" t="str">
        <f>IFERROR(__xludf.DUMMYFUNCTION("""COMPUTED_VALUE"""),"AUXILIAR")</f>
        <v>AUXILIAR</v>
      </c>
      <c r="L180" t="str">
        <f>IFERROR(__xludf.DUMMYFUNCTION("""COMPUTED_VALUE"""),"INTERNO")</f>
        <v>INTERNO</v>
      </c>
      <c r="M180">
        <f>IFERROR(__xludf.DUMMYFUNCTION("""COMPUTED_VALUE"""),2.0)</f>
        <v>2</v>
      </c>
      <c r="N180" t="str">
        <f>IFERROR(__xludf.DUMMYFUNCTION("""COMPUTED_VALUE"""),"NO")</f>
        <v>NO</v>
      </c>
      <c r="O180">
        <f>IFERROR(__xludf.DUMMYFUNCTION("""COMPUTED_VALUE"""),0.0)</f>
        <v>0</v>
      </c>
      <c r="P180">
        <f>IFERROR(__xludf.DUMMYFUNCTION("""COMPUTED_VALUE"""),1.0)</f>
        <v>1</v>
      </c>
      <c r="Q180">
        <f>IFERROR(__xludf.DUMMYFUNCTION("""COMPUTED_VALUE"""),0.0)</f>
        <v>0</v>
      </c>
      <c r="R180" s="45" t="str">
        <f>IFERROR(__xludf.DUMMYFUNCTION("""COMPUTED_VALUE"""),"SELECCIONADO")</f>
        <v>SELECCIONADO</v>
      </c>
      <c r="S180" s="38">
        <f>IFERROR(__xludf.DUMMYFUNCTION("""COMPUTED_VALUE"""),43423.0)</f>
        <v>43423</v>
      </c>
      <c r="T180" t="str">
        <f>IFERROR(__xludf.DUMMYFUNCTION("""COMPUTED_VALUE"""),"CASTRO AGUSTO PEDRO ALFREDO")</f>
        <v>CASTRO AGUSTO PEDRO ALFREDO</v>
      </c>
      <c r="V180" t="str">
        <f>IFERROR(__xludf.DUMMYFUNCTION("""COMPUTED_VALUE"""),"7687205-8")</f>
        <v>7687205-8</v>
      </c>
      <c r="W180" t="str">
        <f>IFERROR(__xludf.DUMMYFUNCTION("""COMPUTED_VALUE"""),"NO")</f>
        <v>NO</v>
      </c>
      <c r="AA180" s="38">
        <f>IFERROR(__xludf.DUMMYFUNCTION("""COMPUTED_VALUE"""),43341.0)</f>
        <v>43341</v>
      </c>
      <c r="AB180" s="38">
        <f>IFERROR(__xludf.DUMMYFUNCTION("""COMPUTED_VALUE"""),43348.0)</f>
        <v>43348</v>
      </c>
      <c r="AH180" t="str">
        <f>IFERROR(__xludf.DUMMYFUNCTION("""COMPUTED_VALUE"""),"PROCESO DE SELECCIÓN")</f>
        <v>PROCESO DE SELECCIÓN</v>
      </c>
      <c r="AI180" t="str">
        <f>IFERROR(__xludf.DUMMYFUNCTION("""COMPUTED_VALUE"""),"HUENUQUEO FERRADA JOSE ")</f>
        <v>HUENUQUEO FERRADA JOSE </v>
      </c>
      <c r="AK180" t="str">
        <f>IFERROR(__xludf.DUMMYFUNCTION("""COMPUTED_VALUE"""),"C")</f>
        <v>C</v>
      </c>
      <c r="AL180">
        <f>IFERROR(__xludf.DUMMYFUNCTION("""COMPUTED_VALUE"""),54.0)</f>
        <v>54</v>
      </c>
      <c r="AM180">
        <f>IFERROR(__xludf.DUMMYFUNCTION("""COMPUTED_VALUE"""),2018.0)</f>
        <v>2018</v>
      </c>
    </row>
    <row r="181">
      <c r="A181">
        <f>IFERROR(__xludf.DUMMYFUNCTION("""COMPUTED_VALUE"""),2.5913272E7)</f>
        <v>25913272</v>
      </c>
      <c r="B181">
        <f>IFERROR(__xludf.DUMMYFUNCTION("""COMPUTED_VALUE"""),84.0)</f>
        <v>84</v>
      </c>
      <c r="D181" t="str">
        <f>IFERROR(__xludf.DUMMYFUNCTION("""COMPUTED_VALUE"""),"INGRESAR CENTRO DE COSTO A LA DERECHA")</f>
        <v>INGRESAR CENTRO DE COSTO A LA DERECHA</v>
      </c>
      <c r="E181" t="str">
        <f>IFERROR(__xludf.DUMMYFUNCTION("""COMPUTED_VALUE"""),"DPTO. DE RELAC. INTERUNIV E INTERN")</f>
        <v>DPTO. DE RELAC. INTERUNIV E INTERN</v>
      </c>
      <c r="F181" t="str">
        <f>IFERROR(__xludf.DUMMYFUNCTION("""COMPUTED_VALUE"""),"Analista de Relaciones Internacionales e Interuniversitarias")</f>
        <v>Analista de Relaciones Internacionales e Interuniversitarias</v>
      </c>
      <c r="G181" t="str">
        <f>IFERROR(__xludf.DUMMYFUNCTION("""COMPUTED_VALUE"""),"ANALISTA DE RELACIONES INTERNACIONALES E INTERUNIVERSITARIAS")</f>
        <v>ANALISTA DE RELACIONES INTERNACIONALES E INTERUNIVERSITARIAS</v>
      </c>
      <c r="H181">
        <f>IFERROR(__xludf.DUMMYFUNCTION("""COMPUTED_VALUE"""),9.0)</f>
        <v>9</v>
      </c>
      <c r="I181" t="str">
        <f>IFERROR(__xludf.DUMMYFUNCTION("""COMPUTED_VALUE"""),"Jornada Completa")</f>
        <v>Jornada Completa</v>
      </c>
      <c r="J181" t="str">
        <f>IFERROR(__xludf.DUMMYFUNCTION("""COMPUTED_VALUE"""),"A CONTRATA")</f>
        <v>A CONTRATA</v>
      </c>
      <c r="K181" t="str">
        <f>IFERROR(__xludf.DUMMYFUNCTION("""COMPUTED_VALUE"""),"PROFESIONAL")</f>
        <v>PROFESIONAL</v>
      </c>
      <c r="L181" t="str">
        <f>IFERROR(__xludf.DUMMYFUNCTION("""COMPUTED_VALUE"""),"INTERNO")</f>
        <v>INTERNO</v>
      </c>
      <c r="M181">
        <f>IFERROR(__xludf.DUMMYFUNCTION("""COMPUTED_VALUE"""),4.0)</f>
        <v>4</v>
      </c>
      <c r="N181" t="str">
        <f>IFERROR(__xludf.DUMMYFUNCTION("""COMPUTED_VALUE"""),"EXTERNO")</f>
        <v>EXTERNO</v>
      </c>
      <c r="O181">
        <f>IFERROR(__xludf.DUMMYFUNCTION("""COMPUTED_VALUE"""),49.0)</f>
        <v>49</v>
      </c>
      <c r="P181">
        <f>IFERROR(__xludf.DUMMYFUNCTION("""COMPUTED_VALUE"""),2.0)</f>
        <v>2</v>
      </c>
      <c r="Q181">
        <f>IFERROR(__xludf.DUMMYFUNCTION("""COMPUTED_VALUE"""),0.0)</f>
        <v>0</v>
      </c>
      <c r="R181" s="45" t="str">
        <f>IFERROR(__xludf.DUMMYFUNCTION("""COMPUTED_VALUE"""),"SELECCIONADA")</f>
        <v>SELECCIONADA</v>
      </c>
      <c r="S181" s="38">
        <f>IFERROR(__xludf.DUMMYFUNCTION("""COMPUTED_VALUE"""),43350.0)</f>
        <v>43350</v>
      </c>
      <c r="U181" t="str">
        <f>IFERROR(__xludf.DUMMYFUNCTION("""COMPUTED_VALUE"""),"MAYERLEY PACHECO PIÑANGO")</f>
        <v>MAYERLEY PACHECO PIÑANGO</v>
      </c>
      <c r="V181" t="str">
        <f>IFERROR(__xludf.DUMMYFUNCTION("""COMPUTED_VALUE"""),"25913272-K")</f>
        <v>25913272-K</v>
      </c>
      <c r="W181" t="str">
        <f>IFERROR(__xludf.DUMMYFUNCTION("""COMPUTED_VALUE"""),"NO")</f>
        <v>NO</v>
      </c>
      <c r="AA181" s="38">
        <f>IFERROR(__xludf.DUMMYFUNCTION("""COMPUTED_VALUE"""),43257.0)</f>
        <v>43257</v>
      </c>
      <c r="AB181" s="38">
        <f>IFERROR(__xludf.DUMMYFUNCTION("""COMPUTED_VALUE"""),43264.0)</f>
        <v>43264</v>
      </c>
      <c r="AH181" t="str">
        <f>IFERROR(__xludf.DUMMYFUNCTION("""COMPUTED_VALUE"""),"PROCESO DE SELECCIÓN")</f>
        <v>PROCESO DE SELECCIÓN</v>
      </c>
      <c r="AI181" t="str">
        <f>IFERROR(__xludf.DUMMYFUNCTION("""COMPUTED_VALUE""")," - ")</f>
        <v> - </v>
      </c>
      <c r="AK181" t="str">
        <f>IFERROR(__xludf.DUMMYFUNCTION("""COMPUTED_VALUE"""),"E")</f>
        <v>E</v>
      </c>
      <c r="AL181">
        <f>IFERROR(__xludf.DUMMYFUNCTION("""COMPUTED_VALUE"""),63.0)</f>
        <v>63</v>
      </c>
      <c r="AM181">
        <f>IFERROR(__xludf.DUMMYFUNCTION("""COMPUTED_VALUE"""),2018.0)</f>
        <v>2018</v>
      </c>
    </row>
    <row r="182">
      <c r="A182">
        <f>IFERROR(__xludf.DUMMYFUNCTION("""COMPUTED_VALUE"""),1.3922416E7)</f>
        <v>13922416</v>
      </c>
      <c r="B182">
        <f>IFERROR(__xludf.DUMMYFUNCTION("""COMPUTED_VALUE"""),85.0)</f>
        <v>85</v>
      </c>
      <c r="D182" t="str">
        <f>IFERROR(__xludf.DUMMYFUNCTION("""COMPUTED_VALUE"""),"INGRESAR CENTRO DE COSTO A LA DERECHA")</f>
        <v>INGRESAR CENTRO DE COSTO A LA DERECHA</v>
      </c>
      <c r="E182" t="str">
        <f>IFERROR(__xludf.DUMMYFUNCTION("""COMPUTED_VALUE"""),"DPTO. DE RELAC. INTERUNIV E INTERN")</f>
        <v>DPTO. DE RELAC. INTERUNIV E INTERN</v>
      </c>
      <c r="F182" t="str">
        <f>IFERROR(__xludf.DUMMYFUNCTION("""COMPUTED_VALUE"""),"Analista de Relaciones Internacionales e Interuniversitarias")</f>
        <v>Analista de Relaciones Internacionales e Interuniversitarias</v>
      </c>
      <c r="G182" t="str">
        <f>IFERROR(__xludf.DUMMYFUNCTION("""COMPUTED_VALUE"""),"ANALISTA DE RELACIONES INTERNACIONALES E INTERUNIVERSITARIAS")</f>
        <v>ANALISTA DE RELACIONES INTERNACIONALES E INTERUNIVERSITARIAS</v>
      </c>
      <c r="H182">
        <f>IFERROR(__xludf.DUMMYFUNCTION("""COMPUTED_VALUE"""),9.0)</f>
        <v>9</v>
      </c>
      <c r="I182" t="str">
        <f>IFERROR(__xludf.DUMMYFUNCTION("""COMPUTED_VALUE"""),"Jornada Completa")</f>
        <v>Jornada Completa</v>
      </c>
      <c r="J182" t="str">
        <f>IFERROR(__xludf.DUMMYFUNCTION("""COMPUTED_VALUE"""),"A CONTRATA")</f>
        <v>A CONTRATA</v>
      </c>
      <c r="K182" t="str">
        <f>IFERROR(__xludf.DUMMYFUNCTION("""COMPUTED_VALUE"""),"PROFESIONAL")</f>
        <v>PROFESIONAL</v>
      </c>
      <c r="L182" t="str">
        <f>IFERROR(__xludf.DUMMYFUNCTION("""COMPUTED_VALUE"""),"INTERNO")</f>
        <v>INTERNO</v>
      </c>
      <c r="M182">
        <f>IFERROR(__xludf.DUMMYFUNCTION("""COMPUTED_VALUE"""),4.0)</f>
        <v>4</v>
      </c>
      <c r="N182" t="str">
        <f>IFERROR(__xludf.DUMMYFUNCTION("""COMPUTED_VALUE"""),"EXTERNO")</f>
        <v>EXTERNO</v>
      </c>
      <c r="O182">
        <f>IFERROR(__xludf.DUMMYFUNCTION("""COMPUTED_VALUE"""),49.0)</f>
        <v>49</v>
      </c>
      <c r="P182">
        <f>IFERROR(__xludf.DUMMYFUNCTION("""COMPUTED_VALUE"""),2.0)</f>
        <v>2</v>
      </c>
      <c r="Q182">
        <f>IFERROR(__xludf.DUMMYFUNCTION("""COMPUTED_VALUE"""),0.0)</f>
        <v>0</v>
      </c>
      <c r="R182" s="45" t="str">
        <f>IFERROR(__xludf.DUMMYFUNCTION("""COMPUTED_VALUE"""),"SELECCIONADA")</f>
        <v>SELECCIONADA</v>
      </c>
      <c r="S182" s="38">
        <f>IFERROR(__xludf.DUMMYFUNCTION("""COMPUTED_VALUE"""),43350.0)</f>
        <v>43350</v>
      </c>
      <c r="U182" t="str">
        <f>IFERROR(__xludf.DUMMYFUNCTION("""COMPUTED_VALUE"""),"MACARENA PEREZ OVALLE")</f>
        <v>MACARENA PEREZ OVALLE</v>
      </c>
      <c r="V182" t="str">
        <f>IFERROR(__xludf.DUMMYFUNCTION("""COMPUTED_VALUE"""),"13922416-7")</f>
        <v>13922416-7</v>
      </c>
      <c r="W182" t="str">
        <f>IFERROR(__xludf.DUMMYFUNCTION("""COMPUTED_VALUE"""),"NO")</f>
        <v>NO</v>
      </c>
      <c r="AA182" s="38">
        <f>IFERROR(__xludf.DUMMYFUNCTION("""COMPUTED_VALUE"""),43257.0)</f>
        <v>43257</v>
      </c>
      <c r="AB182" s="38">
        <f>IFERROR(__xludf.DUMMYFUNCTION("""COMPUTED_VALUE"""),43264.0)</f>
        <v>43264</v>
      </c>
      <c r="AH182" t="str">
        <f>IFERROR(__xludf.DUMMYFUNCTION("""COMPUTED_VALUE"""),"PROCESO DE SELECCIÓN")</f>
        <v>PROCESO DE SELECCIÓN</v>
      </c>
      <c r="AI182" t="str">
        <f>IFERROR(__xludf.DUMMYFUNCTION("""COMPUTED_VALUE""")," - ")</f>
        <v> - </v>
      </c>
      <c r="AK182" t="str">
        <f>IFERROR(__xludf.DUMMYFUNCTION("""COMPUTED_VALUE"""),"E")</f>
        <v>E</v>
      </c>
      <c r="AL182">
        <f>IFERROR(__xludf.DUMMYFUNCTION("""COMPUTED_VALUE"""),63.0)</f>
        <v>63</v>
      </c>
      <c r="AM182">
        <f>IFERROR(__xludf.DUMMYFUNCTION("""COMPUTED_VALUE"""),2018.0)</f>
        <v>2018</v>
      </c>
    </row>
    <row r="183">
      <c r="A183">
        <f>IFERROR(__xludf.DUMMYFUNCTION("""COMPUTED_VALUE"""),1.7697368E7)</f>
        <v>17697368</v>
      </c>
      <c r="B183">
        <f>IFERROR(__xludf.DUMMYFUNCTION("""COMPUTED_VALUE"""),86.0)</f>
        <v>86</v>
      </c>
      <c r="C183" t="str">
        <f>IFERROR(__xludf.DUMMYFUNCTION("""COMPUTED_VALUE"""),"A234")</f>
        <v>A234</v>
      </c>
      <c r="D183" t="str">
        <f>IFERROR(__xludf.DUMMYFUNCTION("""COMPUTED_VALUE"""),"INGRESAR CENTRO DE COSTO A LA DERECHA")</f>
        <v>INGRESAR CENTRO DE COSTO A LA DERECHA</v>
      </c>
      <c r="E183" t="str">
        <f>IFERROR(__xludf.DUMMYFUNCTION("""COMPUTED_VALUE"""),"DIR. DE ASISTENCIA JURIDICA")</f>
        <v>DIR. DE ASISTENCIA JURIDICA</v>
      </c>
      <c r="F183" t="str">
        <f>IFERROR(__xludf.DUMMYFUNCTION("""COMPUTED_VALUE"""),"Abogado(a) Dirección Juridica")</f>
        <v>Abogado(a) Dirección Juridica</v>
      </c>
      <c r="G183" t="str">
        <f>IFERROR(__xludf.DUMMYFUNCTION("""COMPUTED_VALUE"""),"ABOGADO ")</f>
        <v>ABOGADO </v>
      </c>
      <c r="H183">
        <f>IFERROR(__xludf.DUMMYFUNCTION("""COMPUTED_VALUE"""),8.0)</f>
        <v>8</v>
      </c>
      <c r="I183" t="str">
        <f>IFERROR(__xludf.DUMMYFUNCTION("""COMPUTED_VALUE"""),"Jornada Completa")</f>
        <v>Jornada Completa</v>
      </c>
      <c r="J183" t="str">
        <f>IFERROR(__xludf.DUMMYFUNCTION("""COMPUTED_VALUE"""),"A CONTRATA")</f>
        <v>A CONTRATA</v>
      </c>
      <c r="K183" t="str">
        <f>IFERROR(__xludf.DUMMYFUNCTION("""COMPUTED_VALUE"""),"PROFESIONAL")</f>
        <v>PROFESIONAL</v>
      </c>
      <c r="L183" t="str">
        <f>IFERROR(__xludf.DUMMYFUNCTION("""COMPUTED_VALUE"""),"NO")</f>
        <v>NO</v>
      </c>
      <c r="M183">
        <f>IFERROR(__xludf.DUMMYFUNCTION("""COMPUTED_VALUE"""),0.0)</f>
        <v>0</v>
      </c>
      <c r="N183" t="str">
        <f>IFERROR(__xludf.DUMMYFUNCTION("""COMPUTED_VALUE"""),"EXTERNO")</f>
        <v>EXTERNO</v>
      </c>
      <c r="O183">
        <f>IFERROR(__xludf.DUMMYFUNCTION("""COMPUTED_VALUE"""),58.0)</f>
        <v>58</v>
      </c>
      <c r="P183">
        <f>IFERROR(__xludf.DUMMYFUNCTION("""COMPUTED_VALUE"""),8.0)</f>
        <v>8</v>
      </c>
      <c r="Q183">
        <f>IFERROR(__xludf.DUMMYFUNCTION("""COMPUTED_VALUE"""),0.0)</f>
        <v>0</v>
      </c>
      <c r="R183" s="45" t="str">
        <f>IFERROR(__xludf.DUMMYFUNCTION("""COMPUTED_VALUE"""),"SELECCIONADA")</f>
        <v>SELECCIONADA</v>
      </c>
      <c r="S183" s="38">
        <f>IFERROR(__xludf.DUMMYFUNCTION("""COMPUTED_VALUE"""),43437.0)</f>
        <v>43437</v>
      </c>
      <c r="U183" t="str">
        <f>IFERROR(__xludf.DUMMYFUNCTION("""COMPUTED_VALUE"""),"CONSTANZA REYES TOLEDO")</f>
        <v>CONSTANZA REYES TOLEDO</v>
      </c>
      <c r="V183" t="str">
        <f>IFERROR(__xludf.DUMMYFUNCTION("""COMPUTED_VALUE"""),"17697368-4")</f>
        <v>17697368-4</v>
      </c>
      <c r="W183" t="str">
        <f>IFERROR(__xludf.DUMMYFUNCTION("""COMPUTED_VALUE"""),"SI")</f>
        <v>SI</v>
      </c>
      <c r="X183" t="str">
        <f>IFERROR(__xludf.DUMMYFUNCTION("""COMPUTED_VALUE"""),"Pensamiento Analitico")</f>
        <v>Pensamiento Analitico</v>
      </c>
      <c r="Y183" t="str">
        <f>IFERROR(__xludf.DUMMYFUNCTION("""COMPUTED_VALUE"""),"Iniciativa")</f>
        <v>Iniciativa</v>
      </c>
      <c r="AA183" s="38">
        <f>IFERROR(__xludf.DUMMYFUNCTION("""COMPUTED_VALUE"""),43332.0)</f>
        <v>43332</v>
      </c>
      <c r="AB183" s="38">
        <f>IFERROR(__xludf.DUMMYFUNCTION("""COMPUTED_VALUE"""),43339.0)</f>
        <v>43339</v>
      </c>
      <c r="AH183" t="str">
        <f>IFERROR(__xludf.DUMMYFUNCTION("""COMPUTED_VALUE"""),"PROCESO DE SELECCIÓN")</f>
        <v>PROCESO DE SELECCIÓN</v>
      </c>
      <c r="AI183" t="str">
        <f>IFERROR(__xludf.DUMMYFUNCTION("""COMPUTED_VALUE""")," - ")</f>
        <v> - </v>
      </c>
      <c r="AK183" t="str">
        <f>IFERROR(__xludf.DUMMYFUNCTION("""COMPUTED_VALUE"""),"E")</f>
        <v>E</v>
      </c>
      <c r="AL183">
        <f>IFERROR(__xludf.DUMMYFUNCTION("""COMPUTED_VALUE"""),71.0)</f>
        <v>71</v>
      </c>
      <c r="AM183">
        <f>IFERROR(__xludf.DUMMYFUNCTION("""COMPUTED_VALUE"""),2018.0)</f>
        <v>2018</v>
      </c>
    </row>
    <row r="184">
      <c r="A184">
        <f>IFERROR(__xludf.DUMMYFUNCTION("""COMPUTED_VALUE"""),1.6209975E7)</f>
        <v>16209975</v>
      </c>
      <c r="B184">
        <f>IFERROR(__xludf.DUMMYFUNCTION("""COMPUTED_VALUE"""),87.0)</f>
        <v>87</v>
      </c>
      <c r="C184" t="str">
        <f>IFERROR(__xludf.DUMMYFUNCTION("""COMPUTED_VALUE"""),"A234")</f>
        <v>A234</v>
      </c>
      <c r="D184" t="str">
        <f>IFERROR(__xludf.DUMMYFUNCTION("""COMPUTED_VALUE"""),"INGRESAR CENTRO DE COSTO A LA DERECHA")</f>
        <v>INGRESAR CENTRO DE COSTO A LA DERECHA</v>
      </c>
      <c r="E184" t="str">
        <f>IFERROR(__xludf.DUMMYFUNCTION("""COMPUTED_VALUE"""),"DIR. DE ASISTENCIA JURIDICA")</f>
        <v>DIR. DE ASISTENCIA JURIDICA</v>
      </c>
      <c r="F184" t="str">
        <f>IFERROR(__xludf.DUMMYFUNCTION("""COMPUTED_VALUE"""),"Abogado(a) Dirección Juridica")</f>
        <v>Abogado(a) Dirección Juridica</v>
      </c>
      <c r="G184" t="str">
        <f>IFERROR(__xludf.DUMMYFUNCTION("""COMPUTED_VALUE"""),"ABOGADO ")</f>
        <v>ABOGADO </v>
      </c>
      <c r="H184">
        <f>IFERROR(__xludf.DUMMYFUNCTION("""COMPUTED_VALUE"""),8.0)</f>
        <v>8</v>
      </c>
      <c r="I184" t="str">
        <f>IFERROR(__xludf.DUMMYFUNCTION("""COMPUTED_VALUE"""),"Jornada Completa")</f>
        <v>Jornada Completa</v>
      </c>
      <c r="J184" t="str">
        <f>IFERROR(__xludf.DUMMYFUNCTION("""COMPUTED_VALUE"""),"A CONTRATA")</f>
        <v>A CONTRATA</v>
      </c>
      <c r="K184" t="str">
        <f>IFERROR(__xludf.DUMMYFUNCTION("""COMPUTED_VALUE"""),"PROFESIONAL")</f>
        <v>PROFESIONAL</v>
      </c>
      <c r="L184" t="str">
        <f>IFERROR(__xludf.DUMMYFUNCTION("""COMPUTED_VALUE"""),"NO")</f>
        <v>NO</v>
      </c>
      <c r="M184">
        <f>IFERROR(__xludf.DUMMYFUNCTION("""COMPUTED_VALUE"""),0.0)</f>
        <v>0</v>
      </c>
      <c r="N184" t="str">
        <f>IFERROR(__xludf.DUMMYFUNCTION("""COMPUTED_VALUE"""),"EXTERNO")</f>
        <v>EXTERNO</v>
      </c>
      <c r="O184">
        <f>IFERROR(__xludf.DUMMYFUNCTION("""COMPUTED_VALUE"""),58.0)</f>
        <v>58</v>
      </c>
      <c r="P184">
        <f>IFERROR(__xludf.DUMMYFUNCTION("""COMPUTED_VALUE"""),8.0)</f>
        <v>8</v>
      </c>
      <c r="Q184">
        <f>IFERROR(__xludf.DUMMYFUNCTION("""COMPUTED_VALUE"""),0.0)</f>
        <v>0</v>
      </c>
      <c r="R184" s="45" t="str">
        <f>IFERROR(__xludf.DUMMYFUNCTION("""COMPUTED_VALUE"""),"SELECCIONADO")</f>
        <v>SELECCIONADO</v>
      </c>
      <c r="S184" s="38">
        <f>IFERROR(__xludf.DUMMYFUNCTION("""COMPUTED_VALUE"""),43437.0)</f>
        <v>43437</v>
      </c>
      <c r="U184" t="str">
        <f>IFERROR(__xludf.DUMMYFUNCTION("""COMPUTED_VALUE"""),"DAVID PAVEZ GUERRERO")</f>
        <v>DAVID PAVEZ GUERRERO</v>
      </c>
      <c r="V184" t="str">
        <f>IFERROR(__xludf.DUMMYFUNCTION("""COMPUTED_VALUE"""),"16209975-2")</f>
        <v>16209975-2</v>
      </c>
      <c r="W184" t="str">
        <f>IFERROR(__xludf.DUMMYFUNCTION("""COMPUTED_VALUE"""),"SI")</f>
        <v>SI</v>
      </c>
      <c r="X184" t="str">
        <f>IFERROR(__xludf.DUMMYFUNCTION("""COMPUTED_VALUE"""),"Iniciativa")</f>
        <v>Iniciativa</v>
      </c>
      <c r="AA184" s="38">
        <f>IFERROR(__xludf.DUMMYFUNCTION("""COMPUTED_VALUE"""),43332.0)</f>
        <v>43332</v>
      </c>
      <c r="AB184" s="38">
        <f>IFERROR(__xludf.DUMMYFUNCTION("""COMPUTED_VALUE"""),43339.0)</f>
        <v>43339</v>
      </c>
      <c r="AH184" t="str">
        <f>IFERROR(__xludf.DUMMYFUNCTION("""COMPUTED_VALUE"""),"PROCESO DE SELECCIÓN")</f>
        <v>PROCESO DE SELECCIÓN</v>
      </c>
      <c r="AI184" t="str">
        <f>IFERROR(__xludf.DUMMYFUNCTION("""COMPUTED_VALUE""")," - ")</f>
        <v> - </v>
      </c>
      <c r="AK184" t="str">
        <f>IFERROR(__xludf.DUMMYFUNCTION("""COMPUTED_VALUE"""),"E")</f>
        <v>E</v>
      </c>
      <c r="AL184">
        <f>IFERROR(__xludf.DUMMYFUNCTION("""COMPUTED_VALUE"""),71.0)</f>
        <v>71</v>
      </c>
      <c r="AM184">
        <f>IFERROR(__xludf.DUMMYFUNCTION("""COMPUTED_VALUE"""),2018.0)</f>
        <v>2018</v>
      </c>
    </row>
    <row r="185">
      <c r="A185">
        <f>IFERROR(__xludf.DUMMYFUNCTION("""COMPUTED_VALUE"""),1.7673495E7)</f>
        <v>17673495</v>
      </c>
      <c r="B185">
        <f>IFERROR(__xludf.DUMMYFUNCTION("""COMPUTED_VALUE"""),88.0)</f>
        <v>88</v>
      </c>
      <c r="C185" t="str">
        <f>IFERROR(__xludf.DUMMYFUNCTION("""COMPUTED_VALUE"""),"A234")</f>
        <v>A234</v>
      </c>
      <c r="D185" t="str">
        <f>IFERROR(__xludf.DUMMYFUNCTION("""COMPUTED_VALUE"""),"INGRESAR CENTRO DE COSTO A LA DERECHA")</f>
        <v>INGRESAR CENTRO DE COSTO A LA DERECHA</v>
      </c>
      <c r="E185" t="str">
        <f>IFERROR(__xludf.DUMMYFUNCTION("""COMPUTED_VALUE"""),"DIR. DE ASISTENCIA JURIDICA")</f>
        <v>DIR. DE ASISTENCIA JURIDICA</v>
      </c>
      <c r="F185" t="str">
        <f>IFERROR(__xludf.DUMMYFUNCTION("""COMPUTED_VALUE"""),"Abogado(a) Dirección Juridica")</f>
        <v>Abogado(a) Dirección Juridica</v>
      </c>
      <c r="G185" t="str">
        <f>IFERROR(__xludf.DUMMYFUNCTION("""COMPUTED_VALUE"""),"ABOGADO ")</f>
        <v>ABOGADO </v>
      </c>
      <c r="H185">
        <f>IFERROR(__xludf.DUMMYFUNCTION("""COMPUTED_VALUE"""),8.0)</f>
        <v>8</v>
      </c>
      <c r="I185" t="str">
        <f>IFERROR(__xludf.DUMMYFUNCTION("""COMPUTED_VALUE"""),"Jornada Completa")</f>
        <v>Jornada Completa</v>
      </c>
      <c r="J185" t="str">
        <f>IFERROR(__xludf.DUMMYFUNCTION("""COMPUTED_VALUE"""),"A CONTRATA")</f>
        <v>A CONTRATA</v>
      </c>
      <c r="K185" t="str">
        <f>IFERROR(__xludf.DUMMYFUNCTION("""COMPUTED_VALUE"""),"PROFESIONAL")</f>
        <v>PROFESIONAL</v>
      </c>
      <c r="L185" t="str">
        <f>IFERROR(__xludf.DUMMYFUNCTION("""COMPUTED_VALUE"""),"NO")</f>
        <v>NO</v>
      </c>
      <c r="M185">
        <f>IFERROR(__xludf.DUMMYFUNCTION("""COMPUTED_VALUE"""),0.0)</f>
        <v>0</v>
      </c>
      <c r="N185" t="str">
        <f>IFERROR(__xludf.DUMMYFUNCTION("""COMPUTED_VALUE"""),"EXTERNO")</f>
        <v>EXTERNO</v>
      </c>
      <c r="O185">
        <f>IFERROR(__xludf.DUMMYFUNCTION("""COMPUTED_VALUE"""),58.0)</f>
        <v>58</v>
      </c>
      <c r="P185">
        <f>IFERROR(__xludf.DUMMYFUNCTION("""COMPUTED_VALUE"""),8.0)</f>
        <v>8</v>
      </c>
      <c r="Q185">
        <f>IFERROR(__xludf.DUMMYFUNCTION("""COMPUTED_VALUE"""),0.0)</f>
        <v>0</v>
      </c>
      <c r="R185" s="45" t="str">
        <f>IFERROR(__xludf.DUMMYFUNCTION("""COMPUTED_VALUE"""),"SELECCIONADO")</f>
        <v>SELECCIONADO</v>
      </c>
      <c r="S185" s="38">
        <f>IFERROR(__xludf.DUMMYFUNCTION("""COMPUTED_VALUE"""),43437.0)</f>
        <v>43437</v>
      </c>
      <c r="U185" t="str">
        <f>IFERROR(__xludf.DUMMYFUNCTION("""COMPUTED_VALUE"""),"FRANCISCO VILLANUEVA GUAJARDO")</f>
        <v>FRANCISCO VILLANUEVA GUAJARDO</v>
      </c>
      <c r="V185" t="str">
        <f>IFERROR(__xludf.DUMMYFUNCTION("""COMPUTED_VALUE"""),"17673495-7")</f>
        <v>17673495-7</v>
      </c>
      <c r="W185" t="str">
        <f>IFERROR(__xludf.DUMMYFUNCTION("""COMPUTED_VALUE"""),"NO")</f>
        <v>NO</v>
      </c>
      <c r="AA185" s="38">
        <f>IFERROR(__xludf.DUMMYFUNCTION("""COMPUTED_VALUE"""),43332.0)</f>
        <v>43332</v>
      </c>
      <c r="AB185" s="38">
        <f>IFERROR(__xludf.DUMMYFUNCTION("""COMPUTED_VALUE"""),43339.0)</f>
        <v>43339</v>
      </c>
      <c r="AH185" t="str">
        <f>IFERROR(__xludf.DUMMYFUNCTION("""COMPUTED_VALUE"""),"PROCESO DE SELECCIÓN")</f>
        <v>PROCESO DE SELECCIÓN</v>
      </c>
      <c r="AI185" t="str">
        <f>IFERROR(__xludf.DUMMYFUNCTION("""COMPUTED_VALUE""")," - ")</f>
        <v> - </v>
      </c>
      <c r="AK185" t="str">
        <f>IFERROR(__xludf.DUMMYFUNCTION("""COMPUTED_VALUE"""),"E")</f>
        <v>E</v>
      </c>
      <c r="AL185">
        <f>IFERROR(__xludf.DUMMYFUNCTION("""COMPUTED_VALUE"""),71.0)</f>
        <v>71</v>
      </c>
      <c r="AM185">
        <f>IFERROR(__xludf.DUMMYFUNCTION("""COMPUTED_VALUE"""),2018.0)</f>
        <v>2018</v>
      </c>
    </row>
    <row r="186">
      <c r="A186">
        <f>IFERROR(__xludf.DUMMYFUNCTION("""COMPUTED_VALUE"""),1.2988103E7)</f>
        <v>12988103</v>
      </c>
      <c r="B186">
        <f>IFERROR(__xludf.DUMMYFUNCTION("""COMPUTED_VALUE"""),89.0)</f>
        <v>89</v>
      </c>
      <c r="C186" t="str">
        <f>IFERROR(__xludf.DUMMYFUNCTION("""COMPUTED_VALUE"""),"A234")</f>
        <v>A234</v>
      </c>
      <c r="D186" t="str">
        <f>IFERROR(__xludf.DUMMYFUNCTION("""COMPUTED_VALUE"""),"INGRESAR CENTRO DE COSTO A LA DERECHA")</f>
        <v>INGRESAR CENTRO DE COSTO A LA DERECHA</v>
      </c>
      <c r="E186" t="str">
        <f>IFERROR(__xludf.DUMMYFUNCTION("""COMPUTED_VALUE"""),"DIR. DE ASISTENCIA JURIDICA")</f>
        <v>DIR. DE ASISTENCIA JURIDICA</v>
      </c>
      <c r="F186" t="str">
        <f>IFERROR(__xludf.DUMMYFUNCTION("""COMPUTED_VALUE"""),"Abogado(a) Dirección Juridica")</f>
        <v>Abogado(a) Dirección Juridica</v>
      </c>
      <c r="G186" t="str">
        <f>IFERROR(__xludf.DUMMYFUNCTION("""COMPUTED_VALUE"""),"ABOGADO ")</f>
        <v>ABOGADO </v>
      </c>
      <c r="H186">
        <f>IFERROR(__xludf.DUMMYFUNCTION("""COMPUTED_VALUE"""),8.0)</f>
        <v>8</v>
      </c>
      <c r="I186" t="str">
        <f>IFERROR(__xludf.DUMMYFUNCTION("""COMPUTED_VALUE"""),"Jornada Completa")</f>
        <v>Jornada Completa</v>
      </c>
      <c r="J186" t="str">
        <f>IFERROR(__xludf.DUMMYFUNCTION("""COMPUTED_VALUE"""),"A CONTRATA")</f>
        <v>A CONTRATA</v>
      </c>
      <c r="K186" t="str">
        <f>IFERROR(__xludf.DUMMYFUNCTION("""COMPUTED_VALUE"""),"PROFESIONAL")</f>
        <v>PROFESIONAL</v>
      </c>
      <c r="L186" t="str">
        <f>IFERROR(__xludf.DUMMYFUNCTION("""COMPUTED_VALUE"""),"NO")</f>
        <v>NO</v>
      </c>
      <c r="M186">
        <f>IFERROR(__xludf.DUMMYFUNCTION("""COMPUTED_VALUE"""),0.0)</f>
        <v>0</v>
      </c>
      <c r="N186" t="str">
        <f>IFERROR(__xludf.DUMMYFUNCTION("""COMPUTED_VALUE"""),"EXTERNO")</f>
        <v>EXTERNO</v>
      </c>
      <c r="O186">
        <f>IFERROR(__xludf.DUMMYFUNCTION("""COMPUTED_VALUE"""),58.0)</f>
        <v>58</v>
      </c>
      <c r="P186">
        <f>IFERROR(__xludf.DUMMYFUNCTION("""COMPUTED_VALUE"""),8.0)</f>
        <v>8</v>
      </c>
      <c r="Q186">
        <f>IFERROR(__xludf.DUMMYFUNCTION("""COMPUTED_VALUE"""),0.0)</f>
        <v>0</v>
      </c>
      <c r="R186" s="45" t="str">
        <f>IFERROR(__xludf.DUMMYFUNCTION("""COMPUTED_VALUE"""),"SELECCIONADO")</f>
        <v>SELECCIONADO</v>
      </c>
      <c r="S186" s="38">
        <f>IFERROR(__xludf.DUMMYFUNCTION("""COMPUTED_VALUE"""),43437.0)</f>
        <v>43437</v>
      </c>
      <c r="U186" t="str">
        <f>IFERROR(__xludf.DUMMYFUNCTION("""COMPUTED_VALUE"""),"LEONARDO MERINO MANRIQUEZ")</f>
        <v>LEONARDO MERINO MANRIQUEZ</v>
      </c>
      <c r="V186" t="str">
        <f>IFERROR(__xludf.DUMMYFUNCTION("""COMPUTED_VALUE"""),"12988103-8")</f>
        <v>12988103-8</v>
      </c>
      <c r="W186" t="str">
        <f>IFERROR(__xludf.DUMMYFUNCTION("""COMPUTED_VALUE"""),"NO")</f>
        <v>NO</v>
      </c>
      <c r="AA186" s="38">
        <f>IFERROR(__xludf.DUMMYFUNCTION("""COMPUTED_VALUE"""),43339.0)</f>
        <v>43339</v>
      </c>
      <c r="AB186" s="38">
        <f>IFERROR(__xludf.DUMMYFUNCTION("""COMPUTED_VALUE"""),43339.0)</f>
        <v>43339</v>
      </c>
      <c r="AH186" t="str">
        <f>IFERROR(__xludf.DUMMYFUNCTION("""COMPUTED_VALUE"""),"PROCESO DE SELECCIÓN")</f>
        <v>PROCESO DE SELECCIÓN</v>
      </c>
      <c r="AI186" t="str">
        <f>IFERROR(__xludf.DUMMYFUNCTION("""COMPUTED_VALUE""")," - ")</f>
        <v> - </v>
      </c>
      <c r="AK186" t="str">
        <f>IFERROR(__xludf.DUMMYFUNCTION("""COMPUTED_VALUE"""),"E")</f>
        <v>E</v>
      </c>
      <c r="AL186">
        <f>IFERROR(__xludf.DUMMYFUNCTION("""COMPUTED_VALUE"""),71.0)</f>
        <v>71</v>
      </c>
      <c r="AM186">
        <f>IFERROR(__xludf.DUMMYFUNCTION("""COMPUTED_VALUE"""),2018.0)</f>
        <v>2018</v>
      </c>
    </row>
    <row r="187">
      <c r="A187">
        <f>IFERROR(__xludf.DUMMYFUNCTION("""COMPUTED_VALUE"""),1.6962501E7)</f>
        <v>16962501</v>
      </c>
      <c r="B187">
        <f>IFERROR(__xludf.DUMMYFUNCTION("""COMPUTED_VALUE"""),90.0)</f>
        <v>90</v>
      </c>
      <c r="C187" t="str">
        <f>IFERROR(__xludf.DUMMYFUNCTION("""COMPUTED_VALUE"""),"A231")</f>
        <v>A231</v>
      </c>
      <c r="D187" t="str">
        <f>IFERROR(__xludf.DUMMYFUNCTION("""COMPUTED_VALUE"""),"INGRESAR CENTRO DE COSTO A LA DERECHA")</f>
        <v>INGRESAR CENTRO DE COSTO A LA DERECHA</v>
      </c>
      <c r="E187" t="str">
        <f>IFERROR(__xludf.DUMMYFUNCTION("""COMPUTED_VALUE"""),"DPTO. DE RECURSOS HUMANOS")</f>
        <v>DPTO. DE RECURSOS HUMANOS</v>
      </c>
      <c r="F187" t="str">
        <f>IFERROR(__xludf.DUMMYFUNCTION("""COMPUTED_VALUE"""),"Administrativo(a) de Recursos Humanos")</f>
        <v>Administrativo(a) de Recursos Humanos</v>
      </c>
      <c r="G187" t="str">
        <f>IFERROR(__xludf.DUMMYFUNCTION("""COMPUTED_VALUE"""),"ADMINISTRATIVO DE RECURSOS HUMANOS")</f>
        <v>ADMINISTRATIVO DE RECURSOS HUMANOS</v>
      </c>
      <c r="H187">
        <f>IFERROR(__xludf.DUMMYFUNCTION("""COMPUTED_VALUE"""),17.0)</f>
        <v>17</v>
      </c>
      <c r="I187" t="str">
        <f>IFERROR(__xludf.DUMMYFUNCTION("""COMPUTED_VALUE"""),"Jornada Completa")</f>
        <v>Jornada Completa</v>
      </c>
      <c r="J187" t="str">
        <f>IFERROR(__xludf.DUMMYFUNCTION("""COMPUTED_VALUE"""),"A CONTRATA")</f>
        <v>A CONTRATA</v>
      </c>
      <c r="K187" t="str">
        <f>IFERROR(__xludf.DUMMYFUNCTION("""COMPUTED_VALUE"""),"ADMINISTRATIVO")</f>
        <v>ADMINISTRATIVO</v>
      </c>
      <c r="L187" t="str">
        <f>IFERROR(__xludf.DUMMYFUNCTION("""COMPUTED_VALUE"""),"INTERNO")</f>
        <v>INTERNO</v>
      </c>
      <c r="M187">
        <f>IFERROR(__xludf.DUMMYFUNCTION("""COMPUTED_VALUE"""),5.0)</f>
        <v>5</v>
      </c>
      <c r="N187" t="str">
        <f>IFERROR(__xludf.DUMMYFUNCTION("""COMPUTED_VALUE"""),"EXTERNO")</f>
        <v>EXTERNO</v>
      </c>
      <c r="O187">
        <f>IFERROR(__xludf.DUMMYFUNCTION("""COMPUTED_VALUE"""),20.0)</f>
        <v>20</v>
      </c>
      <c r="P187">
        <f>IFERROR(__xludf.DUMMYFUNCTION("""COMPUTED_VALUE"""),4.0)</f>
        <v>4</v>
      </c>
      <c r="Q187">
        <f>IFERROR(__xludf.DUMMYFUNCTION("""COMPUTED_VALUE"""),0.0)</f>
        <v>0</v>
      </c>
      <c r="R187" s="45" t="str">
        <f>IFERROR(__xludf.DUMMYFUNCTION("""COMPUTED_VALUE"""),"SELECCIONADA")</f>
        <v>SELECCIONADA</v>
      </c>
      <c r="S187" s="38">
        <f>IFERROR(__xludf.DUMMYFUNCTION("""COMPUTED_VALUE"""),43423.0)</f>
        <v>43423</v>
      </c>
      <c r="U187" t="str">
        <f>IFERROR(__xludf.DUMMYFUNCTION("""COMPUTED_VALUE"""),"PAOLA VALDIVIA JARA")</f>
        <v>PAOLA VALDIVIA JARA</v>
      </c>
      <c r="V187" t="str">
        <f>IFERROR(__xludf.DUMMYFUNCTION("""COMPUTED_VALUE"""),"16962501-8")</f>
        <v>16962501-8</v>
      </c>
      <c r="W187" t="str">
        <f>IFERROR(__xludf.DUMMYFUNCTION("""COMPUTED_VALUE"""),"SI")</f>
        <v>SI</v>
      </c>
      <c r="X187" t="str">
        <f>IFERROR(__xludf.DUMMYFUNCTION("""COMPUTED_VALUE"""),"Orientacion a los Resultados")</f>
        <v>Orientacion a los Resultados</v>
      </c>
      <c r="AA187" s="38">
        <f>IFERROR(__xludf.DUMMYFUNCTION("""COMPUTED_VALUE"""),43375.0)</f>
        <v>43375</v>
      </c>
      <c r="AB187" s="38">
        <f>IFERROR(__xludf.DUMMYFUNCTION("""COMPUTED_VALUE"""),43381.0)</f>
        <v>43381</v>
      </c>
      <c r="AH187" t="str">
        <f>IFERROR(__xludf.DUMMYFUNCTION("""COMPUTED_VALUE"""),"PROCESO DE SELECCIÓN")</f>
        <v>PROCESO DE SELECCIÓN</v>
      </c>
      <c r="AI187" t="str">
        <f>IFERROR(__xludf.DUMMYFUNCTION("""COMPUTED_VALUE"""),"AMACHE MENA YANELA")</f>
        <v>AMACHE MENA YANELA</v>
      </c>
      <c r="AK187" t="str">
        <f>IFERROR(__xludf.DUMMYFUNCTION("""COMPUTED_VALUE"""),"E")</f>
        <v>E</v>
      </c>
      <c r="AL187">
        <f>IFERROR(__xludf.DUMMYFUNCTION("""COMPUTED_VALUE"""),31.0)</f>
        <v>31</v>
      </c>
      <c r="AM187">
        <f>IFERROR(__xludf.DUMMYFUNCTION("""COMPUTED_VALUE"""),2018.0)</f>
        <v>2018</v>
      </c>
    </row>
    <row r="188">
      <c r="A188">
        <f>IFERROR(__xludf.DUMMYFUNCTION("""COMPUTED_VALUE"""),1.1975431E7)</f>
        <v>11975431</v>
      </c>
      <c r="B188">
        <f>IFERROR(__xludf.DUMMYFUNCTION("""COMPUTED_VALUE"""),91.0)</f>
        <v>91</v>
      </c>
      <c r="C188" t="str">
        <f>IFERROR(__xludf.DUMMYFUNCTION("""COMPUTED_VALUE"""),"A231 (A188)")</f>
        <v>A231 (A188)</v>
      </c>
      <c r="D188" t="str">
        <f>IFERROR(__xludf.DUMMYFUNCTION("""COMPUTED_VALUE"""),"INGRESAR CENTRO DE COSTO A LA DERECHA")</f>
        <v>INGRESAR CENTRO DE COSTO A LA DERECHA</v>
      </c>
      <c r="E188" t="str">
        <f>IFERROR(__xludf.DUMMYFUNCTION("""COMPUTED_VALUE"""),"DPTO. DE RECURSOS HUMANOS")</f>
        <v>DPTO. DE RECURSOS HUMANOS</v>
      </c>
      <c r="F188" t="str">
        <f>IFERROR(__xludf.DUMMYFUNCTION("""COMPUTED_VALUE"""),"Administrativo(a) de Recursos Humanos")</f>
        <v>Administrativo(a) de Recursos Humanos</v>
      </c>
      <c r="G188" t="str">
        <f>IFERROR(__xludf.DUMMYFUNCTION("""COMPUTED_VALUE"""),"ADMINISTRATIVO DE RECURSOS HUMANOS")</f>
        <v>ADMINISTRATIVO DE RECURSOS HUMANOS</v>
      </c>
      <c r="H188">
        <f>IFERROR(__xludf.DUMMYFUNCTION("""COMPUTED_VALUE"""),17.0)</f>
        <v>17</v>
      </c>
      <c r="I188" t="str">
        <f>IFERROR(__xludf.DUMMYFUNCTION("""COMPUTED_VALUE"""),"Jornada Completa")</f>
        <v>Jornada Completa</v>
      </c>
      <c r="J188" t="str">
        <f>IFERROR(__xludf.DUMMYFUNCTION("""COMPUTED_VALUE"""),"A CONTRATA")</f>
        <v>A CONTRATA</v>
      </c>
      <c r="K188" t="str">
        <f>IFERROR(__xludf.DUMMYFUNCTION("""COMPUTED_VALUE"""),"ADMINISTRATIVO")</f>
        <v>ADMINISTRATIVO</v>
      </c>
      <c r="L188" t="str">
        <f>IFERROR(__xludf.DUMMYFUNCTION("""COMPUTED_VALUE"""),"INTERNO")</f>
        <v>INTERNO</v>
      </c>
      <c r="M188">
        <f>IFERROR(__xludf.DUMMYFUNCTION("""COMPUTED_VALUE"""),5.0)</f>
        <v>5</v>
      </c>
      <c r="N188" t="str">
        <f>IFERROR(__xludf.DUMMYFUNCTION("""COMPUTED_VALUE"""),"EXTERNO")</f>
        <v>EXTERNO</v>
      </c>
      <c r="O188">
        <f>IFERROR(__xludf.DUMMYFUNCTION("""COMPUTED_VALUE"""),20.0)</f>
        <v>20</v>
      </c>
      <c r="P188">
        <f>IFERROR(__xludf.DUMMYFUNCTION("""COMPUTED_VALUE"""),4.0)</f>
        <v>4</v>
      </c>
      <c r="Q188">
        <f>IFERROR(__xludf.DUMMYFUNCTION("""COMPUTED_VALUE"""),0.0)</f>
        <v>0</v>
      </c>
      <c r="R188" s="45" t="str">
        <f>IFERROR(__xludf.DUMMYFUNCTION("""COMPUTED_VALUE"""),"SELECCIONADA")</f>
        <v>SELECCIONADA</v>
      </c>
      <c r="S188" s="38">
        <f>IFERROR(__xludf.DUMMYFUNCTION("""COMPUTED_VALUE"""),43423.0)</f>
        <v>43423</v>
      </c>
      <c r="U188" t="str">
        <f>IFERROR(__xludf.DUMMYFUNCTION("""COMPUTED_VALUE"""),"GLADYS RAMOS VERA")</f>
        <v>GLADYS RAMOS VERA</v>
      </c>
      <c r="V188" t="str">
        <f>IFERROR(__xludf.DUMMYFUNCTION("""COMPUTED_VALUE"""),"11975431-3")</f>
        <v>11975431-3</v>
      </c>
      <c r="W188" t="str">
        <f>IFERROR(__xludf.DUMMYFUNCTION("""COMPUTED_VALUE"""),"SI")</f>
        <v>SI</v>
      </c>
      <c r="X188" t="str">
        <f>IFERROR(__xludf.DUMMYFUNCTION("""COMPUTED_VALUE"""),"Trabajo en Equipo")</f>
        <v>Trabajo en Equipo</v>
      </c>
      <c r="AA188" s="38">
        <f>IFERROR(__xludf.DUMMYFUNCTION("""COMPUTED_VALUE"""),43375.0)</f>
        <v>43375</v>
      </c>
      <c r="AB188" s="38">
        <f>IFERROR(__xludf.DUMMYFUNCTION("""COMPUTED_VALUE"""),43381.0)</f>
        <v>43381</v>
      </c>
      <c r="AH188" t="str">
        <f>IFERROR(__xludf.DUMMYFUNCTION("""COMPUTED_VALUE"""),"PROCESO DE SELECCIÓN")</f>
        <v>PROCESO DE SELECCIÓN</v>
      </c>
      <c r="AI188" t="str">
        <f>IFERROR(__xludf.DUMMYFUNCTION("""COMPUTED_VALUE"""),"ARAYA VERGARA FERNANDA")</f>
        <v>ARAYA VERGARA FERNANDA</v>
      </c>
      <c r="AK188" t="str">
        <f>IFERROR(__xludf.DUMMYFUNCTION("""COMPUTED_VALUE"""),"E")</f>
        <v>E</v>
      </c>
      <c r="AL188">
        <f>IFERROR(__xludf.DUMMYFUNCTION("""COMPUTED_VALUE"""),31.0)</f>
        <v>31</v>
      </c>
      <c r="AM188">
        <f>IFERROR(__xludf.DUMMYFUNCTION("""COMPUTED_VALUE"""),2018.0)</f>
        <v>2018</v>
      </c>
    </row>
    <row r="189">
      <c r="A189">
        <f>IFERROR(__xludf.DUMMYFUNCTION("""COMPUTED_VALUE"""),1.171523E7)</f>
        <v>11715230</v>
      </c>
      <c r="B189">
        <f>IFERROR(__xludf.DUMMYFUNCTION("""COMPUTED_VALUE"""),92.0)</f>
        <v>92</v>
      </c>
      <c r="C189" t="str">
        <f>IFERROR(__xludf.DUMMYFUNCTION("""COMPUTED_VALUE"""),"IR2018-27")</f>
        <v>IR2018-27</v>
      </c>
      <c r="D189" t="str">
        <f>IFERROR(__xludf.DUMMYFUNCTION("""COMPUTED_VALUE"""),"INGRESAR CENTRO DE COSTO A LA DERECHA")</f>
        <v>INGRESAR CENTRO DE COSTO A LA DERECHA</v>
      </c>
      <c r="E189" t="str">
        <f>IFERROR(__xludf.DUMMYFUNCTION("""COMPUTED_VALUE"""),"INSTITUTO DE ESTUDIOS AVANZADO")</f>
        <v>INSTITUTO DE ESTUDIOS AVANZADO</v>
      </c>
      <c r="F189" t="str">
        <f>IFERROR(__xludf.DUMMYFUNCTION("""COMPUTED_VALUE"""),"Analista de Proyectos I")</f>
        <v>Analista de Proyectos I</v>
      </c>
      <c r="G189" t="str">
        <f>IFERROR(__xludf.DUMMYFUNCTION("""COMPUTED_VALUE"""),"ANALISTA DE PROYECTOS I")</f>
        <v>ANALISTA DE PROYECTOS I</v>
      </c>
      <c r="H189">
        <f>IFERROR(__xludf.DUMMYFUNCTION("""COMPUTED_VALUE"""),10.0)</f>
        <v>10</v>
      </c>
      <c r="I189" t="str">
        <f>IFERROR(__xludf.DUMMYFUNCTION("""COMPUTED_VALUE"""),"Jornada Completa")</f>
        <v>Jornada Completa</v>
      </c>
      <c r="J189" t="str">
        <f>IFERROR(__xludf.DUMMYFUNCTION("""COMPUTED_VALUE"""),"A CONTRATA")</f>
        <v>A CONTRATA</v>
      </c>
      <c r="K189" t="str">
        <f>IFERROR(__xludf.DUMMYFUNCTION("""COMPUTED_VALUE"""),"PROFESIONAL")</f>
        <v>PROFESIONAL</v>
      </c>
      <c r="L189" t="str">
        <f>IFERROR(__xludf.DUMMYFUNCTION("""COMPUTED_VALUE"""),"INTERNO")</f>
        <v>INTERNO</v>
      </c>
      <c r="M189">
        <f>IFERROR(__xludf.DUMMYFUNCTION("""COMPUTED_VALUE"""),4.0)</f>
        <v>4</v>
      </c>
      <c r="N189" t="str">
        <f>IFERROR(__xludf.DUMMYFUNCTION("""COMPUTED_VALUE"""),"EXTERNO")</f>
        <v>EXTERNO</v>
      </c>
      <c r="O189">
        <f>IFERROR(__xludf.DUMMYFUNCTION("""COMPUTED_VALUE"""),19.0)</f>
        <v>19</v>
      </c>
      <c r="P189">
        <f>IFERROR(__xludf.DUMMYFUNCTION("""COMPUTED_VALUE"""),1.0)</f>
        <v>1</v>
      </c>
      <c r="Q189">
        <f>IFERROR(__xludf.DUMMYFUNCTION("""COMPUTED_VALUE"""),0.0)</f>
        <v>0</v>
      </c>
      <c r="R189" s="45" t="str">
        <f>IFERROR(__xludf.DUMMYFUNCTION("""COMPUTED_VALUE"""),"SELECCIONADA")</f>
        <v>SELECCIONADA</v>
      </c>
      <c r="S189" s="38">
        <f>IFERROR(__xludf.DUMMYFUNCTION("""COMPUTED_VALUE"""),43435.0)</f>
        <v>43435</v>
      </c>
      <c r="U189" t="str">
        <f>IFERROR(__xludf.DUMMYFUNCTION("""COMPUTED_VALUE"""),"MARIA ORTEGA AYANCAN")</f>
        <v>MARIA ORTEGA AYANCAN</v>
      </c>
      <c r="V189" t="str">
        <f>IFERROR(__xludf.DUMMYFUNCTION("""COMPUTED_VALUE"""),"11715230-8")</f>
        <v>11715230-8</v>
      </c>
      <c r="W189" t="str">
        <f>IFERROR(__xludf.DUMMYFUNCTION("""COMPUTED_VALUE"""),"SI")</f>
        <v>SI</v>
      </c>
      <c r="X189" t="str">
        <f>IFERROR(__xludf.DUMMYFUNCTION("""COMPUTED_VALUE"""),"Orientacion a los Resultados")</f>
        <v>Orientacion a los Resultados</v>
      </c>
      <c r="AA189" s="38">
        <f>IFERROR(__xludf.DUMMYFUNCTION("""COMPUTED_VALUE"""),43397.0)</f>
        <v>43397</v>
      </c>
      <c r="AB189" s="38">
        <f>IFERROR(__xludf.DUMMYFUNCTION("""COMPUTED_VALUE"""),43403.0)</f>
        <v>43403</v>
      </c>
      <c r="AH189" t="str">
        <f>IFERROR(__xludf.DUMMYFUNCTION("""COMPUTED_VALUE"""),"PROCESO DE SELECCIÓN")</f>
        <v>PROCESO DE SELECCIÓN</v>
      </c>
      <c r="AI189" t="str">
        <f>IFERROR(__xludf.DUMMYFUNCTION("""COMPUTED_VALUE"""),"WARTEMBERG ORELLANA MARIA VERONICA")</f>
        <v>WARTEMBERG ORELLANA MARIA VERONICA</v>
      </c>
      <c r="AK189" t="str">
        <f>IFERROR(__xludf.DUMMYFUNCTION("""COMPUTED_VALUE"""),"E")</f>
        <v>E</v>
      </c>
      <c r="AL189">
        <f>IFERROR(__xludf.DUMMYFUNCTION("""COMPUTED_VALUE"""),24.0)</f>
        <v>24</v>
      </c>
      <c r="AM189">
        <f>IFERROR(__xludf.DUMMYFUNCTION("""COMPUTED_VALUE"""),2018.0)</f>
        <v>2018</v>
      </c>
    </row>
    <row r="190">
      <c r="A190">
        <f>IFERROR(__xludf.DUMMYFUNCTION("""COMPUTED_VALUE"""),1.1684269E7)</f>
        <v>11684269</v>
      </c>
      <c r="B190">
        <f>IFERROR(__xludf.DUMMYFUNCTION("""COMPUTED_VALUE"""),93.0)</f>
        <v>93</v>
      </c>
      <c r="C190" t="str">
        <f>IFERROR(__xludf.DUMMYFUNCTION("""COMPUTED_VALUE"""),"IR2018-22")</f>
        <v>IR2018-22</v>
      </c>
      <c r="D190" t="str">
        <f>IFERROR(__xludf.DUMMYFUNCTION("""COMPUTED_VALUE"""),"INGRESAR CENTRO DE COSTO A LA DERECHA")</f>
        <v>INGRESAR CENTRO DE COSTO A LA DERECHA</v>
      </c>
      <c r="E190" t="str">
        <f>IFERROR(__xludf.DUMMYFUNCTION("""COMPUTED_VALUE"""),"ADM.GRAL. FONDO SOLIDARIO CRED")</f>
        <v>ADM.GRAL. FONDO SOLIDARIO CRED</v>
      </c>
      <c r="F190" t="str">
        <f>IFERROR(__xludf.DUMMYFUNCTION("""COMPUTED_VALUE"""),"Jefe(a) de Sección")</f>
        <v>Jefe(a) de Sección</v>
      </c>
      <c r="G190" t="str">
        <f>IFERROR(__xludf.DUMMYFUNCTION("""COMPUTED_VALUE"""),"JEFA DE SECCION ADMINISTRACIÓN INTERNA Y PAGARES")</f>
        <v>JEFA DE SECCION ADMINISTRACIÓN INTERNA Y PAGARES</v>
      </c>
      <c r="H190">
        <f>IFERROR(__xludf.DUMMYFUNCTION("""COMPUTED_VALUE"""),10.0)</f>
        <v>10</v>
      </c>
      <c r="I190" t="str">
        <f>IFERROR(__xludf.DUMMYFUNCTION("""COMPUTED_VALUE"""),"Jornada Completa")</f>
        <v>Jornada Completa</v>
      </c>
      <c r="J190" t="str">
        <f>IFERROR(__xludf.DUMMYFUNCTION("""COMPUTED_VALUE"""),"A CONTRATA")</f>
        <v>A CONTRATA</v>
      </c>
      <c r="K190" t="str">
        <f>IFERROR(__xludf.DUMMYFUNCTION("""COMPUTED_VALUE"""),"PROFESIONAL")</f>
        <v>PROFESIONAL</v>
      </c>
      <c r="L190" t="str">
        <f>IFERROR(__xludf.DUMMYFUNCTION("""COMPUTED_VALUE"""),"INTERNO")</f>
        <v>INTERNO</v>
      </c>
      <c r="M190">
        <f>IFERROR(__xludf.DUMMYFUNCTION("""COMPUTED_VALUE"""),3.0)</f>
        <v>3</v>
      </c>
      <c r="N190" t="str">
        <f>IFERROR(__xludf.DUMMYFUNCTION("""COMPUTED_VALUE"""),"NO")</f>
        <v>NO</v>
      </c>
      <c r="O190">
        <f>IFERROR(__xludf.DUMMYFUNCTION("""COMPUTED_VALUE"""),0.0)</f>
        <v>0</v>
      </c>
      <c r="P190">
        <f>IFERROR(__xludf.DUMMYFUNCTION("""COMPUTED_VALUE"""),1.0)</f>
        <v>1</v>
      </c>
      <c r="Q190">
        <f>IFERROR(__xludf.DUMMYFUNCTION("""COMPUTED_VALUE"""),0.0)</f>
        <v>0</v>
      </c>
      <c r="R190" s="45" t="str">
        <f>IFERROR(__xludf.DUMMYFUNCTION("""COMPUTED_VALUE"""),"SELECCIONADA")</f>
        <v>SELECCIONADA</v>
      </c>
      <c r="S190" s="38">
        <f>IFERROR(__xludf.DUMMYFUNCTION("""COMPUTED_VALUE"""),43434.0)</f>
        <v>43434</v>
      </c>
      <c r="T190" t="str">
        <f>IFERROR(__xludf.DUMMYFUNCTION("""COMPUTED_VALUE"""),"ZENTENO VILLAGRAN MARCIA DEL PILAR")</f>
        <v>ZENTENO VILLAGRAN MARCIA DEL PILAR</v>
      </c>
      <c r="V190" t="str">
        <f>IFERROR(__xludf.DUMMYFUNCTION("""COMPUTED_VALUE"""),"11684269-6")</f>
        <v>11684269-6</v>
      </c>
      <c r="W190" t="str">
        <f>IFERROR(__xludf.DUMMYFUNCTION("""COMPUTED_VALUE"""),"SI")</f>
        <v>SI</v>
      </c>
      <c r="X190" t="str">
        <f>IFERROR(__xludf.DUMMYFUNCTION("""COMPUTED_VALUE"""),"Trabajo en Equipo")</f>
        <v>Trabajo en Equipo</v>
      </c>
      <c r="AA190" s="38">
        <f>IFERROR(__xludf.DUMMYFUNCTION("""COMPUTED_VALUE"""),43377.0)</f>
        <v>43377</v>
      </c>
      <c r="AB190" s="38">
        <f>IFERROR(__xludf.DUMMYFUNCTION("""COMPUTED_VALUE"""),43384.0)</f>
        <v>43384</v>
      </c>
      <c r="AH190" t="str">
        <f>IFERROR(__xludf.DUMMYFUNCTION("""COMPUTED_VALUE"""),"PROCESO DE SELECCIÓN")</f>
        <v>PROCESO DE SELECCIÓN</v>
      </c>
      <c r="AI190" t="str">
        <f>IFERROR(__xludf.DUMMYFUNCTION("""COMPUTED_VALUE"""),"RIQUELME LOPEZ ROBERTO")</f>
        <v>RIQUELME LOPEZ ROBERTO</v>
      </c>
      <c r="AK190" t="str">
        <f>IFERROR(__xludf.DUMMYFUNCTION("""COMPUTED_VALUE"""),"C")</f>
        <v>C</v>
      </c>
      <c r="AL190">
        <f>IFERROR(__xludf.DUMMYFUNCTION("""COMPUTED_VALUE"""),37.0)</f>
        <v>37</v>
      </c>
      <c r="AM190">
        <f>IFERROR(__xludf.DUMMYFUNCTION("""COMPUTED_VALUE"""),2018.0)</f>
        <v>2018</v>
      </c>
    </row>
    <row r="191">
      <c r="A191">
        <f>IFERROR(__xludf.DUMMYFUNCTION("""COMPUTED_VALUE"""),1.703166E7)</f>
        <v>17031660</v>
      </c>
      <c r="B191">
        <f>IFERROR(__xludf.DUMMYFUNCTION("""COMPUTED_VALUE"""),94.0)</f>
        <v>94</v>
      </c>
      <c r="C191" t="str">
        <f>IFERROR(__xludf.DUMMYFUNCTION("""COMPUTED_VALUE"""),"A260")</f>
        <v>A260</v>
      </c>
      <c r="D191" t="str">
        <f>IFERROR(__xludf.DUMMYFUNCTION("""COMPUTED_VALUE"""),"INGRESAR CENTRO DE COSTO A LA DERECHA")</f>
        <v>INGRESAR CENTRO DE COSTO A LA DERECHA</v>
      </c>
      <c r="E191" t="str">
        <f>IFERROR(__xludf.DUMMYFUNCTION("""COMPUTED_VALUE"""),"DPTO. DE BIOLOGIA")</f>
        <v>DPTO. DE BIOLOGIA</v>
      </c>
      <c r="F191" t="str">
        <f>IFERROR(__xludf.DUMMYFUNCTION("""COMPUTED_VALUE"""),"Técnico(a) de Laboratorio")</f>
        <v>Técnico(a) de Laboratorio</v>
      </c>
      <c r="G191" t="str">
        <f>IFERROR(__xludf.DUMMYFUNCTION("""COMPUTED_VALUE"""),"TECNICO DE LABORATORIO")</f>
        <v>TECNICO DE LABORATORIO</v>
      </c>
      <c r="H191">
        <f>IFERROR(__xludf.DUMMYFUNCTION("""COMPUTED_VALUE"""),17.0)</f>
        <v>17</v>
      </c>
      <c r="I191" t="str">
        <f>IFERROR(__xludf.DUMMYFUNCTION("""COMPUTED_VALUE"""),"Jornada Completa")</f>
        <v>Jornada Completa</v>
      </c>
      <c r="J191" t="str">
        <f>IFERROR(__xludf.DUMMYFUNCTION("""COMPUTED_VALUE"""),"A CONTRATA")</f>
        <v>A CONTRATA</v>
      </c>
      <c r="K191" t="str">
        <f>IFERROR(__xludf.DUMMYFUNCTION("""COMPUTED_VALUE"""),"TECNICO")</f>
        <v>TECNICO</v>
      </c>
      <c r="L191" t="str">
        <f>IFERROR(__xludf.DUMMYFUNCTION("""COMPUTED_VALUE"""),"INTERNO")</f>
        <v>INTERNO</v>
      </c>
      <c r="M191">
        <f>IFERROR(__xludf.DUMMYFUNCTION("""COMPUTED_VALUE"""),2.0)</f>
        <v>2</v>
      </c>
      <c r="N191" t="str">
        <f>IFERROR(__xludf.DUMMYFUNCTION("""COMPUTED_VALUE"""),"NO")</f>
        <v>NO</v>
      </c>
      <c r="O191">
        <f>IFERROR(__xludf.DUMMYFUNCTION("""COMPUTED_VALUE"""),0.0)</f>
        <v>0</v>
      </c>
      <c r="P191">
        <f>IFERROR(__xludf.DUMMYFUNCTION("""COMPUTED_VALUE"""),1.0)</f>
        <v>1</v>
      </c>
      <c r="Q191">
        <f>IFERROR(__xludf.DUMMYFUNCTION("""COMPUTED_VALUE"""),0.0)</f>
        <v>0</v>
      </c>
      <c r="R191" s="45" t="str">
        <f>IFERROR(__xludf.DUMMYFUNCTION("""COMPUTED_VALUE"""),"SELECCIONADO")</f>
        <v>SELECCIONADO</v>
      </c>
      <c r="S191" s="38">
        <f>IFERROR(__xludf.DUMMYFUNCTION("""COMPUTED_VALUE"""),43435.0)</f>
        <v>43435</v>
      </c>
      <c r="T191" t="str">
        <f>IFERROR(__xludf.DUMMYFUNCTION("""COMPUTED_VALUE"""),"DEL CANTO ORTEGA SEBASTIAN FELIPE")</f>
        <v>DEL CANTO ORTEGA SEBASTIAN FELIPE</v>
      </c>
      <c r="V191" t="str">
        <f>IFERROR(__xludf.DUMMYFUNCTION("""COMPUTED_VALUE"""),"17031660-6")</f>
        <v>17031660-6</v>
      </c>
      <c r="W191" t="str">
        <f>IFERROR(__xludf.DUMMYFUNCTION("""COMPUTED_VALUE"""),"SI")</f>
        <v>SI</v>
      </c>
      <c r="X191" t="str">
        <f>IFERROR(__xludf.DUMMYFUNCTION("""COMPUTED_VALUE"""),"Iniciativa")</f>
        <v>Iniciativa</v>
      </c>
      <c r="AA191" s="38">
        <f>IFERROR(__xludf.DUMMYFUNCTION("""COMPUTED_VALUE"""),43404.0)</f>
        <v>43404</v>
      </c>
      <c r="AB191" s="38">
        <f>IFERROR(__xludf.DUMMYFUNCTION("""COMPUTED_VALUE"""),43413.0)</f>
        <v>43413</v>
      </c>
      <c r="AH191" t="str">
        <f>IFERROR(__xludf.DUMMYFUNCTION("""COMPUTED_VALUE"""),"PROCESO DE SELECCIÓN")</f>
        <v>PROCESO DE SELECCIÓN</v>
      </c>
      <c r="AI191" t="str">
        <f>IFERROR(__xludf.DUMMYFUNCTION("""COMPUTED_VALUE"""),"MEZA VALDERRAMA CAROL")</f>
        <v>MEZA VALDERRAMA CAROL</v>
      </c>
      <c r="AK191" t="str">
        <f>IFERROR(__xludf.DUMMYFUNCTION("""COMPUTED_VALUE"""),"C")</f>
        <v>C</v>
      </c>
      <c r="AL191">
        <f>IFERROR(__xludf.DUMMYFUNCTION("""COMPUTED_VALUE"""),16.0)</f>
        <v>16</v>
      </c>
      <c r="AM191">
        <f>IFERROR(__xludf.DUMMYFUNCTION("""COMPUTED_VALUE"""),2018.0)</f>
        <v>2018</v>
      </c>
    </row>
    <row r="192">
      <c r="A192">
        <f>IFERROR(__xludf.DUMMYFUNCTION("""COMPUTED_VALUE"""),1.5342346E7)</f>
        <v>15342346</v>
      </c>
      <c r="B192">
        <f>IFERROR(__xludf.DUMMYFUNCTION("""COMPUTED_VALUE"""),95.0)</f>
        <v>95</v>
      </c>
      <c r="C192" t="str">
        <f>IFERROR(__xludf.DUMMYFUNCTION("""COMPUTED_VALUE"""),"A237")</f>
        <v>A237</v>
      </c>
      <c r="D192" t="str">
        <f>IFERROR(__xludf.DUMMYFUNCTION("""COMPUTED_VALUE"""),"INGRESAR CENTRO DE COSTO A LA DERECHA")</f>
        <v>INGRESAR CENTRO DE COSTO A LA DERECHA</v>
      </c>
      <c r="E192" t="str">
        <f>IFERROR(__xludf.DUMMYFUNCTION("""COMPUTED_VALUE"""),"UNIDAD DE PROMOCION DE LA SALUD")</f>
        <v>UNIDAD DE PROMOCION DE LA SALUD</v>
      </c>
      <c r="F192" t="str">
        <f>IFERROR(__xludf.DUMMYFUNCTION("""COMPUTED_VALUE"""),"Psicólogo(a)")</f>
        <v>Psicólogo(a)</v>
      </c>
      <c r="G192" t="str">
        <f>IFERROR(__xludf.DUMMYFUNCTION("""COMPUTED_VALUE"""),"PSICOLOGA")</f>
        <v>PSICOLOGA</v>
      </c>
      <c r="H192">
        <f>IFERROR(__xludf.DUMMYFUNCTION("""COMPUTED_VALUE"""),13.0)</f>
        <v>13</v>
      </c>
      <c r="I192" t="str">
        <f>IFERROR(__xludf.DUMMYFUNCTION("""COMPUTED_VALUE"""),"Jornada Completa")</f>
        <v>Jornada Completa</v>
      </c>
      <c r="J192" t="str">
        <f>IFERROR(__xludf.DUMMYFUNCTION("""COMPUTED_VALUE"""),"A CONTRATA")</f>
        <v>A CONTRATA</v>
      </c>
      <c r="K192" t="str">
        <f>IFERROR(__xludf.DUMMYFUNCTION("""COMPUTED_VALUE"""),"PROFESIONAL")</f>
        <v>PROFESIONAL</v>
      </c>
      <c r="L192" t="str">
        <f>IFERROR(__xludf.DUMMYFUNCTION("""COMPUTED_VALUE"""),"NO")</f>
        <v>NO</v>
      </c>
      <c r="M192">
        <f>IFERROR(__xludf.DUMMYFUNCTION("""COMPUTED_VALUE"""),0.0)</f>
        <v>0</v>
      </c>
      <c r="N192" t="str">
        <f>IFERROR(__xludf.DUMMYFUNCTION("""COMPUTED_VALUE"""),"EXTERNO")</f>
        <v>EXTERNO</v>
      </c>
      <c r="O192">
        <f>IFERROR(__xludf.DUMMYFUNCTION("""COMPUTED_VALUE"""),30.0)</f>
        <v>30</v>
      </c>
      <c r="P192">
        <f>IFERROR(__xludf.DUMMYFUNCTION("""COMPUTED_VALUE"""),1.0)</f>
        <v>1</v>
      </c>
      <c r="Q192">
        <f>IFERROR(__xludf.DUMMYFUNCTION("""COMPUTED_VALUE"""),0.0)</f>
        <v>0</v>
      </c>
      <c r="R192" s="45" t="str">
        <f>IFERROR(__xludf.DUMMYFUNCTION("""COMPUTED_VALUE"""),"SELECCIONADA")</f>
        <v>SELECCIONADA</v>
      </c>
      <c r="S192" s="38">
        <f>IFERROR(__xludf.DUMMYFUNCTION("""COMPUTED_VALUE"""),43440.0)</f>
        <v>43440</v>
      </c>
      <c r="U192" t="str">
        <f>IFERROR(__xludf.DUMMYFUNCTION("""COMPUTED_VALUE"""),"MARIA VEAS GUERRERO")</f>
        <v>MARIA VEAS GUERRERO</v>
      </c>
      <c r="V192" t="str">
        <f>IFERROR(__xludf.DUMMYFUNCTION("""COMPUTED_VALUE"""),"15342346-6")</f>
        <v>15342346-6</v>
      </c>
      <c r="W192" t="str">
        <f>IFERROR(__xludf.DUMMYFUNCTION("""COMPUTED_VALUE"""),"SI")</f>
        <v>SI</v>
      </c>
      <c r="X192" t="str">
        <f>IFERROR(__xludf.DUMMYFUNCTION("""COMPUTED_VALUE"""),"Capacidad de Planificacion y Organizacion")</f>
        <v>Capacidad de Planificacion y Organizacion</v>
      </c>
      <c r="AA192" s="38">
        <f>IFERROR(__xludf.DUMMYFUNCTION("""COMPUTED_VALUE"""),43378.0)</f>
        <v>43378</v>
      </c>
      <c r="AB192" s="38">
        <f>IFERROR(__xludf.DUMMYFUNCTION("""COMPUTED_VALUE"""),43385.0)</f>
        <v>43385</v>
      </c>
      <c r="AH192" t="str">
        <f>IFERROR(__xludf.DUMMYFUNCTION("""COMPUTED_VALUE"""),"PROCESO DE SELECCIÓN")</f>
        <v>PROCESO DE SELECCIÓN</v>
      </c>
      <c r="AI192" t="str">
        <f>IFERROR(__xludf.DUMMYFUNCTION("""COMPUTED_VALUE""")," - ")</f>
        <v> - </v>
      </c>
      <c r="AK192" t="str">
        <f>IFERROR(__xludf.DUMMYFUNCTION("""COMPUTED_VALUE"""),"E")</f>
        <v>E</v>
      </c>
      <c r="AL192">
        <f>IFERROR(__xludf.DUMMYFUNCTION("""COMPUTED_VALUE"""),40.0)</f>
        <v>40</v>
      </c>
      <c r="AM192">
        <f>IFERROR(__xludf.DUMMYFUNCTION("""COMPUTED_VALUE"""),2018.0)</f>
        <v>2018</v>
      </c>
    </row>
    <row r="193">
      <c r="A193">
        <f>IFERROR(__xludf.DUMMYFUNCTION("""COMPUTED_VALUE"""),1.5970818E7)</f>
        <v>15970818</v>
      </c>
      <c r="B193">
        <f>IFERROR(__xludf.DUMMYFUNCTION("""COMPUTED_VALUE"""),96.0)</f>
        <v>96</v>
      </c>
      <c r="C193" t="str">
        <f>IFERROR(__xludf.DUMMYFUNCTION("""COMPUTED_VALUE"""),"A228")</f>
        <v>A228</v>
      </c>
      <c r="D193" t="str">
        <f>IFERROR(__xludf.DUMMYFUNCTION("""COMPUTED_VALUE"""),"INGRESAR CENTRO DE COSTO A LA DERECHA")</f>
        <v>INGRESAR CENTRO DE COSTO A LA DERECHA</v>
      </c>
      <c r="E193" t="str">
        <f>IFERROR(__xludf.DUMMYFUNCTION("""COMPUTED_VALUE"""),"DPTO. DE INGENIERIA EN MINAS")</f>
        <v>DPTO. DE INGENIERIA EN MINAS</v>
      </c>
      <c r="F193" t="str">
        <f>IFERROR(__xludf.DUMMYFUNCTION("""COMPUTED_VALUE"""),"Secretario(a) de Apoyo Docente")</f>
        <v>Secretario(a) de Apoyo Docente</v>
      </c>
      <c r="G193" t="str">
        <f>IFERROR(__xludf.DUMMYFUNCTION("""COMPUTED_VALUE"""),"SECRETARIA DE APOYO DOCENTE")</f>
        <v>SECRETARIA DE APOYO DOCENTE</v>
      </c>
      <c r="H193">
        <f>IFERROR(__xludf.DUMMYFUNCTION("""COMPUTED_VALUE"""),17.0)</f>
        <v>17</v>
      </c>
      <c r="I193" t="str">
        <f>IFERROR(__xludf.DUMMYFUNCTION("""COMPUTED_VALUE"""),"Jornada Completa")</f>
        <v>Jornada Completa</v>
      </c>
      <c r="J193" t="str">
        <f>IFERROR(__xludf.DUMMYFUNCTION("""COMPUTED_VALUE"""),"A CONTRATA")</f>
        <v>A CONTRATA</v>
      </c>
      <c r="K193" t="str">
        <f>IFERROR(__xludf.DUMMYFUNCTION("""COMPUTED_VALUE"""),"ADMINISTRATIVO")</f>
        <v>ADMINISTRATIVO</v>
      </c>
      <c r="L193" t="str">
        <f>IFERROR(__xludf.DUMMYFUNCTION("""COMPUTED_VALUE"""),"INTERNO")</f>
        <v>INTERNO</v>
      </c>
      <c r="M193">
        <f>IFERROR(__xludf.DUMMYFUNCTION("""COMPUTED_VALUE"""),1.0)</f>
        <v>1</v>
      </c>
      <c r="N193" t="str">
        <f>IFERROR(__xludf.DUMMYFUNCTION("""COMPUTED_VALUE"""),"EXTERNO")</f>
        <v>EXTERNO</v>
      </c>
      <c r="O193">
        <f>IFERROR(__xludf.DUMMYFUNCTION("""COMPUTED_VALUE"""),25.0)</f>
        <v>25</v>
      </c>
      <c r="P193">
        <f>IFERROR(__xludf.DUMMYFUNCTION("""COMPUTED_VALUE"""),3.0)</f>
        <v>3</v>
      </c>
      <c r="Q193">
        <f>IFERROR(__xludf.DUMMYFUNCTION("""COMPUTED_VALUE"""),1.0)</f>
        <v>1</v>
      </c>
      <c r="R193" s="45" t="str">
        <f>IFERROR(__xludf.DUMMYFUNCTION("""COMPUTED_VALUE"""),"SELECCIONADA")</f>
        <v>SELECCIONADA</v>
      </c>
      <c r="S193" s="38">
        <f>IFERROR(__xludf.DUMMYFUNCTION("""COMPUTED_VALUE"""),43451.0)</f>
        <v>43451</v>
      </c>
      <c r="U193" t="str">
        <f>IFERROR(__xludf.DUMMYFUNCTION("""COMPUTED_VALUE"""),"NATALIA ROJO MORALES")</f>
        <v>NATALIA ROJO MORALES</v>
      </c>
      <c r="V193" t="str">
        <f>IFERROR(__xludf.DUMMYFUNCTION("""COMPUTED_VALUE"""),"15970818-7")</f>
        <v>15970818-7</v>
      </c>
      <c r="W193" t="str">
        <f>IFERROR(__xludf.DUMMYFUNCTION("""COMPUTED_VALUE"""),"SI")</f>
        <v>SI</v>
      </c>
      <c r="X193" t="str">
        <f>IFERROR(__xludf.DUMMYFUNCTION("""COMPUTED_VALUE"""),"Franqueza- Confiabilidad- Integridad")</f>
        <v>Franqueza- Confiabilidad- Integridad</v>
      </c>
      <c r="AA193" s="38">
        <f>IFERROR(__xludf.DUMMYFUNCTION("""COMPUTED_VALUE"""),43383.0)</f>
        <v>43383</v>
      </c>
      <c r="AB193" s="38">
        <f>IFERROR(__xludf.DUMMYFUNCTION("""COMPUTED_VALUE"""),43390.0)</f>
        <v>43390</v>
      </c>
      <c r="AH193" t="str">
        <f>IFERROR(__xludf.DUMMYFUNCTION("""COMPUTED_VALUE"""),"PROCESO DE SELECCIÓN")</f>
        <v>PROCESO DE SELECCIÓN</v>
      </c>
      <c r="AI193" t="str">
        <f>IFERROR(__xludf.DUMMYFUNCTION("""COMPUTED_VALUE"""),"AGUILAR MELLA GLADYS")</f>
        <v>AGUILAR MELLA GLADYS</v>
      </c>
      <c r="AK193" t="str">
        <f>IFERROR(__xludf.DUMMYFUNCTION("""COMPUTED_VALUE"""),"C")</f>
        <v>C</v>
      </c>
      <c r="AL193">
        <f>IFERROR(__xludf.DUMMYFUNCTION("""COMPUTED_VALUE"""),44.0)</f>
        <v>44</v>
      </c>
      <c r="AM193">
        <f>IFERROR(__xludf.DUMMYFUNCTION("""COMPUTED_VALUE"""),2018.0)</f>
        <v>2018</v>
      </c>
    </row>
    <row r="194">
      <c r="A194">
        <f>IFERROR(__xludf.DUMMYFUNCTION("""COMPUTED_VALUE"""),1.7576116E7)</f>
        <v>17576116</v>
      </c>
      <c r="B194">
        <f>IFERROR(__xludf.DUMMYFUNCTION("""COMPUTED_VALUE"""),97.0)</f>
        <v>97</v>
      </c>
      <c r="C194" t="str">
        <f>IFERROR(__xludf.DUMMYFUNCTION("""COMPUTED_VALUE"""),"A262")</f>
        <v>A262</v>
      </c>
      <c r="D194" t="str">
        <f>IFERROR(__xludf.DUMMYFUNCTION("""COMPUTED_VALUE"""),"INGRESAR CENTRO DE COSTO A LA DERECHA")</f>
        <v>INGRESAR CENTRO DE COSTO A LA DERECHA</v>
      </c>
      <c r="E194" t="str">
        <f>IFERROR(__xludf.DUMMYFUNCTION("""COMPUTED_VALUE"""),"UNIDAD DE ADM. SERV. ALIMENTARIOS")</f>
        <v>UNIDAD DE ADM. SERV. ALIMENTARIOS</v>
      </c>
      <c r="F194" t="str">
        <f>IFERROR(__xludf.DUMMYFUNCTION("""COMPUTED_VALUE"""),"Maestro(a) de Cocina")</f>
        <v>Maestro(a) de Cocina</v>
      </c>
      <c r="G194" t="str">
        <f>IFERROR(__xludf.DUMMYFUNCTION("""COMPUTED_VALUE"""),"MAESTRO DE COCINA")</f>
        <v>MAESTRO DE COCINA</v>
      </c>
      <c r="H194">
        <f>IFERROR(__xludf.DUMMYFUNCTION("""COMPUTED_VALUE"""),17.0)</f>
        <v>17</v>
      </c>
      <c r="I194" t="str">
        <f>IFERROR(__xludf.DUMMYFUNCTION("""COMPUTED_VALUE"""),"Jornada Completa")</f>
        <v>Jornada Completa</v>
      </c>
      <c r="J194" t="str">
        <f>IFERROR(__xludf.DUMMYFUNCTION("""COMPUTED_VALUE"""),"A CONTRATA")</f>
        <v>A CONTRATA</v>
      </c>
      <c r="K194" t="str">
        <f>IFERROR(__xludf.DUMMYFUNCTION("""COMPUTED_VALUE"""),"TECNICO")</f>
        <v>TECNICO</v>
      </c>
      <c r="L194" t="str">
        <f>IFERROR(__xludf.DUMMYFUNCTION("""COMPUTED_VALUE"""),"INTERNO")</f>
        <v>INTERNO</v>
      </c>
      <c r="M194">
        <f>IFERROR(__xludf.DUMMYFUNCTION("""COMPUTED_VALUE"""),0.0)</f>
        <v>0</v>
      </c>
      <c r="N194" t="str">
        <f>IFERROR(__xludf.DUMMYFUNCTION("""COMPUTED_VALUE"""),"EXTERNO")</f>
        <v>EXTERNO</v>
      </c>
      <c r="O194">
        <f>IFERROR(__xludf.DUMMYFUNCTION("""COMPUTED_VALUE"""),4.0)</f>
        <v>4</v>
      </c>
      <c r="P194">
        <f>IFERROR(__xludf.DUMMYFUNCTION("""COMPUTED_VALUE"""),1.0)</f>
        <v>1</v>
      </c>
      <c r="Q194">
        <f>IFERROR(__xludf.DUMMYFUNCTION("""COMPUTED_VALUE"""),0.0)</f>
        <v>0</v>
      </c>
      <c r="R194" s="45" t="str">
        <f>IFERROR(__xludf.DUMMYFUNCTION("""COMPUTED_VALUE"""),"SELECCIONADO")</f>
        <v>SELECCIONADO</v>
      </c>
      <c r="S194" s="38">
        <f>IFERROR(__xludf.DUMMYFUNCTION("""COMPUTED_VALUE"""),43472.0)</f>
        <v>43472</v>
      </c>
      <c r="U194" t="str">
        <f>IFERROR(__xludf.DUMMYFUNCTION("""COMPUTED_VALUE"""),"JAIME GOMEZ CATALAN")</f>
        <v>JAIME GOMEZ CATALAN</v>
      </c>
      <c r="V194" t="str">
        <f>IFERROR(__xludf.DUMMYFUNCTION("""COMPUTED_VALUE"""),"17576116-0")</f>
        <v>17576116-0</v>
      </c>
      <c r="W194" t="str">
        <f>IFERROR(__xludf.DUMMYFUNCTION("""COMPUTED_VALUE"""),"NO")</f>
        <v>NO</v>
      </c>
      <c r="AA194" s="38">
        <f>IFERROR(__xludf.DUMMYFUNCTION("""COMPUTED_VALUE"""),43448.0)</f>
        <v>43448</v>
      </c>
      <c r="AB194" s="38">
        <f>IFERROR(__xludf.DUMMYFUNCTION("""COMPUTED_VALUE"""),43452.0)</f>
        <v>43452</v>
      </c>
      <c r="AH194" t="str">
        <f>IFERROR(__xludf.DUMMYFUNCTION("""COMPUTED_VALUE"""),"PROCESO DE SELECCIÓN")</f>
        <v>PROCESO DE SELECCIÓN</v>
      </c>
      <c r="AI194" t="str">
        <f>IFERROR(__xludf.DUMMYFUNCTION("""COMPUTED_VALUE"""),"ROJAS SOTO FERNANDO")</f>
        <v>ROJAS SOTO FERNANDO</v>
      </c>
      <c r="AK194" t="str">
        <f>IFERROR(__xludf.DUMMYFUNCTION("""COMPUTED_VALUE"""),"E")</f>
        <v>E</v>
      </c>
      <c r="AL194">
        <f>IFERROR(__xludf.DUMMYFUNCTION("""COMPUTED_VALUE"""),15.0)</f>
        <v>15</v>
      </c>
      <c r="AM194">
        <f>IFERROR(__xludf.DUMMYFUNCTION("""COMPUTED_VALUE"""),2018.0)</f>
        <v>2018</v>
      </c>
    </row>
    <row r="195">
      <c r="A195">
        <f>IFERROR(__xludf.DUMMYFUNCTION("""COMPUTED_VALUE"""),1.4447359E7)</f>
        <v>14447359</v>
      </c>
      <c r="B195">
        <f>IFERROR(__xludf.DUMMYFUNCTION("""COMPUTED_VALUE"""),98.0)</f>
        <v>98</v>
      </c>
      <c r="C195" t="str">
        <f>IFERROR(__xludf.DUMMYFUNCTION("""COMPUTED_VALUE"""),"A248")</f>
        <v>A248</v>
      </c>
      <c r="D195" t="str">
        <f>IFERROR(__xludf.DUMMYFUNCTION("""COMPUTED_VALUE"""),"INGRESAR CENTRO DE COSTO A LA DERECHA")</f>
        <v>INGRESAR CENTRO DE COSTO A LA DERECHA</v>
      </c>
      <c r="E195" t="str">
        <f>IFERROR(__xludf.DUMMYFUNCTION("""COMPUTED_VALUE"""),"DPTO. DE BENEFICIOS ESTUDIANTILE")</f>
        <v>DPTO. DE BENEFICIOS ESTUDIANTILE</v>
      </c>
      <c r="F195" t="str">
        <f>IFERROR(__xludf.DUMMYFUNCTION("""COMPUTED_VALUE"""),"Asistente Social Estudiantil")</f>
        <v>Asistente Social Estudiantil</v>
      </c>
      <c r="G195" t="str">
        <f>IFERROR(__xludf.DUMMYFUNCTION("""COMPUTED_VALUE"""),"ASISTENTE SOCIAL ESTUDIANTIL")</f>
        <v>ASISTENTE SOCIAL ESTUDIANTIL</v>
      </c>
      <c r="H195">
        <f>IFERROR(__xludf.DUMMYFUNCTION("""COMPUTED_VALUE"""),13.0)</f>
        <v>13</v>
      </c>
      <c r="I195" t="str">
        <f>IFERROR(__xludf.DUMMYFUNCTION("""COMPUTED_VALUE"""),"Jornada Completa")</f>
        <v>Jornada Completa</v>
      </c>
      <c r="J195" t="str">
        <f>IFERROR(__xludf.DUMMYFUNCTION("""COMPUTED_VALUE"""),"A CONTRATA")</f>
        <v>A CONTRATA</v>
      </c>
      <c r="K195" t="str">
        <f>IFERROR(__xludf.DUMMYFUNCTION("""COMPUTED_VALUE"""),"PROFESIONAL")</f>
        <v>PROFESIONAL</v>
      </c>
      <c r="L195" t="str">
        <f>IFERROR(__xludf.DUMMYFUNCTION("""COMPUTED_VALUE"""),"INTERNO")</f>
        <v>INTERNO</v>
      </c>
      <c r="M195">
        <f>IFERROR(__xludf.DUMMYFUNCTION("""COMPUTED_VALUE"""),4.0)</f>
        <v>4</v>
      </c>
      <c r="N195" t="str">
        <f>IFERROR(__xludf.DUMMYFUNCTION("""COMPUTED_VALUE"""),"NO")</f>
        <v>NO</v>
      </c>
      <c r="O195">
        <f>IFERROR(__xludf.DUMMYFUNCTION("""COMPUTED_VALUE"""),0.0)</f>
        <v>0</v>
      </c>
      <c r="P195">
        <f>IFERROR(__xludf.DUMMYFUNCTION("""COMPUTED_VALUE"""),2.0)</f>
        <v>2</v>
      </c>
      <c r="Q195">
        <f>IFERROR(__xludf.DUMMYFUNCTION("""COMPUTED_VALUE"""),0.0)</f>
        <v>0</v>
      </c>
      <c r="R195" s="45" t="str">
        <f>IFERROR(__xludf.DUMMYFUNCTION("""COMPUTED_VALUE"""),"SELECCIONADA")</f>
        <v>SELECCIONADA</v>
      </c>
      <c r="S195" s="38">
        <f>IFERROR(__xludf.DUMMYFUNCTION("""COMPUTED_VALUE"""),43467.0)</f>
        <v>43467</v>
      </c>
      <c r="T195" t="str">
        <f>IFERROR(__xludf.DUMMYFUNCTION("""COMPUTED_VALUE"""),"TORO NUNEZ MAGDALENA DE LOURDES")</f>
        <v>TORO NUNEZ MAGDALENA DE LOURDES</v>
      </c>
      <c r="V195" t="str">
        <f>IFERROR(__xludf.DUMMYFUNCTION("""COMPUTED_VALUE"""),"14447359-0")</f>
        <v>14447359-0</v>
      </c>
      <c r="W195" t="str">
        <f>IFERROR(__xludf.DUMMYFUNCTION("""COMPUTED_VALUE"""),"NO")</f>
        <v>NO</v>
      </c>
      <c r="AA195" s="38">
        <f>IFERROR(__xludf.DUMMYFUNCTION("""COMPUTED_VALUE"""),43383.0)</f>
        <v>43383</v>
      </c>
      <c r="AB195" s="38">
        <f>IFERROR(__xludf.DUMMYFUNCTION("""COMPUTED_VALUE"""),43390.0)</f>
        <v>43390</v>
      </c>
      <c r="AH195" t="str">
        <f>IFERROR(__xludf.DUMMYFUNCTION("""COMPUTED_VALUE"""),"PROCESO DE SELECCIÓN")</f>
        <v>PROCESO DE SELECCIÓN</v>
      </c>
      <c r="AI195" t="str">
        <f>IFERROR(__xludf.DUMMYFUNCTION("""COMPUTED_VALUE"""),"HERNANDEZ BANNOUT PAULA")</f>
        <v>HERNANDEZ BANNOUT PAULA</v>
      </c>
      <c r="AK195" t="str">
        <f>IFERROR(__xludf.DUMMYFUNCTION("""COMPUTED_VALUE"""),"C")</f>
        <v>C</v>
      </c>
      <c r="AL195">
        <f>IFERROR(__xludf.DUMMYFUNCTION("""COMPUTED_VALUE"""),56.0)</f>
        <v>56</v>
      </c>
      <c r="AM195">
        <f>IFERROR(__xludf.DUMMYFUNCTION("""COMPUTED_VALUE"""),2018.0)</f>
        <v>2018</v>
      </c>
    </row>
    <row r="196">
      <c r="A196">
        <f>IFERROR(__xludf.DUMMYFUNCTION("""COMPUTED_VALUE"""),8404597.0)</f>
        <v>8404597</v>
      </c>
      <c r="B196">
        <f>IFERROR(__xludf.DUMMYFUNCTION("""COMPUTED_VALUE"""),99.0)</f>
        <v>99</v>
      </c>
      <c r="C196" t="str">
        <f>IFERROR(__xludf.DUMMYFUNCTION("""COMPUTED_VALUE"""),"A238")</f>
        <v>A238</v>
      </c>
      <c r="D196" t="str">
        <f>IFERROR(__xludf.DUMMYFUNCTION("""COMPUTED_VALUE"""),"INGRESAR CENTRO DE COSTO A LA DERECHA")</f>
        <v>INGRESAR CENTRO DE COSTO A LA DERECHA</v>
      </c>
      <c r="E196" t="str">
        <f>IFERROR(__xludf.DUMMYFUNCTION("""COMPUTED_VALUE"""),"UNIDAD DE PROMOCION DE LA SALUD")</f>
        <v>UNIDAD DE PROMOCION DE LA SALUD</v>
      </c>
      <c r="F196" t="str">
        <f>IFERROR(__xludf.DUMMYFUNCTION("""COMPUTED_VALUE"""),"Psicólogo(a)")</f>
        <v>Psicólogo(a)</v>
      </c>
      <c r="G196" t="str">
        <f>IFERROR(__xludf.DUMMYFUNCTION("""COMPUTED_VALUE"""),"PSICOLOGA")</f>
        <v>PSICOLOGA</v>
      </c>
      <c r="H196">
        <f>IFERROR(__xludf.DUMMYFUNCTION("""COMPUTED_VALUE"""),13.0)</f>
        <v>13</v>
      </c>
      <c r="I196" t="str">
        <f>IFERROR(__xludf.DUMMYFUNCTION("""COMPUTED_VALUE"""),"Jornada Completa")</f>
        <v>Jornada Completa</v>
      </c>
      <c r="J196" t="str">
        <f>IFERROR(__xludf.DUMMYFUNCTION("""COMPUTED_VALUE"""),"A CONTRATA")</f>
        <v>A CONTRATA</v>
      </c>
      <c r="K196" t="str">
        <f>IFERROR(__xludf.DUMMYFUNCTION("""COMPUTED_VALUE"""),"PROFESIONAL")</f>
        <v>PROFESIONAL</v>
      </c>
      <c r="L196" t="str">
        <f>IFERROR(__xludf.DUMMYFUNCTION("""COMPUTED_VALUE"""),"INTERNO")</f>
        <v>INTERNO</v>
      </c>
      <c r="M196">
        <f>IFERROR(__xludf.DUMMYFUNCTION("""COMPUTED_VALUE"""),1.0)</f>
        <v>1</v>
      </c>
      <c r="N196" t="str">
        <f>IFERROR(__xludf.DUMMYFUNCTION("""COMPUTED_VALUE"""),"NO")</f>
        <v>NO</v>
      </c>
      <c r="O196">
        <f>IFERROR(__xludf.DUMMYFUNCTION("""COMPUTED_VALUE"""),0.0)</f>
        <v>0</v>
      </c>
      <c r="P196">
        <f>IFERROR(__xludf.DUMMYFUNCTION("""COMPUTED_VALUE"""),1.0)</f>
        <v>1</v>
      </c>
      <c r="Q196">
        <f>IFERROR(__xludf.DUMMYFUNCTION("""COMPUTED_VALUE"""),0.0)</f>
        <v>0</v>
      </c>
      <c r="R196" s="45" t="str">
        <f>IFERROR(__xludf.DUMMYFUNCTION("""COMPUTED_VALUE"""),"SELECCIONADA")</f>
        <v>SELECCIONADA</v>
      </c>
      <c r="S196" s="38">
        <f>IFERROR(__xludf.DUMMYFUNCTION("""COMPUTED_VALUE"""),43475.0)</f>
        <v>43475</v>
      </c>
      <c r="T196" t="str">
        <f>IFERROR(__xludf.DUMMYFUNCTION("""COMPUTED_VALUE"""),"GALLERO PARDO PATRICIA REGINA")</f>
        <v>GALLERO PARDO PATRICIA REGINA</v>
      </c>
      <c r="V196" t="str">
        <f>IFERROR(__xludf.DUMMYFUNCTION("""COMPUTED_VALUE"""),"8404597-7")</f>
        <v>8404597-7</v>
      </c>
      <c r="W196" t="str">
        <f>IFERROR(__xludf.DUMMYFUNCTION("""COMPUTED_VALUE"""),"NO")</f>
        <v>NO</v>
      </c>
      <c r="AA196" s="38">
        <f>IFERROR(__xludf.DUMMYFUNCTION("""COMPUTED_VALUE"""),43430.0)</f>
        <v>43430</v>
      </c>
      <c r="AB196" s="38">
        <f>IFERROR(__xludf.DUMMYFUNCTION("""COMPUTED_VALUE"""),43437.0)</f>
        <v>43437</v>
      </c>
      <c r="AH196" t="str">
        <f>IFERROR(__xludf.DUMMYFUNCTION("""COMPUTED_VALUE"""),"PROCESO DE SELECCIÓN")</f>
        <v>PROCESO DE SELECCIÓN</v>
      </c>
      <c r="AI196" t="str">
        <f>IFERROR(__xludf.DUMMYFUNCTION("""COMPUTED_VALUE""")," COVARRUBIAS KUHNE WALTER")</f>
        <v> COVARRUBIAS KUHNE WALTER</v>
      </c>
      <c r="AK196" t="str">
        <f>IFERROR(__xludf.DUMMYFUNCTION("""COMPUTED_VALUE"""),"C")</f>
        <v>C</v>
      </c>
      <c r="AL196">
        <f>IFERROR(__xludf.DUMMYFUNCTION("""COMPUTED_VALUE"""),29.0)</f>
        <v>29</v>
      </c>
      <c r="AM196">
        <f>IFERROR(__xludf.DUMMYFUNCTION("""COMPUTED_VALUE"""),2018.0)</f>
        <v>2018</v>
      </c>
    </row>
    <row r="197">
      <c r="A197">
        <f>IFERROR(__xludf.DUMMYFUNCTION("""COMPUTED_VALUE"""),9829292.0)</f>
        <v>9829292</v>
      </c>
      <c r="B197">
        <f>IFERROR(__xludf.DUMMYFUNCTION("""COMPUTED_VALUE"""),100.0)</f>
        <v>100</v>
      </c>
      <c r="D197" t="str">
        <f>IFERROR(__xludf.DUMMYFUNCTION("""COMPUTED_VALUE"""),"INGRESAR CENTRO DE COSTO A LA DERECHA")</f>
        <v>INGRESAR CENTRO DE COSTO A LA DERECHA</v>
      </c>
      <c r="E197" t="str">
        <f>IFERROR(__xludf.DUMMYFUNCTION("""COMPUTED_VALUE"""),"FACULTAD TECNOLOGICA")</f>
        <v>FACULTAD TECNOLOGICA</v>
      </c>
      <c r="F197" t="str">
        <f>IFERROR(__xludf.DUMMYFUNCTION("""COMPUTED_VALUE"""),"Jefe(a) de Finanzas")</f>
        <v>Jefe(a) de Finanzas</v>
      </c>
      <c r="G197" t="str">
        <f>IFERROR(__xludf.DUMMYFUNCTION("""COMPUTED_VALUE"""),"JEFE DE FINANZAS")</f>
        <v>JEFE DE FINANZAS</v>
      </c>
      <c r="H197">
        <f>IFERROR(__xludf.DUMMYFUNCTION("""COMPUTED_VALUE"""),10.0)</f>
        <v>10</v>
      </c>
      <c r="I197" t="str">
        <f>IFERROR(__xludf.DUMMYFUNCTION("""COMPUTED_VALUE"""),"Jornada Completa")</f>
        <v>Jornada Completa</v>
      </c>
      <c r="J197" t="str">
        <f>IFERROR(__xludf.DUMMYFUNCTION("""COMPUTED_VALUE"""),"A CONTRATA")</f>
        <v>A CONTRATA</v>
      </c>
      <c r="K197" t="str">
        <f>IFERROR(__xludf.DUMMYFUNCTION("""COMPUTED_VALUE"""),"PROFESIONAL")</f>
        <v>PROFESIONAL</v>
      </c>
      <c r="L197" t="str">
        <f>IFERROR(__xludf.DUMMYFUNCTION("""COMPUTED_VALUE"""),"INTERNO")</f>
        <v>INTERNO</v>
      </c>
      <c r="M197">
        <f>IFERROR(__xludf.DUMMYFUNCTION("""COMPUTED_VALUE"""),5.0)</f>
        <v>5</v>
      </c>
      <c r="N197" t="str">
        <f>IFERROR(__xludf.DUMMYFUNCTION("""COMPUTED_VALUE"""),"NO")</f>
        <v>NO</v>
      </c>
      <c r="O197">
        <f>IFERROR(__xludf.DUMMYFUNCTION("""COMPUTED_VALUE"""),0.0)</f>
        <v>0</v>
      </c>
      <c r="P197">
        <f>IFERROR(__xludf.DUMMYFUNCTION("""COMPUTED_VALUE"""),3.0)</f>
        <v>3</v>
      </c>
      <c r="Q197">
        <f>IFERROR(__xludf.DUMMYFUNCTION("""COMPUTED_VALUE"""),0.0)</f>
        <v>0</v>
      </c>
      <c r="R197" s="45" t="str">
        <f>IFERROR(__xludf.DUMMYFUNCTION("""COMPUTED_VALUE"""),"SELECCIONADO")</f>
        <v>SELECCIONADO</v>
      </c>
      <c r="S197" s="38">
        <f>IFERROR(__xludf.DUMMYFUNCTION("""COMPUTED_VALUE"""),43481.0)</f>
        <v>43481</v>
      </c>
      <c r="T197" t="str">
        <f>IFERROR(__xludf.DUMMYFUNCTION("""COMPUTED_VALUE"""),"CONCHA SILVA MARAT EDUARDO")</f>
        <v>CONCHA SILVA MARAT EDUARDO</v>
      </c>
      <c r="V197" t="str">
        <f>IFERROR(__xludf.DUMMYFUNCTION("""COMPUTED_VALUE"""),"9829292-6")</f>
        <v>9829292-6</v>
      </c>
      <c r="W197" t="str">
        <f>IFERROR(__xludf.DUMMYFUNCTION("""COMPUTED_VALUE"""),"SI")</f>
        <v>SI</v>
      </c>
      <c r="X197" t="str">
        <f>IFERROR(__xludf.DUMMYFUNCTION("""COMPUTED_VALUE"""),"Iniciativa")</f>
        <v>Iniciativa</v>
      </c>
      <c r="AA197" s="38">
        <f>IFERROR(__xludf.DUMMYFUNCTION("""COMPUTED_VALUE"""),43430.0)</f>
        <v>43430</v>
      </c>
      <c r="AB197" s="38">
        <f>IFERROR(__xludf.DUMMYFUNCTION("""COMPUTED_VALUE"""),43437.0)</f>
        <v>43437</v>
      </c>
      <c r="AH197" t="str">
        <f>IFERROR(__xludf.DUMMYFUNCTION("""COMPUTED_VALUE"""),"PROCESO DE SELECCIÓN")</f>
        <v>PROCESO DE SELECCIÓN</v>
      </c>
      <c r="AI197" t="str">
        <f>IFERROR(__xludf.DUMMYFUNCTION("""COMPUTED_VALUE"""),"KONG LAO DOMINGO")</f>
        <v>KONG LAO DOMINGO</v>
      </c>
      <c r="AK197" t="str">
        <f>IFERROR(__xludf.DUMMYFUNCTION("""COMPUTED_VALUE"""),"C")</f>
        <v>C</v>
      </c>
      <c r="AL197">
        <f>IFERROR(__xludf.DUMMYFUNCTION("""COMPUTED_VALUE"""),33.0)</f>
        <v>33</v>
      </c>
      <c r="AM197">
        <f>IFERROR(__xludf.DUMMYFUNCTION("""COMPUTED_VALUE"""),2018.0)</f>
        <v>2018</v>
      </c>
    </row>
    <row r="198">
      <c r="A198">
        <f>IFERROR(__xludf.DUMMYFUNCTION("""COMPUTED_VALUE"""),1.5079671E7)</f>
        <v>15079671</v>
      </c>
      <c r="B198">
        <f>IFERROR(__xludf.DUMMYFUNCTION("""COMPUTED_VALUE"""),101.0)</f>
        <v>101</v>
      </c>
      <c r="C198" t="str">
        <f>IFERROR(__xludf.DUMMYFUNCTION("""COMPUTED_VALUE"""),"A242")</f>
        <v>A242</v>
      </c>
      <c r="D198" t="str">
        <f>IFERROR(__xludf.DUMMYFUNCTION("""COMPUTED_VALUE"""),"INGRESAR CENTRO DE COSTO A LA DERECHA")</f>
        <v>INGRESAR CENTRO DE COSTO A LA DERECHA</v>
      </c>
      <c r="E198" t="str">
        <f>IFERROR(__xludf.DUMMYFUNCTION("""COMPUTED_VALUE"""),"FACULTAD DE ADMINIST Y ECONOMI")</f>
        <v>FACULTAD DE ADMINIST Y ECONOMI</v>
      </c>
      <c r="F198" t="str">
        <f>IFERROR(__xludf.DUMMYFUNCTION("""COMPUTED_VALUE"""),"Bibliotecario(a)")</f>
        <v>Bibliotecario(a)</v>
      </c>
      <c r="G198" t="str">
        <f>IFERROR(__xludf.DUMMYFUNCTION("""COMPUTED_VALUE"""),"BIBLIOTECARIO")</f>
        <v>BIBLIOTECARIO</v>
      </c>
      <c r="H198">
        <f>IFERROR(__xludf.DUMMYFUNCTION("""COMPUTED_VALUE"""),14.0)</f>
        <v>14</v>
      </c>
      <c r="I198" t="str">
        <f>IFERROR(__xludf.DUMMYFUNCTION("""COMPUTED_VALUE"""),"Jornada Completa")</f>
        <v>Jornada Completa</v>
      </c>
      <c r="J198" t="str">
        <f>IFERROR(__xludf.DUMMYFUNCTION("""COMPUTED_VALUE"""),"A CONTRATA")</f>
        <v>A CONTRATA</v>
      </c>
      <c r="K198" t="str">
        <f>IFERROR(__xludf.DUMMYFUNCTION("""COMPUTED_VALUE"""),"PROFESIONAL")</f>
        <v>PROFESIONAL</v>
      </c>
      <c r="L198" t="str">
        <f>IFERROR(__xludf.DUMMYFUNCTION("""COMPUTED_VALUE"""),"INTERNO")</f>
        <v>INTERNO</v>
      </c>
      <c r="M198">
        <f>IFERROR(__xludf.DUMMYFUNCTION("""COMPUTED_VALUE"""),1.0)</f>
        <v>1</v>
      </c>
      <c r="N198" t="str">
        <f>IFERROR(__xludf.DUMMYFUNCTION("""COMPUTED_VALUE"""),"EXTERNO")</f>
        <v>EXTERNO</v>
      </c>
      <c r="O198">
        <f>IFERROR(__xludf.DUMMYFUNCTION("""COMPUTED_VALUE"""),20.0)</f>
        <v>20</v>
      </c>
      <c r="P198">
        <f>IFERROR(__xludf.DUMMYFUNCTION("""COMPUTED_VALUE"""),2.0)</f>
        <v>2</v>
      </c>
      <c r="Q198">
        <f>IFERROR(__xludf.DUMMYFUNCTION("""COMPUTED_VALUE"""),0.0)</f>
        <v>0</v>
      </c>
      <c r="R198" s="45" t="str">
        <f>IFERROR(__xludf.DUMMYFUNCTION("""COMPUTED_VALUE"""),"SELECCIONADA")</f>
        <v>SELECCIONADA</v>
      </c>
      <c r="S198" s="38">
        <f>IFERROR(__xludf.DUMMYFUNCTION("""COMPUTED_VALUE"""),43467.0)</f>
        <v>43467</v>
      </c>
      <c r="U198" t="str">
        <f>IFERROR(__xludf.DUMMYFUNCTION("""COMPUTED_VALUE"""),"MONICA GUERRA NAVARRO")</f>
        <v>MONICA GUERRA NAVARRO</v>
      </c>
      <c r="V198" t="str">
        <f>IFERROR(__xludf.DUMMYFUNCTION("""COMPUTED_VALUE"""),"15079671-7")</f>
        <v>15079671-7</v>
      </c>
      <c r="W198" t="str">
        <f>IFERROR(__xludf.DUMMYFUNCTION("""COMPUTED_VALUE"""),"SI")</f>
        <v>SI</v>
      </c>
      <c r="X198" t="str">
        <f>IFERROR(__xludf.DUMMYFUNCTION("""COMPUTED_VALUE"""),"Trabajo en Equipo")</f>
        <v>Trabajo en Equipo</v>
      </c>
      <c r="Y198" t="str">
        <f>IFERROR(__xludf.DUMMYFUNCTION("""COMPUTED_VALUE"""),"Comunicacion")</f>
        <v>Comunicacion</v>
      </c>
      <c r="AA198" s="38">
        <f>IFERROR(__xludf.DUMMYFUNCTION("""COMPUTED_VALUE"""),43390.0)</f>
        <v>43390</v>
      </c>
      <c r="AB198" s="38">
        <f>IFERROR(__xludf.DUMMYFUNCTION("""COMPUTED_VALUE"""),43397.0)</f>
        <v>43397</v>
      </c>
      <c r="AH198" t="str">
        <f>IFERROR(__xludf.DUMMYFUNCTION("""COMPUTED_VALUE"""),"PROCESO DE SELECCIÓN")</f>
        <v>PROCESO DE SELECCIÓN</v>
      </c>
      <c r="AI198" t="str">
        <f>IFERROR(__xludf.DUMMYFUNCTION("""COMPUTED_VALUE"""),"FLORES FERNANDEZ CHERIE")</f>
        <v>FLORES FERNANDEZ CHERIE</v>
      </c>
      <c r="AK198" t="str">
        <f>IFERROR(__xludf.DUMMYFUNCTION("""COMPUTED_VALUE"""),"E")</f>
        <v>E</v>
      </c>
      <c r="AL198">
        <f>IFERROR(__xludf.DUMMYFUNCTION("""COMPUTED_VALUE"""),51.0)</f>
        <v>51</v>
      </c>
      <c r="AM198">
        <f>IFERROR(__xludf.DUMMYFUNCTION("""COMPUTED_VALUE"""),2018.0)</f>
        <v>2018</v>
      </c>
    </row>
    <row r="199">
      <c r="A199">
        <f>IFERROR(__xludf.DUMMYFUNCTION("""COMPUTED_VALUE"""),1.666616E7)</f>
        <v>16666160</v>
      </c>
      <c r="B199">
        <f>IFERROR(__xludf.DUMMYFUNCTION("""COMPUTED_VALUE"""),102.0)</f>
        <v>102</v>
      </c>
      <c r="C199" t="str">
        <f>IFERROR(__xludf.DUMMYFUNCTION("""COMPUTED_VALUE"""),"A252")</f>
        <v>A252</v>
      </c>
      <c r="D199" t="str">
        <f>IFERROR(__xludf.DUMMYFUNCTION("""COMPUTED_VALUE"""),"INGRESAR CENTRO DE COSTO A LA DERECHA")</f>
        <v>INGRESAR CENTRO DE COSTO A LA DERECHA</v>
      </c>
      <c r="E199" t="str">
        <f>IFERROR(__xludf.DUMMYFUNCTION("""COMPUTED_VALUE"""),"PROGRAMA BACHILLERATO")</f>
        <v>PROGRAMA BACHILLERATO</v>
      </c>
      <c r="F199" t="str">
        <f>IFERROR(__xludf.DUMMYFUNCTION("""COMPUTED_VALUE"""),"Administrativo(a) de Registro Curricular")</f>
        <v>Administrativo(a) de Registro Curricular</v>
      </c>
      <c r="G199" t="str">
        <f>IFERROR(__xludf.DUMMYFUNCTION("""COMPUTED_VALUE"""),"ADMINISTRATIVA DE REGISTRO CURRICULAR")</f>
        <v>ADMINISTRATIVA DE REGISTRO CURRICULAR</v>
      </c>
      <c r="H199">
        <f>IFERROR(__xludf.DUMMYFUNCTION("""COMPUTED_VALUE"""),17.0)</f>
        <v>17</v>
      </c>
      <c r="I199" t="str">
        <f>IFERROR(__xludf.DUMMYFUNCTION("""COMPUTED_VALUE"""),"Jornada Completa")</f>
        <v>Jornada Completa</v>
      </c>
      <c r="J199" t="str">
        <f>IFERROR(__xludf.DUMMYFUNCTION("""COMPUTED_VALUE"""),"A CONTRATA")</f>
        <v>A CONTRATA</v>
      </c>
      <c r="K199" t="str">
        <f>IFERROR(__xludf.DUMMYFUNCTION("""COMPUTED_VALUE"""),"ADMINISTRATIVO")</f>
        <v>ADMINISTRATIVO</v>
      </c>
      <c r="L199" t="str">
        <f>IFERROR(__xludf.DUMMYFUNCTION("""COMPUTED_VALUE"""),"INTERNO")</f>
        <v>INTERNO</v>
      </c>
      <c r="M199">
        <f>IFERROR(__xludf.DUMMYFUNCTION("""COMPUTED_VALUE"""),4.0)</f>
        <v>4</v>
      </c>
      <c r="N199" t="str">
        <f>IFERROR(__xludf.DUMMYFUNCTION("""COMPUTED_VALUE"""),"NO")</f>
        <v>NO</v>
      </c>
      <c r="O199">
        <f>IFERROR(__xludf.DUMMYFUNCTION("""COMPUTED_VALUE"""),0.0)</f>
        <v>0</v>
      </c>
      <c r="P199">
        <f>IFERROR(__xludf.DUMMYFUNCTION("""COMPUTED_VALUE"""),1.0)</f>
        <v>1</v>
      </c>
      <c r="Q199">
        <f>IFERROR(__xludf.DUMMYFUNCTION("""COMPUTED_VALUE"""),0.0)</f>
        <v>0</v>
      </c>
      <c r="R199" s="45" t="str">
        <f>IFERROR(__xludf.DUMMYFUNCTION("""COMPUTED_VALUE"""),"SELECCIONADA")</f>
        <v>SELECCIONADA</v>
      </c>
      <c r="S199" s="38">
        <f>IFERROR(__xludf.DUMMYFUNCTION("""COMPUTED_VALUE"""),43528.0)</f>
        <v>43528</v>
      </c>
      <c r="T199" t="str">
        <f>IFERROR(__xludf.DUMMYFUNCTION("""COMPUTED_VALUE"""),"MAULEN MANRIQUEZ JOSELYN ANDREA")</f>
        <v>MAULEN MANRIQUEZ JOSELYN ANDREA</v>
      </c>
      <c r="V199" t="str">
        <f>IFERROR(__xludf.DUMMYFUNCTION("""COMPUTED_VALUE"""),"16666160-9")</f>
        <v>16666160-9</v>
      </c>
      <c r="W199" t="str">
        <f>IFERROR(__xludf.DUMMYFUNCTION("""COMPUTED_VALUE"""),"NO")</f>
        <v>NO</v>
      </c>
      <c r="AA199" s="38">
        <f>IFERROR(__xludf.DUMMYFUNCTION("""COMPUTED_VALUE"""),43425.0)</f>
        <v>43425</v>
      </c>
      <c r="AB199" s="38">
        <f>IFERROR(__xludf.DUMMYFUNCTION("""COMPUTED_VALUE"""),43432.0)</f>
        <v>43432</v>
      </c>
      <c r="AH199" t="str">
        <f>IFERROR(__xludf.DUMMYFUNCTION("""COMPUTED_VALUE"""),"PROCESO DE SELECCIÓN")</f>
        <v>PROCESO DE SELECCIÓN</v>
      </c>
      <c r="AI199" t="str">
        <f>IFERROR(__xludf.DUMMYFUNCTION("""COMPUTED_VALUE"""),"SIRANDONI POLITIS PAOLA")</f>
        <v>SIRANDONI POLITIS PAOLA</v>
      </c>
      <c r="AK199" t="str">
        <f>IFERROR(__xludf.DUMMYFUNCTION("""COMPUTED_VALUE"""),"C")</f>
        <v>C</v>
      </c>
      <c r="AL199">
        <f>IFERROR(__xludf.DUMMYFUNCTION("""COMPUTED_VALUE"""),69.0)</f>
        <v>69</v>
      </c>
      <c r="AM199">
        <f>IFERROR(__xludf.DUMMYFUNCTION("""COMPUTED_VALUE"""),2018.0)</f>
        <v>2018</v>
      </c>
    </row>
    <row r="200">
      <c r="A200">
        <f>IFERROR(__xludf.DUMMYFUNCTION("""COMPUTED_VALUE"""),8815409.0)</f>
        <v>8815409</v>
      </c>
      <c r="B200">
        <f>IFERROR(__xludf.DUMMYFUNCTION("""COMPUTED_VALUE"""),103.0)</f>
        <v>103</v>
      </c>
      <c r="C200" t="str">
        <f>IFERROR(__xludf.DUMMYFUNCTION("""COMPUTED_VALUE"""),"A269")</f>
        <v>A269</v>
      </c>
      <c r="D200" t="str">
        <f>IFERROR(__xludf.DUMMYFUNCTION("""COMPUTED_VALUE"""),"INGRESAR CENTRO DE COSTO A LA DERECHA")</f>
        <v>INGRESAR CENTRO DE COSTO A LA DERECHA</v>
      </c>
      <c r="E200" t="str">
        <f>IFERROR(__xludf.DUMMYFUNCTION("""COMPUTED_VALUE"""),"VR. DE POSTGRADO")</f>
        <v>VR. DE POSTGRADO</v>
      </c>
      <c r="F200" t="str">
        <f>IFERROR(__xludf.DUMMYFUNCTION("""COMPUTED_VALUE"""),"Jefe(a) de Área")</f>
        <v>Jefe(a) de Área</v>
      </c>
      <c r="G200" t="str">
        <f>IFERROR(__xludf.DUMMYFUNCTION("""COMPUTED_VALUE"""),"JEFE DE AREA APOYO AL ESTUDIANTE")</f>
        <v>JEFE DE AREA APOYO AL ESTUDIANTE</v>
      </c>
      <c r="H200">
        <f>IFERROR(__xludf.DUMMYFUNCTION("""COMPUTED_VALUE"""),8.0)</f>
        <v>8</v>
      </c>
      <c r="I200" t="str">
        <f>IFERROR(__xludf.DUMMYFUNCTION("""COMPUTED_VALUE"""),"Jornada Completa")</f>
        <v>Jornada Completa</v>
      </c>
      <c r="J200" t="str">
        <f>IFERROR(__xludf.DUMMYFUNCTION("""COMPUTED_VALUE"""),"A CONTRATA")</f>
        <v>A CONTRATA</v>
      </c>
      <c r="K200" t="str">
        <f>IFERROR(__xludf.DUMMYFUNCTION("""COMPUTED_VALUE"""),"PROFESIONAL")</f>
        <v>PROFESIONAL</v>
      </c>
      <c r="L200" t="str">
        <f>IFERROR(__xludf.DUMMYFUNCTION("""COMPUTED_VALUE"""),"INTERNO")</f>
        <v>INTERNO</v>
      </c>
      <c r="M200">
        <f>IFERROR(__xludf.DUMMYFUNCTION("""COMPUTED_VALUE"""),10.0)</f>
        <v>10</v>
      </c>
      <c r="N200" t="str">
        <f>IFERROR(__xludf.DUMMYFUNCTION("""COMPUTED_VALUE"""),"NO")</f>
        <v>NO</v>
      </c>
      <c r="O200">
        <f>IFERROR(__xludf.DUMMYFUNCTION("""COMPUTED_VALUE"""),0.0)</f>
        <v>0</v>
      </c>
      <c r="P200">
        <f>IFERROR(__xludf.DUMMYFUNCTION("""COMPUTED_VALUE"""),3.0)</f>
        <v>3</v>
      </c>
      <c r="Q200">
        <f>IFERROR(__xludf.DUMMYFUNCTION("""COMPUTED_VALUE"""),0.0)</f>
        <v>0</v>
      </c>
      <c r="R200" s="45" t="str">
        <f>IFERROR(__xludf.DUMMYFUNCTION("""COMPUTED_VALUE"""),"SELECCIONADO")</f>
        <v>SELECCIONADO</v>
      </c>
      <c r="S200" s="38">
        <f>IFERROR(__xludf.DUMMYFUNCTION("""COMPUTED_VALUE"""),43528.0)</f>
        <v>43528</v>
      </c>
      <c r="T200" t="str">
        <f>IFERROR(__xludf.DUMMYFUNCTION("""COMPUTED_VALUE"""),"OSSIO PINO CARLOS PATRICIO")</f>
        <v>OSSIO PINO CARLOS PATRICIO</v>
      </c>
      <c r="V200" t="str">
        <f>IFERROR(__xludf.DUMMYFUNCTION("""COMPUTED_VALUE"""),"8815409-6")</f>
        <v>8815409-6</v>
      </c>
      <c r="W200" t="str">
        <f>IFERROR(__xludf.DUMMYFUNCTION("""COMPUTED_VALUE"""),"SI")</f>
        <v>SI</v>
      </c>
      <c r="X200" t="str">
        <f>IFERROR(__xludf.DUMMYFUNCTION("""COMPUTED_VALUE"""),"Liderazgo")</f>
        <v>Liderazgo</v>
      </c>
      <c r="AA200" s="38">
        <f>IFERROR(__xludf.DUMMYFUNCTION("""COMPUTED_VALUE"""),43437.0)</f>
        <v>43437</v>
      </c>
      <c r="AB200" s="38">
        <f>IFERROR(__xludf.DUMMYFUNCTION("""COMPUTED_VALUE"""),43444.0)</f>
        <v>43444</v>
      </c>
      <c r="AH200" t="str">
        <f>IFERROR(__xludf.DUMMYFUNCTION("""COMPUTED_VALUE"""),"PROCESO DE SELECCIÓN")</f>
        <v>PROCESO DE SELECCIÓN</v>
      </c>
      <c r="AI200" t="str">
        <f>IFERROR(__xludf.DUMMYFUNCTION("""COMPUTED_VALUE""")," - ")</f>
        <v> - </v>
      </c>
      <c r="AK200" t="str">
        <f>IFERROR(__xludf.DUMMYFUNCTION("""COMPUTED_VALUE"""),"C")</f>
        <v>C</v>
      </c>
      <c r="AL200">
        <f>IFERROR(__xludf.DUMMYFUNCTION("""COMPUTED_VALUE"""),61.0)</f>
        <v>61</v>
      </c>
      <c r="AM200">
        <f>IFERROR(__xludf.DUMMYFUNCTION("""COMPUTED_VALUE"""),2018.0)</f>
        <v>2018</v>
      </c>
    </row>
    <row r="201">
      <c r="A201">
        <f>IFERROR(__xludf.DUMMYFUNCTION("""COMPUTED_VALUE"""),1.004533E7)</f>
        <v>10045330</v>
      </c>
      <c r="B201">
        <f>IFERROR(__xludf.DUMMYFUNCTION("""COMPUTED_VALUE"""),104.0)</f>
        <v>104</v>
      </c>
      <c r="C201" t="str">
        <f>IFERROR(__xludf.DUMMYFUNCTION("""COMPUTED_VALUE"""),"IR2018-39")</f>
        <v>IR2018-39</v>
      </c>
      <c r="D201" t="str">
        <f>IFERROR(__xludf.DUMMYFUNCTION("""COMPUTED_VALUE"""),"INGRESAR CENTRO DE COSTO A LA DERECHA")</f>
        <v>INGRESAR CENTRO DE COSTO A LA DERECHA</v>
      </c>
      <c r="E201" t="str">
        <f>IFERROR(__xludf.DUMMYFUNCTION("""COMPUTED_VALUE"""),"DPTO. DE BENEFICIOS ESTUDIANTILE")</f>
        <v>DPTO. DE BENEFICIOS ESTUDIANTILE</v>
      </c>
      <c r="F201" t="str">
        <f>IFERROR(__xludf.DUMMYFUNCTION("""COMPUTED_VALUE"""),"Asistente Social Estudiantil")</f>
        <v>Asistente Social Estudiantil</v>
      </c>
      <c r="G201" t="str">
        <f>IFERROR(__xludf.DUMMYFUNCTION("""COMPUTED_VALUE"""),"ASISTENTE SOCIAL ESTUDIANTIL")</f>
        <v>ASISTENTE SOCIAL ESTUDIANTIL</v>
      </c>
      <c r="H201">
        <f>IFERROR(__xludf.DUMMYFUNCTION("""COMPUTED_VALUE"""),13.0)</f>
        <v>13</v>
      </c>
      <c r="I201" t="str">
        <f>IFERROR(__xludf.DUMMYFUNCTION("""COMPUTED_VALUE"""),"Jornada Completa")</f>
        <v>Jornada Completa</v>
      </c>
      <c r="J201" t="str">
        <f>IFERROR(__xludf.DUMMYFUNCTION("""COMPUTED_VALUE"""),"A CONTRATA")</f>
        <v>A CONTRATA</v>
      </c>
      <c r="K201" t="str">
        <f>IFERROR(__xludf.DUMMYFUNCTION("""COMPUTED_VALUE"""),"PROFESIONAL")</f>
        <v>PROFESIONAL</v>
      </c>
      <c r="L201" t="str">
        <f>IFERROR(__xludf.DUMMYFUNCTION("""COMPUTED_VALUE"""),"INTERNO")</f>
        <v>INTERNO</v>
      </c>
      <c r="M201">
        <f>IFERROR(__xludf.DUMMYFUNCTION("""COMPUTED_VALUE"""),4.0)</f>
        <v>4</v>
      </c>
      <c r="N201" t="str">
        <f>IFERROR(__xludf.DUMMYFUNCTION("""COMPUTED_VALUE"""),"NO")</f>
        <v>NO</v>
      </c>
      <c r="O201">
        <f>IFERROR(__xludf.DUMMYFUNCTION("""COMPUTED_VALUE"""),0.0)</f>
        <v>0</v>
      </c>
      <c r="P201">
        <f>IFERROR(__xludf.DUMMYFUNCTION("""COMPUTED_VALUE"""),2.0)</f>
        <v>2</v>
      </c>
      <c r="Q201">
        <f>IFERROR(__xludf.DUMMYFUNCTION("""COMPUTED_VALUE"""),0.0)</f>
        <v>0</v>
      </c>
      <c r="R201" s="45" t="str">
        <f>IFERROR(__xludf.DUMMYFUNCTION("""COMPUTED_VALUE"""),"SELECCIONADA")</f>
        <v>SELECCIONADA</v>
      </c>
      <c r="S201" s="38">
        <f>IFERROR(__xludf.DUMMYFUNCTION("""COMPUTED_VALUE"""),43488.0)</f>
        <v>43488</v>
      </c>
      <c r="T201" t="str">
        <f>IFERROR(__xludf.DUMMYFUNCTION("""COMPUTED_VALUE"""),"RODRIGUEZ ARELLANO SOLANGE CAROLINA")</f>
        <v>RODRIGUEZ ARELLANO SOLANGE CAROLINA</v>
      </c>
      <c r="V201" t="str">
        <f>IFERROR(__xludf.DUMMYFUNCTION("""COMPUTED_VALUE"""),"10045330-4")</f>
        <v>10045330-4</v>
      </c>
      <c r="W201" t="str">
        <f>IFERROR(__xludf.DUMMYFUNCTION("""COMPUTED_VALUE"""),"SI")</f>
        <v>SI</v>
      </c>
      <c r="X201" t="str">
        <f>IFERROR(__xludf.DUMMYFUNCTION("""COMPUTED_VALUE"""),"Escucha Activa")</f>
        <v>Escucha Activa</v>
      </c>
      <c r="AA201" s="38">
        <f>IFERROR(__xludf.DUMMYFUNCTION("""COMPUTED_VALUE"""),43383.0)</f>
        <v>43383</v>
      </c>
      <c r="AB201" s="38">
        <f>IFERROR(__xludf.DUMMYFUNCTION("""COMPUTED_VALUE"""),43390.0)</f>
        <v>43390</v>
      </c>
      <c r="AH201" t="str">
        <f>IFERROR(__xludf.DUMMYFUNCTION("""COMPUTED_VALUE"""),"PROCESO DE SELECCIÓN")</f>
        <v>PROCESO DE SELECCIÓN</v>
      </c>
      <c r="AI201" t="str">
        <f>IFERROR(__xludf.DUMMYFUNCTION("""COMPUTED_VALUE"""),"VELIZ FILIPP ELIZABETH")</f>
        <v>VELIZ FILIPP ELIZABETH</v>
      </c>
      <c r="AK201" t="str">
        <f>IFERROR(__xludf.DUMMYFUNCTION("""COMPUTED_VALUE"""),"C")</f>
        <v>C</v>
      </c>
      <c r="AL201">
        <f>IFERROR(__xludf.DUMMYFUNCTION("""COMPUTED_VALUE"""),71.0)</f>
        <v>71</v>
      </c>
      <c r="AM201">
        <f>IFERROR(__xludf.DUMMYFUNCTION("""COMPUTED_VALUE"""),2018.0)</f>
        <v>2018</v>
      </c>
    </row>
    <row r="202">
      <c r="A202">
        <f>IFERROR(__xludf.DUMMYFUNCTION("""COMPUTED_VALUE"""),8013027.0)</f>
        <v>8013027</v>
      </c>
      <c r="B202">
        <f>IFERROR(__xludf.DUMMYFUNCTION("""COMPUTED_VALUE"""),105.0)</f>
        <v>105</v>
      </c>
      <c r="C202" t="str">
        <f>IFERROR(__xludf.DUMMYFUNCTION("""COMPUTED_VALUE"""),"A270-B")</f>
        <v>A270-B</v>
      </c>
      <c r="D202" t="str">
        <f>IFERROR(__xludf.DUMMYFUNCTION("""COMPUTED_VALUE"""),"INGRESAR CENTRO DE COSTO A LA DERECHA")</f>
        <v>INGRESAR CENTRO DE COSTO A LA DERECHA</v>
      </c>
      <c r="E202" t="str">
        <f>IFERROR(__xludf.DUMMYFUNCTION("""COMPUTED_VALUE"""),"UNIDAD DE VOCACION ARTISTICA")</f>
        <v>UNIDAD DE VOCACION ARTISTICA</v>
      </c>
      <c r="F202" t="str">
        <f>IFERROR(__xludf.DUMMYFUNCTION("""COMPUTED_VALUE"""),"Profesional de Extensión")</f>
        <v>Profesional de Extensión</v>
      </c>
      <c r="G202" t="str">
        <f>IFERROR(__xludf.DUMMYFUNCTION("""COMPUTED_VALUE"""),"PROFESIONAL DE EXTENSIÓN ( DIRECTOR COREOGRAFICO BALLET FOLCLORICO)")</f>
        <v>PROFESIONAL DE EXTENSIÓN ( DIRECTOR COREOGRAFICO BALLET FOLCLORICO)</v>
      </c>
      <c r="H202">
        <f>IFERROR(__xludf.DUMMYFUNCTION("""COMPUTED_VALUE"""),13.0)</f>
        <v>13</v>
      </c>
      <c r="I202" t="str">
        <f>IFERROR(__xludf.DUMMYFUNCTION("""COMPUTED_VALUE"""),"1/2 Jornada")</f>
        <v>1/2 Jornada</v>
      </c>
      <c r="J202" t="str">
        <f>IFERROR(__xludf.DUMMYFUNCTION("""COMPUTED_VALUE"""),"A CONTRATA")</f>
        <v>A CONTRATA</v>
      </c>
      <c r="K202" t="str">
        <f>IFERROR(__xludf.DUMMYFUNCTION("""COMPUTED_VALUE"""),"PROFESIONAL")</f>
        <v>PROFESIONAL</v>
      </c>
      <c r="L202" t="str">
        <f>IFERROR(__xludf.DUMMYFUNCTION("""COMPUTED_VALUE"""),"INTERNO")</f>
        <v>INTERNO</v>
      </c>
      <c r="M202">
        <f>IFERROR(__xludf.DUMMYFUNCTION("""COMPUTED_VALUE"""),1.0)</f>
        <v>1</v>
      </c>
      <c r="N202" t="str">
        <f>IFERROR(__xludf.DUMMYFUNCTION("""COMPUTED_VALUE"""),"NO")</f>
        <v>NO</v>
      </c>
      <c r="O202">
        <f>IFERROR(__xludf.DUMMYFUNCTION("""COMPUTED_VALUE"""),0.0)</f>
        <v>0</v>
      </c>
      <c r="P202">
        <f>IFERROR(__xludf.DUMMYFUNCTION("""COMPUTED_VALUE"""),1.0)</f>
        <v>1</v>
      </c>
      <c r="Q202">
        <f>IFERROR(__xludf.DUMMYFUNCTION("""COMPUTED_VALUE"""),0.0)</f>
        <v>0</v>
      </c>
      <c r="R202" s="45" t="str">
        <f>IFERROR(__xludf.DUMMYFUNCTION("""COMPUTED_VALUE"""),"SELECCIONADO")</f>
        <v>SELECCIONADO</v>
      </c>
      <c r="S202" s="38">
        <f>IFERROR(__xludf.DUMMYFUNCTION("""COMPUTED_VALUE"""),43528.0)</f>
        <v>43528</v>
      </c>
      <c r="T202" t="str">
        <f>IFERROR(__xludf.DUMMYFUNCTION("""COMPUTED_VALUE"""),"MALDONADO VARGAS LUIS")</f>
        <v>MALDONADO VARGAS LUIS</v>
      </c>
      <c r="V202" t="str">
        <f>IFERROR(__xludf.DUMMYFUNCTION("""COMPUTED_VALUE"""),"8013027-9")</f>
        <v>8013027-9</v>
      </c>
      <c r="W202" t="str">
        <f>IFERROR(__xludf.DUMMYFUNCTION("""COMPUTED_VALUE"""),"SI")</f>
        <v>SI</v>
      </c>
      <c r="X202" t="str">
        <f>IFERROR(__xludf.DUMMYFUNCTION("""COMPUTED_VALUE"""),"Capacidad de Planificacion y Organizacion")</f>
        <v>Capacidad de Planificacion y Organizacion</v>
      </c>
      <c r="Y202" t="str">
        <f>IFERROR(__xludf.DUMMYFUNCTION("""COMPUTED_VALUE"""),"Impacto e Influencia")</f>
        <v>Impacto e Influencia</v>
      </c>
      <c r="AA202" s="38">
        <f>IFERROR(__xludf.DUMMYFUNCTION("""COMPUTED_VALUE"""),43444.0)</f>
        <v>43444</v>
      </c>
      <c r="AB202" s="38">
        <f>IFERROR(__xludf.DUMMYFUNCTION("""COMPUTED_VALUE"""),43451.0)</f>
        <v>43451</v>
      </c>
      <c r="AH202" t="str">
        <f>IFERROR(__xludf.DUMMYFUNCTION("""COMPUTED_VALUE"""),"PROCESO DE SELECCIÓN")</f>
        <v>PROCESO DE SELECCIÓN</v>
      </c>
      <c r="AI202" t="str">
        <f>IFERROR(__xludf.DUMMYFUNCTION("""COMPUTED_VALUE"""),"ALBORNOZ ARIAS JOSE")</f>
        <v>ALBORNOZ ARIAS JOSE</v>
      </c>
      <c r="AK202" t="str">
        <f>IFERROR(__xludf.DUMMYFUNCTION("""COMPUTED_VALUE"""),"C")</f>
        <v>C</v>
      </c>
      <c r="AL202">
        <f>IFERROR(__xludf.DUMMYFUNCTION("""COMPUTED_VALUE"""),56.0)</f>
        <v>56</v>
      </c>
      <c r="AM202">
        <f>IFERROR(__xludf.DUMMYFUNCTION("""COMPUTED_VALUE"""),2018.0)</f>
        <v>2018</v>
      </c>
    </row>
    <row r="203">
      <c r="A203">
        <f>IFERROR(__xludf.DUMMYFUNCTION("""COMPUTED_VALUE"""),1.112315E7)</f>
        <v>11123150</v>
      </c>
      <c r="B203">
        <f>IFERROR(__xludf.DUMMYFUNCTION("""COMPUTED_VALUE"""),106.0)</f>
        <v>106</v>
      </c>
      <c r="C203" t="str">
        <f>IFERROR(__xludf.DUMMYFUNCTION("""COMPUTED_VALUE"""),"A254")</f>
        <v>A254</v>
      </c>
      <c r="D203" t="str">
        <f>IFERROR(__xludf.DUMMYFUNCTION("""COMPUTED_VALUE"""),"INGRESAR CENTRO DE COSTO A LA DERECHA")</f>
        <v>INGRESAR CENTRO DE COSTO A LA DERECHA</v>
      </c>
      <c r="E203" t="str">
        <f>IFERROR(__xludf.DUMMYFUNCTION("""COMPUTED_VALUE"""),"DPTO. DE TECNOLOGÍAS DE GESTIÓN")</f>
        <v>DPTO. DE TECNOLOGÍAS DE GESTIÓN</v>
      </c>
      <c r="F203" t="str">
        <f>IFERROR(__xludf.DUMMYFUNCTION("""COMPUTED_VALUE"""),"Analista de Gestión Administrativa")</f>
        <v>Analista de Gestión Administrativa</v>
      </c>
      <c r="G203" t="str">
        <f>IFERROR(__xludf.DUMMYFUNCTION("""COMPUTED_VALUE"""),"ANALISTA DE GESTION ADMINISTRATIVA")</f>
        <v>ANALISTA DE GESTION ADMINISTRATIVA</v>
      </c>
      <c r="H203">
        <f>IFERROR(__xludf.DUMMYFUNCTION("""COMPUTED_VALUE"""),14.0)</f>
        <v>14</v>
      </c>
      <c r="I203" t="str">
        <f>IFERROR(__xludf.DUMMYFUNCTION("""COMPUTED_VALUE"""),"Jornada Completa")</f>
        <v>Jornada Completa</v>
      </c>
      <c r="J203" t="str">
        <f>IFERROR(__xludf.DUMMYFUNCTION("""COMPUTED_VALUE"""),"A CONTRATA")</f>
        <v>A CONTRATA</v>
      </c>
      <c r="K203" t="str">
        <f>IFERROR(__xludf.DUMMYFUNCTION("""COMPUTED_VALUE"""),"PROFESIONAL")</f>
        <v>PROFESIONAL</v>
      </c>
      <c r="L203" t="str">
        <f>IFERROR(__xludf.DUMMYFUNCTION("""COMPUTED_VALUE"""),"INTERNO")</f>
        <v>INTERNO</v>
      </c>
      <c r="M203">
        <f>IFERROR(__xludf.DUMMYFUNCTION("""COMPUTED_VALUE"""),9.0)</f>
        <v>9</v>
      </c>
      <c r="N203" t="str">
        <f>IFERROR(__xludf.DUMMYFUNCTION("""COMPUTED_VALUE"""),"NO")</f>
        <v>NO</v>
      </c>
      <c r="O203">
        <f>IFERROR(__xludf.DUMMYFUNCTION("""COMPUTED_VALUE"""),0.0)</f>
        <v>0</v>
      </c>
      <c r="P203">
        <f>IFERROR(__xludf.DUMMYFUNCTION("""COMPUTED_VALUE"""),3.0)</f>
        <v>3</v>
      </c>
      <c r="Q203">
        <f>IFERROR(__xludf.DUMMYFUNCTION("""COMPUTED_VALUE"""),0.0)</f>
        <v>0</v>
      </c>
      <c r="R203" s="45" t="str">
        <f>IFERROR(__xludf.DUMMYFUNCTION("""COMPUTED_VALUE"""),"SELECCIONADA")</f>
        <v>SELECCIONADA</v>
      </c>
      <c r="S203" s="38">
        <f>IFERROR(__xludf.DUMMYFUNCTION("""COMPUTED_VALUE"""),43529.0)</f>
        <v>43529</v>
      </c>
      <c r="T203" t="str">
        <f>IFERROR(__xludf.DUMMYFUNCTION("""COMPUTED_VALUE"""),"GUTIERREZ TOLOZA FRANCIA JACQUELINE")</f>
        <v>GUTIERREZ TOLOZA FRANCIA JACQUELINE</v>
      </c>
      <c r="V203" t="str">
        <f>IFERROR(__xludf.DUMMYFUNCTION("""COMPUTED_VALUE"""),"11123150-8")</f>
        <v>11123150-8</v>
      </c>
      <c r="W203" t="str">
        <f>IFERROR(__xludf.DUMMYFUNCTION("""COMPUTED_VALUE"""),"SI")</f>
        <v>SI</v>
      </c>
      <c r="X203" t="str">
        <f>IFERROR(__xludf.DUMMYFUNCTION("""COMPUTED_VALUE"""),"Capacidad de Planificacion y Organizacion")</f>
        <v>Capacidad de Planificacion y Organizacion</v>
      </c>
      <c r="Y203" t="str">
        <f>IFERROR(__xludf.DUMMYFUNCTION("""COMPUTED_VALUE"""),"Orientacion a los Resultados")</f>
        <v>Orientacion a los Resultados</v>
      </c>
      <c r="AA203" s="38">
        <f>IFERROR(__xludf.DUMMYFUNCTION("""COMPUTED_VALUE"""),43420.0)</f>
        <v>43420</v>
      </c>
      <c r="AB203" s="38">
        <f>IFERROR(__xludf.DUMMYFUNCTION("""COMPUTED_VALUE"""),43427.0)</f>
        <v>43427</v>
      </c>
      <c r="AH203" t="str">
        <f>IFERROR(__xludf.DUMMYFUNCTION("""COMPUTED_VALUE"""),"PROCESO DE SELECCIÓN")</f>
        <v>PROCESO DE SELECCIÓN</v>
      </c>
      <c r="AI203" t="str">
        <f>IFERROR(__xludf.DUMMYFUNCTION("""COMPUTED_VALUE"""),"SOTO VALDES PATRICIO")</f>
        <v>SOTO VALDES PATRICIO</v>
      </c>
      <c r="AK203" t="str">
        <f>IFERROR(__xludf.DUMMYFUNCTION("""COMPUTED_VALUE"""),"C")</f>
        <v>C</v>
      </c>
      <c r="AL203">
        <f>IFERROR(__xludf.DUMMYFUNCTION("""COMPUTED_VALUE"""),73.0)</f>
        <v>73</v>
      </c>
      <c r="AM203">
        <f>IFERROR(__xludf.DUMMYFUNCTION("""COMPUTED_VALUE"""),2018.0)</f>
        <v>2018</v>
      </c>
    </row>
    <row r="204">
      <c r="A204">
        <f>IFERROR(__xludf.DUMMYFUNCTION("""COMPUTED_VALUE"""),1.3663549E7)</f>
        <v>13663549</v>
      </c>
      <c r="B204">
        <f>IFERROR(__xludf.DUMMYFUNCTION("""COMPUTED_VALUE"""),107.0)</f>
        <v>107</v>
      </c>
      <c r="C204" t="str">
        <f>IFERROR(__xludf.DUMMYFUNCTION("""COMPUTED_VALUE"""),"IR2018-31")</f>
        <v>IR2018-31</v>
      </c>
      <c r="D204" t="str">
        <f>IFERROR(__xludf.DUMMYFUNCTION("""COMPUTED_VALUE"""),"INGRESAR CENTRO DE COSTO A LA DERECHA")</f>
        <v>INGRESAR CENTRO DE COSTO A LA DERECHA</v>
      </c>
      <c r="E204" t="str">
        <f>IFERROR(__xludf.DUMMYFUNCTION("""COMPUTED_VALUE"""),"UNIDAD DE ATENCION DE SALUD")</f>
        <v>UNIDAD DE ATENCION DE SALUD</v>
      </c>
      <c r="F204" t="str">
        <f>IFERROR(__xludf.DUMMYFUNCTION("""COMPUTED_VALUE"""),"Enfermero(a)")</f>
        <v>Enfermero(a)</v>
      </c>
      <c r="G204" t="str">
        <f>IFERROR(__xludf.DUMMYFUNCTION("""COMPUTED_VALUE"""),"ENFERMERA")</f>
        <v>ENFERMERA</v>
      </c>
      <c r="H204">
        <f>IFERROR(__xludf.DUMMYFUNCTION("""COMPUTED_VALUE"""),13.0)</f>
        <v>13</v>
      </c>
      <c r="I204" t="str">
        <f>IFERROR(__xludf.DUMMYFUNCTION("""COMPUTED_VALUE"""),"Jornada Completa")</f>
        <v>Jornada Completa</v>
      </c>
      <c r="J204" t="str">
        <f>IFERROR(__xludf.DUMMYFUNCTION("""COMPUTED_VALUE"""),"A CONTRATA")</f>
        <v>A CONTRATA</v>
      </c>
      <c r="K204" t="str">
        <f>IFERROR(__xludf.DUMMYFUNCTION("""COMPUTED_VALUE"""),"PROFESIONAL")</f>
        <v>PROFESIONAL</v>
      </c>
      <c r="L204" t="str">
        <f>IFERROR(__xludf.DUMMYFUNCTION("""COMPUTED_VALUE"""),"INTERNO")</f>
        <v>INTERNO</v>
      </c>
      <c r="M204">
        <f>IFERROR(__xludf.DUMMYFUNCTION("""COMPUTED_VALUE"""),0.0)</f>
        <v>0</v>
      </c>
      <c r="N204" t="str">
        <f>IFERROR(__xludf.DUMMYFUNCTION("""COMPUTED_VALUE"""),"EXTERNO")</f>
        <v>EXTERNO</v>
      </c>
      <c r="O204">
        <f>IFERROR(__xludf.DUMMYFUNCTION("""COMPUTED_VALUE"""),62.0)</f>
        <v>62</v>
      </c>
      <c r="P204">
        <f>IFERROR(__xludf.DUMMYFUNCTION("""COMPUTED_VALUE"""),3.0)</f>
        <v>3</v>
      </c>
      <c r="Q204">
        <f>IFERROR(__xludf.DUMMYFUNCTION("""COMPUTED_VALUE"""),0.0)</f>
        <v>0</v>
      </c>
      <c r="R204" s="45" t="str">
        <f>IFERROR(__xludf.DUMMYFUNCTION("""COMPUTED_VALUE"""),"SELECCIONADA")</f>
        <v>SELECCIONADA</v>
      </c>
      <c r="S204" s="38">
        <f>IFERROR(__xludf.DUMMYFUNCTION("""COMPUTED_VALUE"""),43528.0)</f>
        <v>43528</v>
      </c>
      <c r="U204" t="str">
        <f>IFERROR(__xludf.DUMMYFUNCTION("""COMPUTED_VALUE"""),"MARIA SALINAS TEJEDA")</f>
        <v>MARIA SALINAS TEJEDA</v>
      </c>
      <c r="V204" t="str">
        <f>IFERROR(__xludf.DUMMYFUNCTION("""COMPUTED_VALUE"""),"13663549-2")</f>
        <v>13663549-2</v>
      </c>
      <c r="W204" t="str">
        <f>IFERROR(__xludf.DUMMYFUNCTION("""COMPUTED_VALUE"""),"NO")</f>
        <v>NO</v>
      </c>
      <c r="AA204" s="38">
        <f>IFERROR(__xludf.DUMMYFUNCTION("""COMPUTED_VALUE"""),43390.0)</f>
        <v>43390</v>
      </c>
      <c r="AB204" s="38">
        <f>IFERROR(__xludf.DUMMYFUNCTION("""COMPUTED_VALUE"""),43397.0)</f>
        <v>43397</v>
      </c>
      <c r="AH204" t="str">
        <f>IFERROR(__xludf.DUMMYFUNCTION("""COMPUTED_VALUE"""),"PROCESO DE SELECCIÓN")</f>
        <v>PROCESO DE SELECCIÓN</v>
      </c>
      <c r="AI204" t="str">
        <f>IFERROR(__xludf.DUMMYFUNCTION("""COMPUTED_VALUE"""),"CEBALLOS TRABUCCO MARIA")</f>
        <v>CEBALLOS TRABUCCO MARIA</v>
      </c>
      <c r="AK204" t="str">
        <f>IFERROR(__xludf.DUMMYFUNCTION("""COMPUTED_VALUE"""),"E")</f>
        <v>E</v>
      </c>
      <c r="AL204">
        <f>IFERROR(__xludf.DUMMYFUNCTION("""COMPUTED_VALUE"""),94.0)</f>
        <v>94</v>
      </c>
      <c r="AM204">
        <f>IFERROR(__xludf.DUMMYFUNCTION("""COMPUTED_VALUE"""),2018.0)</f>
        <v>2018</v>
      </c>
    </row>
    <row r="205">
      <c r="A205">
        <f>IFERROR(__xludf.DUMMYFUNCTION("""COMPUTED_VALUE"""),1.5929844E7)</f>
        <v>15929844</v>
      </c>
      <c r="B205">
        <f>IFERROR(__xludf.DUMMYFUNCTION("""COMPUTED_VALUE"""),108.0)</f>
        <v>108</v>
      </c>
      <c r="C205" t="str">
        <f>IFERROR(__xludf.DUMMYFUNCTION("""COMPUTED_VALUE"""),"A160")</f>
        <v>A160</v>
      </c>
      <c r="D205" t="str">
        <f>IFERROR(__xludf.DUMMYFUNCTION("""COMPUTED_VALUE"""),"INGRESAR CENTRO DE COSTO A LA DERECHA")</f>
        <v>INGRESAR CENTRO DE COSTO A LA DERECHA</v>
      </c>
      <c r="E205" t="str">
        <f>IFERROR(__xludf.DUMMYFUNCTION("""COMPUTED_VALUE"""),"DPTO. DE FISICA")</f>
        <v>DPTO. DE FISICA</v>
      </c>
      <c r="F205" t="str">
        <f>IFERROR(__xludf.DUMMYFUNCTION("""COMPUTED_VALUE"""),"Analista de Gestión I")</f>
        <v>Analista de Gestión I</v>
      </c>
      <c r="G205" t="str">
        <f>IFERROR(__xludf.DUMMYFUNCTION("""COMPUTED_VALUE"""),"ANALISTA DE GESTION I")</f>
        <v>ANALISTA DE GESTION I</v>
      </c>
      <c r="H205">
        <f>IFERROR(__xludf.DUMMYFUNCTION("""COMPUTED_VALUE"""),10.0)</f>
        <v>10</v>
      </c>
      <c r="I205" t="str">
        <f>IFERROR(__xludf.DUMMYFUNCTION("""COMPUTED_VALUE"""),"Jornada Completa")</f>
        <v>Jornada Completa</v>
      </c>
      <c r="J205" t="str">
        <f>IFERROR(__xludf.DUMMYFUNCTION("""COMPUTED_VALUE"""),"A CONTRATA")</f>
        <v>A CONTRATA</v>
      </c>
      <c r="K205" t="str">
        <f>IFERROR(__xludf.DUMMYFUNCTION("""COMPUTED_VALUE"""),"PROFESIONAL")</f>
        <v>PROFESIONAL</v>
      </c>
      <c r="L205" t="str">
        <f>IFERROR(__xludf.DUMMYFUNCTION("""COMPUTED_VALUE"""),"INTERNO")</f>
        <v>INTERNO</v>
      </c>
      <c r="M205">
        <f>IFERROR(__xludf.DUMMYFUNCTION("""COMPUTED_VALUE"""),0.0)</f>
        <v>0</v>
      </c>
      <c r="N205" t="str">
        <f>IFERROR(__xludf.DUMMYFUNCTION("""COMPUTED_VALUE"""),"EXTERNO")</f>
        <v>EXTERNO</v>
      </c>
      <c r="O205">
        <f>IFERROR(__xludf.DUMMYFUNCTION("""COMPUTED_VALUE"""),3.0)</f>
        <v>3</v>
      </c>
      <c r="P205">
        <f>IFERROR(__xludf.DUMMYFUNCTION("""COMPUTED_VALUE"""),2.0)</f>
        <v>2</v>
      </c>
      <c r="Q205">
        <f>IFERROR(__xludf.DUMMYFUNCTION("""COMPUTED_VALUE"""),0.0)</f>
        <v>0</v>
      </c>
      <c r="R205" s="45" t="str">
        <f>IFERROR(__xludf.DUMMYFUNCTION("""COMPUTED_VALUE"""),"SELECCIONADA")</f>
        <v>SELECCIONADA</v>
      </c>
      <c r="S205" s="38">
        <f>IFERROR(__xludf.DUMMYFUNCTION("""COMPUTED_VALUE"""),43528.0)</f>
        <v>43528</v>
      </c>
      <c r="U205" t="str">
        <f>IFERROR(__xludf.DUMMYFUNCTION("""COMPUTED_VALUE"""),"PASCAL TORO LAGOS")</f>
        <v>PASCAL TORO LAGOS</v>
      </c>
      <c r="V205" t="str">
        <f>IFERROR(__xludf.DUMMYFUNCTION("""COMPUTED_VALUE"""),"15929844-1")</f>
        <v>15929844-1</v>
      </c>
      <c r="W205" t="str">
        <f>IFERROR(__xludf.DUMMYFUNCTION("""COMPUTED_VALUE"""),"NO")</f>
        <v>NO</v>
      </c>
      <c r="AA205" s="38">
        <f>IFERROR(__xludf.DUMMYFUNCTION("""COMPUTED_VALUE"""),43451.0)</f>
        <v>43451</v>
      </c>
      <c r="AB205" s="38">
        <f>IFERROR(__xludf.DUMMYFUNCTION("""COMPUTED_VALUE"""),43458.0)</f>
        <v>43458</v>
      </c>
      <c r="AH205" t="str">
        <f>IFERROR(__xludf.DUMMYFUNCTION("""COMPUTED_VALUE"""),"PROCESO DE SELECCIÓN")</f>
        <v>PROCESO DE SELECCIÓN</v>
      </c>
      <c r="AI205" t="str">
        <f>IFERROR(__xludf.DUMMYFUNCTION("""COMPUTED_VALUE""")," - ")</f>
        <v> - </v>
      </c>
      <c r="AK205" t="str">
        <f>IFERROR(__xludf.DUMMYFUNCTION("""COMPUTED_VALUE"""),"E")</f>
        <v>E</v>
      </c>
      <c r="AL205">
        <f>IFERROR(__xludf.DUMMYFUNCTION("""COMPUTED_VALUE"""),51.0)</f>
        <v>51</v>
      </c>
      <c r="AM205">
        <f>IFERROR(__xludf.DUMMYFUNCTION("""COMPUTED_VALUE"""),2018.0)</f>
        <v>2018</v>
      </c>
    </row>
    <row r="206">
      <c r="A206">
        <f>IFERROR(__xludf.DUMMYFUNCTION("""COMPUTED_VALUE"""),1.5415292E7)</f>
        <v>15415292</v>
      </c>
      <c r="B206">
        <f>IFERROR(__xludf.DUMMYFUNCTION("""COMPUTED_VALUE"""),109.0)</f>
        <v>109</v>
      </c>
      <c r="C206" t="str">
        <f>IFERROR(__xludf.DUMMYFUNCTION("""COMPUTED_VALUE"""),"IR2018-37")</f>
        <v>IR2018-37</v>
      </c>
      <c r="D206" t="str">
        <f>IFERROR(__xludf.DUMMYFUNCTION("""COMPUTED_VALUE"""),"INGRESAR CENTRO DE COSTO A LA DERECHA")</f>
        <v>INGRESAR CENTRO DE COSTO A LA DERECHA</v>
      </c>
      <c r="E206" t="str">
        <f>IFERROR(__xludf.DUMMYFUNCTION("""COMPUTED_VALUE"""),"FACULTAD DE INGENIERIA")</f>
        <v>FACULTAD DE INGENIERIA</v>
      </c>
      <c r="F206" t="str">
        <f>IFERROR(__xludf.DUMMYFUNCTION("""COMPUTED_VALUE"""),"Jefe(a) de Finanzas")</f>
        <v>Jefe(a) de Finanzas</v>
      </c>
      <c r="G206" t="str">
        <f>IFERROR(__xludf.DUMMYFUNCTION("""COMPUTED_VALUE"""),"JEFA DE FINANZAS")</f>
        <v>JEFA DE FINANZAS</v>
      </c>
      <c r="H206">
        <f>IFERROR(__xludf.DUMMYFUNCTION("""COMPUTED_VALUE"""),10.0)</f>
        <v>10</v>
      </c>
      <c r="I206" t="str">
        <f>IFERROR(__xludf.DUMMYFUNCTION("""COMPUTED_VALUE"""),"Jornada Completa")</f>
        <v>Jornada Completa</v>
      </c>
      <c r="J206" t="str">
        <f>IFERROR(__xludf.DUMMYFUNCTION("""COMPUTED_VALUE"""),"A CONTRATA")</f>
        <v>A CONTRATA</v>
      </c>
      <c r="K206" t="str">
        <f>IFERROR(__xludf.DUMMYFUNCTION("""COMPUTED_VALUE"""),"PROFESIONAL")</f>
        <v>PROFESIONAL</v>
      </c>
      <c r="L206" t="str">
        <f>IFERROR(__xludf.DUMMYFUNCTION("""COMPUTED_VALUE"""),"INTERNO")</f>
        <v>INTERNO</v>
      </c>
      <c r="M206">
        <f>IFERROR(__xludf.DUMMYFUNCTION("""COMPUTED_VALUE"""),2.0)</f>
        <v>2</v>
      </c>
      <c r="N206" t="str">
        <f>IFERROR(__xludf.DUMMYFUNCTION("""COMPUTED_VALUE"""),"NO")</f>
        <v>NO</v>
      </c>
      <c r="O206">
        <f>IFERROR(__xludf.DUMMYFUNCTION("""COMPUTED_VALUE"""),0.0)</f>
        <v>0</v>
      </c>
      <c r="P206">
        <f>IFERROR(__xludf.DUMMYFUNCTION("""COMPUTED_VALUE"""),1.0)</f>
        <v>1</v>
      </c>
      <c r="Q206">
        <f>IFERROR(__xludf.DUMMYFUNCTION("""COMPUTED_VALUE"""),0.0)</f>
        <v>0</v>
      </c>
      <c r="R206" s="45" t="str">
        <f>IFERROR(__xludf.DUMMYFUNCTION("""COMPUTED_VALUE"""),"SELECCIONADA")</f>
        <v>SELECCIONADA</v>
      </c>
      <c r="S206" s="38">
        <f>IFERROR(__xludf.DUMMYFUNCTION("""COMPUTED_VALUE"""),43528.0)</f>
        <v>43528</v>
      </c>
      <c r="T206" t="str">
        <f>IFERROR(__xludf.DUMMYFUNCTION("""COMPUTED_VALUE"""),"DIAZ DIAZ BERNARDA DEL CARMEN")</f>
        <v>DIAZ DIAZ BERNARDA DEL CARMEN</v>
      </c>
      <c r="V206" t="str">
        <f>IFERROR(__xludf.DUMMYFUNCTION("""COMPUTED_VALUE"""),"15415292-K")</f>
        <v>15415292-K</v>
      </c>
      <c r="W206" t="str">
        <f>IFERROR(__xludf.DUMMYFUNCTION("""COMPUTED_VALUE"""),"SI")</f>
        <v>SI</v>
      </c>
      <c r="X206" t="str">
        <f>IFERROR(__xludf.DUMMYFUNCTION("""COMPUTED_VALUE"""),"Capacidad de Planificacion y Organizacion")</f>
        <v>Capacidad de Planificacion y Organizacion</v>
      </c>
      <c r="Y206" t="str">
        <f>IFERROR(__xludf.DUMMYFUNCTION("""COMPUTED_VALUE"""),"Trabajo en Equipo")</f>
        <v>Trabajo en Equipo</v>
      </c>
      <c r="AA206" s="38">
        <f>IFERROR(__xludf.DUMMYFUNCTION("""COMPUTED_VALUE"""),43409.0)</f>
        <v>43409</v>
      </c>
      <c r="AB206" s="38">
        <f>IFERROR(__xludf.DUMMYFUNCTION("""COMPUTED_VALUE"""),43416.0)</f>
        <v>43416</v>
      </c>
      <c r="AH206" t="str">
        <f>IFERROR(__xludf.DUMMYFUNCTION("""COMPUTED_VALUE"""),"PROCESO DE SELECCIÓN")</f>
        <v>PROCESO DE SELECCIÓN</v>
      </c>
      <c r="AI206" t="str">
        <f>IFERROR(__xludf.DUMMYFUNCTION("""COMPUTED_VALUE"""),"SUAZO COZ MARIA")</f>
        <v>SUAZO COZ MARIA</v>
      </c>
      <c r="AK206" t="str">
        <f>IFERROR(__xludf.DUMMYFUNCTION("""COMPUTED_VALUE"""),"C")</f>
        <v>C</v>
      </c>
      <c r="AL206">
        <f>IFERROR(__xludf.DUMMYFUNCTION("""COMPUTED_VALUE"""),81.0)</f>
        <v>81</v>
      </c>
      <c r="AM206">
        <f>IFERROR(__xludf.DUMMYFUNCTION("""COMPUTED_VALUE"""),2018.0)</f>
        <v>2018</v>
      </c>
    </row>
    <row r="207">
      <c r="A207">
        <f>IFERROR(__xludf.DUMMYFUNCTION("""COMPUTED_VALUE"""),1.0655081E7)</f>
        <v>10655081</v>
      </c>
      <c r="B207">
        <f>IFERROR(__xludf.DUMMYFUNCTION("""COMPUTED_VALUE"""),110.0)</f>
        <v>110</v>
      </c>
      <c r="C207" t="str">
        <f>IFERROR(__xludf.DUMMYFUNCTION("""COMPUTED_VALUE"""),"A245")</f>
        <v>A245</v>
      </c>
      <c r="D207" t="str">
        <f>IFERROR(__xludf.DUMMYFUNCTION("""COMPUTED_VALUE"""),"INGRESAR CENTRO DE COSTO A LA DERECHA")</f>
        <v>INGRESAR CENTRO DE COSTO A LA DERECHA</v>
      </c>
      <c r="E207" t="str">
        <f>IFERROR(__xludf.DUMMYFUNCTION("""COMPUTED_VALUE"""),"UNIDAD DE GESTION DEL CAMPUS")</f>
        <v>UNIDAD DE GESTION DEL CAMPUS</v>
      </c>
      <c r="F207" t="str">
        <f>IFERROR(__xludf.DUMMYFUNCTION("""COMPUTED_VALUE"""),"Jefe(a) de Sección")</f>
        <v>Jefe(a) de Sección</v>
      </c>
      <c r="G207" t="str">
        <f>IFERROR(__xludf.DUMMYFUNCTION("""COMPUTED_VALUE"""),"JEFE DE SECCION VIGILANCIA Y SEGURIDAD")</f>
        <v>JEFE DE SECCION VIGILANCIA Y SEGURIDAD</v>
      </c>
      <c r="H207">
        <f>IFERROR(__xludf.DUMMYFUNCTION("""COMPUTED_VALUE"""),10.0)</f>
        <v>10</v>
      </c>
      <c r="I207" t="str">
        <f>IFERROR(__xludf.DUMMYFUNCTION("""COMPUTED_VALUE"""),"Jornada Completa")</f>
        <v>Jornada Completa</v>
      </c>
      <c r="J207" t="str">
        <f>IFERROR(__xludf.DUMMYFUNCTION("""COMPUTED_VALUE"""),"A CONTRATA")</f>
        <v>A CONTRATA</v>
      </c>
      <c r="K207" t="str">
        <f>IFERROR(__xludf.DUMMYFUNCTION("""COMPUTED_VALUE"""),"PROFESIONAL")</f>
        <v>PROFESIONAL</v>
      </c>
      <c r="L207" t="str">
        <f>IFERROR(__xludf.DUMMYFUNCTION("""COMPUTED_VALUE"""),"INTERNO")</f>
        <v>INTERNO</v>
      </c>
      <c r="M207">
        <f>IFERROR(__xludf.DUMMYFUNCTION("""COMPUTED_VALUE"""),2.0)</f>
        <v>2</v>
      </c>
      <c r="N207" t="str">
        <f>IFERROR(__xludf.DUMMYFUNCTION("""COMPUTED_VALUE"""),"NO")</f>
        <v>NO</v>
      </c>
      <c r="O207">
        <f>IFERROR(__xludf.DUMMYFUNCTION("""COMPUTED_VALUE"""),8.0)</f>
        <v>8</v>
      </c>
      <c r="P207">
        <f>IFERROR(__xludf.DUMMYFUNCTION("""COMPUTED_VALUE"""),3.0)</f>
        <v>3</v>
      </c>
      <c r="Q207">
        <f>IFERROR(__xludf.DUMMYFUNCTION("""COMPUTED_VALUE"""),0.0)</f>
        <v>0</v>
      </c>
      <c r="R207" s="45" t="str">
        <f>IFERROR(__xludf.DUMMYFUNCTION("""COMPUTED_VALUE"""),"SELECCIONADO")</f>
        <v>SELECCIONADO</v>
      </c>
      <c r="S207" s="38">
        <f>IFERROR(__xludf.DUMMYFUNCTION("""COMPUTED_VALUE"""),43536.0)</f>
        <v>43536</v>
      </c>
      <c r="T207" t="str">
        <f>IFERROR(__xludf.DUMMYFUNCTION("""COMPUTED_VALUE"""),"DURAN MOYA RENATO")</f>
        <v>DURAN MOYA RENATO</v>
      </c>
      <c r="V207" t="str">
        <f>IFERROR(__xludf.DUMMYFUNCTION("""COMPUTED_VALUE"""),"10655081-6")</f>
        <v>10655081-6</v>
      </c>
      <c r="W207" t="str">
        <f>IFERROR(__xludf.DUMMYFUNCTION("""COMPUTED_VALUE"""),"NO")</f>
        <v>NO</v>
      </c>
      <c r="AA207" s="38">
        <f>IFERROR(__xludf.DUMMYFUNCTION("""COMPUTED_VALUE"""),43444.0)</f>
        <v>43444</v>
      </c>
      <c r="AB207" s="38">
        <f>IFERROR(__xludf.DUMMYFUNCTION("""COMPUTED_VALUE"""),43451.0)</f>
        <v>43451</v>
      </c>
      <c r="AH207" t="str">
        <f>IFERROR(__xludf.DUMMYFUNCTION("""COMPUTED_VALUE"""),"PROCESO DE SELECCIÓN")</f>
        <v>PROCESO DE SELECCIÓN</v>
      </c>
      <c r="AI207" t="str">
        <f>IFERROR(__xludf.DUMMYFUNCTION("""COMPUTED_VALUE"""),"VALENZUELA LORCA MANUEL")</f>
        <v>VALENZUELA LORCA MANUEL</v>
      </c>
      <c r="AK207" t="str">
        <f>IFERROR(__xludf.DUMMYFUNCTION("""COMPUTED_VALUE"""),"C")</f>
        <v>C</v>
      </c>
      <c r="AL207">
        <f>IFERROR(__xludf.DUMMYFUNCTION("""COMPUTED_VALUE"""),62.0)</f>
        <v>62</v>
      </c>
      <c r="AM207">
        <f>IFERROR(__xludf.DUMMYFUNCTION("""COMPUTED_VALUE"""),2018.0)</f>
        <v>2018</v>
      </c>
    </row>
    <row r="208">
      <c r="A208">
        <f>IFERROR(__xludf.DUMMYFUNCTION("""COMPUTED_VALUE"""),1.2578312E7)</f>
        <v>12578312</v>
      </c>
      <c r="B208">
        <f>IFERROR(__xludf.DUMMYFUNCTION("""COMPUTED_VALUE"""),111.0)</f>
        <v>111</v>
      </c>
      <c r="C208" t="str">
        <f>IFERROR(__xludf.DUMMYFUNCTION("""COMPUTED_VALUE"""),"ACTA019-06")</f>
        <v>ACTA019-06</v>
      </c>
      <c r="D208" t="str">
        <f>IFERROR(__xludf.DUMMYFUNCTION("""COMPUTED_VALUE"""),"INGRESAR CENTRO DE COSTO A LA DERECHA")</f>
        <v>INGRESAR CENTRO DE COSTO A LA DERECHA</v>
      </c>
      <c r="E208" t="str">
        <f>IFERROR(__xludf.DUMMYFUNCTION("""COMPUTED_VALUE"""),"DPTO. DE FINANZAS Y TESORERIA")</f>
        <v>DPTO. DE FINANZAS Y TESORERIA</v>
      </c>
      <c r="F208" t="str">
        <f>IFERROR(__xludf.DUMMYFUNCTION("""COMPUTED_VALUE"""),"Jefe(a) de Área")</f>
        <v>Jefe(a) de Área</v>
      </c>
      <c r="G208" t="str">
        <f>IFERROR(__xludf.DUMMYFUNCTION("""COMPUTED_VALUE"""),"JEFE DE AREA CONTABILIDAD")</f>
        <v>JEFE DE AREA CONTABILIDAD</v>
      </c>
      <c r="H208">
        <f>IFERROR(__xludf.DUMMYFUNCTION("""COMPUTED_VALUE"""),8.0)</f>
        <v>8</v>
      </c>
      <c r="I208" t="str">
        <f>IFERROR(__xludf.DUMMYFUNCTION("""COMPUTED_VALUE"""),"Jornada Completa")</f>
        <v>Jornada Completa</v>
      </c>
      <c r="J208" t="str">
        <f>IFERROR(__xludf.DUMMYFUNCTION("""COMPUTED_VALUE"""),"A CONTRATA")</f>
        <v>A CONTRATA</v>
      </c>
      <c r="K208" t="str">
        <f>IFERROR(__xludf.DUMMYFUNCTION("""COMPUTED_VALUE"""),"PROFESIONAL")</f>
        <v>PROFESIONAL</v>
      </c>
      <c r="L208" t="str">
        <f>IFERROR(__xludf.DUMMYFUNCTION("""COMPUTED_VALUE"""),"INTERNO")</f>
        <v>INTERNO</v>
      </c>
      <c r="M208">
        <f>IFERROR(__xludf.DUMMYFUNCTION("""COMPUTED_VALUE"""),2.0)</f>
        <v>2</v>
      </c>
      <c r="N208" t="str">
        <f>IFERROR(__xludf.DUMMYFUNCTION("""COMPUTED_VALUE"""),"NO")</f>
        <v>NO</v>
      </c>
      <c r="O208">
        <f>IFERROR(__xludf.DUMMYFUNCTION("""COMPUTED_VALUE"""),0.0)</f>
        <v>0</v>
      </c>
      <c r="P208">
        <f>IFERROR(__xludf.DUMMYFUNCTION("""COMPUTED_VALUE"""),2.0)</f>
        <v>2</v>
      </c>
      <c r="Q208">
        <f>IFERROR(__xludf.DUMMYFUNCTION("""COMPUTED_VALUE"""),0.0)</f>
        <v>0</v>
      </c>
      <c r="R208" s="45" t="str">
        <f>IFERROR(__xludf.DUMMYFUNCTION("""COMPUTED_VALUE"""),"SELECCIONADO")</f>
        <v>SELECCIONADO</v>
      </c>
      <c r="S208" s="38">
        <f>IFERROR(__xludf.DUMMYFUNCTION("""COMPUTED_VALUE"""),43543.0)</f>
        <v>43543</v>
      </c>
      <c r="T208" t="str">
        <f>IFERROR(__xludf.DUMMYFUNCTION("""COMPUTED_VALUE"""),"SAAVEDRA DONOSO CRISTIAN EDUARDO")</f>
        <v>SAAVEDRA DONOSO CRISTIAN EDUARDO</v>
      </c>
      <c r="V208" t="str">
        <f>IFERROR(__xludf.DUMMYFUNCTION("""COMPUTED_VALUE"""),"12578312-0")</f>
        <v>12578312-0</v>
      </c>
      <c r="AA208" s="38">
        <f>IFERROR(__xludf.DUMMYFUNCTION("""COMPUTED_VALUE"""),43483.0)</f>
        <v>43483</v>
      </c>
      <c r="AB208" s="38">
        <f>IFERROR(__xludf.DUMMYFUNCTION("""COMPUTED_VALUE"""),43489.0)</f>
        <v>43489</v>
      </c>
      <c r="AH208" t="str">
        <f>IFERROR(__xludf.DUMMYFUNCTION("""COMPUTED_VALUE"""),"PROCESO DE SELECCIÓN")</f>
        <v>PROCESO DE SELECCIÓN</v>
      </c>
      <c r="AK208" t="str">
        <f>IFERROR(__xludf.DUMMYFUNCTION("""COMPUTED_VALUE"""),"P")</f>
        <v>P</v>
      </c>
      <c r="AL208">
        <f>IFERROR(__xludf.DUMMYFUNCTION("""COMPUTED_VALUE"""),39.0)</f>
        <v>39</v>
      </c>
      <c r="AM208">
        <f>IFERROR(__xludf.DUMMYFUNCTION("""COMPUTED_VALUE"""),2018.0)</f>
        <v>2018</v>
      </c>
    </row>
    <row r="209">
      <c r="A209">
        <f>IFERROR(__xludf.DUMMYFUNCTION("""COMPUTED_VALUE"""),9063120.0)</f>
        <v>9063120</v>
      </c>
      <c r="B209">
        <f>IFERROR(__xludf.DUMMYFUNCTION("""COMPUTED_VALUE"""),112.0)</f>
        <v>112</v>
      </c>
      <c r="C209" t="str">
        <f>IFERROR(__xludf.DUMMYFUNCTION("""COMPUTED_VALUE"""),"ACTA2019-17")</f>
        <v>ACTA2019-17</v>
      </c>
      <c r="D209" t="str">
        <f>IFERROR(__xludf.DUMMYFUNCTION("""COMPUTED_VALUE"""),"INGRESAR CENTRO DE COSTO A LA DERECHA")</f>
        <v>INGRESAR CENTRO DE COSTO A LA DERECHA</v>
      </c>
      <c r="E209" t="str">
        <f>IFERROR(__xludf.DUMMYFUNCTION("""COMPUTED_VALUE"""),"FACULTAD DE ADMINIST Y ECONOMI")</f>
        <v>FACULTAD DE ADMINIST Y ECONOMI</v>
      </c>
      <c r="F209" t="str">
        <f>IFERROR(__xludf.DUMMYFUNCTION("""COMPUTED_VALUE"""),"Encargado(a) de Vinculación con el Medio")</f>
        <v>Encargado(a) de Vinculación con el Medio</v>
      </c>
      <c r="G209" t="str">
        <f>IFERROR(__xludf.DUMMYFUNCTION("""COMPUTED_VALUE"""),"ENCARGADA DE VINCULACION CON EL MEDIO")</f>
        <v>ENCARGADA DE VINCULACION CON EL MEDIO</v>
      </c>
      <c r="H209">
        <f>IFERROR(__xludf.DUMMYFUNCTION("""COMPUTED_VALUE"""),13.0)</f>
        <v>13</v>
      </c>
      <c r="I209" t="str">
        <f>IFERROR(__xludf.DUMMYFUNCTION("""COMPUTED_VALUE"""),"Jornada Completa")</f>
        <v>Jornada Completa</v>
      </c>
      <c r="J209" t="str">
        <f>IFERROR(__xludf.DUMMYFUNCTION("""COMPUTED_VALUE"""),"A CONTRATA")</f>
        <v>A CONTRATA</v>
      </c>
      <c r="K209" t="str">
        <f>IFERROR(__xludf.DUMMYFUNCTION("""COMPUTED_VALUE"""),"PROFESIONAL")</f>
        <v>PROFESIONAL</v>
      </c>
      <c r="L209" t="str">
        <f>IFERROR(__xludf.DUMMYFUNCTION("""COMPUTED_VALUE"""),"INTERNO")</f>
        <v>INTERNO</v>
      </c>
      <c r="M209">
        <f>IFERROR(__xludf.DUMMYFUNCTION("""COMPUTED_VALUE"""),1.0)</f>
        <v>1</v>
      </c>
      <c r="N209" t="str">
        <f>IFERROR(__xludf.DUMMYFUNCTION("""COMPUTED_VALUE"""),"NO")</f>
        <v>NO</v>
      </c>
      <c r="O209">
        <f>IFERROR(__xludf.DUMMYFUNCTION("""COMPUTED_VALUE"""),0.0)</f>
        <v>0</v>
      </c>
      <c r="P209">
        <f>IFERROR(__xludf.DUMMYFUNCTION("""COMPUTED_VALUE"""),1.0)</f>
        <v>1</v>
      </c>
      <c r="Q209">
        <f>IFERROR(__xludf.DUMMYFUNCTION("""COMPUTED_VALUE"""),0.0)</f>
        <v>0</v>
      </c>
      <c r="R209" s="45" t="str">
        <f>IFERROR(__xludf.DUMMYFUNCTION("""COMPUTED_VALUE"""),"SELECCIONADA")</f>
        <v>SELECCIONADA</v>
      </c>
      <c r="S209" s="38">
        <f>IFERROR(__xludf.DUMMYFUNCTION("""COMPUTED_VALUE"""),43551.0)</f>
        <v>43551</v>
      </c>
      <c r="T209" t="str">
        <f>IFERROR(__xludf.DUMMYFUNCTION("""COMPUTED_VALUE"""),"DEL CAMPO ESCARATE MARIA VALENTINA")</f>
        <v>DEL CAMPO ESCARATE MARIA VALENTINA</v>
      </c>
      <c r="V209" t="str">
        <f>IFERROR(__xludf.DUMMYFUNCTION("""COMPUTED_VALUE"""),"9063120-9")</f>
        <v>9063120-9</v>
      </c>
      <c r="W209" t="str">
        <f>IFERROR(__xludf.DUMMYFUNCTION("""COMPUTED_VALUE"""),"NO")</f>
        <v>NO</v>
      </c>
      <c r="AA209" s="38">
        <f>IFERROR(__xludf.DUMMYFUNCTION("""COMPUTED_VALUE"""),43474.0)</f>
        <v>43474</v>
      </c>
      <c r="AB209" s="38">
        <f>IFERROR(__xludf.DUMMYFUNCTION("""COMPUTED_VALUE"""),43481.0)</f>
        <v>43481</v>
      </c>
      <c r="AH209" t="str">
        <f>IFERROR(__xludf.DUMMYFUNCTION("""COMPUTED_VALUE"""),"PROCESO DE SELECCIÓN")</f>
        <v>PROCESO DE SELECCIÓN</v>
      </c>
      <c r="AI209" t="str">
        <f>IFERROR(__xludf.DUMMYFUNCTION("""COMPUTED_VALUE"""),"CORONADO JARA JOSE")</f>
        <v>CORONADO JARA JOSE</v>
      </c>
      <c r="AK209" t="str">
        <f>IFERROR(__xludf.DUMMYFUNCTION("""COMPUTED_VALUE"""),"P")</f>
        <v>P</v>
      </c>
      <c r="AL209">
        <f>IFERROR(__xludf.DUMMYFUNCTION("""COMPUTED_VALUE"""),51.0)</f>
        <v>51</v>
      </c>
      <c r="AM209">
        <f>IFERROR(__xludf.DUMMYFUNCTION("""COMPUTED_VALUE"""),2018.0)</f>
        <v>2018</v>
      </c>
    </row>
    <row r="210">
      <c r="A210">
        <f>IFERROR(__xludf.DUMMYFUNCTION("""COMPUTED_VALUE"""),8056884.0)</f>
        <v>8056884</v>
      </c>
      <c r="B210">
        <f>IFERROR(__xludf.DUMMYFUNCTION("""COMPUTED_VALUE"""),113.0)</f>
        <v>113</v>
      </c>
      <c r="C210" t="str">
        <f>IFERROR(__xludf.DUMMYFUNCTION("""COMPUTED_VALUE"""),"ACTA2019-18")</f>
        <v>ACTA2019-18</v>
      </c>
      <c r="D210" t="str">
        <f>IFERROR(__xludf.DUMMYFUNCTION("""COMPUTED_VALUE"""),"INGRESAR CENTRO DE COSTO A LA DERECHA")</f>
        <v>INGRESAR CENTRO DE COSTO A LA DERECHA</v>
      </c>
      <c r="E210" t="str">
        <f>IFERROR(__xludf.DUMMYFUNCTION("""COMPUTED_VALUE"""),"FACULTAD DE ADMINIST Y ECONOMI")</f>
        <v>FACULTAD DE ADMINIST Y ECONOMI</v>
      </c>
      <c r="F210" t="str">
        <f>IFERROR(__xludf.DUMMYFUNCTION("""COMPUTED_VALUE"""),"Analista de Gestión II")</f>
        <v>Analista de Gestión II</v>
      </c>
      <c r="G210" t="str">
        <f>IFERROR(__xludf.DUMMYFUNCTION("""COMPUTED_VALUE"""),"ANALISTA DE GESTION II")</f>
        <v>ANALISTA DE GESTION II</v>
      </c>
      <c r="H210">
        <f>IFERROR(__xludf.DUMMYFUNCTION("""COMPUTED_VALUE"""),13.0)</f>
        <v>13</v>
      </c>
      <c r="I210" t="str">
        <f>IFERROR(__xludf.DUMMYFUNCTION("""COMPUTED_VALUE"""),"Jornada Completa")</f>
        <v>Jornada Completa</v>
      </c>
      <c r="J210" t="str">
        <f>IFERROR(__xludf.DUMMYFUNCTION("""COMPUTED_VALUE"""),"A CONTRATA")</f>
        <v>A CONTRATA</v>
      </c>
      <c r="K210" t="str">
        <f>IFERROR(__xludf.DUMMYFUNCTION("""COMPUTED_VALUE"""),"PROFESIONAL")</f>
        <v>PROFESIONAL</v>
      </c>
      <c r="L210" t="str">
        <f>IFERROR(__xludf.DUMMYFUNCTION("""COMPUTED_VALUE"""),"INTERNO")</f>
        <v>INTERNO</v>
      </c>
      <c r="M210">
        <f>IFERROR(__xludf.DUMMYFUNCTION("""COMPUTED_VALUE"""),7.0)</f>
        <v>7</v>
      </c>
      <c r="N210" t="str">
        <f>IFERROR(__xludf.DUMMYFUNCTION("""COMPUTED_VALUE"""),"NO")</f>
        <v>NO</v>
      </c>
      <c r="O210">
        <f>IFERROR(__xludf.DUMMYFUNCTION("""COMPUTED_VALUE"""),0.0)</f>
        <v>0</v>
      </c>
      <c r="P210">
        <f>IFERROR(__xludf.DUMMYFUNCTION("""COMPUTED_VALUE"""),1.0)</f>
        <v>1</v>
      </c>
      <c r="Q210">
        <f>IFERROR(__xludf.DUMMYFUNCTION("""COMPUTED_VALUE"""),0.0)</f>
        <v>0</v>
      </c>
      <c r="R210" s="45" t="str">
        <f>IFERROR(__xludf.DUMMYFUNCTION("""COMPUTED_VALUE"""),"SELECCIONADA")</f>
        <v>SELECCIONADA</v>
      </c>
      <c r="S210" s="38">
        <f>IFERROR(__xludf.DUMMYFUNCTION("""COMPUTED_VALUE"""),43551.0)</f>
        <v>43551</v>
      </c>
      <c r="T210" t="str">
        <f>IFERROR(__xludf.DUMMYFUNCTION("""COMPUTED_VALUE"""),"ORTUZAR JIMENEZ JULIA")</f>
        <v>ORTUZAR JIMENEZ JULIA</v>
      </c>
      <c r="V210" t="str">
        <f>IFERROR(__xludf.DUMMYFUNCTION("""COMPUTED_VALUE"""),"8056884-3")</f>
        <v>8056884-3</v>
      </c>
      <c r="W210" t="str">
        <f>IFERROR(__xludf.DUMMYFUNCTION("""COMPUTED_VALUE"""),"SI")</f>
        <v>SI</v>
      </c>
      <c r="X210" t="str">
        <f>IFERROR(__xludf.DUMMYFUNCTION("""COMPUTED_VALUE"""),"Capacidad de Planificacion y Organizacion")</f>
        <v>Capacidad de Planificacion y Organizacion</v>
      </c>
      <c r="AA210" s="38">
        <f>IFERROR(__xludf.DUMMYFUNCTION("""COMPUTED_VALUE"""),43474.0)</f>
        <v>43474</v>
      </c>
      <c r="AB210" s="38">
        <f>IFERROR(__xludf.DUMMYFUNCTION("""COMPUTED_VALUE"""),43481.0)</f>
        <v>43481</v>
      </c>
      <c r="AH210" t="str">
        <f>IFERROR(__xludf.DUMMYFUNCTION("""COMPUTED_VALUE"""),"PROCESO DE SELECCIÓN")</f>
        <v>PROCESO DE SELECCIÓN</v>
      </c>
      <c r="AI210" t="str">
        <f>IFERROR(__xludf.DUMMYFUNCTION("""COMPUTED_VALUE"""),"WELTE KERN ERIKA")</f>
        <v>WELTE KERN ERIKA</v>
      </c>
      <c r="AK210" t="str">
        <f>IFERROR(__xludf.DUMMYFUNCTION("""COMPUTED_VALUE"""),"P")</f>
        <v>P</v>
      </c>
      <c r="AL210">
        <f>IFERROR(__xludf.DUMMYFUNCTION("""COMPUTED_VALUE"""),51.0)</f>
        <v>51</v>
      </c>
      <c r="AM210">
        <f>IFERROR(__xludf.DUMMYFUNCTION("""COMPUTED_VALUE"""),2018.0)</f>
        <v>2018</v>
      </c>
    </row>
    <row r="211">
      <c r="A211">
        <f>IFERROR(__xludf.DUMMYFUNCTION("""COMPUTED_VALUE"""),1.8085414E7)</f>
        <v>18085414</v>
      </c>
      <c r="B211">
        <f>IFERROR(__xludf.DUMMYFUNCTION("""COMPUTED_VALUE"""),114.0)</f>
        <v>114</v>
      </c>
      <c r="C211" t="str">
        <f>IFERROR(__xludf.DUMMYFUNCTION("""COMPUTED_VALUE"""),"ACTA2019-19")</f>
        <v>ACTA2019-19</v>
      </c>
      <c r="D211" t="str">
        <f>IFERROR(__xludf.DUMMYFUNCTION("""COMPUTED_VALUE"""),"INGRESAR CENTRO DE COSTO A LA DERECHA")</f>
        <v>INGRESAR CENTRO DE COSTO A LA DERECHA</v>
      </c>
      <c r="E211" t="str">
        <f>IFERROR(__xludf.DUMMYFUNCTION("""COMPUTED_VALUE"""),"FACULTAD DE ADMINIST Y ECONOMI")</f>
        <v>FACULTAD DE ADMINIST Y ECONOMI</v>
      </c>
      <c r="F211" t="str">
        <f>IFERROR(__xludf.DUMMYFUNCTION("""COMPUTED_VALUE"""),"Analista de Gestión Administrativa")</f>
        <v>Analista de Gestión Administrativa</v>
      </c>
      <c r="G211" t="str">
        <f>IFERROR(__xludf.DUMMYFUNCTION("""COMPUTED_VALUE"""),"ANALISTA DE GESTION ADMINISTRATIVA")</f>
        <v>ANALISTA DE GESTION ADMINISTRATIVA</v>
      </c>
      <c r="H211">
        <f>IFERROR(__xludf.DUMMYFUNCTION("""COMPUTED_VALUE"""),14.0)</f>
        <v>14</v>
      </c>
      <c r="I211" t="str">
        <f>IFERROR(__xludf.DUMMYFUNCTION("""COMPUTED_VALUE"""),"Jornada Completa")</f>
        <v>Jornada Completa</v>
      </c>
      <c r="J211" t="str">
        <f>IFERROR(__xludf.DUMMYFUNCTION("""COMPUTED_VALUE"""),"A CONTRATA")</f>
        <v>A CONTRATA</v>
      </c>
      <c r="K211" t="str">
        <f>IFERROR(__xludf.DUMMYFUNCTION("""COMPUTED_VALUE"""),"PROFESIONAL")</f>
        <v>PROFESIONAL</v>
      </c>
      <c r="L211" t="str">
        <f>IFERROR(__xludf.DUMMYFUNCTION("""COMPUTED_VALUE"""),"INTERNO")</f>
        <v>INTERNO</v>
      </c>
      <c r="M211">
        <f>IFERROR(__xludf.DUMMYFUNCTION("""COMPUTED_VALUE"""),8.0)</f>
        <v>8</v>
      </c>
      <c r="N211" t="str">
        <f>IFERROR(__xludf.DUMMYFUNCTION("""COMPUTED_VALUE"""),"NO")</f>
        <v>NO</v>
      </c>
      <c r="O211">
        <f>IFERROR(__xludf.DUMMYFUNCTION("""COMPUTED_VALUE"""),0.0)</f>
        <v>0</v>
      </c>
      <c r="P211">
        <f>IFERROR(__xludf.DUMMYFUNCTION("""COMPUTED_VALUE"""),1.0)</f>
        <v>1</v>
      </c>
      <c r="Q211">
        <f>IFERROR(__xludf.DUMMYFUNCTION("""COMPUTED_VALUE"""),0.0)</f>
        <v>0</v>
      </c>
      <c r="R211" s="45" t="str">
        <f>IFERROR(__xludf.DUMMYFUNCTION("""COMPUTED_VALUE"""),"SELECCIONADA")</f>
        <v>SELECCIONADA</v>
      </c>
      <c r="S211" s="38">
        <f>IFERROR(__xludf.DUMMYFUNCTION("""COMPUTED_VALUE"""),43551.0)</f>
        <v>43551</v>
      </c>
      <c r="T211" t="str">
        <f>IFERROR(__xludf.DUMMYFUNCTION("""COMPUTED_VALUE"""),"MERINO MERINO LESLIE GIANINNA")</f>
        <v>MERINO MERINO LESLIE GIANINNA</v>
      </c>
      <c r="V211" t="str">
        <f>IFERROR(__xludf.DUMMYFUNCTION("""COMPUTED_VALUE"""),"18085414-6")</f>
        <v>18085414-6</v>
      </c>
      <c r="W211" t="str">
        <f>IFERROR(__xludf.DUMMYFUNCTION("""COMPUTED_VALUE"""),"SI")</f>
        <v>SI</v>
      </c>
      <c r="X211" t="str">
        <f>IFERROR(__xludf.DUMMYFUNCTION("""COMPUTED_VALUE"""),"Capacidad de Planificacion y Organizacion")</f>
        <v>Capacidad de Planificacion y Organizacion</v>
      </c>
      <c r="Y211" t="str">
        <f>IFERROR(__xludf.DUMMYFUNCTION("""COMPUTED_VALUE"""),"Iniciativa")</f>
        <v>Iniciativa</v>
      </c>
      <c r="AA211" s="38">
        <f>IFERROR(__xludf.DUMMYFUNCTION("""COMPUTED_VALUE"""),43474.0)</f>
        <v>43474</v>
      </c>
      <c r="AB211" s="38">
        <f>IFERROR(__xludf.DUMMYFUNCTION("""COMPUTED_VALUE"""),43481.0)</f>
        <v>43481</v>
      </c>
      <c r="AH211" t="str">
        <f>IFERROR(__xludf.DUMMYFUNCTION("""COMPUTED_VALUE"""),"PROCESO DE SELECCIÓN")</f>
        <v>PROCESO DE SELECCIÓN</v>
      </c>
      <c r="AI211" t="str">
        <f>IFERROR(__xludf.DUMMYFUNCTION("""COMPUTED_VALUE"""),"CANALES MUÑOZ CLAUDIA Y SILVA DELGADO SONIA")</f>
        <v>CANALES MUÑOZ CLAUDIA Y SILVA DELGADO SONIA</v>
      </c>
      <c r="AK211" t="str">
        <f>IFERROR(__xludf.DUMMYFUNCTION("""COMPUTED_VALUE"""),"P")</f>
        <v>P</v>
      </c>
      <c r="AL211">
        <f>IFERROR(__xludf.DUMMYFUNCTION("""COMPUTED_VALUE"""),51.0)</f>
        <v>51</v>
      </c>
      <c r="AM211">
        <f>IFERROR(__xludf.DUMMYFUNCTION("""COMPUTED_VALUE"""),2018.0)</f>
        <v>2018</v>
      </c>
    </row>
    <row r="212">
      <c r="A212">
        <f>IFERROR(__xludf.DUMMYFUNCTION("""COMPUTED_VALUE"""),8860929.0)</f>
        <v>8860929</v>
      </c>
      <c r="B212">
        <f>IFERROR(__xludf.DUMMYFUNCTION("""COMPUTED_VALUE"""),115.0)</f>
        <v>115</v>
      </c>
      <c r="C212" t="str">
        <f>IFERROR(__xludf.DUMMYFUNCTION("""COMPUTED_VALUE"""),"ACTA2019-25")</f>
        <v>ACTA2019-25</v>
      </c>
      <c r="D212" t="str">
        <f>IFERROR(__xludf.DUMMYFUNCTION("""COMPUTED_VALUE"""),"INGRESAR CENTRO DE COSTO A LA DERECHA")</f>
        <v>INGRESAR CENTRO DE COSTO A LA DERECHA</v>
      </c>
      <c r="E212" t="str">
        <f>IFERROR(__xludf.DUMMYFUNCTION("""COMPUTED_VALUE"""),"VR. DE VINCULACION CON EL MEDIO")</f>
        <v>VR. DE VINCULACION CON EL MEDIO</v>
      </c>
      <c r="F212" t="str">
        <f>IFERROR(__xludf.DUMMYFUNCTION("""COMPUTED_VALUE"""),"Asistente de Mantención")</f>
        <v>Asistente de Mantención</v>
      </c>
      <c r="G212" t="str">
        <f>IFERROR(__xludf.DUMMYFUNCTION("""COMPUTED_VALUE"""),"ASISTENTE DE MANTENCION")</f>
        <v>ASISTENTE DE MANTENCION</v>
      </c>
      <c r="H212">
        <f>IFERROR(__xludf.DUMMYFUNCTION("""COMPUTED_VALUE"""),20.0)</f>
        <v>20</v>
      </c>
      <c r="I212" t="str">
        <f>IFERROR(__xludf.DUMMYFUNCTION("""COMPUTED_VALUE"""),"Jornada Completa")</f>
        <v>Jornada Completa</v>
      </c>
      <c r="J212" t="str">
        <f>IFERROR(__xludf.DUMMYFUNCTION("""COMPUTED_VALUE"""),"A CONTRATA")</f>
        <v>A CONTRATA</v>
      </c>
      <c r="K212" t="str">
        <f>IFERROR(__xludf.DUMMYFUNCTION("""COMPUTED_VALUE"""),"TECNICO")</f>
        <v>TECNICO</v>
      </c>
      <c r="L212" t="str">
        <f>IFERROR(__xludf.DUMMYFUNCTION("""COMPUTED_VALUE"""),"INTERNO")</f>
        <v>INTERNO</v>
      </c>
      <c r="M212">
        <f>IFERROR(__xludf.DUMMYFUNCTION("""COMPUTED_VALUE"""),1.0)</f>
        <v>1</v>
      </c>
      <c r="N212" t="str">
        <f>IFERROR(__xludf.DUMMYFUNCTION("""COMPUTED_VALUE"""),"NO")</f>
        <v>NO</v>
      </c>
      <c r="O212">
        <f>IFERROR(__xludf.DUMMYFUNCTION("""COMPUTED_VALUE"""),0.0)</f>
        <v>0</v>
      </c>
      <c r="P212">
        <f>IFERROR(__xludf.DUMMYFUNCTION("""COMPUTED_VALUE"""),1.0)</f>
        <v>1</v>
      </c>
      <c r="Q212">
        <f>IFERROR(__xludf.DUMMYFUNCTION("""COMPUTED_VALUE"""),0.0)</f>
        <v>0</v>
      </c>
      <c r="R212" s="45" t="str">
        <f>IFERROR(__xludf.DUMMYFUNCTION("""COMPUTED_VALUE"""),"SELECCIONADO")</f>
        <v>SELECCIONADO</v>
      </c>
      <c r="S212" s="38">
        <f>IFERROR(__xludf.DUMMYFUNCTION("""COMPUTED_VALUE"""),43564.0)</f>
        <v>43564</v>
      </c>
      <c r="T212" t="str">
        <f>IFERROR(__xludf.DUMMYFUNCTION("""COMPUTED_VALUE"""),"DONAS OPAZO EDUARDO MARIO")</f>
        <v>DONAS OPAZO EDUARDO MARIO</v>
      </c>
      <c r="V212" t="str">
        <f>IFERROR(__xludf.DUMMYFUNCTION("""COMPUTED_VALUE"""),"08860929-8")</f>
        <v>08860929-8</v>
      </c>
      <c r="W212" t="str">
        <f>IFERROR(__xludf.DUMMYFUNCTION("""COMPUTED_VALUE"""),"SI")</f>
        <v>SI</v>
      </c>
      <c r="X212" t="str">
        <f>IFERROR(__xludf.DUMMYFUNCTION("""COMPUTED_VALUE"""),"Trabajo en Equipo")</f>
        <v>Trabajo en Equipo</v>
      </c>
      <c r="AA212" s="38">
        <f>IFERROR(__xludf.DUMMYFUNCTION("""COMPUTED_VALUE"""),43475.0)</f>
        <v>43475</v>
      </c>
      <c r="AB212" s="38">
        <f>IFERROR(__xludf.DUMMYFUNCTION("""COMPUTED_VALUE"""),43482.0)</f>
        <v>43482</v>
      </c>
      <c r="AH212" t="str">
        <f>IFERROR(__xludf.DUMMYFUNCTION("""COMPUTED_VALUE"""),"PROCESO DE SELECCIÓN")</f>
        <v>PROCESO DE SELECCIÓN</v>
      </c>
      <c r="AI212" t="str">
        <f>IFERROR(__xludf.DUMMYFUNCTION("""COMPUTED_VALUE""")," - ")</f>
        <v> - </v>
      </c>
      <c r="AK212" t="str">
        <f>IFERROR(__xludf.DUMMYFUNCTION("""COMPUTED_VALUE"""),"C")</f>
        <v>C</v>
      </c>
      <c r="AL212">
        <f>IFERROR(__xludf.DUMMYFUNCTION("""COMPUTED_VALUE"""),59.0)</f>
        <v>59</v>
      </c>
      <c r="AM212">
        <f>IFERROR(__xludf.DUMMYFUNCTION("""COMPUTED_VALUE"""),2018.0)</f>
        <v>2018</v>
      </c>
    </row>
    <row r="213">
      <c r="A213">
        <f>IFERROR(__xludf.DUMMYFUNCTION("""COMPUTED_VALUE"""),1.4197589E7)</f>
        <v>14197589</v>
      </c>
      <c r="B213">
        <f>IFERROR(__xludf.DUMMYFUNCTION("""COMPUTED_VALUE"""),116.0)</f>
        <v>116</v>
      </c>
      <c r="C213" t="str">
        <f>IFERROR(__xludf.DUMMYFUNCTION("""COMPUTED_VALUE"""),"ACTA2019-03")</f>
        <v>ACTA2019-03</v>
      </c>
      <c r="D213" t="str">
        <f>IFERROR(__xludf.DUMMYFUNCTION("""COMPUTED_VALUE"""),"INGRESAR CENTRO DE COSTO A LA DERECHA")</f>
        <v>INGRESAR CENTRO DE COSTO A LA DERECHA</v>
      </c>
      <c r="E213" t="str">
        <f>IFERROR(__xludf.DUMMYFUNCTION("""COMPUTED_VALUE"""),"FACULTAD DE QUIMICA Y BIOLOGIA")</f>
        <v>FACULTAD DE QUIMICA Y BIOLOGIA</v>
      </c>
      <c r="F213" t="str">
        <f>IFERROR(__xludf.DUMMYFUNCTION("""COMPUTED_VALUE"""),"Técnico(a) de Laboratorio")</f>
        <v>Técnico(a) de Laboratorio</v>
      </c>
      <c r="G213" t="str">
        <f>IFERROR(__xludf.DUMMYFUNCTION("""COMPUTED_VALUE"""),"TECNICO DE LABORATORIO   ")</f>
        <v>TECNICO DE LABORATORIO   </v>
      </c>
      <c r="H213">
        <f>IFERROR(__xludf.DUMMYFUNCTION("""COMPUTED_VALUE"""),17.0)</f>
        <v>17</v>
      </c>
      <c r="I213" t="str">
        <f>IFERROR(__xludf.DUMMYFUNCTION("""COMPUTED_VALUE"""),"Jornada Completa")</f>
        <v>Jornada Completa</v>
      </c>
      <c r="J213" t="str">
        <f>IFERROR(__xludf.DUMMYFUNCTION("""COMPUTED_VALUE"""),"A CONTRATA")</f>
        <v>A CONTRATA</v>
      </c>
      <c r="K213" t="str">
        <f>IFERROR(__xludf.DUMMYFUNCTION("""COMPUTED_VALUE"""),"TECNICO")</f>
        <v>TECNICO</v>
      </c>
      <c r="L213" t="str">
        <f>IFERROR(__xludf.DUMMYFUNCTION("""COMPUTED_VALUE"""),"INTERNO")</f>
        <v>INTERNO</v>
      </c>
      <c r="M213">
        <f>IFERROR(__xludf.DUMMYFUNCTION("""COMPUTED_VALUE"""),1.0)</f>
        <v>1</v>
      </c>
      <c r="N213" t="str">
        <f>IFERROR(__xludf.DUMMYFUNCTION("""COMPUTED_VALUE"""),"NO")</f>
        <v>NO</v>
      </c>
      <c r="O213">
        <f>IFERROR(__xludf.DUMMYFUNCTION("""COMPUTED_VALUE"""),0.0)</f>
        <v>0</v>
      </c>
      <c r="P213">
        <f>IFERROR(__xludf.DUMMYFUNCTION("""COMPUTED_VALUE"""),1.0)</f>
        <v>1</v>
      </c>
      <c r="Q213">
        <f>IFERROR(__xludf.DUMMYFUNCTION("""COMPUTED_VALUE"""),0.0)</f>
        <v>0</v>
      </c>
      <c r="R213" s="45" t="str">
        <f>IFERROR(__xludf.DUMMYFUNCTION("""COMPUTED_VALUE"""),"SELECCIONADA")</f>
        <v>SELECCIONADA</v>
      </c>
      <c r="S213" s="38">
        <f>IFERROR(__xludf.DUMMYFUNCTION("""COMPUTED_VALUE"""),43560.0)</f>
        <v>43560</v>
      </c>
      <c r="T213" t="str">
        <f>IFERROR(__xludf.DUMMYFUNCTION("""COMPUTED_VALUE"""),"GONZALEZ SANTANDER NATALIA INES")</f>
        <v>GONZALEZ SANTANDER NATALIA INES</v>
      </c>
      <c r="V213" t="str">
        <f>IFERROR(__xludf.DUMMYFUNCTION("""COMPUTED_VALUE"""),"14197589-7")</f>
        <v>14197589-7</v>
      </c>
      <c r="W213" t="str">
        <f>IFERROR(__xludf.DUMMYFUNCTION("""COMPUTED_VALUE"""),"SI")</f>
        <v>SI</v>
      </c>
      <c r="X213" t="str">
        <f>IFERROR(__xludf.DUMMYFUNCTION("""COMPUTED_VALUE"""),"Capacidad de Planificacion y Organizacion")</f>
        <v>Capacidad de Planificacion y Organizacion</v>
      </c>
      <c r="Y213" t="str">
        <f>IFERROR(__xludf.DUMMYFUNCTION("""COMPUTED_VALUE"""),"Iniciativa")</f>
        <v>Iniciativa</v>
      </c>
      <c r="AA213" s="38">
        <f>IFERROR(__xludf.DUMMYFUNCTION("""COMPUTED_VALUE"""),43482.0)</f>
        <v>43482</v>
      </c>
      <c r="AB213" s="38">
        <f>IFERROR(__xludf.DUMMYFUNCTION("""COMPUTED_VALUE"""),43489.0)</f>
        <v>43489</v>
      </c>
      <c r="AH213" t="str">
        <f>IFERROR(__xludf.DUMMYFUNCTION("""COMPUTED_VALUE"""),"PROCESO DE SELECCIÓN")</f>
        <v>PROCESO DE SELECCIÓN</v>
      </c>
      <c r="AI213" t="str">
        <f>IFERROR(__xludf.DUMMYFUNCTION("""COMPUTED_VALUE""")," - ")</f>
        <v> - </v>
      </c>
      <c r="AK213" t="str">
        <f>IFERROR(__xludf.DUMMYFUNCTION("""COMPUTED_VALUE"""),"C")</f>
        <v>C</v>
      </c>
      <c r="AL213">
        <f>IFERROR(__xludf.DUMMYFUNCTION("""COMPUTED_VALUE"""),52.0)</f>
        <v>52</v>
      </c>
      <c r="AM213">
        <f>IFERROR(__xludf.DUMMYFUNCTION("""COMPUTED_VALUE"""),2018.0)</f>
        <v>2018</v>
      </c>
    </row>
    <row r="214">
      <c r="A214">
        <f>IFERROR(__xludf.DUMMYFUNCTION("""COMPUTED_VALUE"""),1.2260688E7)</f>
        <v>12260688</v>
      </c>
      <c r="B214">
        <f>IFERROR(__xludf.DUMMYFUNCTION("""COMPUTED_VALUE"""),117.0)</f>
        <v>117</v>
      </c>
      <c r="C214" t="str">
        <f>IFERROR(__xludf.DUMMYFUNCTION("""COMPUTED_VALUE"""),"ACTA2019-02")</f>
        <v>ACTA2019-02</v>
      </c>
      <c r="D214" t="str">
        <f>IFERROR(__xludf.DUMMYFUNCTION("""COMPUTED_VALUE"""),"INGRESAR CENTRO DE COSTO A LA DERECHA")</f>
        <v>INGRESAR CENTRO DE COSTO A LA DERECHA</v>
      </c>
      <c r="E214" t="str">
        <f>IFERROR(__xludf.DUMMYFUNCTION("""COMPUTED_VALUE"""),"FACULTAD DE QUIMICA Y BIOLOGIA")</f>
        <v>FACULTAD DE QUIMICA Y BIOLOGIA</v>
      </c>
      <c r="F214" t="str">
        <f>IFERROR(__xludf.DUMMYFUNCTION("""COMPUTED_VALUE"""),"Secretario(a) de Apoyo Docente")</f>
        <v>Secretario(a) de Apoyo Docente</v>
      </c>
      <c r="G214" t="str">
        <f>IFERROR(__xludf.DUMMYFUNCTION("""COMPUTED_VALUE"""),"SECRETARIA DE APOYO DOCENTE")</f>
        <v>SECRETARIA DE APOYO DOCENTE</v>
      </c>
      <c r="H214">
        <f>IFERROR(__xludf.DUMMYFUNCTION("""COMPUTED_VALUE"""),17.0)</f>
        <v>17</v>
      </c>
      <c r="I214" t="str">
        <f>IFERROR(__xludf.DUMMYFUNCTION("""COMPUTED_VALUE"""),"Jornada Completa")</f>
        <v>Jornada Completa</v>
      </c>
      <c r="J214" t="str">
        <f>IFERROR(__xludf.DUMMYFUNCTION("""COMPUTED_VALUE"""),"A CONTRATA")</f>
        <v>A CONTRATA</v>
      </c>
      <c r="K214" t="str">
        <f>IFERROR(__xludf.DUMMYFUNCTION("""COMPUTED_VALUE"""),"ADMINISTRATIVO")</f>
        <v>ADMINISTRATIVO</v>
      </c>
      <c r="L214" t="str">
        <f>IFERROR(__xludf.DUMMYFUNCTION("""COMPUTED_VALUE"""),"INTERNO")</f>
        <v>INTERNO</v>
      </c>
      <c r="M214">
        <f>IFERROR(__xludf.DUMMYFUNCTION("""COMPUTED_VALUE"""),1.0)</f>
        <v>1</v>
      </c>
      <c r="N214" t="str">
        <f>IFERROR(__xludf.DUMMYFUNCTION("""COMPUTED_VALUE"""),"NO")</f>
        <v>NO</v>
      </c>
      <c r="O214">
        <f>IFERROR(__xludf.DUMMYFUNCTION("""COMPUTED_VALUE"""),0.0)</f>
        <v>0</v>
      </c>
      <c r="P214">
        <f>IFERROR(__xludf.DUMMYFUNCTION("""COMPUTED_VALUE"""),1.0)</f>
        <v>1</v>
      </c>
      <c r="Q214">
        <f>IFERROR(__xludf.DUMMYFUNCTION("""COMPUTED_VALUE"""),0.0)</f>
        <v>0</v>
      </c>
      <c r="R214" s="45" t="str">
        <f>IFERROR(__xludf.DUMMYFUNCTION("""COMPUTED_VALUE"""),"SELECCIONADA")</f>
        <v>SELECCIONADA</v>
      </c>
      <c r="S214" s="38">
        <f>IFERROR(__xludf.DUMMYFUNCTION("""COMPUTED_VALUE"""),43556.0)</f>
        <v>43556</v>
      </c>
      <c r="T214" t="str">
        <f>IFERROR(__xludf.DUMMYFUNCTION("""COMPUTED_VALUE"""),"ADRIAZOLA MORENO MARTA CATALINA")</f>
        <v>ADRIAZOLA MORENO MARTA CATALINA</v>
      </c>
      <c r="V214" t="str">
        <f>IFERROR(__xludf.DUMMYFUNCTION("""COMPUTED_VALUE"""),"12260688-0")</f>
        <v>12260688-0</v>
      </c>
      <c r="W214" t="str">
        <f>IFERROR(__xludf.DUMMYFUNCTION("""COMPUTED_VALUE"""),"SI")</f>
        <v>SI</v>
      </c>
      <c r="X214" t="str">
        <f>IFERROR(__xludf.DUMMYFUNCTION("""COMPUTED_VALUE"""),"Franqueza- Confiabilidad- Integridad")</f>
        <v>Franqueza- Confiabilidad- Integridad</v>
      </c>
      <c r="AA214" s="38">
        <f>IFERROR(__xludf.DUMMYFUNCTION("""COMPUTED_VALUE"""),43479.0)</f>
        <v>43479</v>
      </c>
      <c r="AB214" s="38">
        <f>IFERROR(__xludf.DUMMYFUNCTION("""COMPUTED_VALUE"""),43483.0)</f>
        <v>43483</v>
      </c>
      <c r="AH214" t="str">
        <f>IFERROR(__xludf.DUMMYFUNCTION("""COMPUTED_VALUE"""),"PROCESO DE SELECCIÓN")</f>
        <v>PROCESO DE SELECCIÓN</v>
      </c>
      <c r="AI214" t="str">
        <f>IFERROR(__xludf.DUMMYFUNCTION("""COMPUTED_VALUE""")," - ")</f>
        <v> - </v>
      </c>
      <c r="AK214" t="str">
        <f>IFERROR(__xludf.DUMMYFUNCTION("""COMPUTED_VALUE"""),"C")</f>
        <v>C</v>
      </c>
      <c r="AL214">
        <f>IFERROR(__xludf.DUMMYFUNCTION("""COMPUTED_VALUE"""),52.0)</f>
        <v>52</v>
      </c>
      <c r="AM214">
        <f>IFERROR(__xludf.DUMMYFUNCTION("""COMPUTED_VALUE"""),2018.0)</f>
        <v>2018</v>
      </c>
    </row>
    <row r="215">
      <c r="A215">
        <f>IFERROR(__xludf.DUMMYFUNCTION("""COMPUTED_VALUE"""),1.0268835E7)</f>
        <v>10268835</v>
      </c>
      <c r="B215">
        <f>IFERROR(__xludf.DUMMYFUNCTION("""COMPUTED_VALUE"""),118.0)</f>
        <v>118</v>
      </c>
      <c r="C215" t="str">
        <f>IFERROR(__xludf.DUMMYFUNCTION("""COMPUTED_VALUE"""),"A272")</f>
        <v>A272</v>
      </c>
      <c r="D215" t="str">
        <f>IFERROR(__xludf.DUMMYFUNCTION("""COMPUTED_VALUE"""),"INGRESAR CENTRO DE COSTO A LA DERECHA")</f>
        <v>INGRESAR CENTRO DE COSTO A LA DERECHA</v>
      </c>
      <c r="E215" t="str">
        <f>IFERROR(__xludf.DUMMYFUNCTION("""COMPUTED_VALUE"""),"DPTO. DE FILOSOFIA")</f>
        <v>DPTO. DE FILOSOFIA</v>
      </c>
      <c r="F215" t="str">
        <f>IFERROR(__xludf.DUMMYFUNCTION("""COMPUTED_VALUE"""),"Secretario(a) de Apoyo Docente")</f>
        <v>Secretario(a) de Apoyo Docente</v>
      </c>
      <c r="G215" t="str">
        <f>IFERROR(__xludf.DUMMYFUNCTION("""COMPUTED_VALUE"""),"SECRETARIA DE APOYO DOCENTE")</f>
        <v>SECRETARIA DE APOYO DOCENTE</v>
      </c>
      <c r="H215">
        <f>IFERROR(__xludf.DUMMYFUNCTION("""COMPUTED_VALUE"""),17.0)</f>
        <v>17</v>
      </c>
      <c r="I215" t="str">
        <f>IFERROR(__xludf.DUMMYFUNCTION("""COMPUTED_VALUE"""),"Jornada Completa")</f>
        <v>Jornada Completa</v>
      </c>
      <c r="J215" t="str">
        <f>IFERROR(__xludf.DUMMYFUNCTION("""COMPUTED_VALUE"""),"A CONTRATA")</f>
        <v>A CONTRATA</v>
      </c>
      <c r="K215" t="str">
        <f>IFERROR(__xludf.DUMMYFUNCTION("""COMPUTED_VALUE"""),"ADMINISTRATIVO")</f>
        <v>ADMINISTRATIVO</v>
      </c>
      <c r="L215" t="str">
        <f>IFERROR(__xludf.DUMMYFUNCTION("""COMPUTED_VALUE"""),"INTERNO")</f>
        <v>INTERNO</v>
      </c>
      <c r="M215">
        <f>IFERROR(__xludf.DUMMYFUNCTION("""COMPUTED_VALUE"""),2.0)</f>
        <v>2</v>
      </c>
      <c r="N215" t="str">
        <f>IFERROR(__xludf.DUMMYFUNCTION("""COMPUTED_VALUE"""),"NO")</f>
        <v>NO</v>
      </c>
      <c r="O215">
        <f>IFERROR(__xludf.DUMMYFUNCTION("""COMPUTED_VALUE"""),0.0)</f>
        <v>0</v>
      </c>
      <c r="P215">
        <f>IFERROR(__xludf.DUMMYFUNCTION("""COMPUTED_VALUE"""),1.0)</f>
        <v>1</v>
      </c>
      <c r="Q215">
        <f>IFERROR(__xludf.DUMMYFUNCTION("""COMPUTED_VALUE"""),0.0)</f>
        <v>0</v>
      </c>
      <c r="R215" s="45" t="str">
        <f>IFERROR(__xludf.DUMMYFUNCTION("""COMPUTED_VALUE"""),"SELECCIONADA")</f>
        <v>SELECCIONADA</v>
      </c>
      <c r="S215" s="38">
        <f>IFERROR(__xludf.DUMMYFUNCTION("""COMPUTED_VALUE"""),43559.0)</f>
        <v>43559</v>
      </c>
      <c r="T215" t="str">
        <f>IFERROR(__xludf.DUMMYFUNCTION("""COMPUTED_VALUE"""),"BOIN MARABOLI MARIA SUSANA")</f>
        <v>BOIN MARABOLI MARIA SUSANA</v>
      </c>
      <c r="V215" t="str">
        <f>IFERROR(__xludf.DUMMYFUNCTION("""COMPUTED_VALUE"""),"10268835-K")</f>
        <v>10268835-K</v>
      </c>
      <c r="W215" t="str">
        <f>IFERROR(__xludf.DUMMYFUNCTION("""COMPUTED_VALUE"""),"SI")</f>
        <v>SI</v>
      </c>
      <c r="X215" t="str">
        <f>IFERROR(__xludf.DUMMYFUNCTION("""COMPUTED_VALUE"""),"Iniciativa")</f>
        <v>Iniciativa</v>
      </c>
      <c r="Y215" t="str">
        <f>IFERROR(__xludf.DUMMYFUNCTION("""COMPUTED_VALUE"""),"Franqueza- Confiabilidad- Integridad")</f>
        <v>Franqueza- Confiabilidad- Integridad</v>
      </c>
      <c r="AA215" s="38">
        <f>IFERROR(__xludf.DUMMYFUNCTION("""COMPUTED_VALUE"""),43475.0)</f>
        <v>43475</v>
      </c>
      <c r="AB215" s="38">
        <f>IFERROR(__xludf.DUMMYFUNCTION("""COMPUTED_VALUE"""),43482.0)</f>
        <v>43482</v>
      </c>
      <c r="AH215" t="str">
        <f>IFERROR(__xludf.DUMMYFUNCTION("""COMPUTED_VALUE"""),"PROCESO DE SELECCIÓN")</f>
        <v>PROCESO DE SELECCIÓN</v>
      </c>
      <c r="AI215" t="str">
        <f>IFERROR(__xludf.DUMMYFUNCTION("""COMPUTED_VALUE"""),"TORO NUÑEZ MAGDALENA")</f>
        <v>TORO NUÑEZ MAGDALENA</v>
      </c>
      <c r="AK215" t="str">
        <f>IFERROR(__xludf.DUMMYFUNCTION("""COMPUTED_VALUE"""),"C")</f>
        <v>C</v>
      </c>
      <c r="AL215">
        <f>IFERROR(__xludf.DUMMYFUNCTION("""COMPUTED_VALUE"""),56.0)</f>
        <v>56</v>
      </c>
      <c r="AM215">
        <f>IFERROR(__xludf.DUMMYFUNCTION("""COMPUTED_VALUE"""),2018.0)</f>
        <v>2018</v>
      </c>
    </row>
    <row r="216">
      <c r="A216">
        <f>IFERROR(__xludf.DUMMYFUNCTION("""COMPUTED_VALUE"""),1.8392973E7)</f>
        <v>18392973</v>
      </c>
      <c r="B216">
        <f>IFERROR(__xludf.DUMMYFUNCTION("""COMPUTED_VALUE"""),119.0)</f>
        <v>119</v>
      </c>
      <c r="C216" t="str">
        <f>IFERROR(__xludf.DUMMYFUNCTION("""COMPUTED_VALUE"""),"A276")</f>
        <v>A276</v>
      </c>
      <c r="D216" t="str">
        <f>IFERROR(__xludf.DUMMYFUNCTION("""COMPUTED_VALUE"""),"INGRESAR CENTRO DE COSTO A LA DERECHA")</f>
        <v>INGRESAR CENTRO DE COSTO A LA DERECHA</v>
      </c>
      <c r="E216" t="str">
        <f>IFERROR(__xludf.DUMMYFUNCTION("""COMPUTED_VALUE"""),"UNIDAD DE ATENCION DE SALUD")</f>
        <v>UNIDAD DE ATENCION DE SALUD</v>
      </c>
      <c r="F216" t="str">
        <f>IFERROR(__xludf.DUMMYFUNCTION("""COMPUTED_VALUE"""),"Médicos(as) y Dentistas")</f>
        <v>Médicos(as) y Dentistas</v>
      </c>
      <c r="G216" t="str">
        <f>IFERROR(__xludf.DUMMYFUNCTION("""COMPUTED_VALUE"""),"MEDICO CIRUJANO")</f>
        <v>MEDICO CIRUJANO</v>
      </c>
      <c r="I216" t="str">
        <f>IFERROR(__xludf.DUMMYFUNCTION("""COMPUTED_VALUE"""),"1/2 Jornada")</f>
        <v>1/2 Jornada</v>
      </c>
      <c r="J216" t="str">
        <f>IFERROR(__xludf.DUMMYFUNCTION("""COMPUTED_VALUE"""),"por 22 hrs, ley 19.664")</f>
        <v>por 22 hrs, ley 19.664</v>
      </c>
      <c r="K216" t="str">
        <f>IFERROR(__xludf.DUMMYFUNCTION("""COMPUTED_VALUE"""),"PROFESIONAL")</f>
        <v>PROFESIONAL</v>
      </c>
      <c r="L216" t="str">
        <f>IFERROR(__xludf.DUMMYFUNCTION("""COMPUTED_VALUE"""),"NO")</f>
        <v>NO</v>
      </c>
      <c r="M216">
        <f>IFERROR(__xludf.DUMMYFUNCTION("""COMPUTED_VALUE"""),0.0)</f>
        <v>0</v>
      </c>
      <c r="N216" t="str">
        <f>IFERROR(__xludf.DUMMYFUNCTION("""COMPUTED_VALUE"""),"EXTERNO")</f>
        <v>EXTERNO</v>
      </c>
      <c r="O216">
        <f>IFERROR(__xludf.DUMMYFUNCTION("""COMPUTED_VALUE"""),26.0)</f>
        <v>26</v>
      </c>
      <c r="P216">
        <f>IFERROR(__xludf.DUMMYFUNCTION("""COMPUTED_VALUE"""),2.0)</f>
        <v>2</v>
      </c>
      <c r="Q216">
        <f>IFERROR(__xludf.DUMMYFUNCTION("""COMPUTED_VALUE"""),0.0)</f>
        <v>0</v>
      </c>
      <c r="R216" s="45" t="str">
        <f>IFERROR(__xludf.DUMMYFUNCTION("""COMPUTED_VALUE"""),"SELECCIONADA")</f>
        <v>SELECCIONADA</v>
      </c>
      <c r="S216" s="38">
        <f>IFERROR(__xludf.DUMMYFUNCTION("""COMPUTED_VALUE"""),43556.0)</f>
        <v>43556</v>
      </c>
      <c r="U216" t="str">
        <f>IFERROR(__xludf.DUMMYFUNCTION("""COMPUTED_VALUE"""),"ANTONIA OLEA MUÑOZ")</f>
        <v>ANTONIA OLEA MUÑOZ</v>
      </c>
      <c r="V216" t="str">
        <f>IFERROR(__xludf.DUMMYFUNCTION("""COMPUTED_VALUE"""),"18392973-9")</f>
        <v>18392973-9</v>
      </c>
      <c r="W216" t="str">
        <f>IFERROR(__xludf.DUMMYFUNCTION("""COMPUTED_VALUE"""),"SI")</f>
        <v>SI</v>
      </c>
      <c r="X216" t="str">
        <f>IFERROR(__xludf.DUMMYFUNCTION("""COMPUTED_VALUE"""),"Capacidad de Planificacion y Organizacion")</f>
        <v>Capacidad de Planificacion y Organizacion</v>
      </c>
      <c r="AA216" s="38">
        <f>IFERROR(__xludf.DUMMYFUNCTION("""COMPUTED_VALUE"""),43486.0)</f>
        <v>43486</v>
      </c>
      <c r="AB216" s="38">
        <f>IFERROR(__xludf.DUMMYFUNCTION("""COMPUTED_VALUE"""),43529.0)</f>
        <v>43529</v>
      </c>
      <c r="AH216" t="str">
        <f>IFERROR(__xludf.DUMMYFUNCTION("""COMPUTED_VALUE"""),"PROCESO DE SELECCIÓN")</f>
        <v>PROCESO DE SELECCIÓN</v>
      </c>
      <c r="AI216" t="str">
        <f>IFERROR(__xludf.DUMMYFUNCTION("""COMPUTED_VALUE"""),"BANDA LISBOA CECILIA")</f>
        <v>BANDA LISBOA CECILIA</v>
      </c>
      <c r="AK216" t="str">
        <f>IFERROR(__xludf.DUMMYFUNCTION("""COMPUTED_VALUE"""),"E")</f>
        <v>E</v>
      </c>
      <c r="AL216">
        <f>IFERROR(__xludf.DUMMYFUNCTION("""COMPUTED_VALUE"""),20.0)</f>
        <v>20</v>
      </c>
      <c r="AM216">
        <f>IFERROR(__xludf.DUMMYFUNCTION("""COMPUTED_VALUE"""),2018.0)</f>
        <v>2018</v>
      </c>
    </row>
    <row r="217">
      <c r="A217">
        <f>IFERROR(__xludf.DUMMYFUNCTION("""COMPUTED_VALUE"""),1.5370916E7)</f>
        <v>15370916</v>
      </c>
      <c r="B217">
        <f>IFERROR(__xludf.DUMMYFUNCTION("""COMPUTED_VALUE"""),120.0)</f>
        <v>120</v>
      </c>
      <c r="C217" t="str">
        <f>IFERROR(__xludf.DUMMYFUNCTION("""COMPUTED_VALUE"""),"ACTA2019-08")</f>
        <v>ACTA2019-08</v>
      </c>
      <c r="D217" t="str">
        <f>IFERROR(__xludf.DUMMYFUNCTION("""COMPUTED_VALUE"""),"INGRESAR CENTRO DE COSTO A LA DERECHA")</f>
        <v>INGRESAR CENTRO DE COSTO A LA DERECHA</v>
      </c>
      <c r="E217" t="str">
        <f>IFERROR(__xludf.DUMMYFUNCTION("""COMPUTED_VALUE"""),"UNIDAD DE ADQUISICIONES")</f>
        <v>UNIDAD DE ADQUISICIONES</v>
      </c>
      <c r="F217" t="str">
        <f>IFERROR(__xludf.DUMMYFUNCTION("""COMPUTED_VALUE"""),"Secretario(a) B")</f>
        <v>Secretario(a) B</v>
      </c>
      <c r="G217" t="str">
        <f>IFERROR(__xludf.DUMMYFUNCTION("""COMPUTED_VALUE"""),"SECRETARIO B")</f>
        <v>SECRETARIO B</v>
      </c>
      <c r="H217">
        <f>IFERROR(__xludf.DUMMYFUNCTION("""COMPUTED_VALUE"""),17.0)</f>
        <v>17</v>
      </c>
      <c r="I217" t="str">
        <f>IFERROR(__xludf.DUMMYFUNCTION("""COMPUTED_VALUE"""),"Jornada Completa")</f>
        <v>Jornada Completa</v>
      </c>
      <c r="J217" t="str">
        <f>IFERROR(__xludf.DUMMYFUNCTION("""COMPUTED_VALUE"""),"A CONTRATA")</f>
        <v>A CONTRATA</v>
      </c>
      <c r="K217" t="str">
        <f>IFERROR(__xludf.DUMMYFUNCTION("""COMPUTED_VALUE"""),"ADMINISTRATIVO")</f>
        <v>ADMINISTRATIVO</v>
      </c>
      <c r="L217" t="str">
        <f>IFERROR(__xludf.DUMMYFUNCTION("""COMPUTED_VALUE"""),"INTERNO")</f>
        <v>INTERNO</v>
      </c>
      <c r="M217">
        <f>IFERROR(__xludf.DUMMYFUNCTION("""COMPUTED_VALUE"""),3.0)</f>
        <v>3</v>
      </c>
      <c r="N217" t="str">
        <f>IFERROR(__xludf.DUMMYFUNCTION("""COMPUTED_VALUE"""),"NO")</f>
        <v>NO</v>
      </c>
      <c r="O217">
        <f>IFERROR(__xludf.DUMMYFUNCTION("""COMPUTED_VALUE"""),0.0)</f>
        <v>0</v>
      </c>
      <c r="P217">
        <f>IFERROR(__xludf.DUMMYFUNCTION("""COMPUTED_VALUE"""),2.0)</f>
        <v>2</v>
      </c>
      <c r="Q217">
        <f>IFERROR(__xludf.DUMMYFUNCTION("""COMPUTED_VALUE"""),0.0)</f>
        <v>0</v>
      </c>
      <c r="R217" s="45" t="str">
        <f>IFERROR(__xludf.DUMMYFUNCTION("""COMPUTED_VALUE"""),"SELECCIONADA")</f>
        <v>SELECCIONADA</v>
      </c>
      <c r="S217" s="38">
        <f>IFERROR(__xludf.DUMMYFUNCTION("""COMPUTED_VALUE"""),43566.0)</f>
        <v>43566</v>
      </c>
      <c r="T217" t="str">
        <f>IFERROR(__xludf.DUMMYFUNCTION("""COMPUTED_VALUE"""),"OLMEDO QUEVEDO ELIZABETH MARGARITA")</f>
        <v>OLMEDO QUEVEDO ELIZABETH MARGARITA</v>
      </c>
      <c r="V217" t="str">
        <f>IFERROR(__xludf.DUMMYFUNCTION("""COMPUTED_VALUE"""),"15370916-5")</f>
        <v>15370916-5</v>
      </c>
      <c r="W217" t="str">
        <f>IFERROR(__xludf.DUMMYFUNCTION("""COMPUTED_VALUE"""),"SI")</f>
        <v>SI</v>
      </c>
      <c r="X217" t="str">
        <f>IFERROR(__xludf.DUMMYFUNCTION("""COMPUTED_VALUE"""),"Trabajo en Equipo")</f>
        <v>Trabajo en Equipo</v>
      </c>
      <c r="Y217" t="str">
        <f>IFERROR(__xludf.DUMMYFUNCTION("""COMPUTED_VALUE"""),"Franqueza- Confiabilidad- Integridad")</f>
        <v>Franqueza- Confiabilidad- Integridad</v>
      </c>
      <c r="AA217" s="38">
        <f>IFERROR(__xludf.DUMMYFUNCTION("""COMPUTED_VALUE"""),43487.0)</f>
        <v>43487</v>
      </c>
      <c r="AB217" s="38">
        <f>IFERROR(__xludf.DUMMYFUNCTION("""COMPUTED_VALUE"""),43490.0)</f>
        <v>43490</v>
      </c>
      <c r="AH217" t="str">
        <f>IFERROR(__xludf.DUMMYFUNCTION("""COMPUTED_VALUE"""),"PROCESO DE SELECCIÓN")</f>
        <v>PROCESO DE SELECCIÓN</v>
      </c>
      <c r="AI217" t="str">
        <f>IFERROR(__xludf.DUMMYFUNCTION("""COMPUTED_VALUE""")," - ")</f>
        <v> - </v>
      </c>
      <c r="AK217" t="str">
        <f>IFERROR(__xludf.DUMMYFUNCTION("""COMPUTED_VALUE"""),"C")</f>
        <v>C</v>
      </c>
      <c r="AL217">
        <f>IFERROR(__xludf.DUMMYFUNCTION("""COMPUTED_VALUE"""),55.0)</f>
        <v>55</v>
      </c>
      <c r="AM217">
        <f>IFERROR(__xludf.DUMMYFUNCTION("""COMPUTED_VALUE"""),2018.0)</f>
        <v>2018</v>
      </c>
    </row>
    <row r="218">
      <c r="A218">
        <f>IFERROR(__xludf.DUMMYFUNCTION("""COMPUTED_VALUE"""),1.2306152E7)</f>
        <v>12306152</v>
      </c>
      <c r="B218">
        <f>IFERROR(__xludf.DUMMYFUNCTION("""COMPUTED_VALUE"""),121.0)</f>
        <v>121</v>
      </c>
      <c r="C218" t="str">
        <f>IFERROR(__xludf.DUMMYFUNCTION("""COMPUTED_VALUE"""),"IR2018-34")</f>
        <v>IR2018-34</v>
      </c>
      <c r="D218" t="str">
        <f>IFERROR(__xludf.DUMMYFUNCTION("""COMPUTED_VALUE"""),"INGRESAR CENTRO DE COSTO A LA DERECHA")</f>
        <v>INGRESAR CENTRO DE COSTO A LA DERECHA</v>
      </c>
      <c r="E218" t="str">
        <f>IFERROR(__xludf.DUMMYFUNCTION("""COMPUTED_VALUE"""),"DPTO. DE RECURSOS HUMANOS")</f>
        <v>DPTO. DE RECURSOS HUMANOS</v>
      </c>
      <c r="F218" t="str">
        <f>IFERROR(__xludf.DUMMYFUNCTION("""COMPUTED_VALUE"""),"Analista de Gestión II")</f>
        <v>Analista de Gestión II</v>
      </c>
      <c r="G218" t="str">
        <f>IFERROR(__xludf.DUMMYFUNCTION("""COMPUTED_VALUE"""),"ANALISTA DE GESTION II ( ENCARGADO DE OFICINA DE RETIRO)")</f>
        <v>ANALISTA DE GESTION II ( ENCARGADO DE OFICINA DE RETIRO)</v>
      </c>
      <c r="H218">
        <f>IFERROR(__xludf.DUMMYFUNCTION("""COMPUTED_VALUE"""),13.0)</f>
        <v>13</v>
      </c>
      <c r="I218" t="str">
        <f>IFERROR(__xludf.DUMMYFUNCTION("""COMPUTED_VALUE"""),"Jornada Completa")</f>
        <v>Jornada Completa</v>
      </c>
      <c r="J218" t="str">
        <f>IFERROR(__xludf.DUMMYFUNCTION("""COMPUTED_VALUE"""),"A CONTRATA")</f>
        <v>A CONTRATA</v>
      </c>
      <c r="K218" t="str">
        <f>IFERROR(__xludf.DUMMYFUNCTION("""COMPUTED_VALUE"""),"PROFESIONAL")</f>
        <v>PROFESIONAL</v>
      </c>
      <c r="L218" t="str">
        <f>IFERROR(__xludf.DUMMYFUNCTION("""COMPUTED_VALUE"""),"INTERNO")</f>
        <v>INTERNO</v>
      </c>
      <c r="M218">
        <f>IFERROR(__xludf.DUMMYFUNCTION("""COMPUTED_VALUE"""),0.0)</f>
        <v>0</v>
      </c>
      <c r="N218" t="str">
        <f>IFERROR(__xludf.DUMMYFUNCTION("""COMPUTED_VALUE"""),"EXTERNO")</f>
        <v>EXTERNO</v>
      </c>
      <c r="O218">
        <f>IFERROR(__xludf.DUMMYFUNCTION("""COMPUTED_VALUE"""),21.0)</f>
        <v>21</v>
      </c>
      <c r="P218">
        <f>IFERROR(__xludf.DUMMYFUNCTION("""COMPUTED_VALUE"""),2.0)</f>
        <v>2</v>
      </c>
      <c r="Q218">
        <f>IFERROR(__xludf.DUMMYFUNCTION("""COMPUTED_VALUE"""),0.0)</f>
        <v>0</v>
      </c>
      <c r="R218" s="45" t="str">
        <f>IFERROR(__xludf.DUMMYFUNCTION("""COMPUTED_VALUE"""),"SELECCIONADA")</f>
        <v>SELECCIONADA</v>
      </c>
      <c r="S218" s="38">
        <f>IFERROR(__xludf.DUMMYFUNCTION("""COMPUTED_VALUE"""),43564.0)</f>
        <v>43564</v>
      </c>
      <c r="U218" t="str">
        <f>IFERROR(__xludf.DUMMYFUNCTION("""COMPUTED_VALUE"""),"CLAUDIA LARA GALAZ")</f>
        <v>CLAUDIA LARA GALAZ</v>
      </c>
      <c r="V218" t="str">
        <f>IFERROR(__xludf.DUMMYFUNCTION("""COMPUTED_VALUE"""),"12306152-7")</f>
        <v>12306152-7</v>
      </c>
      <c r="W218" t="str">
        <f>IFERROR(__xludf.DUMMYFUNCTION("""COMPUTED_VALUE"""),"SI")</f>
        <v>SI</v>
      </c>
      <c r="X218" t="str">
        <f>IFERROR(__xludf.DUMMYFUNCTION("""COMPUTED_VALUE"""),"Orientacion a los Resultados")</f>
        <v>Orientacion a los Resultados</v>
      </c>
      <c r="AA218" s="38">
        <f>IFERROR(__xludf.DUMMYFUNCTION("""COMPUTED_VALUE"""),43392.0)</f>
        <v>43392</v>
      </c>
      <c r="AB218" s="38">
        <f>IFERROR(__xludf.DUMMYFUNCTION("""COMPUTED_VALUE"""),43399.0)</f>
        <v>43399</v>
      </c>
      <c r="AH218" t="str">
        <f>IFERROR(__xludf.DUMMYFUNCTION("""COMPUTED_VALUE"""),"PROCESO DE SELECCIÓN")</f>
        <v>PROCESO DE SELECCIÓN</v>
      </c>
      <c r="AI218" t="str">
        <f>IFERROR(__xludf.DUMMYFUNCTION("""COMPUTED_VALUE"""),"CORTES CARVAJAL RAFAEL")</f>
        <v>CORTES CARVAJAL RAFAEL</v>
      </c>
      <c r="AK218" t="str">
        <f>IFERROR(__xludf.DUMMYFUNCTION("""COMPUTED_VALUE"""),"C")</f>
        <v>C</v>
      </c>
      <c r="AL218">
        <f>IFERROR(__xludf.DUMMYFUNCTION("""COMPUTED_VALUE"""),118.0)</f>
        <v>118</v>
      </c>
      <c r="AM218">
        <f>IFERROR(__xludf.DUMMYFUNCTION("""COMPUTED_VALUE"""),2018.0)</f>
        <v>2018</v>
      </c>
    </row>
    <row r="219">
      <c r="A219">
        <f>IFERROR(__xludf.DUMMYFUNCTION("""COMPUTED_VALUE"""),1.6826269E7)</f>
        <v>16826269</v>
      </c>
      <c r="B219">
        <f>IFERROR(__xludf.DUMMYFUNCTION("""COMPUTED_VALUE"""),122.0)</f>
        <v>122</v>
      </c>
      <c r="C219" t="str">
        <f>IFERROR(__xludf.DUMMYFUNCTION("""COMPUTED_VALUE"""),"A227")</f>
        <v>A227</v>
      </c>
      <c r="D219" t="str">
        <f>IFERROR(__xludf.DUMMYFUNCTION("""COMPUTED_VALUE"""),"INGRESAR CENTRO DE COSTO A LA DERECHA")</f>
        <v>INGRESAR CENTRO DE COSTO A LA DERECHA</v>
      </c>
      <c r="E219" t="str">
        <f>IFERROR(__xludf.DUMMYFUNCTION("""COMPUTED_VALUE"""),"CITECAMP")</f>
        <v>CITECAMP</v>
      </c>
      <c r="F219" t="str">
        <f>IFERROR(__xludf.DUMMYFUNCTION("""COMPUTED_VALUE"""),"Mayordomo(a)")</f>
        <v>Mayordomo(a)</v>
      </c>
      <c r="G219" t="str">
        <f>IFERROR(__xludf.DUMMYFUNCTION("""COMPUTED_VALUE"""),"MAYORDOMO")</f>
        <v>MAYORDOMO</v>
      </c>
      <c r="H219">
        <f>IFERROR(__xludf.DUMMYFUNCTION("""COMPUTED_VALUE"""),21.0)</f>
        <v>21</v>
      </c>
      <c r="I219" t="str">
        <f>IFERROR(__xludf.DUMMYFUNCTION("""COMPUTED_VALUE"""),"Jornada Completa")</f>
        <v>Jornada Completa</v>
      </c>
      <c r="J219" t="str">
        <f>IFERROR(__xludf.DUMMYFUNCTION("""COMPUTED_VALUE"""),"A CONTRATA")</f>
        <v>A CONTRATA</v>
      </c>
      <c r="K219" t="str">
        <f>IFERROR(__xludf.DUMMYFUNCTION("""COMPUTED_VALUE"""),"AUXILIAR")</f>
        <v>AUXILIAR</v>
      </c>
      <c r="L219" t="str">
        <f>IFERROR(__xludf.DUMMYFUNCTION("""COMPUTED_VALUE"""),"INTERNO")</f>
        <v>INTERNO</v>
      </c>
      <c r="M219">
        <f>IFERROR(__xludf.DUMMYFUNCTION("""COMPUTED_VALUE"""),0.0)</f>
        <v>0</v>
      </c>
      <c r="N219" t="str">
        <f>IFERROR(__xludf.DUMMYFUNCTION("""COMPUTED_VALUE"""),"EXTERNO")</f>
        <v>EXTERNO</v>
      </c>
      <c r="O219">
        <f>IFERROR(__xludf.DUMMYFUNCTION("""COMPUTED_VALUE"""),11.0)</f>
        <v>11</v>
      </c>
      <c r="P219">
        <f>IFERROR(__xludf.DUMMYFUNCTION("""COMPUTED_VALUE"""),2.0)</f>
        <v>2</v>
      </c>
      <c r="Q219">
        <f>IFERROR(__xludf.DUMMYFUNCTION("""COMPUTED_VALUE"""),0.0)</f>
        <v>0</v>
      </c>
      <c r="R219" s="45" t="str">
        <f>IFERROR(__xludf.DUMMYFUNCTION("""COMPUTED_VALUE"""),"SELECCIONADO")</f>
        <v>SELECCIONADO</v>
      </c>
      <c r="S219" s="38">
        <f>IFERROR(__xludf.DUMMYFUNCTION("""COMPUTED_VALUE"""),43367.0)</f>
        <v>43367</v>
      </c>
      <c r="U219" t="str">
        <f>IFERROR(__xludf.DUMMYFUNCTION("""COMPUTED_VALUE"""),"SEBASTIAN CALDERON LIZAMA")</f>
        <v>SEBASTIAN CALDERON LIZAMA</v>
      </c>
      <c r="V219" t="str">
        <f>IFERROR(__xludf.DUMMYFUNCTION("""COMPUTED_VALUE"""),"16826269-8")</f>
        <v>16826269-8</v>
      </c>
      <c r="W219" t="str">
        <f>IFERROR(__xludf.DUMMYFUNCTION("""COMPUTED_VALUE"""),"SI")</f>
        <v>SI</v>
      </c>
      <c r="X219" t="str">
        <f>IFERROR(__xludf.DUMMYFUNCTION("""COMPUTED_VALUE"""),"Trabajo en Equipo")</f>
        <v>Trabajo en Equipo</v>
      </c>
      <c r="AA219" s="38">
        <f>IFERROR(__xludf.DUMMYFUNCTION("""COMPUTED_VALUE"""),43326.0)</f>
        <v>43326</v>
      </c>
      <c r="AB219" s="38">
        <f>IFERROR(__xludf.DUMMYFUNCTION("""COMPUTED_VALUE"""),43332.0)</f>
        <v>43332</v>
      </c>
      <c r="AH219" t="str">
        <f>IFERROR(__xludf.DUMMYFUNCTION("""COMPUTED_VALUE"""),"PROCESO DE SELECCIÓN")</f>
        <v>PROCESO DE SELECCIÓN</v>
      </c>
      <c r="AI219" t="str">
        <f>IFERROR(__xludf.DUMMYFUNCTION("""COMPUTED_VALUE"""),"BUSTOS SAEZ HUGO")</f>
        <v>BUSTOS SAEZ HUGO</v>
      </c>
      <c r="AK219" t="str">
        <f>IFERROR(__xludf.DUMMYFUNCTION("""COMPUTED_VALUE"""),"C")</f>
        <v>C</v>
      </c>
      <c r="AL219">
        <f>IFERROR(__xludf.DUMMYFUNCTION("""COMPUTED_VALUE"""),26.0)</f>
        <v>26</v>
      </c>
      <c r="AM219">
        <f>IFERROR(__xludf.DUMMYFUNCTION("""COMPUTED_VALUE"""),2018.0)</f>
        <v>2018</v>
      </c>
    </row>
    <row r="220">
      <c r="A220">
        <f>IFERROR(__xludf.DUMMYFUNCTION("""COMPUTED_VALUE"""),9036567.0)</f>
        <v>9036567</v>
      </c>
      <c r="B220">
        <f>IFERROR(__xludf.DUMMYFUNCTION("""COMPUTED_VALUE"""),123.0)</f>
        <v>123</v>
      </c>
      <c r="C220" t="str">
        <f>IFERROR(__xludf.DUMMYFUNCTION("""COMPUTED_VALUE"""),"a224")</f>
        <v>a224</v>
      </c>
      <c r="D220" t="str">
        <f>IFERROR(__xludf.DUMMYFUNCTION("""COMPUTED_VALUE"""),"INGRESAR CENTRO DE COSTO A LA DERECHA")</f>
        <v>INGRESAR CENTRO DE COSTO A LA DERECHA</v>
      </c>
      <c r="E220" t="str">
        <f>IFERROR(__xludf.DUMMYFUNCTION("""COMPUTED_VALUE"""),"ESCUELA DE PSICOLOGIA")</f>
        <v>ESCUELA DE PSICOLOGIA</v>
      </c>
      <c r="F220" t="str">
        <f>IFERROR(__xludf.DUMMYFUNCTION("""COMPUTED_VALUE"""),"Jefe(a) de Sección")</f>
        <v>Jefe(a) de Sección</v>
      </c>
      <c r="G220" t="str">
        <f>IFERROR(__xludf.DUMMYFUNCTION("""COMPUTED_VALUE"""),"JEFA DE SECCION, DIRECTORA CAP")</f>
        <v>JEFA DE SECCION, DIRECTORA CAP</v>
      </c>
      <c r="H220">
        <f>IFERROR(__xludf.DUMMYFUNCTION("""COMPUTED_VALUE"""),10.0)</f>
        <v>10</v>
      </c>
      <c r="I220" t="str">
        <f>IFERROR(__xludf.DUMMYFUNCTION("""COMPUTED_VALUE"""),"Jornada Completa")</f>
        <v>Jornada Completa</v>
      </c>
      <c r="J220" t="str">
        <f>IFERROR(__xludf.DUMMYFUNCTION("""COMPUTED_VALUE"""),"A CONTRATA")</f>
        <v>A CONTRATA</v>
      </c>
      <c r="K220" t="str">
        <f>IFERROR(__xludf.DUMMYFUNCTION("""COMPUTED_VALUE"""),"PROFESIONAL")</f>
        <v>PROFESIONAL</v>
      </c>
      <c r="L220" t="str">
        <f>IFERROR(__xludf.DUMMYFUNCTION("""COMPUTED_VALUE"""),"INTERNO")</f>
        <v>INTERNO</v>
      </c>
      <c r="M220">
        <f>IFERROR(__xludf.DUMMYFUNCTION("""COMPUTED_VALUE"""),2.0)</f>
        <v>2</v>
      </c>
      <c r="N220" t="str">
        <f>IFERROR(__xludf.DUMMYFUNCTION("""COMPUTED_VALUE"""),"EXTERNO")</f>
        <v>EXTERNO</v>
      </c>
      <c r="O220">
        <f>IFERROR(__xludf.DUMMYFUNCTION("""COMPUTED_VALUE"""),23.0)</f>
        <v>23</v>
      </c>
      <c r="P220">
        <f>IFERROR(__xludf.DUMMYFUNCTION("""COMPUTED_VALUE"""),2.0)</f>
        <v>2</v>
      </c>
      <c r="Q220">
        <f>IFERROR(__xludf.DUMMYFUNCTION("""COMPUTED_VALUE"""),0.0)</f>
        <v>0</v>
      </c>
      <c r="R220" s="45" t="str">
        <f>IFERROR(__xludf.DUMMYFUNCTION("""COMPUTED_VALUE"""),"SELECCIONADA")</f>
        <v>SELECCIONADA</v>
      </c>
      <c r="S220" s="38">
        <f>IFERROR(__xludf.DUMMYFUNCTION("""COMPUTED_VALUE"""),43528.0)</f>
        <v>43528</v>
      </c>
      <c r="U220" t="str">
        <f>IFERROR(__xludf.DUMMYFUNCTION("""COMPUTED_VALUE"""),"URSULA PESSE HERMOSILLA")</f>
        <v>URSULA PESSE HERMOSILLA</v>
      </c>
      <c r="V220" t="str">
        <f>IFERROR(__xludf.DUMMYFUNCTION("""COMPUTED_VALUE"""),"09036567-3")</f>
        <v>09036567-3</v>
      </c>
      <c r="W220" t="str">
        <f>IFERROR(__xludf.DUMMYFUNCTION("""COMPUTED_VALUE"""),"NO")</f>
        <v>NO</v>
      </c>
      <c r="AA220" s="38">
        <f>IFERROR(__xludf.DUMMYFUNCTION("""COMPUTED_VALUE"""),43418.0)</f>
        <v>43418</v>
      </c>
      <c r="AB220" s="38">
        <f>IFERROR(__xludf.DUMMYFUNCTION("""COMPUTED_VALUE"""),43430.0)</f>
        <v>43430</v>
      </c>
      <c r="AH220" t="str">
        <f>IFERROR(__xludf.DUMMYFUNCTION("""COMPUTED_VALUE"""),"PROCESO DE SELECCIÓN")</f>
        <v>PROCESO DE SELECCIÓN</v>
      </c>
      <c r="AI220" t="str">
        <f>IFERROR(__xludf.DUMMYFUNCTION("""COMPUTED_VALUE"""),"ORTIZ BARRERA JADE")</f>
        <v>ORTIZ BARRERA JADE</v>
      </c>
      <c r="AK220" t="str">
        <f>IFERROR(__xludf.DUMMYFUNCTION("""COMPUTED_VALUE"""),"E")</f>
        <v>E</v>
      </c>
      <c r="AL220">
        <f>IFERROR(__xludf.DUMMYFUNCTION("""COMPUTED_VALUE"""),71.0)</f>
        <v>71</v>
      </c>
      <c r="AM220">
        <f>IFERROR(__xludf.DUMMYFUNCTION("""COMPUTED_VALUE"""),2018.0)</f>
        <v>2018</v>
      </c>
    </row>
    <row r="221">
      <c r="A221">
        <f>IFERROR(__xludf.DUMMYFUNCTION("""COMPUTED_VALUE"""),1.2479336E7)</f>
        <v>12479336</v>
      </c>
      <c r="B221">
        <f>IFERROR(__xludf.DUMMYFUNCTION("""COMPUTED_VALUE"""),124.0)</f>
        <v>124</v>
      </c>
      <c r="C221" t="str">
        <f>IFERROR(__xludf.DUMMYFUNCTION("""COMPUTED_VALUE"""),"A225")</f>
        <v>A225</v>
      </c>
      <c r="D221" t="str">
        <f>IFERROR(__xludf.DUMMYFUNCTION("""COMPUTED_VALUE"""),"INGRESAR CENTRO DE COSTO A LA DERECHA")</f>
        <v>INGRESAR CENTRO DE COSTO A LA DERECHA</v>
      </c>
      <c r="E221" t="str">
        <f>IFERROR(__xludf.DUMMYFUNCTION("""COMPUTED_VALUE"""),"DPTO. DE PLANFIC PRESUPUESTARIA")</f>
        <v>DPTO. DE PLANFIC PRESUPUESTARIA</v>
      </c>
      <c r="F221" t="str">
        <f>IFERROR(__xludf.DUMMYFUNCTION("""COMPUTED_VALUE"""),"Analista Presupuestario")</f>
        <v>Analista Presupuestario</v>
      </c>
      <c r="G221" t="str">
        <f>IFERROR(__xludf.DUMMYFUNCTION("""COMPUTED_VALUE"""),"ANALISTA PRESUPUESTARIO")</f>
        <v>ANALISTA PRESUPUESTARIO</v>
      </c>
      <c r="H221">
        <f>IFERROR(__xludf.DUMMYFUNCTION("""COMPUTED_VALUE"""),10.0)</f>
        <v>10</v>
      </c>
      <c r="I221" t="str">
        <f>IFERROR(__xludf.DUMMYFUNCTION("""COMPUTED_VALUE"""),"Jornada Completa")</f>
        <v>Jornada Completa</v>
      </c>
      <c r="J221" t="str">
        <f>IFERROR(__xludf.DUMMYFUNCTION("""COMPUTED_VALUE"""),"A CONTRATA")</f>
        <v>A CONTRATA</v>
      </c>
      <c r="K221" t="str">
        <f>IFERROR(__xludf.DUMMYFUNCTION("""COMPUTED_VALUE"""),"PROFESIONAL")</f>
        <v>PROFESIONAL</v>
      </c>
      <c r="L221" t="str">
        <f>IFERROR(__xludf.DUMMYFUNCTION("""COMPUTED_VALUE"""),"INTERNO")</f>
        <v>INTERNO</v>
      </c>
      <c r="M221">
        <f>IFERROR(__xludf.DUMMYFUNCTION("""COMPUTED_VALUE"""),5.0)</f>
        <v>5</v>
      </c>
      <c r="N221" t="str">
        <f>IFERROR(__xludf.DUMMYFUNCTION("""COMPUTED_VALUE"""),"NO")</f>
        <v>NO</v>
      </c>
      <c r="O221">
        <f>IFERROR(__xludf.DUMMYFUNCTION("""COMPUTED_VALUE"""),0.0)</f>
        <v>0</v>
      </c>
      <c r="P221">
        <f>IFERROR(__xludf.DUMMYFUNCTION("""COMPUTED_VALUE"""),2.0)</f>
        <v>2</v>
      </c>
      <c r="Q221">
        <f>IFERROR(__xludf.DUMMYFUNCTION("""COMPUTED_VALUE"""),1.0)</f>
        <v>1</v>
      </c>
      <c r="R221" s="45" t="str">
        <f>IFERROR(__xludf.DUMMYFUNCTION("""COMPUTED_VALUE"""),"SELECCIONADA")</f>
        <v>SELECCIONADA</v>
      </c>
      <c r="S221" s="38">
        <f>IFERROR(__xludf.DUMMYFUNCTION("""COMPUTED_VALUE"""),43580.0)</f>
        <v>43580</v>
      </c>
      <c r="T221" t="str">
        <f>IFERROR(__xludf.DUMMYFUNCTION("""COMPUTED_VALUE"""),"CUBILLOS MONTECINO SOLEDAD MARGARITA")</f>
        <v>CUBILLOS MONTECINO SOLEDAD MARGARITA</v>
      </c>
      <c r="V221" t="str">
        <f>IFERROR(__xludf.DUMMYFUNCTION("""COMPUTED_VALUE"""),"12479336-K")</f>
        <v>12479336-K</v>
      </c>
      <c r="W221" t="str">
        <f>IFERROR(__xludf.DUMMYFUNCTION("""COMPUTED_VALUE"""),"SI")</f>
        <v>SI</v>
      </c>
      <c r="X221" t="str">
        <f>IFERROR(__xludf.DUMMYFUNCTION("""COMPUTED_VALUE"""),"Pensamiento Analitico")</f>
        <v>Pensamiento Analitico</v>
      </c>
      <c r="AA221" s="38">
        <f>IFERROR(__xludf.DUMMYFUNCTION("""COMPUTED_VALUE"""),43482.0)</f>
        <v>43482</v>
      </c>
      <c r="AB221" s="38">
        <f>IFERROR(__xludf.DUMMYFUNCTION("""COMPUTED_VALUE"""),43489.0)</f>
        <v>43489</v>
      </c>
      <c r="AH221" t="str">
        <f>IFERROR(__xludf.DUMMYFUNCTION("""COMPUTED_VALUE"""),"PROCESO DE SELECCIÓN")</f>
        <v>PROCESO DE SELECCIÓN</v>
      </c>
      <c r="AI221" t="str">
        <f>IFERROR(__xludf.DUMMYFUNCTION("""COMPUTED_VALUE"""),"CARRASCO PALMA MARTA")</f>
        <v>CARRASCO PALMA MARTA</v>
      </c>
      <c r="AK221" t="str">
        <f>IFERROR(__xludf.DUMMYFUNCTION("""COMPUTED_VALUE"""),"C")</f>
        <v>C</v>
      </c>
      <c r="AL221">
        <f>IFERROR(__xludf.DUMMYFUNCTION("""COMPUTED_VALUE"""),66.0)</f>
        <v>66</v>
      </c>
      <c r="AM221">
        <f>IFERROR(__xludf.DUMMYFUNCTION("""COMPUTED_VALUE"""),2018.0)</f>
        <v>2018</v>
      </c>
    </row>
    <row r="222">
      <c r="A222">
        <f>IFERROR(__xludf.DUMMYFUNCTION("""COMPUTED_VALUE"""),1.5401585E7)</f>
        <v>15401585</v>
      </c>
      <c r="B222">
        <f>IFERROR(__xludf.DUMMYFUNCTION("""COMPUTED_VALUE"""),125.0)</f>
        <v>125</v>
      </c>
      <c r="C222" t="str">
        <f>IFERROR(__xludf.DUMMYFUNCTION("""COMPUTED_VALUE"""),"acta2019-07")</f>
        <v>acta2019-07</v>
      </c>
      <c r="D222" t="str">
        <f>IFERROR(__xludf.DUMMYFUNCTION("""COMPUTED_VALUE"""),"INGRESAR CENTRO DE COSTO A LA DERECHA")</f>
        <v>INGRESAR CENTRO DE COSTO A LA DERECHA</v>
      </c>
      <c r="E222" t="str">
        <f>IFERROR(__xludf.DUMMYFUNCTION("""COMPUTED_VALUE"""),"UNIDAD DE ADQUISICIONES")</f>
        <v>UNIDAD DE ADQUISICIONES</v>
      </c>
      <c r="F222" t="str">
        <f>IFERROR(__xludf.DUMMYFUNCTION("""COMPUTED_VALUE"""),"Administrativo(a) de Apoyo")</f>
        <v>Administrativo(a) de Apoyo</v>
      </c>
      <c r="G222" t="str">
        <f>IFERROR(__xludf.DUMMYFUNCTION("""COMPUTED_VALUE"""),"ADMINISTRATIVO DE APOYO")</f>
        <v>ADMINISTRATIVO DE APOYO</v>
      </c>
      <c r="H222">
        <f>IFERROR(__xludf.DUMMYFUNCTION("""COMPUTED_VALUE"""),20.0)</f>
        <v>20</v>
      </c>
      <c r="I222" t="str">
        <f>IFERROR(__xludf.DUMMYFUNCTION("""COMPUTED_VALUE"""),"Jornada Completa")</f>
        <v>Jornada Completa</v>
      </c>
      <c r="J222" t="str">
        <f>IFERROR(__xludf.DUMMYFUNCTION("""COMPUTED_VALUE"""),"A CONTRATA")</f>
        <v>A CONTRATA</v>
      </c>
      <c r="K222" t="str">
        <f>IFERROR(__xludf.DUMMYFUNCTION("""COMPUTED_VALUE"""),"ADMINISTRATIVO")</f>
        <v>ADMINISTRATIVO</v>
      </c>
      <c r="L222" t="str">
        <f>IFERROR(__xludf.DUMMYFUNCTION("""COMPUTED_VALUE"""),"INTERNO")</f>
        <v>INTERNO</v>
      </c>
      <c r="M222">
        <f>IFERROR(__xludf.DUMMYFUNCTION("""COMPUTED_VALUE"""),3.0)</f>
        <v>3</v>
      </c>
      <c r="N222" t="str">
        <f>IFERROR(__xludf.DUMMYFUNCTION("""COMPUTED_VALUE"""),"NO")</f>
        <v>NO</v>
      </c>
      <c r="O222">
        <f>IFERROR(__xludf.DUMMYFUNCTION("""COMPUTED_VALUE"""),0.0)</f>
        <v>0</v>
      </c>
      <c r="P222">
        <f>IFERROR(__xludf.DUMMYFUNCTION("""COMPUTED_VALUE"""),1.0)</f>
        <v>1</v>
      </c>
      <c r="Q222">
        <f>IFERROR(__xludf.DUMMYFUNCTION("""COMPUTED_VALUE"""),0.0)</f>
        <v>0</v>
      </c>
      <c r="R222" s="45" t="str">
        <f>IFERROR(__xludf.DUMMYFUNCTION("""COMPUTED_VALUE"""),"SELECCIONADO")</f>
        <v>SELECCIONADO</v>
      </c>
      <c r="S222" s="38">
        <f>IFERROR(__xludf.DUMMYFUNCTION("""COMPUTED_VALUE"""),43594.0)</f>
        <v>43594</v>
      </c>
      <c r="T222" t="str">
        <f>IFERROR(__xludf.DUMMYFUNCTION("""COMPUTED_VALUE"""),"ROJAS ARANEDA DANIEL ESTEBAN")</f>
        <v>ROJAS ARANEDA DANIEL ESTEBAN</v>
      </c>
      <c r="V222" t="str">
        <f>IFERROR(__xludf.DUMMYFUNCTION("""COMPUTED_VALUE"""),"15401585-K")</f>
        <v>15401585-K</v>
      </c>
      <c r="W222" t="str">
        <f>IFERROR(__xludf.DUMMYFUNCTION("""COMPUTED_VALUE"""),"SI")</f>
        <v>SI</v>
      </c>
      <c r="X222" t="str">
        <f>IFERROR(__xludf.DUMMYFUNCTION("""COMPUTED_VALUE"""),"Trabajo en Equipo")</f>
        <v>Trabajo en Equipo</v>
      </c>
      <c r="AA222" s="38">
        <f>IFERROR(__xludf.DUMMYFUNCTION("""COMPUTED_VALUE"""),43481.0)</f>
        <v>43481</v>
      </c>
      <c r="AB222" s="38">
        <f>IFERROR(__xludf.DUMMYFUNCTION("""COMPUTED_VALUE"""),43488.0)</f>
        <v>43488</v>
      </c>
      <c r="AH222" t="str">
        <f>IFERROR(__xludf.DUMMYFUNCTION("""COMPUTED_VALUE"""),"PROCESO DE SELECCIÓN")</f>
        <v>PROCESO DE SELECCIÓN</v>
      </c>
      <c r="AI222" t="str">
        <f>IFERROR(__xludf.DUMMYFUNCTION("""COMPUTED_VALUE""")," - ")</f>
        <v> - </v>
      </c>
      <c r="AK222" t="str">
        <f>IFERROR(__xludf.DUMMYFUNCTION("""COMPUTED_VALUE"""),"C")</f>
        <v>C</v>
      </c>
      <c r="AL222">
        <f>IFERROR(__xludf.DUMMYFUNCTION("""COMPUTED_VALUE"""),77.0)</f>
        <v>77</v>
      </c>
      <c r="AM222">
        <f>IFERROR(__xludf.DUMMYFUNCTION("""COMPUTED_VALUE"""),2018.0)</f>
        <v>2018</v>
      </c>
    </row>
    <row r="223">
      <c r="A223">
        <f>IFERROR(__xludf.DUMMYFUNCTION("""COMPUTED_VALUE"""),7983577.0)</f>
        <v>7983577</v>
      </c>
      <c r="B223">
        <f>IFERROR(__xludf.DUMMYFUNCTION("""COMPUTED_VALUE"""),126.0)</f>
        <v>126</v>
      </c>
      <c r="C223" t="str">
        <f>IFERROR(__xludf.DUMMYFUNCTION("""COMPUTED_VALUE"""),"ACTA2019-09")</f>
        <v>ACTA2019-09</v>
      </c>
      <c r="D223" t="str">
        <f>IFERROR(__xludf.DUMMYFUNCTION("""COMPUTED_VALUE"""),"INGRESAR CENTRO DE COSTO A LA DERECHA")</f>
        <v>INGRESAR CENTRO DE COSTO A LA DERECHA</v>
      </c>
      <c r="E223" t="str">
        <f>IFERROR(__xludf.DUMMYFUNCTION("""COMPUTED_VALUE"""),"UNIDAD DE ADQUISICIONES")</f>
        <v>UNIDAD DE ADQUISICIONES</v>
      </c>
      <c r="F223" t="str">
        <f>IFERROR(__xludf.DUMMYFUNCTION("""COMPUTED_VALUE"""),"Jefe(a) de Área")</f>
        <v>Jefe(a) de Área</v>
      </c>
      <c r="G223" t="str">
        <f>IFERROR(__xludf.DUMMYFUNCTION("""COMPUTED_VALUE"""),"JEFE DE AREA COMPRAS Y SERVICIOS INSTITUCIONALES")</f>
        <v>JEFE DE AREA COMPRAS Y SERVICIOS INSTITUCIONALES</v>
      </c>
      <c r="H223">
        <f>IFERROR(__xludf.DUMMYFUNCTION("""COMPUTED_VALUE"""),8.0)</f>
        <v>8</v>
      </c>
      <c r="I223" t="str">
        <f>IFERROR(__xludf.DUMMYFUNCTION("""COMPUTED_VALUE"""),"Jornada Completa")</f>
        <v>Jornada Completa</v>
      </c>
      <c r="J223" t="str">
        <f>IFERROR(__xludf.DUMMYFUNCTION("""COMPUTED_VALUE"""),"A CONTRATA")</f>
        <v>A CONTRATA</v>
      </c>
      <c r="K223" t="str">
        <f>IFERROR(__xludf.DUMMYFUNCTION("""COMPUTED_VALUE"""),"PROFESIONAL")</f>
        <v>PROFESIONAL</v>
      </c>
      <c r="L223" t="str">
        <f>IFERROR(__xludf.DUMMYFUNCTION("""COMPUTED_VALUE"""),"INTERNO")</f>
        <v>INTERNO</v>
      </c>
      <c r="M223">
        <f>IFERROR(__xludf.DUMMYFUNCTION("""COMPUTED_VALUE"""),3.0)</f>
        <v>3</v>
      </c>
      <c r="N223" t="str">
        <f>IFERROR(__xludf.DUMMYFUNCTION("""COMPUTED_VALUE"""),"NO")</f>
        <v>NO</v>
      </c>
      <c r="O223">
        <f>IFERROR(__xludf.DUMMYFUNCTION("""COMPUTED_VALUE"""),0.0)</f>
        <v>0</v>
      </c>
      <c r="P223">
        <f>IFERROR(__xludf.DUMMYFUNCTION("""COMPUTED_VALUE"""),2.0)</f>
        <v>2</v>
      </c>
      <c r="Q223">
        <f>IFERROR(__xludf.DUMMYFUNCTION("""COMPUTED_VALUE"""),0.0)</f>
        <v>0</v>
      </c>
      <c r="R223" s="45" t="str">
        <f>IFERROR(__xludf.DUMMYFUNCTION("""COMPUTED_VALUE"""),"SELECCIONADO")</f>
        <v>SELECCIONADO</v>
      </c>
      <c r="S223" s="38">
        <f>IFERROR(__xludf.DUMMYFUNCTION("""COMPUTED_VALUE"""),43587.0)</f>
        <v>43587</v>
      </c>
      <c r="T223" t="str">
        <f>IFERROR(__xludf.DUMMYFUNCTION("""COMPUTED_VALUE"""),"ORTIZ DINAMARCA PEDRO MARIO")</f>
        <v>ORTIZ DINAMARCA PEDRO MARIO</v>
      </c>
      <c r="V223" t="str">
        <f>IFERROR(__xludf.DUMMYFUNCTION("""COMPUTED_VALUE"""),"7983577-3")</f>
        <v>7983577-3</v>
      </c>
      <c r="W223" t="str">
        <f>IFERROR(__xludf.DUMMYFUNCTION("""COMPUTED_VALUE"""),"SI")</f>
        <v>SI</v>
      </c>
      <c r="X223" t="str">
        <f>IFERROR(__xludf.DUMMYFUNCTION("""COMPUTED_VALUE"""),"Liderazgo")</f>
        <v>Liderazgo</v>
      </c>
      <c r="Y223" t="str">
        <f>IFERROR(__xludf.DUMMYFUNCTION("""COMPUTED_VALUE"""),"Capacidad de Planificacion y Organizacion")</f>
        <v>Capacidad de Planificacion y Organizacion</v>
      </c>
      <c r="AA223" s="38">
        <f>IFERROR(__xludf.DUMMYFUNCTION("""COMPUTED_VALUE"""),43483.0)</f>
        <v>43483</v>
      </c>
      <c r="AB223" s="38">
        <f>IFERROR(__xludf.DUMMYFUNCTION("""COMPUTED_VALUE"""),43489.0)</f>
        <v>43489</v>
      </c>
      <c r="AH223" t="str">
        <f>IFERROR(__xludf.DUMMYFUNCTION("""COMPUTED_VALUE"""),"PROCESO DE SELECCIÓN")</f>
        <v>PROCESO DE SELECCIÓN</v>
      </c>
      <c r="AI223" t="str">
        <f>IFERROR(__xludf.DUMMYFUNCTION("""COMPUTED_VALUE""")," - ")</f>
        <v> - </v>
      </c>
      <c r="AK223" t="str">
        <f>IFERROR(__xludf.DUMMYFUNCTION("""COMPUTED_VALUE"""),"C")</f>
        <v>C</v>
      </c>
      <c r="AL223">
        <f>IFERROR(__xludf.DUMMYFUNCTION("""COMPUTED_VALUE"""),71.0)</f>
        <v>71</v>
      </c>
      <c r="AM223">
        <f>IFERROR(__xludf.DUMMYFUNCTION("""COMPUTED_VALUE"""),2018.0)</f>
        <v>2018</v>
      </c>
    </row>
    <row r="224">
      <c r="A224">
        <f>IFERROR(__xludf.DUMMYFUNCTION("""COMPUTED_VALUE"""),1.1643375E7)</f>
        <v>11643375</v>
      </c>
      <c r="B224">
        <f>IFERROR(__xludf.DUMMYFUNCTION("""COMPUTED_VALUE"""),127.0)</f>
        <v>127</v>
      </c>
      <c r="C224" t="str">
        <f>IFERROR(__xludf.DUMMYFUNCTION("""COMPUTED_VALUE"""),"IR2018-03")</f>
        <v>IR2018-03</v>
      </c>
      <c r="D224" t="str">
        <f>IFERROR(__xludf.DUMMYFUNCTION("""COMPUTED_VALUE"""),"INGRESAR CENTRO DE COSTO A LA DERECHA")</f>
        <v>INGRESAR CENTRO DE COSTO A LA DERECHA</v>
      </c>
      <c r="E224" t="str">
        <f>IFERROR(__xludf.DUMMYFUNCTION("""COMPUTED_VALUE"""),"DPTO. DE MAT. Y CS. DE LA COMP.")</f>
        <v>DPTO. DE MAT. Y CS. DE LA COMP.</v>
      </c>
      <c r="F224" t="str">
        <f>IFERROR(__xludf.DUMMYFUNCTION("""COMPUTED_VALUE"""),"Administrativo(a) de Apoyo")</f>
        <v>Administrativo(a) de Apoyo</v>
      </c>
      <c r="G224" t="str">
        <f>IFERROR(__xludf.DUMMYFUNCTION("""COMPUTED_VALUE"""),"ADMINISTRATIVA DE APOYO")</f>
        <v>ADMINISTRATIVA DE APOYO</v>
      </c>
      <c r="H224">
        <f>IFERROR(__xludf.DUMMYFUNCTION("""COMPUTED_VALUE"""),20.0)</f>
        <v>20</v>
      </c>
      <c r="I224" t="str">
        <f>IFERROR(__xludf.DUMMYFUNCTION("""COMPUTED_VALUE"""),"Jornada Completa")</f>
        <v>Jornada Completa</v>
      </c>
      <c r="J224" t="str">
        <f>IFERROR(__xludf.DUMMYFUNCTION("""COMPUTED_VALUE"""),"A CONTRATA")</f>
        <v>A CONTRATA</v>
      </c>
      <c r="K224" t="str">
        <f>IFERROR(__xludf.DUMMYFUNCTION("""COMPUTED_VALUE"""),"ADMINISTRATIVO")</f>
        <v>ADMINISTRATIVO</v>
      </c>
      <c r="L224" t="str">
        <f>IFERROR(__xludf.DUMMYFUNCTION("""COMPUTED_VALUE"""),"INTERNO")</f>
        <v>INTERNO</v>
      </c>
      <c r="M224">
        <f>IFERROR(__xludf.DUMMYFUNCTION("""COMPUTED_VALUE"""),1.0)</f>
        <v>1</v>
      </c>
      <c r="N224" t="str">
        <f>IFERROR(__xludf.DUMMYFUNCTION("""COMPUTED_VALUE"""),"EXTERNO")</f>
        <v>EXTERNO</v>
      </c>
      <c r="O224">
        <f>IFERROR(__xludf.DUMMYFUNCTION("""COMPUTED_VALUE"""),23.0)</f>
        <v>23</v>
      </c>
      <c r="P224">
        <f>IFERROR(__xludf.DUMMYFUNCTION("""COMPUTED_VALUE"""),3.0)</f>
        <v>3</v>
      </c>
      <c r="Q224">
        <f>IFERROR(__xludf.DUMMYFUNCTION("""COMPUTED_VALUE"""),0.0)</f>
        <v>0</v>
      </c>
      <c r="R224" s="45" t="str">
        <f>IFERROR(__xludf.DUMMYFUNCTION("""COMPUTED_VALUE"""),"SELECCIONADA")</f>
        <v>SELECCIONADA</v>
      </c>
      <c r="S224" s="38">
        <f>IFERROR(__xludf.DUMMYFUNCTION("""COMPUTED_VALUE"""),43647.0)</f>
        <v>43647</v>
      </c>
      <c r="U224" t="str">
        <f>IFERROR(__xludf.DUMMYFUNCTION("""COMPUTED_VALUE"""),"UMAÑA HERRERA BLANCA")</f>
        <v>UMAÑA HERRERA BLANCA</v>
      </c>
      <c r="V224" t="str">
        <f>IFERROR(__xludf.DUMMYFUNCTION("""COMPUTED_VALUE"""),"11643375-3")</f>
        <v>11643375-3</v>
      </c>
      <c r="W224" t="str">
        <f>IFERROR(__xludf.DUMMYFUNCTION("""COMPUTED_VALUE"""),"NO")</f>
        <v>NO</v>
      </c>
      <c r="AA224" s="38">
        <f>IFERROR(__xludf.DUMMYFUNCTION("""COMPUTED_VALUE"""),43392.0)</f>
        <v>43392</v>
      </c>
      <c r="AB224" s="38">
        <f>IFERROR(__xludf.DUMMYFUNCTION("""COMPUTED_VALUE"""),43399.0)</f>
        <v>43399</v>
      </c>
      <c r="AH224" t="str">
        <f>IFERROR(__xludf.DUMMYFUNCTION("""COMPUTED_VALUE"""),"PROCESO DE SELECCIÓN")</f>
        <v>PROCESO DE SELECCIÓN</v>
      </c>
      <c r="AI224" t="str">
        <f>IFERROR(__xludf.DUMMYFUNCTION("""COMPUTED_VALUE"""),"GARCIA ESPINOZA ELIANA")</f>
        <v>GARCIA ESPINOZA ELIANA</v>
      </c>
      <c r="AK224" t="str">
        <f>IFERROR(__xludf.DUMMYFUNCTION("""COMPUTED_VALUE"""),"P")</f>
        <v>P</v>
      </c>
      <c r="AL224">
        <f>IFERROR(__xludf.DUMMYFUNCTION("""COMPUTED_VALUE"""),177.0)</f>
        <v>177</v>
      </c>
      <c r="AM224">
        <f>IFERROR(__xludf.DUMMYFUNCTION("""COMPUTED_VALUE"""),2019.0)</f>
        <v>2019</v>
      </c>
    </row>
    <row r="225">
      <c r="A225">
        <f>IFERROR(__xludf.DUMMYFUNCTION("""COMPUTED_VALUE"""),1.5794628E7)</f>
        <v>15794628</v>
      </c>
      <c r="B225">
        <f>IFERROR(__xludf.DUMMYFUNCTION("""COMPUTED_VALUE"""),128.0)</f>
        <v>128</v>
      </c>
      <c r="C225" t="str">
        <f>IFERROR(__xludf.DUMMYFUNCTION("""COMPUTED_VALUE"""),"ACTA2018-09")</f>
        <v>ACTA2018-09</v>
      </c>
      <c r="D225" t="str">
        <f>IFERROR(__xludf.DUMMYFUNCTION("""COMPUTED_VALUE"""),"INGRESAR CENTRO DE COSTO A LA DERECHA")</f>
        <v>INGRESAR CENTRO DE COSTO A LA DERECHA</v>
      </c>
      <c r="E225" t="str">
        <f>IFERROR(__xludf.DUMMYFUNCTION("""COMPUTED_VALUE"""),"ESCUELA DE PSICOLOGIA")</f>
        <v>ESCUELA DE PSICOLOGIA</v>
      </c>
      <c r="F225" t="str">
        <f>IFERROR(__xludf.DUMMYFUNCTION("""COMPUTED_VALUE"""),"Analista de Gestión Administrativa")</f>
        <v>Analista de Gestión Administrativa</v>
      </c>
      <c r="G225" t="str">
        <f>IFERROR(__xludf.DUMMYFUNCTION("""COMPUTED_VALUE"""),"ANALISTA DE GESTION ADMINISTRATIVA")</f>
        <v>ANALISTA DE GESTION ADMINISTRATIVA</v>
      </c>
      <c r="H225">
        <f>IFERROR(__xludf.DUMMYFUNCTION("""COMPUTED_VALUE"""),14.0)</f>
        <v>14</v>
      </c>
      <c r="I225" t="str">
        <f>IFERROR(__xludf.DUMMYFUNCTION("""COMPUTED_VALUE"""),"Jornada Completa")</f>
        <v>Jornada Completa</v>
      </c>
      <c r="J225" t="str">
        <f>IFERROR(__xludf.DUMMYFUNCTION("""COMPUTED_VALUE"""),"A CONTRATA")</f>
        <v>A CONTRATA</v>
      </c>
      <c r="K225" t="str">
        <f>IFERROR(__xludf.DUMMYFUNCTION("""COMPUTED_VALUE"""),"PROFESIONAL")</f>
        <v>PROFESIONAL</v>
      </c>
      <c r="L225" t="str">
        <f>IFERROR(__xludf.DUMMYFUNCTION("""COMPUTED_VALUE"""),"INTERNO")</f>
        <v>INTERNO</v>
      </c>
      <c r="M225">
        <f>IFERROR(__xludf.DUMMYFUNCTION("""COMPUTED_VALUE"""),10.0)</f>
        <v>10</v>
      </c>
      <c r="N225" t="str">
        <f>IFERROR(__xludf.DUMMYFUNCTION("""COMPUTED_VALUE"""),"NO")</f>
        <v>NO</v>
      </c>
      <c r="O225">
        <f>IFERROR(__xludf.DUMMYFUNCTION("""COMPUTED_VALUE"""),0.0)</f>
        <v>0</v>
      </c>
      <c r="P225">
        <f>IFERROR(__xludf.DUMMYFUNCTION("""COMPUTED_VALUE"""),1.0)</f>
        <v>1</v>
      </c>
      <c r="Q225">
        <f>IFERROR(__xludf.DUMMYFUNCTION("""COMPUTED_VALUE"""),0.0)</f>
        <v>0</v>
      </c>
      <c r="R225" s="45" t="str">
        <f>IFERROR(__xludf.DUMMYFUNCTION("""COMPUTED_VALUE"""),"SELECCIONADA")</f>
        <v>SELECCIONADA</v>
      </c>
      <c r="S225" s="38">
        <f>IFERROR(__xludf.DUMMYFUNCTION("""COMPUTED_VALUE"""),43535.0)</f>
        <v>43535</v>
      </c>
      <c r="T225" t="str">
        <f>IFERROR(__xludf.DUMMYFUNCTION("""COMPUTED_VALUE"""),"GALAZ MANCILLA MARIELA ALEJANDRA")</f>
        <v>GALAZ MANCILLA MARIELA ALEJANDRA</v>
      </c>
      <c r="V225" t="str">
        <f>IFERROR(__xludf.DUMMYFUNCTION("""COMPUTED_VALUE"""),"15794628-5")</f>
        <v>15794628-5</v>
      </c>
      <c r="W225" t="str">
        <f>IFERROR(__xludf.DUMMYFUNCTION("""COMPUTED_VALUE"""),"SI")</f>
        <v>SI</v>
      </c>
      <c r="X225" t="str">
        <f>IFERROR(__xludf.DUMMYFUNCTION("""COMPUTED_VALUE"""),"Capacidad de Planificacion y Organizacion")</f>
        <v>Capacidad de Planificacion y Organizacion</v>
      </c>
      <c r="AA225" s="38">
        <f>IFERROR(__xludf.DUMMYFUNCTION("""COMPUTED_VALUE"""),43444.0)</f>
        <v>43444</v>
      </c>
      <c r="AB225" s="38">
        <f>IFERROR(__xludf.DUMMYFUNCTION("""COMPUTED_VALUE"""),43451.0)</f>
        <v>43451</v>
      </c>
      <c r="AH225" t="str">
        <f>IFERROR(__xludf.DUMMYFUNCTION("""COMPUTED_VALUE"""),"PROCESO DE SELECCIÓN")</f>
        <v>PROCESO DE SELECCIÓN</v>
      </c>
      <c r="AI225" t="str">
        <f>IFERROR(__xludf.DUMMYFUNCTION("""COMPUTED_VALUE"""),"-")</f>
        <v>-</v>
      </c>
      <c r="AK225" t="str">
        <f>IFERROR(__xludf.DUMMYFUNCTION("""COMPUTED_VALUE"""),"C")</f>
        <v>C</v>
      </c>
      <c r="AL225">
        <f>IFERROR(__xludf.DUMMYFUNCTION("""COMPUTED_VALUE"""),61.0)</f>
        <v>61</v>
      </c>
      <c r="AM225">
        <f>IFERROR(__xludf.DUMMYFUNCTION("""COMPUTED_VALUE"""),2018.0)</f>
        <v>2018</v>
      </c>
    </row>
    <row r="226">
      <c r="A226">
        <f>IFERROR(__xludf.DUMMYFUNCTION("""COMPUTED_VALUE"""),1.5050864E7)</f>
        <v>15050864</v>
      </c>
      <c r="B226">
        <f>IFERROR(__xludf.DUMMYFUNCTION("""COMPUTED_VALUE"""),129.0)</f>
        <v>129</v>
      </c>
      <c r="C226" t="str">
        <f>IFERROR(__xludf.DUMMYFUNCTION("""COMPUTED_VALUE"""),"a251")</f>
        <v>a251</v>
      </c>
      <c r="D226" t="str">
        <f>IFERROR(__xludf.DUMMYFUNCTION("""COMPUTED_VALUE"""),"INGRESAR CENTRO DE COSTO A LA DERECHA")</f>
        <v>INGRESAR CENTRO DE COSTO A LA DERECHA</v>
      </c>
      <c r="E226" t="str">
        <f>IFERROR(__xludf.DUMMYFUNCTION("""COMPUTED_VALUE"""),"DPTO. DE FINANZAS Y TESORERIA")</f>
        <v>DPTO. DE FINANZAS Y TESORERIA</v>
      </c>
      <c r="F226" t="str">
        <f>IFERROR(__xludf.DUMMYFUNCTION("""COMPUTED_VALUE"""),"Administrativo(a) Contable")</f>
        <v>Administrativo(a) Contable</v>
      </c>
      <c r="G226" t="str">
        <f>IFERROR(__xludf.DUMMYFUNCTION("""COMPUTED_VALUE"""),"ADMINISTRATIVA CONTABLE")</f>
        <v>ADMINISTRATIVA CONTABLE</v>
      </c>
      <c r="H226">
        <f>IFERROR(__xludf.DUMMYFUNCTION("""COMPUTED_VALUE"""),17.0)</f>
        <v>17</v>
      </c>
      <c r="I226" t="str">
        <f>IFERROR(__xludf.DUMMYFUNCTION("""COMPUTED_VALUE"""),"Jornada Completa")</f>
        <v>Jornada Completa</v>
      </c>
      <c r="J226" t="str">
        <f>IFERROR(__xludf.DUMMYFUNCTION("""COMPUTED_VALUE"""),"A CONTRATA")</f>
        <v>A CONTRATA</v>
      </c>
      <c r="K226" t="str">
        <f>IFERROR(__xludf.DUMMYFUNCTION("""COMPUTED_VALUE"""),"TECNICO")</f>
        <v>TECNICO</v>
      </c>
      <c r="L226" t="str">
        <f>IFERROR(__xludf.DUMMYFUNCTION("""COMPUTED_VALUE"""),"INTERNO")</f>
        <v>INTERNO</v>
      </c>
      <c r="M226">
        <f>IFERROR(__xludf.DUMMYFUNCTION("""COMPUTED_VALUE"""),2.0)</f>
        <v>2</v>
      </c>
      <c r="N226" t="str">
        <f>IFERROR(__xludf.DUMMYFUNCTION("""COMPUTED_VALUE"""),"NO")</f>
        <v>NO</v>
      </c>
      <c r="O226">
        <f>IFERROR(__xludf.DUMMYFUNCTION("""COMPUTED_VALUE"""),0.0)</f>
        <v>0</v>
      </c>
      <c r="P226">
        <f>IFERROR(__xludf.DUMMYFUNCTION("""COMPUTED_VALUE"""),1.0)</f>
        <v>1</v>
      </c>
      <c r="Q226">
        <f>IFERROR(__xludf.DUMMYFUNCTION("""COMPUTED_VALUE"""),0.0)</f>
        <v>0</v>
      </c>
      <c r="R226" s="45" t="str">
        <f>IFERROR(__xludf.DUMMYFUNCTION("""COMPUTED_VALUE"""),"SELECCIONADA")</f>
        <v>SELECCIONADA</v>
      </c>
      <c r="S226" s="38">
        <f>IFERROR(__xludf.DUMMYFUNCTION("""COMPUTED_VALUE"""),43537.0)</f>
        <v>43537</v>
      </c>
      <c r="T226" t="str">
        <f>IFERROR(__xludf.DUMMYFUNCTION("""COMPUTED_VALUE"""),"LOPEZ CORTES ELIZABETH YOLANDA")</f>
        <v>LOPEZ CORTES ELIZABETH YOLANDA</v>
      </c>
      <c r="V226" t="str">
        <f>IFERROR(__xludf.DUMMYFUNCTION("""COMPUTED_VALUE"""),"15050864-9")</f>
        <v>15050864-9</v>
      </c>
      <c r="W226" t="str">
        <f>IFERROR(__xludf.DUMMYFUNCTION("""COMPUTED_VALUE"""),"SI")</f>
        <v>SI</v>
      </c>
      <c r="X226" t="str">
        <f>IFERROR(__xludf.DUMMYFUNCTION("""COMPUTED_VALUE"""),"Trabajo en Equipo")</f>
        <v>Trabajo en Equipo</v>
      </c>
      <c r="AA226" s="38">
        <f>IFERROR(__xludf.DUMMYFUNCTION("""COMPUTED_VALUE"""),43398.0)</f>
        <v>43398</v>
      </c>
      <c r="AB226" s="38">
        <f>IFERROR(__xludf.DUMMYFUNCTION("""COMPUTED_VALUE"""),43409.0)</f>
        <v>43409</v>
      </c>
      <c r="AH226" t="str">
        <f>IFERROR(__xludf.DUMMYFUNCTION("""COMPUTED_VALUE"""),"PROCESO DE SELECCIÓN")</f>
        <v>PROCESO DE SELECCIÓN</v>
      </c>
      <c r="AI226" t="str">
        <f>IFERROR(__xludf.DUMMYFUNCTION("""COMPUTED_VALUE"""),"CUBILLOS CASTRO MARIA")</f>
        <v>CUBILLOS CASTRO MARIA</v>
      </c>
      <c r="AK226" t="str">
        <f>IFERROR(__xludf.DUMMYFUNCTION("""COMPUTED_VALUE"""),"C")</f>
        <v>C</v>
      </c>
      <c r="AL226">
        <f>IFERROR(__xludf.DUMMYFUNCTION("""COMPUTED_VALUE"""),93.0)</f>
        <v>93</v>
      </c>
      <c r="AM226">
        <f>IFERROR(__xludf.DUMMYFUNCTION("""COMPUTED_VALUE"""),2018.0)</f>
        <v>2018</v>
      </c>
    </row>
    <row r="227">
      <c r="A227">
        <f>IFERROR(__xludf.DUMMYFUNCTION("""COMPUTED_VALUE"""),1.5083887E7)</f>
        <v>15083887</v>
      </c>
      <c r="B227">
        <f>IFERROR(__xludf.DUMMYFUNCTION("""COMPUTED_VALUE"""),1.0)</f>
        <v>1</v>
      </c>
      <c r="D227" t="str">
        <f>IFERROR(__xludf.DUMMYFUNCTION("""COMPUTED_VALUE"""),"INGRESAR CENTRO DE COSTO A LA DERECHA")</f>
        <v>INGRESAR CENTRO DE COSTO A LA DERECHA</v>
      </c>
      <c r="E227" t="str">
        <f>IFERROR(__xludf.DUMMYFUNCTION("""COMPUTED_VALUE"""),"DPTO. DE PUBLICIDAD E IMAGEN")</f>
        <v>DPTO. DE PUBLICIDAD E IMAGEN</v>
      </c>
      <c r="F227" t="str">
        <f>IFERROR(__xludf.DUMMYFUNCTION("""COMPUTED_VALUE"""),"Secretario(a) de Apoyo Docente")</f>
        <v>Secretario(a) de Apoyo Docente</v>
      </c>
      <c r="G227" t="str">
        <f>IFERROR(__xludf.DUMMYFUNCTION("""COMPUTED_VALUE"""),"SECRETARIO(A) DE APOYO DOCENTE")</f>
        <v>SECRETARIO(A) DE APOYO DOCENTE</v>
      </c>
      <c r="H227">
        <f>IFERROR(__xludf.DUMMYFUNCTION("""COMPUTED_VALUE"""),17.0)</f>
        <v>17</v>
      </c>
      <c r="I227" t="str">
        <f>IFERROR(__xludf.DUMMYFUNCTION("""COMPUTED_VALUE"""),"Jornada Completa")</f>
        <v>Jornada Completa</v>
      </c>
      <c r="J227" t="str">
        <f>IFERROR(__xludf.DUMMYFUNCTION("""COMPUTED_VALUE"""),"A CONTRATA")</f>
        <v>A CONTRATA</v>
      </c>
      <c r="K227" t="str">
        <f>IFERROR(__xludf.DUMMYFUNCTION("""COMPUTED_VALUE"""),"ADMINISTRATIVO")</f>
        <v>ADMINISTRATIVO</v>
      </c>
      <c r="L227" t="str">
        <f>IFERROR(__xludf.DUMMYFUNCTION("""COMPUTED_VALUE"""),"INTERNO")</f>
        <v>INTERNO</v>
      </c>
      <c r="M227">
        <f>IFERROR(__xludf.DUMMYFUNCTION("""COMPUTED_VALUE"""),0.0)</f>
        <v>0</v>
      </c>
      <c r="N227" t="str">
        <f>IFERROR(__xludf.DUMMYFUNCTION("""COMPUTED_VALUE"""),"EXTERNO")</f>
        <v>EXTERNO</v>
      </c>
      <c r="O227">
        <f>IFERROR(__xludf.DUMMYFUNCTION("""COMPUTED_VALUE"""),13.0)</f>
        <v>13</v>
      </c>
      <c r="P227">
        <f>IFERROR(__xludf.DUMMYFUNCTION("""COMPUTED_VALUE"""),1.0)</f>
        <v>1</v>
      </c>
      <c r="Q227">
        <f>IFERROR(__xludf.DUMMYFUNCTION("""COMPUTED_VALUE"""),1.0)</f>
        <v>1</v>
      </c>
      <c r="R227" s="45" t="str">
        <f>IFERROR(__xludf.DUMMYFUNCTION("""COMPUTED_VALUE"""),"SELECCIONADA")</f>
        <v>SELECCIONADA</v>
      </c>
      <c r="S227" s="38">
        <f>IFERROR(__xludf.DUMMYFUNCTION("""COMPUTED_VALUE"""),42857.0)</f>
        <v>42857</v>
      </c>
      <c r="U227" t="str">
        <f>IFERROR(__xludf.DUMMYFUNCTION("""COMPUTED_VALUE"""),"MARIBEL MUÑOZ GUERRA")</f>
        <v>MARIBEL MUÑOZ GUERRA</v>
      </c>
      <c r="V227" t="str">
        <f>IFERROR(__xludf.DUMMYFUNCTION("""COMPUTED_VALUE"""),"15083887-8")</f>
        <v>15083887-8</v>
      </c>
      <c r="W227" t="str">
        <f>IFERROR(__xludf.DUMMYFUNCTION("""COMPUTED_VALUE"""),"SI")</f>
        <v>SI</v>
      </c>
      <c r="X227" t="str">
        <f>IFERROR(__xludf.DUMMYFUNCTION("""COMPUTED_VALUE"""),"Franqueza- Confiabilidad- Integridad")</f>
        <v>Franqueza- Confiabilidad- Integridad</v>
      </c>
      <c r="AA227" s="38">
        <f>IFERROR(__xludf.DUMMYFUNCTION("""COMPUTED_VALUE"""),42807.0)</f>
        <v>42807</v>
      </c>
      <c r="AB227" s="38">
        <f>IFERROR(__xludf.DUMMYFUNCTION("""COMPUTED_VALUE"""),42814.0)</f>
        <v>42814</v>
      </c>
      <c r="AH227" t="str">
        <f>IFERROR(__xludf.DUMMYFUNCTION("""COMPUTED_VALUE"""),"PROCESO DE SELECCIÓN")</f>
        <v>PROCESO DE SELECCIÓN</v>
      </c>
      <c r="AI227" t="str">
        <f>IFERROR(__xludf.DUMMYFUNCTION("""COMPUTED_VALUE"""),"AUTORIZADO 2016")</f>
        <v>AUTORIZADO 2016</v>
      </c>
      <c r="AK227" t="str">
        <f>IFERROR(__xludf.DUMMYFUNCTION("""COMPUTED_VALUE"""),"E")</f>
        <v>E</v>
      </c>
      <c r="AL227">
        <f>IFERROR(__xludf.DUMMYFUNCTION("""COMPUTED_VALUE"""),32.0)</f>
        <v>32</v>
      </c>
      <c r="AM227">
        <f>IFERROR(__xludf.DUMMYFUNCTION("""COMPUTED_VALUE"""),2017.0)</f>
        <v>2017</v>
      </c>
    </row>
    <row r="228">
      <c r="A228">
        <f>IFERROR(__xludf.DUMMYFUNCTION("""COMPUTED_VALUE"""),1.3750423E7)</f>
        <v>13750423</v>
      </c>
      <c r="B228">
        <f>IFERROR(__xludf.DUMMYFUNCTION("""COMPUTED_VALUE"""),2.0)</f>
        <v>2</v>
      </c>
      <c r="D228" t="str">
        <f>IFERROR(__xludf.DUMMYFUNCTION("""COMPUTED_VALUE"""),"INGRESAR CENTRO DE COSTO A LA DERECHA")</f>
        <v>INGRESAR CENTRO DE COSTO A LA DERECHA</v>
      </c>
      <c r="E228" t="str">
        <f>IFERROR(__xludf.DUMMYFUNCTION("""COMPUTED_VALUE"""),"PRORRECTORIA")</f>
        <v>PRORRECTORIA</v>
      </c>
      <c r="F228" t="str">
        <f>IFERROR(__xludf.DUMMYFUNCTION("""COMPUTED_VALUE"""),"Jefe(a) de Área")</f>
        <v>Jefe(a) de Área</v>
      </c>
      <c r="G228" t="str">
        <f>IFERROR(__xludf.DUMMYFUNCTION("""COMPUTED_VALUE"""),"JEFE DE AREA")</f>
        <v>JEFE DE AREA</v>
      </c>
      <c r="H228">
        <f>IFERROR(__xludf.DUMMYFUNCTION("""COMPUTED_VALUE"""),8.0)</f>
        <v>8</v>
      </c>
      <c r="I228" t="str">
        <f>IFERROR(__xludf.DUMMYFUNCTION("""COMPUTED_VALUE"""),"Jornada Completa")</f>
        <v>Jornada Completa</v>
      </c>
      <c r="J228" t="str">
        <f>IFERROR(__xludf.DUMMYFUNCTION("""COMPUTED_VALUE"""),"A CONTRATA")</f>
        <v>A CONTRATA</v>
      </c>
      <c r="K228" t="str">
        <f>IFERROR(__xludf.DUMMYFUNCTION("""COMPUTED_VALUE"""),"PROFESIONAL")</f>
        <v>PROFESIONAL</v>
      </c>
      <c r="L228" t="str">
        <f>IFERROR(__xludf.DUMMYFUNCTION("""COMPUTED_VALUE"""),"INTERNO")</f>
        <v>INTERNO</v>
      </c>
      <c r="M228">
        <f>IFERROR(__xludf.DUMMYFUNCTION("""COMPUTED_VALUE"""),16.0)</f>
        <v>16</v>
      </c>
      <c r="N228" t="str">
        <f>IFERROR(__xludf.DUMMYFUNCTION("""COMPUTED_VALUE"""),"NO")</f>
        <v>NO</v>
      </c>
      <c r="P228">
        <f>IFERROR(__xludf.DUMMYFUNCTION("""COMPUTED_VALUE"""),2.0)</f>
        <v>2</v>
      </c>
      <c r="Q228">
        <f>IFERROR(__xludf.DUMMYFUNCTION("""COMPUTED_VALUE"""),0.0)</f>
        <v>0</v>
      </c>
      <c r="R228" s="45" t="str">
        <f>IFERROR(__xludf.DUMMYFUNCTION("""COMPUTED_VALUE"""),"SELECCIONADA")</f>
        <v>SELECCIONADA</v>
      </c>
      <c r="S228" s="38">
        <f>IFERROR(__xludf.DUMMYFUNCTION("""COMPUTED_VALUE"""),42836.0)</f>
        <v>42836</v>
      </c>
      <c r="T228" t="str">
        <f>IFERROR(__xludf.DUMMYFUNCTION("""COMPUTED_VALUE"""),"TAPIA AREVALO MARCELA ANDREA")</f>
        <v>TAPIA AREVALO MARCELA ANDREA</v>
      </c>
      <c r="V228" t="str">
        <f>IFERROR(__xludf.DUMMYFUNCTION("""COMPUTED_VALUE"""),"13750423-5")</f>
        <v>13750423-5</v>
      </c>
      <c r="W228" t="str">
        <f>IFERROR(__xludf.DUMMYFUNCTION("""COMPUTED_VALUE"""),"SI")</f>
        <v>SI</v>
      </c>
      <c r="X228" t="str">
        <f>IFERROR(__xludf.DUMMYFUNCTION("""COMPUTED_VALUE"""),"LIDERAZGO")</f>
        <v>LIDERAZGO</v>
      </c>
      <c r="AA228" s="38">
        <f>IFERROR(__xludf.DUMMYFUNCTION("""COMPUTED_VALUE"""),42808.0)</f>
        <v>42808</v>
      </c>
      <c r="AB228" s="38">
        <f>IFERROR(__xludf.DUMMYFUNCTION("""COMPUTED_VALUE"""),42811.0)</f>
        <v>42811</v>
      </c>
      <c r="AC228">
        <f>IFERROR(__xludf.DUMMYFUNCTION("""COMPUTED_VALUE"""),14.0)</f>
        <v>14</v>
      </c>
      <c r="AD228" t="str">
        <f>IFERROR(__xludf.DUMMYFUNCTION("""COMPUTED_VALUE"""),"PROFESIONAL")</f>
        <v>PROFESIONAL</v>
      </c>
      <c r="AE228" t="str">
        <f>IFERROR(__xludf.DUMMYFUNCTION("""COMPUTED_VALUE"""),"ANALISTA DE GESTION ADMINISTRATIVA")</f>
        <v>ANALISTA DE GESTION ADMINISTRATIVA</v>
      </c>
      <c r="AF228" s="46" t="str">
        <f>IFERROR(__xludf.DUMMYFUNCTION("""COMPUTED_VALUE"""),"ESCUELA DE MEDICINA")</f>
        <v>ESCUELA DE MEDICINA</v>
      </c>
      <c r="AG228" s="46" t="str">
        <f>IFERROR(__xludf.DUMMYFUNCTION("""COMPUTED_VALUE"""),"FALTAN DOCUMENTOS EN CARPETA")</f>
        <v>FALTAN DOCUMENTOS EN CARPETA</v>
      </c>
      <c r="AH228" t="str">
        <f>IFERROR(__xludf.DUMMYFUNCTION("""COMPUTED_VALUE"""),"PROCESO DE SELECCIÓN")</f>
        <v>PROCESO DE SELECCIÓN</v>
      </c>
      <c r="AI228" t="str">
        <f>IFERROR(__xludf.DUMMYFUNCTION("""COMPUTED_VALUE"""),"PAOLA REYES REYES")</f>
        <v>PAOLA REYES REYES</v>
      </c>
      <c r="AK228" t="str">
        <f>IFERROR(__xludf.DUMMYFUNCTION("""COMPUTED_VALUE"""),"C")</f>
        <v>C</v>
      </c>
      <c r="AL228">
        <f>IFERROR(__xludf.DUMMYFUNCTION("""COMPUTED_VALUE"""),18.0)</f>
        <v>18</v>
      </c>
      <c r="AM228">
        <f>IFERROR(__xludf.DUMMYFUNCTION("""COMPUTED_VALUE"""),2017.0)</f>
        <v>2017</v>
      </c>
    </row>
    <row r="229">
      <c r="A229">
        <f>IFERROR(__xludf.DUMMYFUNCTION("""COMPUTED_VALUE"""),1.5347267E7)</f>
        <v>15347267</v>
      </c>
      <c r="B229">
        <f>IFERROR(__xludf.DUMMYFUNCTION("""COMPUTED_VALUE"""),3.0)</f>
        <v>3</v>
      </c>
      <c r="D229" t="str">
        <f>IFERROR(__xludf.DUMMYFUNCTION("""COMPUTED_VALUE"""),"INGRESAR CENTRO DE COSTO A LA DERECHA")</f>
        <v>INGRESAR CENTRO DE COSTO A LA DERECHA</v>
      </c>
      <c r="E229" t="str">
        <f>IFERROR(__xludf.DUMMYFUNCTION("""COMPUTED_VALUE"""),"DPTO. DE DEPORTES")</f>
        <v>DPTO. DE DEPORTES</v>
      </c>
      <c r="F229" t="str">
        <f>IFERROR(__xludf.DUMMYFUNCTION("""COMPUTED_VALUE"""),"Entrenador(a) Deportivo(a)")</f>
        <v>Entrenador(a) Deportivo(a)</v>
      </c>
      <c r="G229" t="str">
        <f>IFERROR(__xludf.DUMMYFUNCTION("""COMPUTED_VALUE"""),"PROFESOR ENTRENADOR DEPORTIVO (VOLEIBOL)")</f>
        <v>PROFESOR ENTRENADOR DEPORTIVO (VOLEIBOL)</v>
      </c>
      <c r="H229">
        <f>IFERROR(__xludf.DUMMYFUNCTION("""COMPUTED_VALUE"""),13.0)</f>
        <v>13</v>
      </c>
      <c r="I229" t="str">
        <f>IFERROR(__xludf.DUMMYFUNCTION("""COMPUTED_VALUE"""),"1/2 Jornada")</f>
        <v>1/2 Jornada</v>
      </c>
      <c r="J229" t="str">
        <f>IFERROR(__xludf.DUMMYFUNCTION("""COMPUTED_VALUE"""),"A CONTRATA")</f>
        <v>A CONTRATA</v>
      </c>
      <c r="K229" t="str">
        <f>IFERROR(__xludf.DUMMYFUNCTION("""COMPUTED_VALUE"""),"PROFESIONAL")</f>
        <v>PROFESIONAL</v>
      </c>
      <c r="L229" t="str">
        <f>IFERROR(__xludf.DUMMYFUNCTION("""COMPUTED_VALUE"""),"INTERNO")</f>
        <v>INTERNO</v>
      </c>
      <c r="M229">
        <f>IFERROR(__xludf.DUMMYFUNCTION("""COMPUTED_VALUE"""),0.0)</f>
        <v>0</v>
      </c>
      <c r="N229" t="str">
        <f>IFERROR(__xludf.DUMMYFUNCTION("""COMPUTED_VALUE"""),"EXTERNO")</f>
        <v>EXTERNO</v>
      </c>
      <c r="O229">
        <f>IFERROR(__xludf.DUMMYFUNCTION("""COMPUTED_VALUE"""),7.0)</f>
        <v>7</v>
      </c>
      <c r="P229">
        <f>IFERROR(__xludf.DUMMYFUNCTION("""COMPUTED_VALUE"""),1.0)</f>
        <v>1</v>
      </c>
      <c r="Q229">
        <f>IFERROR(__xludf.DUMMYFUNCTION("""COMPUTED_VALUE"""),1.0)</f>
        <v>1</v>
      </c>
      <c r="R229" s="45" t="str">
        <f>IFERROR(__xludf.DUMMYFUNCTION("""COMPUTED_VALUE"""),"SELECCIONADO")</f>
        <v>SELECCIONADO</v>
      </c>
      <c r="S229" s="38">
        <f>IFERROR(__xludf.DUMMYFUNCTION("""COMPUTED_VALUE"""),42851.0)</f>
        <v>42851</v>
      </c>
      <c r="U229" t="str">
        <f>IFERROR(__xludf.DUMMYFUNCTION("""COMPUTED_VALUE"""),"CRISTIAN ESCOBAR ZUÑIGA")</f>
        <v>CRISTIAN ESCOBAR ZUÑIGA</v>
      </c>
      <c r="V229" t="str">
        <f>IFERROR(__xludf.DUMMYFUNCTION("""COMPUTED_VALUE"""),"15347267-K")</f>
        <v>15347267-K</v>
      </c>
      <c r="W229" t="str">
        <f>IFERROR(__xludf.DUMMYFUNCTION("""COMPUTED_VALUE"""),"NO")</f>
        <v>NO</v>
      </c>
      <c r="AA229" s="38">
        <f>IFERROR(__xludf.DUMMYFUNCTION("""COMPUTED_VALUE"""),42816.0)</f>
        <v>42816</v>
      </c>
      <c r="AB229" s="38">
        <f>IFERROR(__xludf.DUMMYFUNCTION("""COMPUTED_VALUE"""),42823.0)</f>
        <v>42823</v>
      </c>
      <c r="AH229" t="str">
        <f>IFERROR(__xludf.DUMMYFUNCTION("""COMPUTED_VALUE"""),"PROCESO DE SELECCIÓN")</f>
        <v>PROCESO DE SELECCIÓN</v>
      </c>
      <c r="AI229" t="str">
        <f>IFERROR(__xludf.DUMMYFUNCTION("""COMPUTED_VALUE"""),"ALEJANDRO TORO CATALAN")</f>
        <v>ALEJANDRO TORO CATALAN</v>
      </c>
      <c r="AK229" t="str">
        <f>IFERROR(__xludf.DUMMYFUNCTION("""COMPUTED_VALUE"""),"P")</f>
        <v>P</v>
      </c>
      <c r="AL229">
        <f>IFERROR(__xludf.DUMMYFUNCTION("""COMPUTED_VALUE"""),21.0)</f>
        <v>21</v>
      </c>
      <c r="AM229">
        <f>IFERROR(__xludf.DUMMYFUNCTION("""COMPUTED_VALUE"""),2017.0)</f>
        <v>2017</v>
      </c>
    </row>
    <row r="230">
      <c r="A230">
        <f>IFERROR(__xludf.DUMMYFUNCTION("""COMPUTED_VALUE"""),1.6578821E7)</f>
        <v>16578821</v>
      </c>
      <c r="B230">
        <f>IFERROR(__xludf.DUMMYFUNCTION("""COMPUTED_VALUE"""),4.0)</f>
        <v>4</v>
      </c>
      <c r="D230" t="str">
        <f>IFERROR(__xludf.DUMMYFUNCTION("""COMPUTED_VALUE"""),"INGRESAR CENTRO DE COSTO A LA DERECHA")</f>
        <v>INGRESAR CENTRO DE COSTO A LA DERECHA</v>
      </c>
      <c r="E230" t="str">
        <f>IFERROR(__xludf.DUMMYFUNCTION("""COMPUTED_VALUE"""),"DPTO. DE RECURSOS HUMANOS")</f>
        <v>DPTO. DE RECURSOS HUMANOS</v>
      </c>
      <c r="F230" t="str">
        <f>IFERROR(__xludf.DUMMYFUNCTION("""COMPUTED_VALUE"""),"Administrativo(a) de Remuneraciones")</f>
        <v>Administrativo(a) de Remuneraciones</v>
      </c>
      <c r="G230" t="str">
        <f>IFERROR(__xludf.DUMMYFUNCTION("""COMPUTED_VALUE"""),"ADMINISTRATIVO DE REMUNERACIONES")</f>
        <v>ADMINISTRATIVO DE REMUNERACIONES</v>
      </c>
      <c r="H230">
        <f>IFERROR(__xludf.DUMMYFUNCTION("""COMPUTED_VALUE"""),17.0)</f>
        <v>17</v>
      </c>
      <c r="I230" t="str">
        <f>IFERROR(__xludf.DUMMYFUNCTION("""COMPUTED_VALUE"""),"Jornada Completa")</f>
        <v>Jornada Completa</v>
      </c>
      <c r="J230" t="str">
        <f>IFERROR(__xludf.DUMMYFUNCTION("""COMPUTED_VALUE"""),"A CONTRATA")</f>
        <v>A CONTRATA</v>
      </c>
      <c r="K230" t="str">
        <f>IFERROR(__xludf.DUMMYFUNCTION("""COMPUTED_VALUE"""),"ADMINISTRATIVO")</f>
        <v>ADMINISTRATIVO</v>
      </c>
      <c r="L230" t="str">
        <f>IFERROR(__xludf.DUMMYFUNCTION("""COMPUTED_VALUE"""),"INTERNO")</f>
        <v>INTERNO</v>
      </c>
      <c r="M230">
        <f>IFERROR(__xludf.DUMMYFUNCTION("""COMPUTED_VALUE"""),2.0)</f>
        <v>2</v>
      </c>
      <c r="N230" t="str">
        <f>IFERROR(__xludf.DUMMYFUNCTION("""COMPUTED_VALUE"""),"EXTERNO")</f>
        <v>EXTERNO</v>
      </c>
      <c r="O230">
        <f>IFERROR(__xludf.DUMMYFUNCTION("""COMPUTED_VALUE"""),23.0)</f>
        <v>23</v>
      </c>
      <c r="P230">
        <f>IFERROR(__xludf.DUMMYFUNCTION("""COMPUTED_VALUE"""),5.0)</f>
        <v>5</v>
      </c>
      <c r="Q230">
        <f>IFERROR(__xludf.DUMMYFUNCTION("""COMPUTED_VALUE"""),2.0)</f>
        <v>2</v>
      </c>
      <c r="R230" s="45" t="str">
        <f>IFERROR(__xludf.DUMMYFUNCTION("""COMPUTED_VALUE"""),"SELECCIONADA")</f>
        <v>SELECCIONADA</v>
      </c>
      <c r="S230" s="38">
        <f>IFERROR(__xludf.DUMMYFUNCTION("""COMPUTED_VALUE"""),42842.0)</f>
        <v>42842</v>
      </c>
      <c r="U230" t="str">
        <f>IFERROR(__xludf.DUMMYFUNCTION("""COMPUTED_VALUE"""),"PAMELA ARMIJO CONTRERAS")</f>
        <v>PAMELA ARMIJO CONTRERAS</v>
      </c>
      <c r="V230" t="str">
        <f>IFERROR(__xludf.DUMMYFUNCTION("""COMPUTED_VALUE"""),"16578821-3")</f>
        <v>16578821-3</v>
      </c>
      <c r="W230" t="str">
        <f>IFERROR(__xludf.DUMMYFUNCTION("""COMPUTED_VALUE"""),"NO")</f>
        <v>NO</v>
      </c>
      <c r="AA230" s="38">
        <f>IFERROR(__xludf.DUMMYFUNCTION("""COMPUTED_VALUE"""),42796.0)</f>
        <v>42796</v>
      </c>
      <c r="AB230" s="38">
        <f>IFERROR(__xludf.DUMMYFUNCTION("""COMPUTED_VALUE"""),42803.0)</f>
        <v>42803</v>
      </c>
      <c r="AH230" t="str">
        <f>IFERROR(__xludf.DUMMYFUNCTION("""COMPUTED_VALUE"""),"PROCESO DE SELECCIÓN")</f>
        <v>PROCESO DE SELECCIÓN</v>
      </c>
      <c r="AI230" t="str">
        <f>IFERROR(__xludf.DUMMYFUNCTION("""COMPUTED_VALUE"""),"SERGIO DELGADO VERDEJO")</f>
        <v>SERGIO DELGADO VERDEJO</v>
      </c>
      <c r="AK230" t="str">
        <f>IFERROR(__xludf.DUMMYFUNCTION("""COMPUTED_VALUE"""),"E")</f>
        <v>E</v>
      </c>
      <c r="AL230">
        <f>IFERROR(__xludf.DUMMYFUNCTION("""COMPUTED_VALUE"""),28.0)</f>
        <v>28</v>
      </c>
      <c r="AM230">
        <f>IFERROR(__xludf.DUMMYFUNCTION("""COMPUTED_VALUE"""),2017.0)</f>
        <v>2017</v>
      </c>
    </row>
    <row r="231">
      <c r="A231">
        <f>IFERROR(__xludf.DUMMYFUNCTION("""COMPUTED_VALUE"""),1.5934235E7)</f>
        <v>15934235</v>
      </c>
      <c r="B231">
        <f>IFERROR(__xludf.DUMMYFUNCTION("""COMPUTED_VALUE"""),5.0)</f>
        <v>5</v>
      </c>
      <c r="D231" t="str">
        <f>IFERROR(__xludf.DUMMYFUNCTION("""COMPUTED_VALUE"""),"INGRESAR CENTRO DE COSTO A LA DERECHA")</f>
        <v>INGRESAR CENTRO DE COSTO A LA DERECHA</v>
      </c>
      <c r="E231" t="str">
        <f>IFERROR(__xludf.DUMMYFUNCTION("""COMPUTED_VALUE"""),"VR. ACADEMICA")</f>
        <v>VR. ACADEMICA</v>
      </c>
      <c r="F231" t="str">
        <f>IFERROR(__xludf.DUMMYFUNCTION("""COMPUTED_VALUE"""),"Secretario(a) A")</f>
        <v>Secretario(a) A</v>
      </c>
      <c r="G231" t="str">
        <f>IFERROR(__xludf.DUMMYFUNCTION("""COMPUTED_VALUE"""),"SECRETARIO (A)")</f>
        <v>SECRETARIO (A)</v>
      </c>
      <c r="H231">
        <f>IFERROR(__xludf.DUMMYFUNCTION("""COMPUTED_VALUE"""),13.0)</f>
        <v>13</v>
      </c>
      <c r="I231" t="str">
        <f>IFERROR(__xludf.DUMMYFUNCTION("""COMPUTED_VALUE"""),"Jornada Completa")</f>
        <v>Jornada Completa</v>
      </c>
      <c r="J231" t="str">
        <f>IFERROR(__xludf.DUMMYFUNCTION("""COMPUTED_VALUE"""),"A CONTRATA")</f>
        <v>A CONTRATA</v>
      </c>
      <c r="K231" t="str">
        <f>IFERROR(__xludf.DUMMYFUNCTION("""COMPUTED_VALUE"""),"ADMINISTRATIVO")</f>
        <v>ADMINISTRATIVO</v>
      </c>
      <c r="L231" t="str">
        <f>IFERROR(__xludf.DUMMYFUNCTION("""COMPUTED_VALUE"""),"INTERNO")</f>
        <v>INTERNO</v>
      </c>
      <c r="M231">
        <f>IFERROR(__xludf.DUMMYFUNCTION("""COMPUTED_VALUE"""),4.0)</f>
        <v>4</v>
      </c>
      <c r="N231" t="str">
        <f>IFERROR(__xludf.DUMMYFUNCTION("""COMPUTED_VALUE"""),"NO")</f>
        <v>NO</v>
      </c>
      <c r="O231">
        <f>IFERROR(__xludf.DUMMYFUNCTION("""COMPUTED_VALUE"""),0.0)</f>
        <v>0</v>
      </c>
      <c r="P231">
        <f>IFERROR(__xludf.DUMMYFUNCTION("""COMPUTED_VALUE"""),2.0)</f>
        <v>2</v>
      </c>
      <c r="Q231">
        <f>IFERROR(__xludf.DUMMYFUNCTION("""COMPUTED_VALUE"""),0.0)</f>
        <v>0</v>
      </c>
      <c r="R231" s="45" t="str">
        <f>IFERROR(__xludf.DUMMYFUNCTION("""COMPUTED_VALUE"""),"SELECCIONADA")</f>
        <v>SELECCIONADA</v>
      </c>
      <c r="S231" s="38">
        <f>IFERROR(__xludf.DUMMYFUNCTION("""COMPUTED_VALUE"""),42887.0)</f>
        <v>42887</v>
      </c>
      <c r="T231" t="str">
        <f>IFERROR(__xludf.DUMMYFUNCTION("""COMPUTED_VALUE"""),"DIAMANTINO IBAR VALERY DENISSE")</f>
        <v>DIAMANTINO IBAR VALERY DENISSE</v>
      </c>
      <c r="V231" t="str">
        <f>IFERROR(__xludf.DUMMYFUNCTION("""COMPUTED_VALUE"""),"15934235-2")</f>
        <v>15934235-2</v>
      </c>
      <c r="W231" t="str">
        <f>IFERROR(__xludf.DUMMYFUNCTION("""COMPUTED_VALUE"""),"NO")</f>
        <v>NO</v>
      </c>
      <c r="AA231" s="38">
        <f>IFERROR(__xludf.DUMMYFUNCTION("""COMPUTED_VALUE"""),42810.0)</f>
        <v>42810</v>
      </c>
      <c r="AB231" s="38">
        <f>IFERROR(__xludf.DUMMYFUNCTION("""COMPUTED_VALUE"""),42818.0)</f>
        <v>42818</v>
      </c>
      <c r="AC231">
        <f>IFERROR(__xludf.DUMMYFUNCTION("""COMPUTED_VALUE"""),16.0)</f>
        <v>16</v>
      </c>
      <c r="AD231" t="str">
        <f>IFERROR(__xludf.DUMMYFUNCTION("""COMPUTED_VALUE"""),"ADMINISTRATIVO")</f>
        <v>ADMINISTRATIVO</v>
      </c>
      <c r="AE231" t="str">
        <f>IFERROR(__xludf.DUMMYFUNCTION("""COMPUTED_VALUE"""),"SECRETARIA APOYO DOCENTE")</f>
        <v>SECRETARIA APOYO DOCENTE</v>
      </c>
      <c r="AF231" s="46" t="str">
        <f>IFERROR(__xludf.DUMMYFUNCTION("""COMPUTED_VALUE"""),"DPTO. DE RECURSOS HUMANOS")</f>
        <v>DPTO. DE RECURSOS HUMANOS</v>
      </c>
      <c r="AH231" t="str">
        <f>IFERROR(__xludf.DUMMYFUNCTION("""COMPUTED_VALUE"""),"PROCESO DE SELECCIÓN")</f>
        <v>PROCESO DE SELECCIÓN</v>
      </c>
      <c r="AI231" t="str">
        <f>IFERROR(__xludf.DUMMYFUNCTION("""COMPUTED_VALUE"""),"JUDITH SILVA BARCAZÓ")</f>
        <v>JUDITH SILVA BARCAZÓ</v>
      </c>
      <c r="AK231" t="str">
        <f>IFERROR(__xludf.DUMMYFUNCTION("""COMPUTED_VALUE"""),"C")</f>
        <v>C</v>
      </c>
      <c r="AL231">
        <f>IFERROR(__xludf.DUMMYFUNCTION("""COMPUTED_VALUE"""),50.0)</f>
        <v>50</v>
      </c>
      <c r="AM231">
        <f>IFERROR(__xludf.DUMMYFUNCTION("""COMPUTED_VALUE"""),2017.0)</f>
        <v>2017</v>
      </c>
    </row>
    <row r="232">
      <c r="A232">
        <f>IFERROR(__xludf.DUMMYFUNCTION("""COMPUTED_VALUE"""),1.2502248E7)</f>
        <v>12502248</v>
      </c>
      <c r="B232">
        <f>IFERROR(__xludf.DUMMYFUNCTION("""COMPUTED_VALUE"""),6.0)</f>
        <v>6</v>
      </c>
      <c r="D232" t="str">
        <f>IFERROR(__xludf.DUMMYFUNCTION("""COMPUTED_VALUE"""),"INGRESAR CENTRO DE COSTO A LA DERECHA")</f>
        <v>INGRESAR CENTRO DE COSTO A LA DERECHA</v>
      </c>
      <c r="E232" t="str">
        <f>IFERROR(__xludf.DUMMYFUNCTION("""COMPUTED_VALUE"""),"FACULTAD DE QUIMICA Y BIOLOGIA")</f>
        <v>FACULTAD DE QUIMICA Y BIOLOGIA</v>
      </c>
      <c r="F232" t="str">
        <f>IFERROR(__xludf.DUMMYFUNCTION("""COMPUTED_VALUE"""),"Analista de Gestión Administrativa")</f>
        <v>Analista de Gestión Administrativa</v>
      </c>
      <c r="G232" t="str">
        <f>IFERROR(__xludf.DUMMYFUNCTION("""COMPUTED_VALUE"""),"ANALISTA DE GESTION ADMINISTRATIVA")</f>
        <v>ANALISTA DE GESTION ADMINISTRATIVA</v>
      </c>
      <c r="H232">
        <f>IFERROR(__xludf.DUMMYFUNCTION("""COMPUTED_VALUE"""),14.0)</f>
        <v>14</v>
      </c>
      <c r="I232" t="str">
        <f>IFERROR(__xludf.DUMMYFUNCTION("""COMPUTED_VALUE"""),"Jornada Completa")</f>
        <v>Jornada Completa</v>
      </c>
      <c r="J232" t="str">
        <f>IFERROR(__xludf.DUMMYFUNCTION("""COMPUTED_VALUE"""),"A CONTRATA")</f>
        <v>A CONTRATA</v>
      </c>
      <c r="K232" t="str">
        <f>IFERROR(__xludf.DUMMYFUNCTION("""COMPUTED_VALUE"""),"PROFESIONAL")</f>
        <v>PROFESIONAL</v>
      </c>
      <c r="L232" t="str">
        <f>IFERROR(__xludf.DUMMYFUNCTION("""COMPUTED_VALUE"""),"INTERNO")</f>
        <v>INTERNO</v>
      </c>
      <c r="M232">
        <f>IFERROR(__xludf.DUMMYFUNCTION("""COMPUTED_VALUE"""),9.0)</f>
        <v>9</v>
      </c>
      <c r="N232" t="str">
        <f>IFERROR(__xludf.DUMMYFUNCTION("""COMPUTED_VALUE"""),"NO")</f>
        <v>NO</v>
      </c>
      <c r="O232">
        <f>IFERROR(__xludf.DUMMYFUNCTION("""COMPUTED_VALUE"""),0.0)</f>
        <v>0</v>
      </c>
      <c r="P232">
        <f>IFERROR(__xludf.DUMMYFUNCTION("""COMPUTED_VALUE"""),5.0)</f>
        <v>5</v>
      </c>
      <c r="Q232">
        <f>IFERROR(__xludf.DUMMYFUNCTION("""COMPUTED_VALUE"""),0.0)</f>
        <v>0</v>
      </c>
      <c r="R232" s="45" t="str">
        <f>IFERROR(__xludf.DUMMYFUNCTION("""COMPUTED_VALUE"""),"SELECCIONADA")</f>
        <v>SELECCIONADA</v>
      </c>
      <c r="S232" s="38">
        <f>IFERROR(__xludf.DUMMYFUNCTION("""COMPUTED_VALUE"""),42887.0)</f>
        <v>42887</v>
      </c>
      <c r="T232" t="str">
        <f>IFERROR(__xludf.DUMMYFUNCTION("""COMPUTED_VALUE"""),"VICTORIANO DONOSO MARGARITA DEL ROSARIO")</f>
        <v>VICTORIANO DONOSO MARGARITA DEL ROSARIO</v>
      </c>
      <c r="V232" t="str">
        <f>IFERROR(__xludf.DUMMYFUNCTION("""COMPUTED_VALUE"""),"12502248-0")</f>
        <v>12502248-0</v>
      </c>
      <c r="W232" t="str">
        <f>IFERROR(__xludf.DUMMYFUNCTION("""COMPUTED_VALUE"""),"SI")</f>
        <v>SI</v>
      </c>
      <c r="X232" t="str">
        <f>IFERROR(__xludf.DUMMYFUNCTION("""COMPUTED_VALUE"""),"CAPACIDAD DE PLANIFICACION Y ORGANIZACION")</f>
        <v>CAPACIDAD DE PLANIFICACION Y ORGANIZACION</v>
      </c>
      <c r="AA232" s="38">
        <f>IFERROR(__xludf.DUMMYFUNCTION("""COMPUTED_VALUE"""),42796.0)</f>
        <v>42796</v>
      </c>
      <c r="AB232" s="38">
        <f>IFERROR(__xludf.DUMMYFUNCTION("""COMPUTED_VALUE"""),42803.0)</f>
        <v>42803</v>
      </c>
      <c r="AH232" t="str">
        <f>IFERROR(__xludf.DUMMYFUNCTION("""COMPUTED_VALUE"""),"PROCESO DE SELECCIÓN")</f>
        <v>PROCESO DE SELECCIÓN</v>
      </c>
      <c r="AI232" t="str">
        <f>IFERROR(__xludf.DUMMYFUNCTION("""COMPUTED_VALUE"""),"AUTORIZADO 2016")</f>
        <v>AUTORIZADO 2016</v>
      </c>
      <c r="AK232" t="str">
        <f>IFERROR(__xludf.DUMMYFUNCTION("""COMPUTED_VALUE"""),"C")</f>
        <v>C</v>
      </c>
      <c r="AL232">
        <f>IFERROR(__xludf.DUMMYFUNCTION("""COMPUTED_VALUE"""),61.0)</f>
        <v>61</v>
      </c>
      <c r="AM232">
        <f>IFERROR(__xludf.DUMMYFUNCTION("""COMPUTED_VALUE"""),2017.0)</f>
        <v>2017</v>
      </c>
    </row>
    <row r="233">
      <c r="A233">
        <f>IFERROR(__xludf.DUMMYFUNCTION("""COMPUTED_VALUE"""),1.7316152E7)</f>
        <v>17316152</v>
      </c>
      <c r="B233">
        <f>IFERROR(__xludf.DUMMYFUNCTION("""COMPUTED_VALUE"""),7.0)</f>
        <v>7</v>
      </c>
      <c r="D233" t="str">
        <f>IFERROR(__xludf.DUMMYFUNCTION("""COMPUTED_VALUE"""),"INGRESAR CENTRO DE COSTO A LA DERECHA")</f>
        <v>INGRESAR CENTRO DE COSTO A LA DERECHA</v>
      </c>
      <c r="E233" t="str">
        <f>IFERROR(__xludf.DUMMYFUNCTION("""COMPUTED_VALUE"""),"DPTO. DE COMUNICACIONES")</f>
        <v>DPTO. DE COMUNICACIONES</v>
      </c>
      <c r="F233" t="str">
        <f>IFERROR(__xludf.DUMMYFUNCTION("""COMPUTED_VALUE"""),"Encargado(a) de Ceremonial y Protocolo")</f>
        <v>Encargado(a) de Ceremonial y Protocolo</v>
      </c>
      <c r="G233" t="str">
        <f>IFERROR(__xludf.DUMMYFUNCTION("""COMPUTED_VALUE"""),"ENCARGADO DE CEREMONIA Y PROTOCOLO")</f>
        <v>ENCARGADO DE CEREMONIA Y PROTOCOLO</v>
      </c>
      <c r="H233">
        <f>IFERROR(__xludf.DUMMYFUNCTION("""COMPUTED_VALUE"""),13.0)</f>
        <v>13</v>
      </c>
      <c r="I233" t="str">
        <f>IFERROR(__xludf.DUMMYFUNCTION("""COMPUTED_VALUE"""),"1/2 Jornada")</f>
        <v>1/2 Jornada</v>
      </c>
      <c r="J233" t="str">
        <f>IFERROR(__xludf.DUMMYFUNCTION("""COMPUTED_VALUE"""),"A CONTRATA")</f>
        <v>A CONTRATA</v>
      </c>
      <c r="K233" t="str">
        <f>IFERROR(__xludf.DUMMYFUNCTION("""COMPUTED_VALUE"""),"PROFESIONAL")</f>
        <v>PROFESIONAL</v>
      </c>
      <c r="L233" t="str">
        <f>IFERROR(__xludf.DUMMYFUNCTION("""COMPUTED_VALUE"""),"INTERNO")</f>
        <v>INTERNO</v>
      </c>
      <c r="M233">
        <f>IFERROR(__xludf.DUMMYFUNCTION("""COMPUTED_VALUE"""),0.0)</f>
        <v>0</v>
      </c>
      <c r="N233" t="str">
        <f>IFERROR(__xludf.DUMMYFUNCTION("""COMPUTED_VALUE"""),"EXTERNO")</f>
        <v>EXTERNO</v>
      </c>
      <c r="O233">
        <f>IFERROR(__xludf.DUMMYFUNCTION("""COMPUTED_VALUE"""),4.0)</f>
        <v>4</v>
      </c>
      <c r="P233">
        <f>IFERROR(__xludf.DUMMYFUNCTION("""COMPUTED_VALUE"""),1.0)</f>
        <v>1</v>
      </c>
      <c r="Q233">
        <f>IFERROR(__xludf.DUMMYFUNCTION("""COMPUTED_VALUE"""),1.0)</f>
        <v>1</v>
      </c>
      <c r="R233" s="45" t="str">
        <f>IFERROR(__xludf.DUMMYFUNCTION("""COMPUTED_VALUE"""),"SELECCIONADA")</f>
        <v>SELECCIONADA</v>
      </c>
      <c r="S233" s="38">
        <f>IFERROR(__xludf.DUMMYFUNCTION("""COMPUTED_VALUE"""),42887.0)</f>
        <v>42887</v>
      </c>
      <c r="U233" t="str">
        <f>IFERROR(__xludf.DUMMYFUNCTION("""COMPUTED_VALUE"""),"PAZ HENRIQUEZ CAAMAÑO")</f>
        <v>PAZ HENRIQUEZ CAAMAÑO</v>
      </c>
      <c r="V233" t="str">
        <f>IFERROR(__xludf.DUMMYFUNCTION("""COMPUTED_VALUE"""),"17316152-2")</f>
        <v>17316152-2</v>
      </c>
      <c r="W233" t="str">
        <f>IFERROR(__xludf.DUMMYFUNCTION("""COMPUTED_VALUE"""),"SI")</f>
        <v>SI</v>
      </c>
      <c r="X233" t="str">
        <f>IFERROR(__xludf.DUMMYFUNCTION("""COMPUTED_VALUE"""),"Iniciativa")</f>
        <v>Iniciativa</v>
      </c>
      <c r="Y233" t="str">
        <f>IFERROR(__xludf.DUMMYFUNCTION("""COMPUTED_VALUE"""),"PENSAMIENTO ESTRATEGICO")</f>
        <v>PENSAMIENTO ESTRATEGICO</v>
      </c>
      <c r="AA233" s="38">
        <f>IFERROR(__xludf.DUMMYFUNCTION("""COMPUTED_VALUE"""),42797.0)</f>
        <v>42797</v>
      </c>
      <c r="AB233" s="38">
        <f>IFERROR(__xludf.DUMMYFUNCTION("""COMPUTED_VALUE"""),42804.0)</f>
        <v>42804</v>
      </c>
      <c r="AH233" t="str">
        <f>IFERROR(__xludf.DUMMYFUNCTION("""COMPUTED_VALUE"""),"PROCESO DE SELECCIÓN")</f>
        <v>PROCESO DE SELECCIÓN</v>
      </c>
      <c r="AI233" t="str">
        <f>IFERROR(__xludf.DUMMYFUNCTION("""COMPUTED_VALUE"""),"AUTORIZADO 2016")</f>
        <v>AUTORIZADO 2016</v>
      </c>
      <c r="AK233" t="str">
        <f>IFERROR(__xludf.DUMMYFUNCTION("""COMPUTED_VALUE"""),"P")</f>
        <v>P</v>
      </c>
      <c r="AL233">
        <f>IFERROR(__xludf.DUMMYFUNCTION("""COMPUTED_VALUE"""),60.0)</f>
        <v>60</v>
      </c>
      <c r="AM233">
        <f>IFERROR(__xludf.DUMMYFUNCTION("""COMPUTED_VALUE"""),2017.0)</f>
        <v>2017</v>
      </c>
    </row>
    <row r="234">
      <c r="A234">
        <f>IFERROR(__xludf.DUMMYFUNCTION("""COMPUTED_VALUE"""),1.4534049E7)</f>
        <v>14534049</v>
      </c>
      <c r="B234">
        <f>IFERROR(__xludf.DUMMYFUNCTION("""COMPUTED_VALUE"""),8.0)</f>
        <v>8</v>
      </c>
      <c r="D234" t="str">
        <f>IFERROR(__xludf.DUMMYFUNCTION("""COMPUTED_VALUE"""),"INGRESAR CENTRO DE COSTO A LA DERECHA")</f>
        <v>INGRESAR CENTRO DE COSTO A LA DERECHA</v>
      </c>
      <c r="E234" t="str">
        <f>IFERROR(__xludf.DUMMYFUNCTION("""COMPUTED_VALUE"""),"DPTO. DE INGENIERIA QUIMICA")</f>
        <v>DPTO. DE INGENIERIA QUIMICA</v>
      </c>
      <c r="F234" t="str">
        <f>IFERROR(__xludf.DUMMYFUNCTION("""COMPUTED_VALUE"""),"Mayordomo(a)")</f>
        <v>Mayordomo(a)</v>
      </c>
      <c r="G234" t="str">
        <f>IFERROR(__xludf.DUMMYFUNCTION("""COMPUTED_VALUE"""),"MAYORDOMO")</f>
        <v>MAYORDOMO</v>
      </c>
      <c r="H234">
        <f>IFERROR(__xludf.DUMMYFUNCTION("""COMPUTED_VALUE"""),21.0)</f>
        <v>21</v>
      </c>
      <c r="I234" t="str">
        <f>IFERROR(__xludf.DUMMYFUNCTION("""COMPUTED_VALUE"""),"Jornada Completa")</f>
        <v>Jornada Completa</v>
      </c>
      <c r="J234" t="str">
        <f>IFERROR(__xludf.DUMMYFUNCTION("""COMPUTED_VALUE"""),"A CONTRATA")</f>
        <v>A CONTRATA</v>
      </c>
      <c r="K234" t="str">
        <f>IFERROR(__xludf.DUMMYFUNCTION("""COMPUTED_VALUE"""),"AUXILIAR")</f>
        <v>AUXILIAR</v>
      </c>
      <c r="L234" t="str">
        <f>IFERROR(__xludf.DUMMYFUNCTION("""COMPUTED_VALUE"""),"INTERNO")</f>
        <v>INTERNO</v>
      </c>
      <c r="M234">
        <f>IFERROR(__xludf.DUMMYFUNCTION("""COMPUTED_VALUE"""),0.0)</f>
        <v>0</v>
      </c>
      <c r="N234" t="str">
        <f>IFERROR(__xludf.DUMMYFUNCTION("""COMPUTED_VALUE"""),"EXTERNO")</f>
        <v>EXTERNO</v>
      </c>
      <c r="O234">
        <f>IFERROR(__xludf.DUMMYFUNCTION("""COMPUTED_VALUE"""),10.0)</f>
        <v>10</v>
      </c>
      <c r="P234">
        <f>IFERROR(__xludf.DUMMYFUNCTION("""COMPUTED_VALUE"""),2.0)</f>
        <v>2</v>
      </c>
      <c r="Q234">
        <f>IFERROR(__xludf.DUMMYFUNCTION("""COMPUTED_VALUE"""),1.0)</f>
        <v>1</v>
      </c>
      <c r="R234" s="45" t="str">
        <f>IFERROR(__xludf.DUMMYFUNCTION("""COMPUTED_VALUE"""),"SELECCIONADO")</f>
        <v>SELECCIONADO</v>
      </c>
      <c r="S234" s="38">
        <f>IFERROR(__xludf.DUMMYFUNCTION("""COMPUTED_VALUE"""),42887.0)</f>
        <v>42887</v>
      </c>
      <c r="U234" t="str">
        <f>IFERROR(__xludf.DUMMYFUNCTION("""COMPUTED_VALUE"""),"WILSON GUTIERREZ GALDAMEZ")</f>
        <v>WILSON GUTIERREZ GALDAMEZ</v>
      </c>
      <c r="V234" t="str">
        <f>IFERROR(__xludf.DUMMYFUNCTION("""COMPUTED_VALUE"""),"14534049-7")</f>
        <v>14534049-7</v>
      </c>
      <c r="W234" t="str">
        <f>IFERROR(__xludf.DUMMYFUNCTION("""COMPUTED_VALUE"""),"NO")</f>
        <v>NO</v>
      </c>
      <c r="AA234" s="38">
        <f>IFERROR(__xludf.DUMMYFUNCTION("""COMPUTED_VALUE"""),42818.0)</f>
        <v>42818</v>
      </c>
      <c r="AB234" s="38">
        <f>IFERROR(__xludf.DUMMYFUNCTION("""COMPUTED_VALUE"""),42825.0)</f>
        <v>42825</v>
      </c>
      <c r="AH234" t="str">
        <f>IFERROR(__xludf.DUMMYFUNCTION("""COMPUTED_VALUE"""),"PROCESO DE SELECCIÓN")</f>
        <v>PROCESO DE SELECCIÓN</v>
      </c>
      <c r="AI234" t="str">
        <f>IFERROR(__xludf.DUMMYFUNCTION("""COMPUTED_VALUE"""),"SERGIO CORTES HURTADO")</f>
        <v>SERGIO CORTES HURTADO</v>
      </c>
      <c r="AK234" t="str">
        <f>IFERROR(__xludf.DUMMYFUNCTION("""COMPUTED_VALUE"""),"E")</f>
        <v>E</v>
      </c>
      <c r="AL234">
        <f>IFERROR(__xludf.DUMMYFUNCTION("""COMPUTED_VALUE"""),45.0)</f>
        <v>45</v>
      </c>
      <c r="AM234">
        <f>IFERROR(__xludf.DUMMYFUNCTION("""COMPUTED_VALUE"""),2017.0)</f>
        <v>2017</v>
      </c>
    </row>
    <row r="235">
      <c r="A235">
        <f>IFERROR(__xludf.DUMMYFUNCTION("""COMPUTED_VALUE"""),1.8338937E7)</f>
        <v>18338937</v>
      </c>
      <c r="B235">
        <f>IFERROR(__xludf.DUMMYFUNCTION("""COMPUTED_VALUE"""),9.0)</f>
        <v>9</v>
      </c>
      <c r="D235" t="str">
        <f>IFERROR(__xludf.DUMMYFUNCTION("""COMPUTED_VALUE"""),"INGRESAR CENTRO DE COSTO A LA DERECHA")</f>
        <v>INGRESAR CENTRO DE COSTO A LA DERECHA</v>
      </c>
      <c r="E235" t="str">
        <f>IFERROR(__xludf.DUMMYFUNCTION("""COMPUTED_VALUE"""),"UNIDAD DE DESARR. PROYECTOS TECN.")</f>
        <v>UNIDAD DE DESARR. PROYECTOS TECN.</v>
      </c>
      <c r="F235" t="str">
        <f>IFERROR(__xludf.DUMMYFUNCTION("""COMPUTED_VALUE"""),"Secretario(a) C")</f>
        <v>Secretario(a) C</v>
      </c>
      <c r="G235" t="str">
        <f>IFERROR(__xludf.DUMMYFUNCTION("""COMPUTED_VALUE"""),"SECRETARIO(A) C ADMINISTRATIVO")</f>
        <v>SECRETARIO(A) C ADMINISTRATIVO</v>
      </c>
      <c r="H235">
        <f>IFERROR(__xludf.DUMMYFUNCTION("""COMPUTED_VALUE"""),20.0)</f>
        <v>20</v>
      </c>
      <c r="I235" t="str">
        <f>IFERROR(__xludf.DUMMYFUNCTION("""COMPUTED_VALUE"""),"Jornada Completa")</f>
        <v>Jornada Completa</v>
      </c>
      <c r="J235" t="str">
        <f>IFERROR(__xludf.DUMMYFUNCTION("""COMPUTED_VALUE"""),"A CONTRATA")</f>
        <v>A CONTRATA</v>
      </c>
      <c r="K235" t="str">
        <f>IFERROR(__xludf.DUMMYFUNCTION("""COMPUTED_VALUE"""),"ADMINISTRATIVO")</f>
        <v>ADMINISTRATIVO</v>
      </c>
      <c r="L235" t="str">
        <f>IFERROR(__xludf.DUMMYFUNCTION("""COMPUTED_VALUE"""),"INTERNO")</f>
        <v>INTERNO</v>
      </c>
      <c r="M235">
        <f>IFERROR(__xludf.DUMMYFUNCTION("""COMPUTED_VALUE"""),0.0)</f>
        <v>0</v>
      </c>
      <c r="N235" t="str">
        <f>IFERROR(__xludf.DUMMYFUNCTION("""COMPUTED_VALUE"""),"EXTERNO")</f>
        <v>EXTERNO</v>
      </c>
      <c r="O235">
        <f>IFERROR(__xludf.DUMMYFUNCTION("""COMPUTED_VALUE"""),16.0)</f>
        <v>16</v>
      </c>
      <c r="P235">
        <f>IFERROR(__xludf.DUMMYFUNCTION("""COMPUTED_VALUE"""),2.0)</f>
        <v>2</v>
      </c>
      <c r="Q235">
        <f>IFERROR(__xludf.DUMMYFUNCTION("""COMPUTED_VALUE"""),1.0)</f>
        <v>1</v>
      </c>
      <c r="R235" s="45" t="str">
        <f>IFERROR(__xludf.DUMMYFUNCTION("""COMPUTED_VALUE"""),"SELECCIONADA")</f>
        <v>SELECCIONADA</v>
      </c>
      <c r="S235" s="38">
        <f>IFERROR(__xludf.DUMMYFUNCTION("""COMPUTED_VALUE"""),42891.0)</f>
        <v>42891</v>
      </c>
      <c r="U235" t="str">
        <f>IFERROR(__xludf.DUMMYFUNCTION("""COMPUTED_VALUE"""),"KATHERINE GARATE MILLAN")</f>
        <v>KATHERINE GARATE MILLAN</v>
      </c>
      <c r="V235" t="str">
        <f>IFERROR(__xludf.DUMMYFUNCTION("""COMPUTED_VALUE"""),"18338937-8")</f>
        <v>18338937-8</v>
      </c>
      <c r="W235" t="str">
        <f>IFERROR(__xludf.DUMMYFUNCTION("""COMPUTED_VALUE"""),"NO")</f>
        <v>NO</v>
      </c>
      <c r="AA235" s="38">
        <f>IFERROR(__xludf.DUMMYFUNCTION("""COMPUTED_VALUE"""),42817.0)</f>
        <v>42817</v>
      </c>
      <c r="AB235" s="38">
        <f>IFERROR(__xludf.DUMMYFUNCTION("""COMPUTED_VALUE"""),42824.0)</f>
        <v>42824</v>
      </c>
      <c r="AH235" t="str">
        <f>IFERROR(__xludf.DUMMYFUNCTION("""COMPUTED_VALUE"""),"PROCESO DE SELECCIÓN")</f>
        <v>PROCESO DE SELECCIÓN</v>
      </c>
      <c r="AI235" t="str">
        <f>IFERROR(__xludf.DUMMYFUNCTION("""COMPUTED_VALUE"""),"VIOLETA ABARCA")</f>
        <v>VIOLETA ABARCA</v>
      </c>
      <c r="AK235" t="str">
        <f>IFERROR(__xludf.DUMMYFUNCTION("""COMPUTED_VALUE"""),"E")</f>
        <v>E</v>
      </c>
      <c r="AL235">
        <f>IFERROR(__xludf.DUMMYFUNCTION("""COMPUTED_VALUE"""),48.0)</f>
        <v>48</v>
      </c>
      <c r="AM235">
        <f>IFERROR(__xludf.DUMMYFUNCTION("""COMPUTED_VALUE"""),2017.0)</f>
        <v>2017</v>
      </c>
    </row>
    <row r="236">
      <c r="A236">
        <f>IFERROR(__xludf.DUMMYFUNCTION("""COMPUTED_VALUE"""),1.6348283E7)</f>
        <v>16348283</v>
      </c>
      <c r="B236">
        <f>IFERROR(__xludf.DUMMYFUNCTION("""COMPUTED_VALUE"""),10.0)</f>
        <v>10</v>
      </c>
      <c r="D236" t="str">
        <f>IFERROR(__xludf.DUMMYFUNCTION("""COMPUTED_VALUE"""),"INGRESAR CENTRO DE COSTO A LA DERECHA")</f>
        <v>INGRESAR CENTRO DE COSTO A LA DERECHA</v>
      </c>
      <c r="E236" t="str">
        <f>IFERROR(__xludf.DUMMYFUNCTION("""COMPUTED_VALUE"""),"DPTO. DE BIOLOGIA")</f>
        <v>DPTO. DE BIOLOGIA</v>
      </c>
      <c r="F236" t="str">
        <f>IFERROR(__xludf.DUMMYFUNCTION("""COMPUTED_VALUE"""),"Técnico(a) de Laboratorio")</f>
        <v>Técnico(a) de Laboratorio</v>
      </c>
      <c r="G236" t="str">
        <f>IFERROR(__xludf.DUMMYFUNCTION("""COMPUTED_VALUE"""),"TECNICO DE LABORATORIO")</f>
        <v>TECNICO DE LABORATORIO</v>
      </c>
      <c r="H236">
        <f>IFERROR(__xludf.DUMMYFUNCTION("""COMPUTED_VALUE"""),17.0)</f>
        <v>17</v>
      </c>
      <c r="I236" t="str">
        <f>IFERROR(__xludf.DUMMYFUNCTION("""COMPUTED_VALUE"""),"Jornada Completa")</f>
        <v>Jornada Completa</v>
      </c>
      <c r="J236" t="str">
        <f>IFERROR(__xludf.DUMMYFUNCTION("""COMPUTED_VALUE"""),"A CONTRATA")</f>
        <v>A CONTRATA</v>
      </c>
      <c r="K236" t="str">
        <f>IFERROR(__xludf.DUMMYFUNCTION("""COMPUTED_VALUE"""),"TECNICO")</f>
        <v>TECNICO</v>
      </c>
      <c r="L236" t="str">
        <f>IFERROR(__xludf.DUMMYFUNCTION("""COMPUTED_VALUE"""),"INTERNO")</f>
        <v>INTERNO</v>
      </c>
      <c r="M236">
        <f>IFERROR(__xludf.DUMMYFUNCTION("""COMPUTED_VALUE"""),1.0)</f>
        <v>1</v>
      </c>
      <c r="N236" t="str">
        <f>IFERROR(__xludf.DUMMYFUNCTION("""COMPUTED_VALUE"""),"EXTERNO")</f>
        <v>EXTERNO</v>
      </c>
      <c r="O236">
        <f>IFERROR(__xludf.DUMMYFUNCTION("""COMPUTED_VALUE"""),16.0)</f>
        <v>16</v>
      </c>
      <c r="P236">
        <f>IFERROR(__xludf.DUMMYFUNCTION("""COMPUTED_VALUE"""),2.0)</f>
        <v>2</v>
      </c>
      <c r="Q236">
        <f>IFERROR(__xludf.DUMMYFUNCTION("""COMPUTED_VALUE"""),3.0)</f>
        <v>3</v>
      </c>
      <c r="R236" s="45" t="str">
        <f>IFERROR(__xludf.DUMMYFUNCTION("""COMPUTED_VALUE"""),"SELECCIONADA")</f>
        <v>SELECCIONADA</v>
      </c>
      <c r="S236" s="38">
        <f>IFERROR(__xludf.DUMMYFUNCTION("""COMPUTED_VALUE"""),42870.0)</f>
        <v>42870</v>
      </c>
      <c r="U236" t="str">
        <f>IFERROR(__xludf.DUMMYFUNCTION("""COMPUTED_VALUE"""),"CAROL MEZA VALDERRAMA")</f>
        <v>CAROL MEZA VALDERRAMA</v>
      </c>
      <c r="V236" t="str">
        <f>IFERROR(__xludf.DUMMYFUNCTION("""COMPUTED_VALUE"""),"16348283-5")</f>
        <v>16348283-5</v>
      </c>
      <c r="W236" t="str">
        <f>IFERROR(__xludf.DUMMYFUNCTION("""COMPUTED_VALUE"""),"NO")</f>
        <v>NO</v>
      </c>
      <c r="AA236" s="38">
        <f>IFERROR(__xludf.DUMMYFUNCTION("""COMPUTED_VALUE"""),42795.0)</f>
        <v>42795</v>
      </c>
      <c r="AB236" s="38">
        <f>IFERROR(__xludf.DUMMYFUNCTION("""COMPUTED_VALUE"""),42802.0)</f>
        <v>42802</v>
      </c>
      <c r="AH236" t="str">
        <f>IFERROR(__xludf.DUMMYFUNCTION("""COMPUTED_VALUE"""),"PROCESO DE SELECCIÓN")</f>
        <v>PROCESO DE SELECCIÓN</v>
      </c>
      <c r="AI236" t="str">
        <f>IFERROR(__xludf.DUMMYFUNCTION("""COMPUTED_VALUE"""),"JOCELYN VALENZUELA MELLA")</f>
        <v>JOCELYN VALENZUELA MELLA</v>
      </c>
      <c r="AK236" t="str">
        <f>IFERROR(__xludf.DUMMYFUNCTION("""COMPUTED_VALUE"""),"C")</f>
        <v>C</v>
      </c>
      <c r="AL236">
        <f>IFERROR(__xludf.DUMMYFUNCTION("""COMPUTED_VALUE"""),49.0)</f>
        <v>49</v>
      </c>
      <c r="AM236">
        <f>IFERROR(__xludf.DUMMYFUNCTION("""COMPUTED_VALUE"""),2017.0)</f>
        <v>2017</v>
      </c>
    </row>
    <row r="237">
      <c r="A237">
        <f>IFERROR(__xludf.DUMMYFUNCTION("""COMPUTED_VALUE"""),1.9241477E7)</f>
        <v>19241477</v>
      </c>
      <c r="B237">
        <f>IFERROR(__xludf.DUMMYFUNCTION("""COMPUTED_VALUE"""),11.0)</f>
        <v>11</v>
      </c>
      <c r="D237" t="str">
        <f>IFERROR(__xludf.DUMMYFUNCTION("""COMPUTED_VALUE"""),"INGRESAR CENTRO DE COSTO A LA DERECHA")</f>
        <v>INGRESAR CENTRO DE COSTO A LA DERECHA</v>
      </c>
      <c r="E237" t="str">
        <f>IFERROR(__xludf.DUMMYFUNCTION("""COMPUTED_VALUE"""),"FACULTAD DE QUIMICA Y BIOLOGIA")</f>
        <v>FACULTAD DE QUIMICA Y BIOLOGIA</v>
      </c>
      <c r="F237" t="str">
        <f>IFERROR(__xludf.DUMMYFUNCTION("""COMPUTED_VALUE"""),"Asistente de Laboratorio")</f>
        <v>Asistente de Laboratorio</v>
      </c>
      <c r="G237" t="str">
        <f>IFERROR(__xludf.DUMMYFUNCTION("""COMPUTED_VALUE"""),"ASISTENTE DE LABORATORIO")</f>
        <v>ASISTENTE DE LABORATORIO</v>
      </c>
      <c r="H237">
        <f>IFERROR(__xludf.DUMMYFUNCTION("""COMPUTED_VALUE"""),20.0)</f>
        <v>20</v>
      </c>
      <c r="I237" t="str">
        <f>IFERROR(__xludf.DUMMYFUNCTION("""COMPUTED_VALUE"""),"Jornada Completa")</f>
        <v>Jornada Completa</v>
      </c>
      <c r="J237" t="str">
        <f>IFERROR(__xludf.DUMMYFUNCTION("""COMPUTED_VALUE"""),"A CONTRATA")</f>
        <v>A CONTRATA</v>
      </c>
      <c r="K237" t="str">
        <f>IFERROR(__xludf.DUMMYFUNCTION("""COMPUTED_VALUE"""),"TECNICO")</f>
        <v>TECNICO</v>
      </c>
      <c r="L237" t="str">
        <f>IFERROR(__xludf.DUMMYFUNCTION("""COMPUTED_VALUE"""),"INTERNO")</f>
        <v>INTERNO</v>
      </c>
      <c r="M237">
        <f>IFERROR(__xludf.DUMMYFUNCTION("""COMPUTED_VALUE"""),0.0)</f>
        <v>0</v>
      </c>
      <c r="N237" t="str">
        <f>IFERROR(__xludf.DUMMYFUNCTION("""COMPUTED_VALUE"""),"EXTERNO")</f>
        <v>EXTERNO</v>
      </c>
      <c r="O237">
        <f>IFERROR(__xludf.DUMMYFUNCTION("""COMPUTED_VALUE"""),24.0)</f>
        <v>24</v>
      </c>
      <c r="P237">
        <f>IFERROR(__xludf.DUMMYFUNCTION("""COMPUTED_VALUE"""),2.0)</f>
        <v>2</v>
      </c>
      <c r="Q237">
        <f>IFERROR(__xludf.DUMMYFUNCTION("""COMPUTED_VALUE"""),4.0)</f>
        <v>4</v>
      </c>
      <c r="R237" s="45" t="str">
        <f>IFERROR(__xludf.DUMMYFUNCTION("""COMPUTED_VALUE"""),"SELECCIONADO")</f>
        <v>SELECCIONADO</v>
      </c>
      <c r="S237" s="38">
        <f>IFERROR(__xludf.DUMMYFUNCTION("""COMPUTED_VALUE"""),42877.0)</f>
        <v>42877</v>
      </c>
      <c r="U237" t="str">
        <f>IFERROR(__xludf.DUMMYFUNCTION("""COMPUTED_VALUE"""),"SEBASTIAN RIVERO GUZMAN")</f>
        <v>SEBASTIAN RIVERO GUZMAN</v>
      </c>
      <c r="V237" t="str">
        <f>IFERROR(__xludf.DUMMYFUNCTION("""COMPUTED_VALUE"""),"19241477-6")</f>
        <v>19241477-6</v>
      </c>
      <c r="W237" t="str">
        <f>IFERROR(__xludf.DUMMYFUNCTION("""COMPUTED_VALUE"""),"SI")</f>
        <v>SI</v>
      </c>
      <c r="X237" t="str">
        <f>IFERROR(__xludf.DUMMYFUNCTION("""COMPUTED_VALUE"""),"TRABAJO EN EQUIPO")</f>
        <v>TRABAJO EN EQUIPO</v>
      </c>
      <c r="AA237" s="38">
        <f>IFERROR(__xludf.DUMMYFUNCTION("""COMPUTED_VALUE"""),42795.0)</f>
        <v>42795</v>
      </c>
      <c r="AB237" s="38">
        <f>IFERROR(__xludf.DUMMYFUNCTION("""COMPUTED_VALUE"""),42802.0)</f>
        <v>42802</v>
      </c>
      <c r="AH237" t="str">
        <f>IFERROR(__xludf.DUMMYFUNCTION("""COMPUTED_VALUE"""),"PROCESO DE SELECCIÓN")</f>
        <v>PROCESO DE SELECCIÓN</v>
      </c>
      <c r="AI237" t="str">
        <f>IFERROR(__xludf.DUMMYFUNCTION("""COMPUTED_VALUE"""),"DAVID BARAHONA MUÑOZ")</f>
        <v>DAVID BARAHONA MUÑOZ</v>
      </c>
      <c r="AK237" t="str">
        <f>IFERROR(__xludf.DUMMYFUNCTION("""COMPUTED_VALUE"""),"P")</f>
        <v>P</v>
      </c>
      <c r="AL237">
        <f>IFERROR(__xludf.DUMMYFUNCTION("""COMPUTED_VALUE"""),54.0)</f>
        <v>54</v>
      </c>
      <c r="AM237">
        <f>IFERROR(__xludf.DUMMYFUNCTION("""COMPUTED_VALUE"""),2017.0)</f>
        <v>2017</v>
      </c>
    </row>
    <row r="238">
      <c r="A238">
        <f>IFERROR(__xludf.DUMMYFUNCTION("""COMPUTED_VALUE"""),1.6704249E7)</f>
        <v>16704249</v>
      </c>
      <c r="B238">
        <f>IFERROR(__xludf.DUMMYFUNCTION("""COMPUTED_VALUE"""),12.0)</f>
        <v>12</v>
      </c>
      <c r="D238" t="str">
        <f>IFERROR(__xludf.DUMMYFUNCTION("""COMPUTED_VALUE"""),"INGRESAR CENTRO DE COSTO A LA DERECHA")</f>
        <v>INGRESAR CENTRO DE COSTO A LA DERECHA</v>
      </c>
      <c r="E238" t="str">
        <f>IFERROR(__xludf.DUMMYFUNCTION("""COMPUTED_VALUE"""),"DPTO. DE COMUNICACIONES")</f>
        <v>DPTO. DE COMUNICACIONES</v>
      </c>
      <c r="F238" t="str">
        <f>IFERROR(__xludf.DUMMYFUNCTION("""COMPUTED_VALUE"""),"Camarógrafo(a)")</f>
        <v>Camarógrafo(a)</v>
      </c>
      <c r="G238" t="str">
        <f>IFERROR(__xludf.DUMMYFUNCTION("""COMPUTED_VALUE"""),"CAMARÓGRAFO")</f>
        <v>CAMARÓGRAFO</v>
      </c>
      <c r="H238">
        <f>IFERROR(__xludf.DUMMYFUNCTION("""COMPUTED_VALUE"""),13.0)</f>
        <v>13</v>
      </c>
      <c r="I238" t="str">
        <f>IFERROR(__xludf.DUMMYFUNCTION("""COMPUTED_VALUE"""),"Jornada Completa")</f>
        <v>Jornada Completa</v>
      </c>
      <c r="J238" t="str">
        <f>IFERROR(__xludf.DUMMYFUNCTION("""COMPUTED_VALUE"""),"A CONTRATA")</f>
        <v>A CONTRATA</v>
      </c>
      <c r="K238" t="str">
        <f>IFERROR(__xludf.DUMMYFUNCTION("""COMPUTED_VALUE"""),"TECNICO")</f>
        <v>TECNICO</v>
      </c>
      <c r="L238" t="str">
        <f>IFERROR(__xludf.DUMMYFUNCTION("""COMPUTED_VALUE"""),"INTERNO")</f>
        <v>INTERNO</v>
      </c>
      <c r="M238">
        <f>IFERROR(__xludf.DUMMYFUNCTION("""COMPUTED_VALUE"""),1.0)</f>
        <v>1</v>
      </c>
      <c r="N238" t="str">
        <f>IFERROR(__xludf.DUMMYFUNCTION("""COMPUTED_VALUE"""),"EXTERNO")</f>
        <v>EXTERNO</v>
      </c>
      <c r="O238">
        <f>IFERROR(__xludf.DUMMYFUNCTION("""COMPUTED_VALUE"""),20.0)</f>
        <v>20</v>
      </c>
      <c r="P238">
        <f>IFERROR(__xludf.DUMMYFUNCTION("""COMPUTED_VALUE"""),1.0)</f>
        <v>1</v>
      </c>
      <c r="Q238">
        <f>IFERROR(__xludf.DUMMYFUNCTION("""COMPUTED_VALUE"""),1.0)</f>
        <v>1</v>
      </c>
      <c r="R238" s="45" t="str">
        <f>IFERROR(__xludf.DUMMYFUNCTION("""COMPUTED_VALUE"""),"SELECCIONADO")</f>
        <v>SELECCIONADO</v>
      </c>
      <c r="S238" s="38">
        <f>IFERROR(__xludf.DUMMYFUNCTION("""COMPUTED_VALUE"""),42948.0)</f>
        <v>42948</v>
      </c>
      <c r="U238" t="str">
        <f>IFERROR(__xludf.DUMMYFUNCTION("""COMPUTED_VALUE"""),"GONZALO VILLARROEL AYALA")</f>
        <v>GONZALO VILLARROEL AYALA</v>
      </c>
      <c r="V238" t="str">
        <f>IFERROR(__xludf.DUMMYFUNCTION("""COMPUTED_VALUE"""),"16704249-K")</f>
        <v>16704249-K</v>
      </c>
      <c r="W238" t="str">
        <f>IFERROR(__xludf.DUMMYFUNCTION("""COMPUTED_VALUE"""),"SI")</f>
        <v>SI</v>
      </c>
      <c r="X238" t="str">
        <f>IFERROR(__xludf.DUMMYFUNCTION("""COMPUTED_VALUE"""),"FLEXIBILIDAD")</f>
        <v>FLEXIBILIDAD</v>
      </c>
      <c r="AA238" s="38">
        <f>IFERROR(__xludf.DUMMYFUNCTION("""COMPUTED_VALUE"""),42860.0)</f>
        <v>42860</v>
      </c>
      <c r="AB238" s="38">
        <f>IFERROR(__xludf.DUMMYFUNCTION("""COMPUTED_VALUE"""),42867.0)</f>
        <v>42867</v>
      </c>
      <c r="AH238" t="str">
        <f>IFERROR(__xludf.DUMMYFUNCTION("""COMPUTED_VALUE"""),"PROCESO DE SELECCIÓN")</f>
        <v>PROCESO DE SELECCIÓN</v>
      </c>
      <c r="AI238" t="str">
        <f>IFERROR(__xludf.DUMMYFUNCTION("""COMPUTED_VALUE"""),"BASTIAN GONZALEZ TAPIA")</f>
        <v>BASTIAN GONZALEZ TAPIA</v>
      </c>
      <c r="AK238" t="str">
        <f>IFERROR(__xludf.DUMMYFUNCTION("""COMPUTED_VALUE"""),"E")</f>
        <v>E</v>
      </c>
      <c r="AL238">
        <f>IFERROR(__xludf.DUMMYFUNCTION("""COMPUTED_VALUE"""),58.0)</f>
        <v>58</v>
      </c>
      <c r="AM238">
        <f>IFERROR(__xludf.DUMMYFUNCTION("""COMPUTED_VALUE"""),2017.0)</f>
        <v>2017</v>
      </c>
    </row>
    <row r="239">
      <c r="A239">
        <f>IFERROR(__xludf.DUMMYFUNCTION("""COMPUTED_VALUE"""),1.8766421E7)</f>
        <v>18766421</v>
      </c>
      <c r="B239">
        <f>IFERROR(__xludf.DUMMYFUNCTION("""COMPUTED_VALUE"""),13.0)</f>
        <v>13</v>
      </c>
      <c r="D239" t="str">
        <f>IFERROR(__xludf.DUMMYFUNCTION("""COMPUTED_VALUE"""),"INGRESAR CENTRO DE COSTO A LA DERECHA")</f>
        <v>INGRESAR CENTRO DE COSTO A LA DERECHA</v>
      </c>
      <c r="E239" t="str">
        <f>IFERROR(__xludf.DUMMYFUNCTION("""COMPUTED_VALUE"""),"DPTO. DE DESARROLLO DE PERSONAS")</f>
        <v>DPTO. DE DESARROLLO DE PERSONAS</v>
      </c>
      <c r="F239" t="str">
        <f>IFERROR(__xludf.DUMMYFUNCTION("""COMPUTED_VALUE"""),"Analista de Gestión II")</f>
        <v>Analista de Gestión II</v>
      </c>
      <c r="G239" t="str">
        <f>IFERROR(__xludf.DUMMYFUNCTION("""COMPUTED_VALUE"""),"ANALISTA DE GESTION II")</f>
        <v>ANALISTA DE GESTION II</v>
      </c>
      <c r="H239">
        <f>IFERROR(__xludf.DUMMYFUNCTION("""COMPUTED_VALUE"""),13.0)</f>
        <v>13</v>
      </c>
      <c r="I239" t="str">
        <f>IFERROR(__xludf.DUMMYFUNCTION("""COMPUTED_VALUE"""),"Jornada Completa")</f>
        <v>Jornada Completa</v>
      </c>
      <c r="J239" t="str">
        <f>IFERROR(__xludf.DUMMYFUNCTION("""COMPUTED_VALUE"""),"A CONTRATA")</f>
        <v>A CONTRATA</v>
      </c>
      <c r="K239" t="str">
        <f>IFERROR(__xludf.DUMMYFUNCTION("""COMPUTED_VALUE"""),"PROFESIONAL")</f>
        <v>PROFESIONAL</v>
      </c>
      <c r="L239" t="str">
        <f>IFERROR(__xludf.DUMMYFUNCTION("""COMPUTED_VALUE"""),"INTERNO")</f>
        <v>INTERNO</v>
      </c>
      <c r="M239">
        <f>IFERROR(__xludf.DUMMYFUNCTION("""COMPUTED_VALUE"""),2.0)</f>
        <v>2</v>
      </c>
      <c r="N239" t="str">
        <f>IFERROR(__xludf.DUMMYFUNCTION("""COMPUTED_VALUE"""),"EXTERNO")</f>
        <v>EXTERNO</v>
      </c>
      <c r="O239">
        <f>IFERROR(__xludf.DUMMYFUNCTION("""COMPUTED_VALUE"""),9.0)</f>
        <v>9</v>
      </c>
      <c r="P239">
        <f>IFERROR(__xludf.DUMMYFUNCTION("""COMPUTED_VALUE"""),1.0)</f>
        <v>1</v>
      </c>
      <c r="Q239">
        <f>IFERROR(__xludf.DUMMYFUNCTION("""COMPUTED_VALUE"""),1.0)</f>
        <v>1</v>
      </c>
      <c r="R239" s="45" t="str">
        <f>IFERROR(__xludf.DUMMYFUNCTION("""COMPUTED_VALUE"""),"SELECCIONADO")</f>
        <v>SELECCIONADO</v>
      </c>
      <c r="S239" s="38">
        <f>IFERROR(__xludf.DUMMYFUNCTION("""COMPUTED_VALUE"""),42935.0)</f>
        <v>42935</v>
      </c>
      <c r="U239" t="str">
        <f>IFERROR(__xludf.DUMMYFUNCTION("""COMPUTED_VALUE"""),"DANIEL PEREZ ALCANTARA")</f>
        <v>DANIEL PEREZ ALCANTARA</v>
      </c>
      <c r="V239" t="str">
        <f>IFERROR(__xludf.DUMMYFUNCTION("""COMPUTED_VALUE"""),"18766421-7")</f>
        <v>18766421-7</v>
      </c>
      <c r="AA239" s="38">
        <f>IFERROR(__xludf.DUMMYFUNCTION("""COMPUTED_VALUE"""),42915.0)</f>
        <v>42915</v>
      </c>
      <c r="AB239" s="38">
        <f>IFERROR(__xludf.DUMMYFUNCTION("""COMPUTED_VALUE"""),42919.0)</f>
        <v>42919</v>
      </c>
      <c r="AH239" t="str">
        <f>IFERROR(__xludf.DUMMYFUNCTION("""COMPUTED_VALUE"""),"PROCESO DE SELECCIÓN")</f>
        <v>PROCESO DE SELECCIÓN</v>
      </c>
      <c r="AI239" t="str">
        <f>IFERROR(__xludf.DUMMYFUNCTION("""COMPUTED_VALUE"""),"ANDRES GONZALEZ SANTA CRUZ")</f>
        <v>ANDRES GONZALEZ SANTA CRUZ</v>
      </c>
      <c r="AL239">
        <f>IFERROR(__xludf.DUMMYFUNCTION("""COMPUTED_VALUE"""),13.0)</f>
        <v>13</v>
      </c>
      <c r="AM239">
        <f>IFERROR(__xludf.DUMMYFUNCTION("""COMPUTED_VALUE"""),2017.0)</f>
        <v>2017</v>
      </c>
    </row>
    <row r="240">
      <c r="A240">
        <f>IFERROR(__xludf.DUMMYFUNCTION("""COMPUTED_VALUE"""),1.2855258E7)</f>
        <v>12855258</v>
      </c>
      <c r="B240">
        <f>IFERROR(__xludf.DUMMYFUNCTION("""COMPUTED_VALUE"""),14.0)</f>
        <v>14</v>
      </c>
      <c r="D240" t="str">
        <f>IFERROR(__xludf.DUMMYFUNCTION("""COMPUTED_VALUE"""),"INGRESAR CENTRO DE COSTO A LA DERECHA")</f>
        <v>INGRESAR CENTRO DE COSTO A LA DERECHA</v>
      </c>
      <c r="E240" t="str">
        <f>IFERROR(__xludf.DUMMYFUNCTION("""COMPUTED_VALUE"""),"FACULTAD DE CIENCIAS MEDICAS")</f>
        <v>FACULTAD DE CIENCIAS MEDICAS</v>
      </c>
      <c r="F240" t="str">
        <f>IFERROR(__xludf.DUMMYFUNCTION("""COMPUTED_VALUE"""),"Secretario(a) C")</f>
        <v>Secretario(a) C</v>
      </c>
      <c r="G240" t="str">
        <f>IFERROR(__xludf.DUMMYFUNCTION("""COMPUTED_VALUE"""),"SECRETARIA C")</f>
        <v>SECRETARIA C</v>
      </c>
      <c r="H240">
        <f>IFERROR(__xludf.DUMMYFUNCTION("""COMPUTED_VALUE"""),20.0)</f>
        <v>20</v>
      </c>
      <c r="I240" t="str">
        <f>IFERROR(__xludf.DUMMYFUNCTION("""COMPUTED_VALUE"""),"Jornada Completa")</f>
        <v>Jornada Completa</v>
      </c>
      <c r="J240" t="str">
        <f>IFERROR(__xludf.DUMMYFUNCTION("""COMPUTED_VALUE"""),"A CONTRATA")</f>
        <v>A CONTRATA</v>
      </c>
      <c r="K240" t="str">
        <f>IFERROR(__xludf.DUMMYFUNCTION("""COMPUTED_VALUE"""),"ADMINISTRATIVO")</f>
        <v>ADMINISTRATIVO</v>
      </c>
      <c r="L240" t="str">
        <f>IFERROR(__xludf.DUMMYFUNCTION("""COMPUTED_VALUE"""),"INTERNO")</f>
        <v>INTERNO</v>
      </c>
      <c r="M240">
        <f>IFERROR(__xludf.DUMMYFUNCTION("""COMPUTED_VALUE"""),1.0)</f>
        <v>1</v>
      </c>
      <c r="N240" t="str">
        <f>IFERROR(__xludf.DUMMYFUNCTION("""COMPUTED_VALUE"""),"EXTERNO")</f>
        <v>EXTERNO</v>
      </c>
      <c r="O240">
        <f>IFERROR(__xludf.DUMMYFUNCTION("""COMPUTED_VALUE"""),16.0)</f>
        <v>16</v>
      </c>
      <c r="P240">
        <f>IFERROR(__xludf.DUMMYFUNCTION("""COMPUTED_VALUE"""),1.0)</f>
        <v>1</v>
      </c>
      <c r="Q240">
        <f>IFERROR(__xludf.DUMMYFUNCTION("""COMPUTED_VALUE"""),1.0)</f>
        <v>1</v>
      </c>
      <c r="R240" s="45" t="str">
        <f>IFERROR(__xludf.DUMMYFUNCTION("""COMPUTED_VALUE"""),"SELECCIONADA")</f>
        <v>SELECCIONADA</v>
      </c>
      <c r="S240" s="38">
        <f>IFERROR(__xludf.DUMMYFUNCTION("""COMPUTED_VALUE"""),42905.0)</f>
        <v>42905</v>
      </c>
      <c r="U240" t="str">
        <f>IFERROR(__xludf.DUMMYFUNCTION("""COMPUTED_VALUE"""),"CLAUDIA PENTENERO TOLOZA")</f>
        <v>CLAUDIA PENTENERO TOLOZA</v>
      </c>
      <c r="V240" t="str">
        <f>IFERROR(__xludf.DUMMYFUNCTION("""COMPUTED_VALUE"""),"12855258-8")</f>
        <v>12855258-8</v>
      </c>
      <c r="W240" t="str">
        <f>IFERROR(__xludf.DUMMYFUNCTION("""COMPUTED_VALUE"""),"NO")</f>
        <v>NO</v>
      </c>
      <c r="AA240" s="38">
        <f>IFERROR(__xludf.DUMMYFUNCTION("""COMPUTED_VALUE"""),42864.0)</f>
        <v>42864</v>
      </c>
      <c r="AB240" s="38">
        <f>IFERROR(__xludf.DUMMYFUNCTION("""COMPUTED_VALUE"""),42871.0)</f>
        <v>42871</v>
      </c>
      <c r="AH240" t="str">
        <f>IFERROR(__xludf.DUMMYFUNCTION("""COMPUTED_VALUE"""),"PROCESO DE SELECCIÓN")</f>
        <v>PROCESO DE SELECCIÓN</v>
      </c>
      <c r="AI240" t="str">
        <f>IFERROR(__xludf.DUMMYFUNCTION("""COMPUTED_VALUE"""),"VALERIA ULLORA DAVIS")</f>
        <v>VALERIA ULLORA DAVIS</v>
      </c>
      <c r="AK240" t="str">
        <f>IFERROR(__xludf.DUMMYFUNCTION("""COMPUTED_VALUE"""),"E")</f>
        <v>E</v>
      </c>
      <c r="AL240">
        <f>IFERROR(__xludf.DUMMYFUNCTION("""COMPUTED_VALUE"""),25.0)</f>
        <v>25</v>
      </c>
      <c r="AM240">
        <f>IFERROR(__xludf.DUMMYFUNCTION("""COMPUTED_VALUE"""),2017.0)</f>
        <v>2017</v>
      </c>
    </row>
    <row r="241">
      <c r="A241">
        <f>IFERROR(__xludf.DUMMYFUNCTION("""COMPUTED_VALUE"""),1.7972409E7)</f>
        <v>17972409</v>
      </c>
      <c r="B241">
        <f>IFERROR(__xludf.DUMMYFUNCTION("""COMPUTED_VALUE"""),15.0)</f>
        <v>15</v>
      </c>
      <c r="D241" t="str">
        <f>IFERROR(__xludf.DUMMYFUNCTION("""COMPUTED_VALUE"""),"INGRESAR CENTRO DE COSTO A LA DERECHA")</f>
        <v>INGRESAR CENTRO DE COSTO A LA DERECHA</v>
      </c>
      <c r="E241" t="str">
        <f>IFERROR(__xludf.DUMMYFUNCTION("""COMPUTED_VALUE"""),"FACULTAD DE CIENCIAS MEDICAS")</f>
        <v>FACULTAD DE CIENCIAS MEDICAS</v>
      </c>
      <c r="F241" t="str">
        <f>IFERROR(__xludf.DUMMYFUNCTION("""COMPUTED_VALUE"""),"Encargado(a) de Laboratorio")</f>
        <v>Encargado(a) de Laboratorio</v>
      </c>
      <c r="G241" t="str">
        <f>IFERROR(__xludf.DUMMYFUNCTION("""COMPUTED_VALUE"""),"ENCARGADO DE LABORATORIO DE EMBRIOLOGIA")</f>
        <v>ENCARGADO DE LABORATORIO DE EMBRIOLOGIA</v>
      </c>
      <c r="H241">
        <f>IFERROR(__xludf.DUMMYFUNCTION("""COMPUTED_VALUE"""),13.0)</f>
        <v>13</v>
      </c>
      <c r="I241" t="str">
        <f>IFERROR(__xludf.DUMMYFUNCTION("""COMPUTED_VALUE"""),"Jornada Completa")</f>
        <v>Jornada Completa</v>
      </c>
      <c r="J241" t="str">
        <f>IFERROR(__xludf.DUMMYFUNCTION("""COMPUTED_VALUE"""),"A CONTRATA")</f>
        <v>A CONTRATA</v>
      </c>
      <c r="K241" t="str">
        <f>IFERROR(__xludf.DUMMYFUNCTION("""COMPUTED_VALUE"""),"PROFESIONAL")</f>
        <v>PROFESIONAL</v>
      </c>
      <c r="L241" t="str">
        <f>IFERROR(__xludf.DUMMYFUNCTION("""COMPUTED_VALUE"""),"INTERNO")</f>
        <v>INTERNO</v>
      </c>
      <c r="M241">
        <f>IFERROR(__xludf.DUMMYFUNCTION("""COMPUTED_VALUE"""),0.0)</f>
        <v>0</v>
      </c>
      <c r="N241" t="str">
        <f>IFERROR(__xludf.DUMMYFUNCTION("""COMPUTED_VALUE"""),"EXTERNO")</f>
        <v>EXTERNO</v>
      </c>
      <c r="O241">
        <f>IFERROR(__xludf.DUMMYFUNCTION("""COMPUTED_VALUE"""),9.0)</f>
        <v>9</v>
      </c>
      <c r="P241">
        <f>IFERROR(__xludf.DUMMYFUNCTION("""COMPUTED_VALUE"""),2.0)</f>
        <v>2</v>
      </c>
      <c r="Q241">
        <f>IFERROR(__xludf.DUMMYFUNCTION("""COMPUTED_VALUE"""),1.0)</f>
        <v>1</v>
      </c>
      <c r="R241" s="45" t="str">
        <f>IFERROR(__xludf.DUMMYFUNCTION("""COMPUTED_VALUE"""),"SELECCIONADA")</f>
        <v>SELECCIONADA</v>
      </c>
      <c r="S241" s="38">
        <f>IFERROR(__xludf.DUMMYFUNCTION("""COMPUTED_VALUE"""),42920.0)</f>
        <v>42920</v>
      </c>
      <c r="U241" t="str">
        <f>IFERROR(__xludf.DUMMYFUNCTION("""COMPUTED_VALUE"""),"BARBARA VALENCIA CONTRERAS")</f>
        <v>BARBARA VALENCIA CONTRERAS</v>
      </c>
      <c r="V241" t="str">
        <f>IFERROR(__xludf.DUMMYFUNCTION("""COMPUTED_VALUE"""),"17972409-K")</f>
        <v>17972409-K</v>
      </c>
      <c r="W241" t="str">
        <f>IFERROR(__xludf.DUMMYFUNCTION("""COMPUTED_VALUE"""),"SI")</f>
        <v>SI</v>
      </c>
      <c r="X241" t="str">
        <f>IFERROR(__xludf.DUMMYFUNCTION("""COMPUTED_VALUE"""),"TRABAJO EN EQUIPO")</f>
        <v>TRABAJO EN EQUIPO</v>
      </c>
      <c r="Y241" t="str">
        <f>IFERROR(__xludf.DUMMYFUNCTION("""COMPUTED_VALUE"""),"CAPACIDAD DE PLANIFICACION Y ORGANIZACION")</f>
        <v>CAPACIDAD DE PLANIFICACION Y ORGANIZACION</v>
      </c>
      <c r="AA241" s="38">
        <f>IFERROR(__xludf.DUMMYFUNCTION("""COMPUTED_VALUE"""),42860.0)</f>
        <v>42860</v>
      </c>
      <c r="AB241" s="38">
        <f>IFERROR(__xludf.DUMMYFUNCTION("""COMPUTED_VALUE"""),42867.0)</f>
        <v>42867</v>
      </c>
      <c r="AH241" t="str">
        <f>IFERROR(__xludf.DUMMYFUNCTION("""COMPUTED_VALUE"""),"PROCESO DE SELECCIÓN")</f>
        <v>PROCESO DE SELECCIÓN</v>
      </c>
      <c r="AI241" t="str">
        <f>IFERROR(__xludf.DUMMYFUNCTION("""COMPUTED_VALUE"""),"JORGE LILLO CONTRERAS")</f>
        <v>JORGE LILLO CONTRERAS</v>
      </c>
      <c r="AK241" t="str">
        <f>IFERROR(__xludf.DUMMYFUNCTION("""COMPUTED_VALUE"""),"E")</f>
        <v>E</v>
      </c>
      <c r="AL241">
        <f>IFERROR(__xludf.DUMMYFUNCTION("""COMPUTED_VALUE"""),38.0)</f>
        <v>38</v>
      </c>
      <c r="AM241">
        <f>IFERROR(__xludf.DUMMYFUNCTION("""COMPUTED_VALUE"""),2017.0)</f>
        <v>2017</v>
      </c>
    </row>
    <row r="242">
      <c r="A242">
        <f>IFERROR(__xludf.DUMMYFUNCTION("""COMPUTED_VALUE"""),1.7001164E7)</f>
        <v>17001164</v>
      </c>
      <c r="B242">
        <f>IFERROR(__xludf.DUMMYFUNCTION("""COMPUTED_VALUE"""),16.0)</f>
        <v>16</v>
      </c>
      <c r="D242" t="str">
        <f>IFERROR(__xludf.DUMMYFUNCTION("""COMPUTED_VALUE"""),"INGRESAR CENTRO DE COSTO A LA DERECHA")</f>
        <v>INGRESAR CENTRO DE COSTO A LA DERECHA</v>
      </c>
      <c r="E242" t="str">
        <f>IFERROR(__xludf.DUMMYFUNCTION("""COMPUTED_VALUE"""),"FACULTAD DE ADMINIST Y ECONOMI")</f>
        <v>FACULTAD DE ADMINIST Y ECONOMI</v>
      </c>
      <c r="F242" t="str">
        <f>IFERROR(__xludf.DUMMYFUNCTION("""COMPUTED_VALUE"""),"Estafeta")</f>
        <v>Estafeta</v>
      </c>
      <c r="G242" t="str">
        <f>IFERROR(__xludf.DUMMYFUNCTION("""COMPUTED_VALUE"""),"ESTAFETA")</f>
        <v>ESTAFETA</v>
      </c>
      <c r="H242">
        <f>IFERROR(__xludf.DUMMYFUNCTION("""COMPUTED_VALUE"""),23.0)</f>
        <v>23</v>
      </c>
      <c r="I242" t="str">
        <f>IFERROR(__xludf.DUMMYFUNCTION("""COMPUTED_VALUE"""),"Jornada Completa")</f>
        <v>Jornada Completa</v>
      </c>
      <c r="J242" t="str">
        <f>IFERROR(__xludf.DUMMYFUNCTION("""COMPUTED_VALUE"""),"A CONTRATA")</f>
        <v>A CONTRATA</v>
      </c>
      <c r="K242" t="str">
        <f>IFERROR(__xludf.DUMMYFUNCTION("""COMPUTED_VALUE"""),"AUXILIAR")</f>
        <v>AUXILIAR</v>
      </c>
      <c r="L242" t="str">
        <f>IFERROR(__xludf.DUMMYFUNCTION("""COMPUTED_VALUE"""),"INTERNO")</f>
        <v>INTERNO</v>
      </c>
      <c r="M242">
        <f>IFERROR(__xludf.DUMMYFUNCTION("""COMPUTED_VALUE"""),0.0)</f>
        <v>0</v>
      </c>
      <c r="N242" t="str">
        <f>IFERROR(__xludf.DUMMYFUNCTION("""COMPUTED_VALUE"""),"EXTERNO")</f>
        <v>EXTERNO</v>
      </c>
      <c r="O242">
        <f>IFERROR(__xludf.DUMMYFUNCTION("""COMPUTED_VALUE"""),23.0)</f>
        <v>23</v>
      </c>
      <c r="P242">
        <f>IFERROR(__xludf.DUMMYFUNCTION("""COMPUTED_VALUE"""),1.0)</f>
        <v>1</v>
      </c>
      <c r="Q242">
        <f>IFERROR(__xludf.DUMMYFUNCTION("""COMPUTED_VALUE"""),1.0)</f>
        <v>1</v>
      </c>
      <c r="R242" s="45" t="str">
        <f>IFERROR(__xludf.DUMMYFUNCTION("""COMPUTED_VALUE"""),"SELECCIONADO")</f>
        <v>SELECCIONADO</v>
      </c>
      <c r="S242" s="38">
        <f>IFERROR(__xludf.DUMMYFUNCTION("""COMPUTED_VALUE"""),42894.0)</f>
        <v>42894</v>
      </c>
      <c r="U242" t="str">
        <f>IFERROR(__xludf.DUMMYFUNCTION("""COMPUTED_VALUE"""),"CAMILO DIAZ CONTRERAS")</f>
        <v>CAMILO DIAZ CONTRERAS</v>
      </c>
      <c r="V242" t="str">
        <f>IFERROR(__xludf.DUMMYFUNCTION("""COMPUTED_VALUE"""),"17001164-3")</f>
        <v>17001164-3</v>
      </c>
      <c r="W242" t="str">
        <f>IFERROR(__xludf.DUMMYFUNCTION("""COMPUTED_VALUE"""),"NO")</f>
        <v>NO</v>
      </c>
      <c r="AA242" s="38">
        <f>IFERROR(__xludf.DUMMYFUNCTION("""COMPUTED_VALUE"""),42860.0)</f>
        <v>42860</v>
      </c>
      <c r="AB242" s="38">
        <f>IFERROR(__xludf.DUMMYFUNCTION("""COMPUTED_VALUE"""),42867.0)</f>
        <v>42867</v>
      </c>
      <c r="AH242" t="str">
        <f>IFERROR(__xludf.DUMMYFUNCTION("""COMPUTED_VALUE"""),"PROCESO DE SELECCIÓN")</f>
        <v>PROCESO DE SELECCIÓN</v>
      </c>
      <c r="AI242" t="str">
        <f>IFERROR(__xludf.DUMMYFUNCTION("""COMPUTED_VALUE"""),"JACINTO TRUJILLO SILVA")</f>
        <v>JACINTO TRUJILLO SILVA</v>
      </c>
      <c r="AK242" t="str">
        <f>IFERROR(__xludf.DUMMYFUNCTION("""COMPUTED_VALUE"""),"P")</f>
        <v>P</v>
      </c>
      <c r="AL242">
        <f>IFERROR(__xludf.DUMMYFUNCTION("""COMPUTED_VALUE"""),20.0)</f>
        <v>20</v>
      </c>
      <c r="AM242">
        <f>IFERROR(__xludf.DUMMYFUNCTION("""COMPUTED_VALUE"""),2017.0)</f>
        <v>2017</v>
      </c>
    </row>
    <row r="243">
      <c r="A243">
        <f>IFERROR(__xludf.DUMMYFUNCTION("""COMPUTED_VALUE"""),1.7741571E7)</f>
        <v>17741571</v>
      </c>
      <c r="B243">
        <f>IFERROR(__xludf.DUMMYFUNCTION("""COMPUTED_VALUE"""),17.0)</f>
        <v>17</v>
      </c>
      <c r="D243" t="str">
        <f>IFERROR(__xludf.DUMMYFUNCTION("""COMPUTED_VALUE"""),"INGRESAR CENTRO DE COSTO A LA DERECHA")</f>
        <v>INGRESAR CENTRO DE COSTO A LA DERECHA</v>
      </c>
      <c r="E243" t="str">
        <f>IFERROR(__xludf.DUMMYFUNCTION("""COMPUTED_VALUE"""),"SELLO EDITORIAL")</f>
        <v>SELLO EDITORIAL</v>
      </c>
      <c r="F243" t="str">
        <f>IFERROR(__xludf.DUMMYFUNCTION("""COMPUTED_VALUE"""),"Administrativo(a) Especializado")</f>
        <v>Administrativo(a) Especializado</v>
      </c>
      <c r="G243" t="str">
        <f>IFERROR(__xludf.DUMMYFUNCTION("""COMPUTED_VALUE"""),"ADMINISTRATIVO ESPECIALIZADO")</f>
        <v>ADMINISTRATIVO ESPECIALIZADO</v>
      </c>
      <c r="H243">
        <f>IFERROR(__xludf.DUMMYFUNCTION("""COMPUTED_VALUE"""),12.0)</f>
        <v>12</v>
      </c>
      <c r="I243" t="str">
        <f>IFERROR(__xludf.DUMMYFUNCTION("""COMPUTED_VALUE"""),"Jornada Completa")</f>
        <v>Jornada Completa</v>
      </c>
      <c r="J243" t="str">
        <f>IFERROR(__xludf.DUMMYFUNCTION("""COMPUTED_VALUE"""),"A CONTRATA")</f>
        <v>A CONTRATA</v>
      </c>
      <c r="K243" t="str">
        <f>IFERROR(__xludf.DUMMYFUNCTION("""COMPUTED_VALUE"""),"ADMINISTRATIVO")</f>
        <v>ADMINISTRATIVO</v>
      </c>
      <c r="L243" t="str">
        <f>IFERROR(__xludf.DUMMYFUNCTION("""COMPUTED_VALUE"""),"INTERNO")</f>
        <v>INTERNO</v>
      </c>
      <c r="M243">
        <f>IFERROR(__xludf.DUMMYFUNCTION("""COMPUTED_VALUE"""),5.0)</f>
        <v>5</v>
      </c>
      <c r="N243" t="str">
        <f>IFERROR(__xludf.DUMMYFUNCTION("""COMPUTED_VALUE"""),"NO")</f>
        <v>NO</v>
      </c>
      <c r="O243">
        <f>IFERROR(__xludf.DUMMYFUNCTION("""COMPUTED_VALUE"""),0.0)</f>
        <v>0</v>
      </c>
      <c r="P243">
        <f>IFERROR(__xludf.DUMMYFUNCTION("""COMPUTED_VALUE"""),3.0)</f>
        <v>3</v>
      </c>
      <c r="Q243">
        <f>IFERROR(__xludf.DUMMYFUNCTION("""COMPUTED_VALUE"""),0.0)</f>
        <v>0</v>
      </c>
      <c r="R243" s="45" t="str">
        <f>IFERROR(__xludf.DUMMYFUNCTION("""COMPUTED_VALUE"""),"SELECCIONADO")</f>
        <v>SELECCIONADO</v>
      </c>
      <c r="S243" s="38">
        <f>IFERROR(__xludf.DUMMYFUNCTION("""COMPUTED_VALUE"""),42917.0)</f>
        <v>42917</v>
      </c>
      <c r="T243" t="str">
        <f>IFERROR(__xludf.DUMMYFUNCTION("""COMPUTED_VALUE"""),"ANGULO RUIZ MARTIN ALEJANDRO")</f>
        <v>ANGULO RUIZ MARTIN ALEJANDRO</v>
      </c>
      <c r="V243" t="str">
        <f>IFERROR(__xludf.DUMMYFUNCTION("""COMPUTED_VALUE"""),"17741571-5")</f>
        <v>17741571-5</v>
      </c>
      <c r="W243" t="str">
        <f>IFERROR(__xludf.DUMMYFUNCTION("""COMPUTED_VALUE"""),"NO")</f>
        <v>NO</v>
      </c>
      <c r="AA243" s="38">
        <f>IFERROR(__xludf.DUMMYFUNCTION("""COMPUTED_VALUE"""),42858.0)</f>
        <v>42858</v>
      </c>
      <c r="AB243" s="38">
        <f>IFERROR(__xludf.DUMMYFUNCTION("""COMPUTED_VALUE"""),42865.0)</f>
        <v>42865</v>
      </c>
      <c r="AC243">
        <f>IFERROR(__xludf.DUMMYFUNCTION("""COMPUTED_VALUE"""),17.0)</f>
        <v>17</v>
      </c>
      <c r="AD243" t="str">
        <f>IFERROR(__xludf.DUMMYFUNCTION("""COMPUTED_VALUE"""),"ADMINISTRATIVO")</f>
        <v>ADMINISTRATIVO</v>
      </c>
      <c r="AE243" t="str">
        <f>IFERROR(__xludf.DUMMYFUNCTION("""COMPUTED_VALUE"""),"ADMINISTRATIVO DE RECURSOS HUMANOS")</f>
        <v>ADMINISTRATIVO DE RECURSOS HUMANOS</v>
      </c>
      <c r="AF243" s="46" t="str">
        <f>IFERROR(__xludf.DUMMYFUNCTION("""COMPUTED_VALUE"""),"DPTO. DE RECURSOS HUMANOS")</f>
        <v>DPTO. DE RECURSOS HUMANOS</v>
      </c>
      <c r="AH243" t="str">
        <f>IFERROR(__xludf.DUMMYFUNCTION("""COMPUTED_VALUE"""),"PROCESO DE SELECCIÓN")</f>
        <v>PROCESO DE SELECCIÓN</v>
      </c>
      <c r="AI243" t="str">
        <f>IFERROR(__xludf.DUMMYFUNCTION("""COMPUTED_VALUE"""),"JULIA RIOSECO")</f>
        <v>JULIA RIOSECO</v>
      </c>
      <c r="AK243" t="str">
        <f>IFERROR(__xludf.DUMMYFUNCTION("""COMPUTED_VALUE"""),"C")</f>
        <v>C</v>
      </c>
      <c r="AL243">
        <f>IFERROR(__xludf.DUMMYFUNCTION("""COMPUTED_VALUE"""),38.0)</f>
        <v>38</v>
      </c>
      <c r="AM243">
        <f>IFERROR(__xludf.DUMMYFUNCTION("""COMPUTED_VALUE"""),2017.0)</f>
        <v>2017</v>
      </c>
    </row>
    <row r="244">
      <c r="A244">
        <f>IFERROR(__xludf.DUMMYFUNCTION("""COMPUTED_VALUE"""),1.3688765E7)</f>
        <v>13688765</v>
      </c>
      <c r="B244">
        <f>IFERROR(__xludf.DUMMYFUNCTION("""COMPUTED_VALUE"""),18.0)</f>
        <v>18</v>
      </c>
      <c r="D244" t="str">
        <f>IFERROR(__xludf.DUMMYFUNCTION("""COMPUTED_VALUE"""),"INGRESAR CENTRO DE COSTO A LA DERECHA")</f>
        <v>INGRESAR CENTRO DE COSTO A LA DERECHA</v>
      </c>
      <c r="E244" t="str">
        <f>IFERROR(__xludf.DUMMYFUNCTION("""COMPUTED_VALUE"""),"VR. DE POSTGRADO")</f>
        <v>VR. DE POSTGRADO</v>
      </c>
      <c r="F244" t="str">
        <f>IFERROR(__xludf.DUMMYFUNCTION("""COMPUTED_VALUE"""),"Analista de Gestión I")</f>
        <v>Analista de Gestión I</v>
      </c>
      <c r="G244" t="str">
        <f>IFERROR(__xludf.DUMMYFUNCTION("""COMPUTED_VALUE"""),"ANALISTA DE GESTION I")</f>
        <v>ANALISTA DE GESTION I</v>
      </c>
      <c r="H244">
        <f>IFERROR(__xludf.DUMMYFUNCTION("""COMPUTED_VALUE"""),10.0)</f>
        <v>10</v>
      </c>
      <c r="I244" t="str">
        <f>IFERROR(__xludf.DUMMYFUNCTION("""COMPUTED_VALUE"""),"Jornada Completa")</f>
        <v>Jornada Completa</v>
      </c>
      <c r="J244" t="str">
        <f>IFERROR(__xludf.DUMMYFUNCTION("""COMPUTED_VALUE"""),"A CONTRATA")</f>
        <v>A CONTRATA</v>
      </c>
      <c r="K244" t="str">
        <f>IFERROR(__xludf.DUMMYFUNCTION("""COMPUTED_VALUE"""),"PROFESIONAL")</f>
        <v>PROFESIONAL</v>
      </c>
      <c r="L244" t="str">
        <f>IFERROR(__xludf.DUMMYFUNCTION("""COMPUTED_VALUE"""),"INTERNO")</f>
        <v>INTERNO</v>
      </c>
      <c r="M244">
        <f>IFERROR(__xludf.DUMMYFUNCTION("""COMPUTED_VALUE"""),10.0)</f>
        <v>10</v>
      </c>
      <c r="N244" t="str">
        <f>IFERROR(__xludf.DUMMYFUNCTION("""COMPUTED_VALUE"""),"NO")</f>
        <v>NO</v>
      </c>
      <c r="O244">
        <f>IFERROR(__xludf.DUMMYFUNCTION("""COMPUTED_VALUE"""),0.0)</f>
        <v>0</v>
      </c>
      <c r="P244">
        <f>IFERROR(__xludf.DUMMYFUNCTION("""COMPUTED_VALUE"""),3.0)</f>
        <v>3</v>
      </c>
      <c r="Q244">
        <f>IFERROR(__xludf.DUMMYFUNCTION("""COMPUTED_VALUE"""),0.0)</f>
        <v>0</v>
      </c>
      <c r="R244" s="45" t="str">
        <f>IFERROR(__xludf.DUMMYFUNCTION("""COMPUTED_VALUE"""),"SELECCIONADA")</f>
        <v>SELECCIONADA</v>
      </c>
      <c r="S244" s="38">
        <f>IFERROR(__xludf.DUMMYFUNCTION("""COMPUTED_VALUE"""),42917.0)</f>
        <v>42917</v>
      </c>
      <c r="T244" t="str">
        <f>IFERROR(__xludf.DUMMYFUNCTION("""COMPUTED_VALUE"""),"SANZANA PROBOSTE EVELYN DENISSE")</f>
        <v>SANZANA PROBOSTE EVELYN DENISSE</v>
      </c>
      <c r="V244" t="str">
        <f>IFERROR(__xludf.DUMMYFUNCTION("""COMPUTED_VALUE"""),"13688765-3")</f>
        <v>13688765-3</v>
      </c>
      <c r="W244" t="str">
        <f>IFERROR(__xludf.DUMMYFUNCTION("""COMPUTED_VALUE"""),"SI")</f>
        <v>SI</v>
      </c>
      <c r="X244" t="str">
        <f>IFERROR(__xludf.DUMMYFUNCTION("""COMPUTED_VALUE"""),"PENSAMIENTO ANALITICO")</f>
        <v>PENSAMIENTO ANALITICO</v>
      </c>
      <c r="AA244" s="38">
        <f>IFERROR(__xludf.DUMMYFUNCTION("""COMPUTED_VALUE"""),42797.0)</f>
        <v>42797</v>
      </c>
      <c r="AB244" s="38">
        <f>IFERROR(__xludf.DUMMYFUNCTION("""COMPUTED_VALUE"""),42804.0)</f>
        <v>42804</v>
      </c>
      <c r="AC244">
        <f>IFERROR(__xludf.DUMMYFUNCTION("""COMPUTED_VALUE"""),13.0)</f>
        <v>13</v>
      </c>
      <c r="AD244" t="str">
        <f>IFERROR(__xludf.DUMMYFUNCTION("""COMPUTED_VALUE"""),"PROFESIONAL")</f>
        <v>PROFESIONAL</v>
      </c>
      <c r="AE244" t="str">
        <f>IFERROR(__xludf.DUMMYFUNCTION("""COMPUTED_VALUE"""),"ANALISTA DE GESTION II")</f>
        <v>ANALISTA DE GESTION II</v>
      </c>
      <c r="AF244" s="46" t="str">
        <f>IFERROR(__xludf.DUMMYFUNCTION("""COMPUTED_VALUE"""),"SECRETARIA GENERAL")</f>
        <v>SECRETARIA GENERAL</v>
      </c>
      <c r="AH244" t="str">
        <f>IFERROR(__xludf.DUMMYFUNCTION("""COMPUTED_VALUE"""),"PROCESO DE SELECCIÓN")</f>
        <v>PROCESO DE SELECCIÓN</v>
      </c>
      <c r="AI244" t="str">
        <f>IFERROR(__xludf.DUMMYFUNCTION("""COMPUTED_VALUE"""),"AUTORIZADO 2016")</f>
        <v>AUTORIZADO 2016</v>
      </c>
      <c r="AK244" t="str">
        <f>IFERROR(__xludf.DUMMYFUNCTION("""COMPUTED_VALUE"""),"C")</f>
        <v>C</v>
      </c>
      <c r="AL244">
        <f>IFERROR(__xludf.DUMMYFUNCTION("""COMPUTED_VALUE"""),81.0)</f>
        <v>81</v>
      </c>
      <c r="AM244">
        <f>IFERROR(__xludf.DUMMYFUNCTION("""COMPUTED_VALUE"""),2017.0)</f>
        <v>2017</v>
      </c>
    </row>
    <row r="245">
      <c r="A245">
        <f>IFERROR(__xludf.DUMMYFUNCTION("""COMPUTED_VALUE"""),1.6877666E7)</f>
        <v>16877666</v>
      </c>
      <c r="B245">
        <f>IFERROR(__xludf.DUMMYFUNCTION("""COMPUTED_VALUE"""),19.0)</f>
        <v>19</v>
      </c>
      <c r="D245" t="str">
        <f>IFERROR(__xludf.DUMMYFUNCTION("""COMPUTED_VALUE"""),"INGRESAR CENTRO DE COSTO A LA DERECHA")</f>
        <v>INGRESAR CENTRO DE COSTO A LA DERECHA</v>
      </c>
      <c r="E245" t="str">
        <f>IFERROR(__xludf.DUMMYFUNCTION("""COMPUTED_VALUE"""),"UNIDAD DE BIENESTAR DEL PERSONAL")</f>
        <v>UNIDAD DE BIENESTAR DEL PERSONAL</v>
      </c>
      <c r="F245" t="str">
        <f>IFERROR(__xludf.DUMMYFUNCTION("""COMPUTED_VALUE"""),"Nutricionista")</f>
        <v>Nutricionista</v>
      </c>
      <c r="G245" t="str">
        <f>IFERROR(__xludf.DUMMYFUNCTION("""COMPUTED_VALUE"""),"NUTRICIONISTA (JARDIN INFANTIL)")</f>
        <v>NUTRICIONISTA (JARDIN INFANTIL)</v>
      </c>
      <c r="H245">
        <f>IFERROR(__xludf.DUMMYFUNCTION("""COMPUTED_VALUE"""),13.0)</f>
        <v>13</v>
      </c>
      <c r="I245" t="str">
        <f>IFERROR(__xludf.DUMMYFUNCTION("""COMPUTED_VALUE"""),"1/2 Jornada")</f>
        <v>1/2 Jornada</v>
      </c>
      <c r="J245" t="str">
        <f>IFERROR(__xludf.DUMMYFUNCTION("""COMPUTED_VALUE"""),"A CONTRATA")</f>
        <v>A CONTRATA</v>
      </c>
      <c r="K245" t="str">
        <f>IFERROR(__xludf.DUMMYFUNCTION("""COMPUTED_VALUE"""),"PROFESIONAL")</f>
        <v>PROFESIONAL</v>
      </c>
      <c r="L245" t="str">
        <f>IFERROR(__xludf.DUMMYFUNCTION("""COMPUTED_VALUE"""),"INTERNO")</f>
        <v>INTERNO</v>
      </c>
      <c r="M245">
        <f>IFERROR(__xludf.DUMMYFUNCTION("""COMPUTED_VALUE"""),0.0)</f>
        <v>0</v>
      </c>
      <c r="N245" t="str">
        <f>IFERROR(__xludf.DUMMYFUNCTION("""COMPUTED_VALUE"""),"EXTERNO")</f>
        <v>EXTERNO</v>
      </c>
      <c r="O245">
        <f>IFERROR(__xludf.DUMMYFUNCTION("""COMPUTED_VALUE"""),129.0)</f>
        <v>129</v>
      </c>
      <c r="P245">
        <f>IFERROR(__xludf.DUMMYFUNCTION("""COMPUTED_VALUE"""),3.0)</f>
        <v>3</v>
      </c>
      <c r="Q245">
        <f>IFERROR(__xludf.DUMMYFUNCTION("""COMPUTED_VALUE"""),1.0)</f>
        <v>1</v>
      </c>
      <c r="R245" s="45" t="str">
        <f>IFERROR(__xludf.DUMMYFUNCTION("""COMPUTED_VALUE"""),"SELECCIONADA")</f>
        <v>SELECCIONADA</v>
      </c>
      <c r="S245" s="38">
        <f>IFERROR(__xludf.DUMMYFUNCTION("""COMPUTED_VALUE"""),42919.0)</f>
        <v>42919</v>
      </c>
      <c r="U245" t="str">
        <f>IFERROR(__xludf.DUMMYFUNCTION("""COMPUTED_VALUE"""),"ELIZABETH QUEZADA CAÑETE")</f>
        <v>ELIZABETH QUEZADA CAÑETE</v>
      </c>
      <c r="V245" t="str">
        <f>IFERROR(__xludf.DUMMYFUNCTION("""COMPUTED_VALUE"""),"16877666-7")</f>
        <v>16877666-7</v>
      </c>
      <c r="W245" t="str">
        <f>IFERROR(__xludf.DUMMYFUNCTION("""COMPUTED_VALUE"""),"NO")</f>
        <v>NO</v>
      </c>
      <c r="AA245" s="38">
        <f>IFERROR(__xludf.DUMMYFUNCTION("""COMPUTED_VALUE"""),42845.0)</f>
        <v>42845</v>
      </c>
      <c r="AB245" s="38">
        <f>IFERROR(__xludf.DUMMYFUNCTION("""COMPUTED_VALUE"""),42852.0)</f>
        <v>42852</v>
      </c>
      <c r="AH245" t="str">
        <f>IFERROR(__xludf.DUMMYFUNCTION("""COMPUTED_VALUE"""),"PROCESO DE SELECCIÓN")</f>
        <v>PROCESO DE SELECCIÓN</v>
      </c>
      <c r="AI245" t="str">
        <f>IFERROR(__xludf.DUMMYFUNCTION("""COMPUTED_VALUE"""),"MARIA BARRIGA FIGUEROA")</f>
        <v>MARIA BARRIGA FIGUEROA</v>
      </c>
      <c r="AK245" t="str">
        <f>IFERROR(__xludf.DUMMYFUNCTION("""COMPUTED_VALUE"""),"E")</f>
        <v>E</v>
      </c>
      <c r="AL245">
        <f>IFERROR(__xludf.DUMMYFUNCTION("""COMPUTED_VALUE"""),48.0)</f>
        <v>48</v>
      </c>
      <c r="AM245">
        <f>IFERROR(__xludf.DUMMYFUNCTION("""COMPUTED_VALUE"""),2017.0)</f>
        <v>2017</v>
      </c>
    </row>
    <row r="246">
      <c r="A246">
        <f>IFERROR(__xludf.DUMMYFUNCTION("""COMPUTED_VALUE"""),1.5564557E7)</f>
        <v>15564557</v>
      </c>
      <c r="B246">
        <f>IFERROR(__xludf.DUMMYFUNCTION("""COMPUTED_VALUE"""),20.0)</f>
        <v>20</v>
      </c>
      <c r="D246" t="str">
        <f>IFERROR(__xludf.DUMMYFUNCTION("""COMPUTED_VALUE"""),"INGRESAR CENTRO DE COSTO A LA DERECHA")</f>
        <v>INGRESAR CENTRO DE COSTO A LA DERECHA</v>
      </c>
      <c r="E246" t="str">
        <f>IFERROR(__xludf.DUMMYFUNCTION("""COMPUTED_VALUE"""),"DPTO. DE COMUNICACIONES")</f>
        <v>DPTO. DE COMUNICACIONES</v>
      </c>
      <c r="F246" t="str">
        <f>IFERROR(__xludf.DUMMYFUNCTION("""COMPUTED_VALUE"""),"Periodista")</f>
        <v>Periodista</v>
      </c>
      <c r="G246" t="str">
        <f>IFERROR(__xludf.DUMMYFUNCTION("""COMPUTED_VALUE"""),"PERIODISTA (COMUNICADOR AUDIOVISUAL)")</f>
        <v>PERIODISTA (COMUNICADOR AUDIOVISUAL)</v>
      </c>
      <c r="H246">
        <f>IFERROR(__xludf.DUMMYFUNCTION("""COMPUTED_VALUE"""),13.0)</f>
        <v>13</v>
      </c>
      <c r="I246" t="str">
        <f>IFERROR(__xludf.DUMMYFUNCTION("""COMPUTED_VALUE"""),"Jornada Completa")</f>
        <v>Jornada Completa</v>
      </c>
      <c r="J246" t="str">
        <f>IFERROR(__xludf.DUMMYFUNCTION("""COMPUTED_VALUE"""),"A CONTRATA")</f>
        <v>A CONTRATA</v>
      </c>
      <c r="K246" t="str">
        <f>IFERROR(__xludf.DUMMYFUNCTION("""COMPUTED_VALUE"""),"PROFESIONAL")</f>
        <v>PROFESIONAL</v>
      </c>
      <c r="L246" t="str">
        <f>IFERROR(__xludf.DUMMYFUNCTION("""COMPUTED_VALUE"""),"INTERNO")</f>
        <v>INTERNO</v>
      </c>
      <c r="M246">
        <f>IFERROR(__xludf.DUMMYFUNCTION("""COMPUTED_VALUE"""),0.0)</f>
        <v>0</v>
      </c>
      <c r="N246" t="str">
        <f>IFERROR(__xludf.DUMMYFUNCTION("""COMPUTED_VALUE"""),"EXTERNO")</f>
        <v>EXTERNO</v>
      </c>
      <c r="O246">
        <f>IFERROR(__xludf.DUMMYFUNCTION("""COMPUTED_VALUE"""),24.0)</f>
        <v>24</v>
      </c>
      <c r="P246">
        <f>IFERROR(__xludf.DUMMYFUNCTION("""COMPUTED_VALUE"""),2.0)</f>
        <v>2</v>
      </c>
      <c r="Q246">
        <f>IFERROR(__xludf.DUMMYFUNCTION("""COMPUTED_VALUE"""),1.0)</f>
        <v>1</v>
      </c>
      <c r="R246" s="45" t="str">
        <f>IFERROR(__xludf.DUMMYFUNCTION("""COMPUTED_VALUE"""),"SELECCIONADO")</f>
        <v>SELECCIONADO</v>
      </c>
      <c r="S246" s="38">
        <f>IFERROR(__xludf.DUMMYFUNCTION("""COMPUTED_VALUE"""),42887.0)</f>
        <v>42887</v>
      </c>
      <c r="U246" t="str">
        <f>IFERROR(__xludf.DUMMYFUNCTION("""COMPUTED_VALUE"""),"ISAAC ESTAY ROSALES")</f>
        <v>ISAAC ESTAY ROSALES</v>
      </c>
      <c r="V246" t="str">
        <f>IFERROR(__xludf.DUMMYFUNCTION("""COMPUTED_VALUE"""),"15564557-1")</f>
        <v>15564557-1</v>
      </c>
      <c r="W246" t="str">
        <f>IFERROR(__xludf.DUMMYFUNCTION("""COMPUTED_VALUE"""),"SI")</f>
        <v>SI</v>
      </c>
      <c r="X246" t="str">
        <f>IFERROR(__xludf.DUMMYFUNCTION("""COMPUTED_VALUE"""),"CAPACIDAD DE PLANIFICACION Y ORGANIZACION")</f>
        <v>CAPACIDAD DE PLANIFICACION Y ORGANIZACION</v>
      </c>
      <c r="AA246" s="38">
        <f>IFERROR(__xludf.DUMMYFUNCTION("""COMPUTED_VALUE"""),42817.0)</f>
        <v>42817</v>
      </c>
      <c r="AB246" s="38">
        <f>IFERROR(__xludf.DUMMYFUNCTION("""COMPUTED_VALUE"""),42824.0)</f>
        <v>42824</v>
      </c>
      <c r="AH246" t="str">
        <f>IFERROR(__xludf.DUMMYFUNCTION("""COMPUTED_VALUE"""),"PROCESO DE SELECCIÓN")</f>
        <v>PROCESO DE SELECCIÓN</v>
      </c>
      <c r="AI246" t="str">
        <f>IFERROR(__xludf.DUMMYFUNCTION("""COMPUTED_VALUE"""),"RICARDO RIQUELME")</f>
        <v>RICARDO RIQUELME</v>
      </c>
      <c r="AK246" t="str">
        <f>IFERROR(__xludf.DUMMYFUNCTION("""COMPUTED_VALUE"""),"E")</f>
        <v>E</v>
      </c>
      <c r="AL246">
        <f>IFERROR(__xludf.DUMMYFUNCTION("""COMPUTED_VALUE"""),46.0)</f>
        <v>46</v>
      </c>
      <c r="AM246">
        <f>IFERROR(__xludf.DUMMYFUNCTION("""COMPUTED_VALUE"""),2017.0)</f>
        <v>2017</v>
      </c>
    </row>
    <row r="247">
      <c r="A247">
        <f>IFERROR(__xludf.DUMMYFUNCTION("""COMPUTED_VALUE"""),1.6025809E7)</f>
        <v>16025809</v>
      </c>
      <c r="B247">
        <f>IFERROR(__xludf.DUMMYFUNCTION("""COMPUTED_VALUE"""),21.0)</f>
        <v>21</v>
      </c>
      <c r="D247" t="str">
        <f>IFERROR(__xludf.DUMMYFUNCTION("""COMPUTED_VALUE"""),"INGRESAR CENTRO DE COSTO A LA DERECHA")</f>
        <v>INGRESAR CENTRO DE COSTO A LA DERECHA</v>
      </c>
      <c r="E247" t="str">
        <f>IFERROR(__xludf.DUMMYFUNCTION("""COMPUTED_VALUE"""),"UNIDAD DE ADQUISICIONES")</f>
        <v>UNIDAD DE ADQUISICIONES</v>
      </c>
      <c r="F247" t="str">
        <f>IFERROR(__xludf.DUMMYFUNCTION("""COMPUTED_VALUE"""),"Administrativo(a) de Apoyo")</f>
        <v>Administrativo(a) de Apoyo</v>
      </c>
      <c r="G247" t="str">
        <f>IFERROR(__xludf.DUMMYFUNCTION("""COMPUTED_VALUE"""),"ADMINISTRATIVO DE APOYO")</f>
        <v>ADMINISTRATIVO DE APOYO</v>
      </c>
      <c r="H247">
        <f>IFERROR(__xludf.DUMMYFUNCTION("""COMPUTED_VALUE"""),20.0)</f>
        <v>20</v>
      </c>
      <c r="I247" t="str">
        <f>IFERROR(__xludf.DUMMYFUNCTION("""COMPUTED_VALUE"""),"Jornada Completa")</f>
        <v>Jornada Completa</v>
      </c>
      <c r="J247" t="str">
        <f>IFERROR(__xludf.DUMMYFUNCTION("""COMPUTED_VALUE"""),"A CONTRATA")</f>
        <v>A CONTRATA</v>
      </c>
      <c r="K247" t="str">
        <f>IFERROR(__xludf.DUMMYFUNCTION("""COMPUTED_VALUE"""),"ADMINISTRATIVO")</f>
        <v>ADMINISTRATIVO</v>
      </c>
      <c r="L247" t="str">
        <f>IFERROR(__xludf.DUMMYFUNCTION("""COMPUTED_VALUE"""),"INTERNO")</f>
        <v>INTERNO</v>
      </c>
      <c r="M247">
        <f>IFERROR(__xludf.DUMMYFUNCTION("""COMPUTED_VALUE"""),1.0)</f>
        <v>1</v>
      </c>
      <c r="N247" t="str">
        <f>IFERROR(__xludf.DUMMYFUNCTION("""COMPUTED_VALUE"""),"NO")</f>
        <v>NO</v>
      </c>
      <c r="O247">
        <f>IFERROR(__xludf.DUMMYFUNCTION("""COMPUTED_VALUE"""),0.0)</f>
        <v>0</v>
      </c>
      <c r="P247">
        <f>IFERROR(__xludf.DUMMYFUNCTION("""COMPUTED_VALUE"""),1.0)</f>
        <v>1</v>
      </c>
      <c r="Q247">
        <f>IFERROR(__xludf.DUMMYFUNCTION("""COMPUTED_VALUE"""),0.0)</f>
        <v>0</v>
      </c>
      <c r="R247" s="45" t="str">
        <f>IFERROR(__xludf.DUMMYFUNCTION("""COMPUTED_VALUE"""),"SELECCIONADA")</f>
        <v>SELECCIONADA</v>
      </c>
      <c r="S247" s="38">
        <f>IFERROR(__xludf.DUMMYFUNCTION("""COMPUTED_VALUE"""),42948.0)</f>
        <v>42948</v>
      </c>
      <c r="T247" t="str">
        <f>IFERROR(__xludf.DUMMYFUNCTION("""COMPUTED_VALUE"""),"ROJAS CHIGUAIHUEN ELIZABETH MARGARITA")</f>
        <v>ROJAS CHIGUAIHUEN ELIZABETH MARGARITA</v>
      </c>
      <c r="V247" t="str">
        <f>IFERROR(__xludf.DUMMYFUNCTION("""COMPUTED_VALUE"""),"16025809-8")</f>
        <v>16025809-8</v>
      </c>
      <c r="W247" t="str">
        <f>IFERROR(__xludf.DUMMYFUNCTION("""COMPUTED_VALUE"""),"NO")</f>
        <v>NO</v>
      </c>
      <c r="AA247" s="38">
        <f>IFERROR(__xludf.DUMMYFUNCTION("""COMPUTED_VALUE"""),42893.0)</f>
        <v>42893</v>
      </c>
      <c r="AB247" s="38">
        <f>IFERROR(__xludf.DUMMYFUNCTION("""COMPUTED_VALUE"""),42900.0)</f>
        <v>42900</v>
      </c>
      <c r="AC247">
        <f>IFERROR(__xludf.DUMMYFUNCTION("""COMPUTED_VALUE"""),23.0)</f>
        <v>23</v>
      </c>
      <c r="AD247" t="str">
        <f>IFERROR(__xludf.DUMMYFUNCTION("""COMPUTED_VALUE"""),"AUXILIAR")</f>
        <v>AUXILIAR</v>
      </c>
      <c r="AE247" t="str">
        <f>IFERROR(__xludf.DUMMYFUNCTION("""COMPUTED_VALUE"""),"ESTAFETA")</f>
        <v>ESTAFETA</v>
      </c>
      <c r="AF247" s="46" t="str">
        <f>IFERROR(__xludf.DUMMYFUNCTION("""COMPUTED_VALUE"""),"PRORRECTORIA")</f>
        <v>PRORRECTORIA</v>
      </c>
      <c r="AH247" t="str">
        <f>IFERROR(__xludf.DUMMYFUNCTION("""COMPUTED_VALUE"""),"PROCESO DE SELECCIÓN")</f>
        <v>PROCESO DE SELECCIÓN</v>
      </c>
      <c r="AI247" t="str">
        <f>IFERROR(__xludf.DUMMYFUNCTION("""COMPUTED_VALUE"""),"AUTORIZADO 2017")</f>
        <v>AUTORIZADO 2017</v>
      </c>
      <c r="AK247" t="str">
        <f>IFERROR(__xludf.DUMMYFUNCTION("""COMPUTED_VALUE"""),"C")</f>
        <v>C</v>
      </c>
      <c r="AL247">
        <f>IFERROR(__xludf.DUMMYFUNCTION("""COMPUTED_VALUE"""),35.0)</f>
        <v>35</v>
      </c>
      <c r="AM247">
        <f>IFERROR(__xludf.DUMMYFUNCTION("""COMPUTED_VALUE"""),2017.0)</f>
        <v>2017</v>
      </c>
    </row>
    <row r="248">
      <c r="A248">
        <f>IFERROR(__xludf.DUMMYFUNCTION("""COMPUTED_VALUE"""),1.6661194E7)</f>
        <v>16661194</v>
      </c>
      <c r="B248">
        <f>IFERROR(__xludf.DUMMYFUNCTION("""COMPUTED_VALUE"""),22.0)</f>
        <v>22</v>
      </c>
      <c r="D248" t="str">
        <f>IFERROR(__xludf.DUMMYFUNCTION("""COMPUTED_VALUE"""),"INGRESAR CENTRO DE COSTO A LA DERECHA")</f>
        <v>INGRESAR CENTRO DE COSTO A LA DERECHA</v>
      </c>
      <c r="E248" t="str">
        <f>IFERROR(__xludf.DUMMYFUNCTION("""COMPUTED_VALUE"""),"UNIDAD DE ATENCION DE SALUD")</f>
        <v>UNIDAD DE ATENCION DE SALUD</v>
      </c>
      <c r="F248" t="str">
        <f>IFERROR(__xludf.DUMMYFUNCTION("""COMPUTED_VALUE"""),"Auxiliar de Enfermería")</f>
        <v>Auxiliar de Enfermería</v>
      </c>
      <c r="G248" t="str">
        <f>IFERROR(__xludf.DUMMYFUNCTION("""COMPUTED_VALUE"""),"AUXILIAR DE ENFERMERIA")</f>
        <v>AUXILIAR DE ENFERMERIA</v>
      </c>
      <c r="H248">
        <f>IFERROR(__xludf.DUMMYFUNCTION("""COMPUTED_VALUE"""),17.0)</f>
        <v>17</v>
      </c>
      <c r="I248" t="str">
        <f>IFERROR(__xludf.DUMMYFUNCTION("""COMPUTED_VALUE"""),"Jornada Completa")</f>
        <v>Jornada Completa</v>
      </c>
      <c r="J248" t="str">
        <f>IFERROR(__xludf.DUMMYFUNCTION("""COMPUTED_VALUE"""),"A CONTRATA")</f>
        <v>A CONTRATA</v>
      </c>
      <c r="K248" t="str">
        <f>IFERROR(__xludf.DUMMYFUNCTION("""COMPUTED_VALUE"""),"TECNICO")</f>
        <v>TECNICO</v>
      </c>
      <c r="L248" t="str">
        <f>IFERROR(__xludf.DUMMYFUNCTION("""COMPUTED_VALUE"""),"INTERNO")</f>
        <v>INTERNO</v>
      </c>
      <c r="M248">
        <f>IFERROR(__xludf.DUMMYFUNCTION("""COMPUTED_VALUE"""),1.0)</f>
        <v>1</v>
      </c>
      <c r="N248" t="str">
        <f>IFERROR(__xludf.DUMMYFUNCTION("""COMPUTED_VALUE"""),"EXTERNO")</f>
        <v>EXTERNO</v>
      </c>
      <c r="O248">
        <f>IFERROR(__xludf.DUMMYFUNCTION("""COMPUTED_VALUE"""),20.0)</f>
        <v>20</v>
      </c>
      <c r="P248">
        <f>IFERROR(__xludf.DUMMYFUNCTION("""COMPUTED_VALUE"""),2.0)</f>
        <v>2</v>
      </c>
      <c r="Q248">
        <f>IFERROR(__xludf.DUMMYFUNCTION("""COMPUTED_VALUE"""),1.0)</f>
        <v>1</v>
      </c>
      <c r="R248" s="45" t="str">
        <f>IFERROR(__xludf.DUMMYFUNCTION("""COMPUTED_VALUE"""),"SELECCIONADA")</f>
        <v>SELECCIONADA</v>
      </c>
      <c r="S248" s="38">
        <f>IFERROR(__xludf.DUMMYFUNCTION("""COMPUTED_VALUE"""),42948.0)</f>
        <v>42948</v>
      </c>
      <c r="U248" t="str">
        <f>IFERROR(__xludf.DUMMYFUNCTION("""COMPUTED_VALUE"""),"DANIELA ANDIA CLAVERO")</f>
        <v>DANIELA ANDIA CLAVERO</v>
      </c>
      <c r="V248" t="str">
        <f>IFERROR(__xludf.DUMMYFUNCTION("""COMPUTED_VALUE"""),"16661194-6")</f>
        <v>16661194-6</v>
      </c>
      <c r="W248" t="str">
        <f>IFERROR(__xludf.DUMMYFUNCTION("""COMPUTED_VALUE"""),"NO")</f>
        <v>NO</v>
      </c>
      <c r="AA248" s="38">
        <f>IFERROR(__xludf.DUMMYFUNCTION("""COMPUTED_VALUE"""),42880.0)</f>
        <v>42880</v>
      </c>
      <c r="AB248" s="38">
        <f>IFERROR(__xludf.DUMMYFUNCTION("""COMPUTED_VALUE"""),42887.0)</f>
        <v>42887</v>
      </c>
      <c r="AH248" t="str">
        <f>IFERROR(__xludf.DUMMYFUNCTION("""COMPUTED_VALUE"""),"PROCESO DE SELECCIÓN")</f>
        <v>PROCESO DE SELECCIÓN</v>
      </c>
      <c r="AI248" t="str">
        <f>IFERROR(__xludf.DUMMYFUNCTION("""COMPUTED_VALUE"""),"ELIZABETH PONCE PEREZ")</f>
        <v>ELIZABETH PONCE PEREZ</v>
      </c>
      <c r="AK248" t="str">
        <f>IFERROR(__xludf.DUMMYFUNCTION("""COMPUTED_VALUE"""),"E")</f>
        <v>E</v>
      </c>
      <c r="AL248">
        <f>IFERROR(__xludf.DUMMYFUNCTION("""COMPUTED_VALUE"""),44.0)</f>
        <v>44</v>
      </c>
      <c r="AM248">
        <f>IFERROR(__xludf.DUMMYFUNCTION("""COMPUTED_VALUE"""),2017.0)</f>
        <v>2017</v>
      </c>
    </row>
    <row r="249">
      <c r="A249">
        <f>IFERROR(__xludf.DUMMYFUNCTION("""COMPUTED_VALUE"""),1.2900867E7)</f>
        <v>12900867</v>
      </c>
      <c r="B249">
        <f>IFERROR(__xludf.DUMMYFUNCTION("""COMPUTED_VALUE"""),23.0)</f>
        <v>23</v>
      </c>
      <c r="D249" t="str">
        <f>IFERROR(__xludf.DUMMYFUNCTION("""COMPUTED_VALUE"""),"INGRESAR CENTRO DE COSTO A LA DERECHA")</f>
        <v>INGRESAR CENTRO DE COSTO A LA DERECHA</v>
      </c>
      <c r="E249" t="str">
        <f>IFERROR(__xludf.DUMMYFUNCTION("""COMPUTED_VALUE"""),"UNIDAD DE ADM. SERV. ALIMENTARIOS")</f>
        <v>UNIDAD DE ADM. SERV. ALIMENTARIOS</v>
      </c>
      <c r="F249" t="str">
        <f>IFERROR(__xludf.DUMMYFUNCTION("""COMPUTED_VALUE"""),"Ayudante Maestro(a) de Cocina")</f>
        <v>Ayudante Maestro(a) de Cocina</v>
      </c>
      <c r="G249" t="str">
        <f>IFERROR(__xludf.DUMMYFUNCTION("""COMPUTED_VALUE"""),"AYUDANTE MAESTRO COCINA")</f>
        <v>AYUDANTE MAESTRO COCINA</v>
      </c>
      <c r="H249">
        <f>IFERROR(__xludf.DUMMYFUNCTION("""COMPUTED_VALUE"""),20.0)</f>
        <v>20</v>
      </c>
      <c r="I249" t="str">
        <f>IFERROR(__xludf.DUMMYFUNCTION("""COMPUTED_VALUE"""),"Jornada Completa")</f>
        <v>Jornada Completa</v>
      </c>
      <c r="J249" t="str">
        <f>IFERROR(__xludf.DUMMYFUNCTION("""COMPUTED_VALUE"""),"A CONTRATA")</f>
        <v>A CONTRATA</v>
      </c>
      <c r="K249" t="str">
        <f>IFERROR(__xludf.DUMMYFUNCTION("""COMPUTED_VALUE"""),"TECNICO")</f>
        <v>TECNICO</v>
      </c>
      <c r="L249" t="str">
        <f>IFERROR(__xludf.DUMMYFUNCTION("""COMPUTED_VALUE"""),"INTERNO")</f>
        <v>INTERNO</v>
      </c>
      <c r="M249">
        <f>IFERROR(__xludf.DUMMYFUNCTION("""COMPUTED_VALUE"""),1.0)</f>
        <v>1</v>
      </c>
      <c r="N249" t="str">
        <f>IFERROR(__xludf.DUMMYFUNCTION("""COMPUTED_VALUE"""),"NO")</f>
        <v>NO</v>
      </c>
      <c r="O249">
        <f>IFERROR(__xludf.DUMMYFUNCTION("""COMPUTED_VALUE"""),0.0)</f>
        <v>0</v>
      </c>
      <c r="P249">
        <f>IFERROR(__xludf.DUMMYFUNCTION("""COMPUTED_VALUE"""),1.0)</f>
        <v>1</v>
      </c>
      <c r="Q249">
        <f>IFERROR(__xludf.DUMMYFUNCTION("""COMPUTED_VALUE"""),0.0)</f>
        <v>0</v>
      </c>
      <c r="R249" s="45" t="str">
        <f>IFERROR(__xludf.DUMMYFUNCTION("""COMPUTED_VALUE"""),"SELECCIONADA")</f>
        <v>SELECCIONADA</v>
      </c>
      <c r="S249" s="38">
        <f>IFERROR(__xludf.DUMMYFUNCTION("""COMPUTED_VALUE"""),42948.0)</f>
        <v>42948</v>
      </c>
      <c r="T249" t="str">
        <f>IFERROR(__xludf.DUMMYFUNCTION("""COMPUTED_VALUE"""),"AVILA GALVEZ RAQUEL DEL CARMEN")</f>
        <v>AVILA GALVEZ RAQUEL DEL CARMEN</v>
      </c>
      <c r="V249" t="str">
        <f>IFERROR(__xludf.DUMMYFUNCTION("""COMPUTED_VALUE"""),"12900867-9")</f>
        <v>12900867-9</v>
      </c>
      <c r="W249" t="str">
        <f>IFERROR(__xludf.DUMMYFUNCTION("""COMPUTED_VALUE"""),"NO")</f>
        <v>NO</v>
      </c>
      <c r="AA249" s="38">
        <f>IFERROR(__xludf.DUMMYFUNCTION("""COMPUTED_VALUE"""),42899.0)</f>
        <v>42899</v>
      </c>
      <c r="AB249" s="38">
        <f>IFERROR(__xludf.DUMMYFUNCTION("""COMPUTED_VALUE"""),42906.0)</f>
        <v>42906</v>
      </c>
      <c r="AC249">
        <f>IFERROR(__xludf.DUMMYFUNCTION("""COMPUTED_VALUE"""),23.0)</f>
        <v>23</v>
      </c>
      <c r="AD249" t="str">
        <f>IFERROR(__xludf.DUMMYFUNCTION("""COMPUTED_VALUE"""),"AUXILIAR")</f>
        <v>AUXILIAR</v>
      </c>
      <c r="AE249" t="str">
        <f>IFERROR(__xludf.DUMMYFUNCTION("""COMPUTED_VALUE"""),"AUXILIAR DE SERVICIOS ")</f>
        <v>AUXILIAR DE SERVICIOS </v>
      </c>
      <c r="AF249" s="46" t="str">
        <f>IFERROR(__xludf.DUMMYFUNCTION("""COMPUTED_VALUE"""),"UNIDAD DE ADMINISTRACION DE SERVICIOS ALIMENTARIOS")</f>
        <v>UNIDAD DE ADMINISTRACION DE SERVICIOS ALIMENTARIOS</v>
      </c>
      <c r="AH249" t="str">
        <f>IFERROR(__xludf.DUMMYFUNCTION("""COMPUTED_VALUE"""),"PROCESO DE SELECCIÓN")</f>
        <v>PROCESO DE SELECCIÓN</v>
      </c>
      <c r="AI249" t="str">
        <f>IFERROR(__xludf.DUMMYFUNCTION("""COMPUTED_VALUE"""),"MANUEL CORREA HERNANDEZ")</f>
        <v>MANUEL CORREA HERNANDEZ</v>
      </c>
      <c r="AK249" t="str">
        <f>IFERROR(__xludf.DUMMYFUNCTION("""COMPUTED_VALUE"""),"P")</f>
        <v>P</v>
      </c>
      <c r="AL249">
        <f>IFERROR(__xludf.DUMMYFUNCTION("""COMPUTED_VALUE"""),31.0)</f>
        <v>31</v>
      </c>
      <c r="AM249">
        <f>IFERROR(__xludf.DUMMYFUNCTION("""COMPUTED_VALUE"""),2017.0)</f>
        <v>2017</v>
      </c>
    </row>
    <row r="250">
      <c r="A250">
        <f>IFERROR(__xludf.DUMMYFUNCTION("""COMPUTED_VALUE"""),1.6372814E7)</f>
        <v>16372814</v>
      </c>
      <c r="B250">
        <f>IFERROR(__xludf.DUMMYFUNCTION("""COMPUTED_VALUE"""),24.0)</f>
        <v>24</v>
      </c>
      <c r="D250" t="str">
        <f>IFERROR(__xludf.DUMMYFUNCTION("""COMPUTED_VALUE"""),"INGRESAR CENTRO DE COSTO A LA DERECHA")</f>
        <v>INGRESAR CENTRO DE COSTO A LA DERECHA</v>
      </c>
      <c r="E250" t="str">
        <f>IFERROR(__xludf.DUMMYFUNCTION("""COMPUTED_VALUE"""),"UNIDAD DE BIENESTAR DEL PERSONAL")</f>
        <v>UNIDAD DE BIENESTAR DEL PERSONAL</v>
      </c>
      <c r="F250" t="str">
        <f>IFERROR(__xludf.DUMMYFUNCTION("""COMPUTED_VALUE"""),"Educador(a) de Párvulos")</f>
        <v>Educador(a) de Párvulos</v>
      </c>
      <c r="G250" t="str">
        <f>IFERROR(__xludf.DUMMYFUNCTION("""COMPUTED_VALUE"""),"EDUCADOR DE PARVULOS (SALA CUNA Y JARDIN INFANTIL)")</f>
        <v>EDUCADOR DE PARVULOS (SALA CUNA Y JARDIN INFANTIL)</v>
      </c>
      <c r="H250">
        <f>IFERROR(__xludf.DUMMYFUNCTION("""COMPUTED_VALUE"""),13.0)</f>
        <v>13</v>
      </c>
      <c r="I250" t="str">
        <f>IFERROR(__xludf.DUMMYFUNCTION("""COMPUTED_VALUE"""),"Jornada Completa")</f>
        <v>Jornada Completa</v>
      </c>
      <c r="J250" t="str">
        <f>IFERROR(__xludf.DUMMYFUNCTION("""COMPUTED_VALUE"""),"A CONTRATA")</f>
        <v>A CONTRATA</v>
      </c>
      <c r="K250" t="str">
        <f>IFERROR(__xludf.DUMMYFUNCTION("""COMPUTED_VALUE"""),"PROFESIONAL")</f>
        <v>PROFESIONAL</v>
      </c>
      <c r="L250" t="str">
        <f>IFERROR(__xludf.DUMMYFUNCTION("""COMPUTED_VALUE"""),"INTERNO")</f>
        <v>INTERNO</v>
      </c>
      <c r="M250">
        <f>IFERROR(__xludf.DUMMYFUNCTION("""COMPUTED_VALUE"""),0.0)</f>
        <v>0</v>
      </c>
      <c r="N250" t="str">
        <f>IFERROR(__xludf.DUMMYFUNCTION("""COMPUTED_VALUE"""),"EXTERNO")</f>
        <v>EXTERNO</v>
      </c>
      <c r="O250">
        <f>IFERROR(__xludf.DUMMYFUNCTION("""COMPUTED_VALUE"""),36.0)</f>
        <v>36</v>
      </c>
      <c r="P250">
        <f>IFERROR(__xludf.DUMMYFUNCTION("""COMPUTED_VALUE"""),2.0)</f>
        <v>2</v>
      </c>
      <c r="Q250">
        <f>IFERROR(__xludf.DUMMYFUNCTION("""COMPUTED_VALUE"""),1.0)</f>
        <v>1</v>
      </c>
      <c r="R250" s="45" t="str">
        <f>IFERROR(__xludf.DUMMYFUNCTION("""COMPUTED_VALUE"""),"SELECCIONADA")</f>
        <v>SELECCIONADA</v>
      </c>
      <c r="S250" s="38">
        <f>IFERROR(__xludf.DUMMYFUNCTION("""COMPUTED_VALUE"""),42948.0)</f>
        <v>42948</v>
      </c>
      <c r="U250" t="str">
        <f>IFERROR(__xludf.DUMMYFUNCTION("""COMPUTED_VALUE"""),"PAMELA ROMERO SANTANDER")</f>
        <v>PAMELA ROMERO SANTANDER</v>
      </c>
      <c r="V250" t="str">
        <f>IFERROR(__xludf.DUMMYFUNCTION("""COMPUTED_VALUE"""),"16372814-1")</f>
        <v>16372814-1</v>
      </c>
      <c r="W250" t="str">
        <f>IFERROR(__xludf.DUMMYFUNCTION("""COMPUTED_VALUE"""),"NO")</f>
        <v>NO</v>
      </c>
      <c r="AA250" s="38">
        <f>IFERROR(__xludf.DUMMYFUNCTION("""COMPUTED_VALUE"""),42895.0)</f>
        <v>42895</v>
      </c>
      <c r="AB250" s="38">
        <f>IFERROR(__xludf.DUMMYFUNCTION("""COMPUTED_VALUE"""),42902.0)</f>
        <v>42902</v>
      </c>
      <c r="AH250" t="str">
        <f>IFERROR(__xludf.DUMMYFUNCTION("""COMPUTED_VALUE"""),"PROCESO DE SELECCIÓN")</f>
        <v>PROCESO DE SELECCIÓN</v>
      </c>
      <c r="AI250" t="str">
        <f>IFERROR(__xludf.DUMMYFUNCTION("""COMPUTED_VALUE"""),"PAMELA DELGADO JORQUERA")</f>
        <v>PAMELA DELGADO JORQUERA</v>
      </c>
      <c r="AK250" t="str">
        <f>IFERROR(__xludf.DUMMYFUNCTION("""COMPUTED_VALUE"""),"P")</f>
        <v>P</v>
      </c>
      <c r="AL250">
        <f>IFERROR(__xludf.DUMMYFUNCTION("""COMPUTED_VALUE"""),33.0)</f>
        <v>33</v>
      </c>
      <c r="AM250">
        <f>IFERROR(__xludf.DUMMYFUNCTION("""COMPUTED_VALUE"""),2017.0)</f>
        <v>2017</v>
      </c>
    </row>
    <row r="251">
      <c r="A251">
        <f>IFERROR(__xludf.DUMMYFUNCTION("""COMPUTED_VALUE"""),1.6942218E7)</f>
        <v>16942218</v>
      </c>
      <c r="B251">
        <f>IFERROR(__xludf.DUMMYFUNCTION("""COMPUTED_VALUE"""),25.0)</f>
        <v>25</v>
      </c>
      <c r="D251" t="str">
        <f>IFERROR(__xludf.DUMMYFUNCTION("""COMPUTED_VALUE"""),"INGRESAR CENTRO DE COSTO A LA DERECHA")</f>
        <v>INGRESAR CENTRO DE COSTO A LA DERECHA</v>
      </c>
      <c r="E251" t="str">
        <f>IFERROR(__xludf.DUMMYFUNCTION("""COMPUTED_VALUE"""),"DPTO. DE FINANZAS Y TESORERIA")</f>
        <v>DPTO. DE FINANZAS Y TESORERIA</v>
      </c>
      <c r="F251" t="str">
        <f>IFERROR(__xludf.DUMMYFUNCTION("""COMPUTED_VALUE"""),"Jefe(a) de Sección")</f>
        <v>Jefe(a) de Sección</v>
      </c>
      <c r="G251" t="str">
        <f>IFERROR(__xludf.DUMMYFUNCTION("""COMPUTED_VALUE"""),"JEFE DE SECCIÓN (CONCILIACIONES BANCARIAS)")</f>
        <v>JEFE DE SECCIÓN (CONCILIACIONES BANCARIAS)</v>
      </c>
      <c r="H251">
        <f>IFERROR(__xludf.DUMMYFUNCTION("""COMPUTED_VALUE"""),8.0)</f>
        <v>8</v>
      </c>
      <c r="I251" t="str">
        <f>IFERROR(__xludf.DUMMYFUNCTION("""COMPUTED_VALUE"""),"Jornada Completa")</f>
        <v>Jornada Completa</v>
      </c>
      <c r="J251" t="str">
        <f>IFERROR(__xludf.DUMMYFUNCTION("""COMPUTED_VALUE"""),"A CONTRATA")</f>
        <v>A CONTRATA</v>
      </c>
      <c r="K251" t="str">
        <f>IFERROR(__xludf.DUMMYFUNCTION("""COMPUTED_VALUE"""),"PROFESIONAL")</f>
        <v>PROFESIONAL</v>
      </c>
      <c r="L251" t="str">
        <f>IFERROR(__xludf.DUMMYFUNCTION("""COMPUTED_VALUE"""),"INTERNO")</f>
        <v>INTERNO</v>
      </c>
      <c r="M251">
        <f>IFERROR(__xludf.DUMMYFUNCTION("""COMPUTED_VALUE"""),0.0)</f>
        <v>0</v>
      </c>
      <c r="N251" t="str">
        <f>IFERROR(__xludf.DUMMYFUNCTION("""COMPUTED_VALUE"""),"EXTERNO")</f>
        <v>EXTERNO</v>
      </c>
      <c r="O251">
        <f>IFERROR(__xludf.DUMMYFUNCTION("""COMPUTED_VALUE"""),14.0)</f>
        <v>14</v>
      </c>
      <c r="P251">
        <f>IFERROR(__xludf.DUMMYFUNCTION("""COMPUTED_VALUE"""),1.0)</f>
        <v>1</v>
      </c>
      <c r="Q251">
        <f>IFERROR(__xludf.DUMMYFUNCTION("""COMPUTED_VALUE"""),1.0)</f>
        <v>1</v>
      </c>
      <c r="R251" s="45" t="str">
        <f>IFERROR(__xludf.DUMMYFUNCTION("""COMPUTED_VALUE"""),"SELECCIONADA")</f>
        <v>SELECCIONADA</v>
      </c>
      <c r="S251" s="38">
        <f>IFERROR(__xludf.DUMMYFUNCTION("""COMPUTED_VALUE"""),42948.0)</f>
        <v>42948</v>
      </c>
      <c r="U251" t="str">
        <f>IFERROR(__xludf.DUMMYFUNCTION("""COMPUTED_VALUE"""),"CLAUDIA DIAZ MOLINA")</f>
        <v>CLAUDIA DIAZ MOLINA</v>
      </c>
      <c r="V251" t="str">
        <f>IFERROR(__xludf.DUMMYFUNCTION("""COMPUTED_VALUE"""),"16942218-4")</f>
        <v>16942218-4</v>
      </c>
      <c r="W251" t="str">
        <f>IFERROR(__xludf.DUMMYFUNCTION("""COMPUTED_VALUE"""),"NO")</f>
        <v>NO</v>
      </c>
      <c r="AA251" s="38">
        <f>IFERROR(__xludf.DUMMYFUNCTION("""COMPUTED_VALUE"""),42895.0)</f>
        <v>42895</v>
      </c>
      <c r="AB251" s="38">
        <f>IFERROR(__xludf.DUMMYFUNCTION("""COMPUTED_VALUE"""),42902.0)</f>
        <v>42902</v>
      </c>
      <c r="AH251" t="str">
        <f>IFERROR(__xludf.DUMMYFUNCTION("""COMPUTED_VALUE"""),"PROCESO DE SELECCIÓN")</f>
        <v>PROCESO DE SELECCIÓN</v>
      </c>
      <c r="AI251" t="str">
        <f>IFERROR(__xludf.DUMMYFUNCTION("""COMPUTED_VALUE"""),"AUTORIZADO 2017")</f>
        <v>AUTORIZADO 2017</v>
      </c>
      <c r="AK251" t="str">
        <f>IFERROR(__xludf.DUMMYFUNCTION("""COMPUTED_VALUE"""),"P")</f>
        <v>P</v>
      </c>
      <c r="AL251">
        <f>IFERROR(__xludf.DUMMYFUNCTION("""COMPUTED_VALUE"""),33.0)</f>
        <v>33</v>
      </c>
      <c r="AM251">
        <f>IFERROR(__xludf.DUMMYFUNCTION("""COMPUTED_VALUE"""),2017.0)</f>
        <v>2017</v>
      </c>
    </row>
    <row r="252">
      <c r="A252">
        <f>IFERROR(__xludf.DUMMYFUNCTION("""COMPUTED_VALUE"""),1.9635069E7)</f>
        <v>19635069</v>
      </c>
      <c r="B252">
        <f>IFERROR(__xludf.DUMMYFUNCTION("""COMPUTED_VALUE"""),26.0)</f>
        <v>26</v>
      </c>
      <c r="D252" t="str">
        <f>IFERROR(__xludf.DUMMYFUNCTION("""COMPUTED_VALUE"""),"INGRESAR CENTRO DE COSTO A LA DERECHA")</f>
        <v>INGRESAR CENTRO DE COSTO A LA DERECHA</v>
      </c>
      <c r="E252" t="str">
        <f>IFERROR(__xludf.DUMMYFUNCTION("""COMPUTED_VALUE"""),"DPTO. DE COMUNICACIONES")</f>
        <v>DPTO. DE COMUNICACIONES</v>
      </c>
      <c r="F252" t="str">
        <f>IFERROR(__xludf.DUMMYFUNCTION("""COMPUTED_VALUE"""),"Estafeta")</f>
        <v>Estafeta</v>
      </c>
      <c r="G252" t="str">
        <f>IFERROR(__xludf.DUMMYFUNCTION("""COMPUTED_VALUE"""),"ESTAFETA")</f>
        <v>ESTAFETA</v>
      </c>
      <c r="H252">
        <f>IFERROR(__xludf.DUMMYFUNCTION("""COMPUTED_VALUE"""),23.0)</f>
        <v>23</v>
      </c>
      <c r="I252" t="str">
        <f>IFERROR(__xludf.DUMMYFUNCTION("""COMPUTED_VALUE"""),"Jornada Completa")</f>
        <v>Jornada Completa</v>
      </c>
      <c r="J252" t="str">
        <f>IFERROR(__xludf.DUMMYFUNCTION("""COMPUTED_VALUE"""),"A CONTRATA")</f>
        <v>A CONTRATA</v>
      </c>
      <c r="K252" t="str">
        <f>IFERROR(__xludf.DUMMYFUNCTION("""COMPUTED_VALUE"""),"AUXILIAR")</f>
        <v>AUXILIAR</v>
      </c>
      <c r="L252" t="str">
        <f>IFERROR(__xludf.DUMMYFUNCTION("""COMPUTED_VALUE"""),"INTERNO")</f>
        <v>INTERNO</v>
      </c>
      <c r="M252">
        <f>IFERROR(__xludf.DUMMYFUNCTION("""COMPUTED_VALUE"""),1.0)</f>
        <v>1</v>
      </c>
      <c r="N252" t="str">
        <f>IFERROR(__xludf.DUMMYFUNCTION("""COMPUTED_VALUE"""),"EXTERNO")</f>
        <v>EXTERNO</v>
      </c>
      <c r="O252">
        <f>IFERROR(__xludf.DUMMYFUNCTION("""COMPUTED_VALUE"""),44.0)</f>
        <v>44</v>
      </c>
      <c r="P252">
        <f>IFERROR(__xludf.DUMMYFUNCTION("""COMPUTED_VALUE"""),1.0)</f>
        <v>1</v>
      </c>
      <c r="Q252">
        <f>IFERROR(__xludf.DUMMYFUNCTION("""COMPUTED_VALUE"""),2.0)</f>
        <v>2</v>
      </c>
      <c r="R252" s="45" t="str">
        <f>IFERROR(__xludf.DUMMYFUNCTION("""COMPUTED_VALUE"""),"SELECCIONADO")</f>
        <v>SELECCIONADO</v>
      </c>
      <c r="S252" s="38">
        <f>IFERROR(__xludf.DUMMYFUNCTION("""COMPUTED_VALUE"""),42915.0)</f>
        <v>42915</v>
      </c>
      <c r="U252" t="str">
        <f>IFERROR(__xludf.DUMMYFUNCTION("""COMPUTED_VALUE"""),"CRISTOPHER ALVAREZ VALENZUELA")</f>
        <v>CRISTOPHER ALVAREZ VALENZUELA</v>
      </c>
      <c r="V252" t="str">
        <f>IFERROR(__xludf.DUMMYFUNCTION("""COMPUTED_VALUE"""),"19635069-1")</f>
        <v>19635069-1</v>
      </c>
      <c r="W252" t="str">
        <f>IFERROR(__xludf.DUMMYFUNCTION("""COMPUTED_VALUE"""),"NO")</f>
        <v>NO</v>
      </c>
      <c r="AA252" s="38">
        <f>IFERROR(__xludf.DUMMYFUNCTION("""COMPUTED_VALUE"""),42874.0)</f>
        <v>42874</v>
      </c>
      <c r="AB252" s="38">
        <f>IFERROR(__xludf.DUMMYFUNCTION("""COMPUTED_VALUE"""),42881.0)</f>
        <v>42881</v>
      </c>
      <c r="AH252" t="str">
        <f>IFERROR(__xludf.DUMMYFUNCTION("""COMPUTED_VALUE"""),"PROCESO DE SELECCIÓN")</f>
        <v>PROCESO DE SELECCIÓN</v>
      </c>
      <c r="AI252" t="str">
        <f>IFERROR(__xludf.DUMMYFUNCTION("""COMPUTED_VALUE"""),"JAIME MOLINA URRA")</f>
        <v>JAIME MOLINA URRA</v>
      </c>
      <c r="AK252" t="str">
        <f>IFERROR(__xludf.DUMMYFUNCTION("""COMPUTED_VALUE"""),"E")</f>
        <v>E</v>
      </c>
      <c r="AL252">
        <f>IFERROR(__xludf.DUMMYFUNCTION("""COMPUTED_VALUE"""),25.0)</f>
        <v>25</v>
      </c>
      <c r="AM252">
        <f>IFERROR(__xludf.DUMMYFUNCTION("""COMPUTED_VALUE"""),2017.0)</f>
        <v>2017</v>
      </c>
    </row>
    <row r="253">
      <c r="A253">
        <f>IFERROR(__xludf.DUMMYFUNCTION("""COMPUTED_VALUE"""),8507126.0)</f>
        <v>8507126</v>
      </c>
      <c r="B253">
        <f>IFERROR(__xludf.DUMMYFUNCTION("""COMPUTED_VALUE"""),27.0)</f>
        <v>27</v>
      </c>
      <c r="D253" t="str">
        <f>IFERROR(__xludf.DUMMYFUNCTION("""COMPUTED_VALUE"""),"INGRESAR CENTRO DE COSTO A LA DERECHA")</f>
        <v>INGRESAR CENTRO DE COSTO A LA DERECHA</v>
      </c>
      <c r="E253" t="str">
        <f>IFERROR(__xludf.DUMMYFUNCTION("""COMPUTED_VALUE"""),"DPTO. DE DEPORTES")</f>
        <v>DPTO. DE DEPORTES</v>
      </c>
      <c r="F253" t="str">
        <f>IFERROR(__xludf.DUMMYFUNCTION("""COMPUTED_VALUE"""),"Entrenador(a) Deportivo(a)")</f>
        <v>Entrenador(a) Deportivo(a)</v>
      </c>
      <c r="G253" t="str">
        <f>IFERROR(__xludf.DUMMYFUNCTION("""COMPUTED_VALUE"""),"ENTRENADOR DEPORTIVO (FUTBOL)")</f>
        <v>ENTRENADOR DEPORTIVO (FUTBOL)</v>
      </c>
      <c r="H253">
        <f>IFERROR(__xludf.DUMMYFUNCTION("""COMPUTED_VALUE"""),13.0)</f>
        <v>13</v>
      </c>
      <c r="I253" t="str">
        <f>IFERROR(__xludf.DUMMYFUNCTION("""COMPUTED_VALUE"""),"1/2 Jornada")</f>
        <v>1/2 Jornada</v>
      </c>
      <c r="J253" t="str">
        <f>IFERROR(__xludf.DUMMYFUNCTION("""COMPUTED_VALUE"""),"A CONTRATA")</f>
        <v>A CONTRATA</v>
      </c>
      <c r="K253" t="str">
        <f>IFERROR(__xludf.DUMMYFUNCTION("""COMPUTED_VALUE"""),"PROFESIONAL")</f>
        <v>PROFESIONAL</v>
      </c>
      <c r="L253" t="str">
        <f>IFERROR(__xludf.DUMMYFUNCTION("""COMPUTED_VALUE"""),"INTERNO")</f>
        <v>INTERNO</v>
      </c>
      <c r="M253">
        <f>IFERROR(__xludf.DUMMYFUNCTION("""COMPUTED_VALUE"""),1.0)</f>
        <v>1</v>
      </c>
      <c r="N253" t="str">
        <f>IFERROR(__xludf.DUMMYFUNCTION("""COMPUTED_VALUE"""),"EXTERNO")</f>
        <v>EXTERNO</v>
      </c>
      <c r="O253">
        <f>IFERROR(__xludf.DUMMYFUNCTION("""COMPUTED_VALUE"""),53.0)</f>
        <v>53</v>
      </c>
      <c r="P253">
        <f>IFERROR(__xludf.DUMMYFUNCTION("""COMPUTED_VALUE"""),3.0)</f>
        <v>3</v>
      </c>
      <c r="Q253">
        <f>IFERROR(__xludf.DUMMYFUNCTION("""COMPUTED_VALUE"""),1.0)</f>
        <v>1</v>
      </c>
      <c r="R253" s="45" t="str">
        <f>IFERROR(__xludf.DUMMYFUNCTION("""COMPUTED_VALUE"""),"SELECCIONADO")</f>
        <v>SELECCIONADO</v>
      </c>
      <c r="S253" s="38">
        <f>IFERROR(__xludf.DUMMYFUNCTION("""COMPUTED_VALUE"""),42955.0)</f>
        <v>42955</v>
      </c>
      <c r="U253" t="str">
        <f>IFERROR(__xludf.DUMMYFUNCTION("""COMPUTED_VALUE"""),"JUAN GUTIERREZ ACOSTA")</f>
        <v>JUAN GUTIERREZ ACOSTA</v>
      </c>
      <c r="V253" t="str">
        <f>IFERROR(__xludf.DUMMYFUNCTION("""COMPUTED_VALUE"""),"8507126-2")</f>
        <v>8507126-2</v>
      </c>
      <c r="W253" t="str">
        <f>IFERROR(__xludf.DUMMYFUNCTION("""COMPUTED_VALUE"""),"SI")</f>
        <v>SI</v>
      </c>
      <c r="X253" t="str">
        <f>IFERROR(__xludf.DUMMYFUNCTION("""COMPUTED_VALUE"""),"LIDERAZGO")</f>
        <v>LIDERAZGO</v>
      </c>
      <c r="Y253" t="str">
        <f>IFERROR(__xludf.DUMMYFUNCTION("""COMPUTED_VALUE"""),"TRABAJO EN EQUIPO")</f>
        <v>TRABAJO EN EQUIPO</v>
      </c>
      <c r="AA253" s="38">
        <f>IFERROR(__xludf.DUMMYFUNCTION("""COMPUTED_VALUE"""),42902.0)</f>
        <v>42902</v>
      </c>
      <c r="AB253" s="38">
        <f>IFERROR(__xludf.DUMMYFUNCTION("""COMPUTED_VALUE"""),42907.0)</f>
        <v>42907</v>
      </c>
      <c r="AH253" t="str">
        <f>IFERROR(__xludf.DUMMYFUNCTION("""COMPUTED_VALUE"""),"PROCESO DE SELECCIÓN")</f>
        <v>PROCESO DE SELECCIÓN</v>
      </c>
      <c r="AI253" t="str">
        <f>IFERROR(__xludf.DUMMYFUNCTION("""COMPUTED_VALUE"""),"GIOVANNI NATALI FLANDEZ")</f>
        <v>GIOVANNI NATALI FLANDEZ</v>
      </c>
      <c r="AK253" t="str">
        <f>IFERROR(__xludf.DUMMYFUNCTION("""COMPUTED_VALUE"""),"E")</f>
        <v>E</v>
      </c>
      <c r="AL253">
        <f>IFERROR(__xludf.DUMMYFUNCTION("""COMPUTED_VALUE"""),35.0)</f>
        <v>35</v>
      </c>
      <c r="AM253">
        <f>IFERROR(__xludf.DUMMYFUNCTION("""COMPUTED_VALUE"""),2017.0)</f>
        <v>2017</v>
      </c>
    </row>
    <row r="254">
      <c r="A254">
        <f>IFERROR(__xludf.DUMMYFUNCTION("""COMPUTED_VALUE"""),1.2960008E7)</f>
        <v>12960008</v>
      </c>
      <c r="B254">
        <f>IFERROR(__xludf.DUMMYFUNCTION("""COMPUTED_VALUE"""),28.0)</f>
        <v>28</v>
      </c>
      <c r="D254" t="str">
        <f>IFERROR(__xludf.DUMMYFUNCTION("""COMPUTED_VALUE"""),"INGRESAR CENTRO DE COSTO A LA DERECHA")</f>
        <v>INGRESAR CENTRO DE COSTO A LA DERECHA</v>
      </c>
      <c r="E254" t="str">
        <f>IFERROR(__xludf.DUMMYFUNCTION("""COMPUTED_VALUE"""),"DPTO. DE ECONOMIA")</f>
        <v>DPTO. DE ECONOMIA</v>
      </c>
      <c r="F254" t="str">
        <f>IFERROR(__xludf.DUMMYFUNCTION("""COMPUTED_VALUE"""),"Secretario(a) B")</f>
        <v>Secretario(a) B</v>
      </c>
      <c r="G254" t="str">
        <f>IFERROR(__xludf.DUMMYFUNCTION("""COMPUTED_VALUE"""),"SECRETARIA B DEPARTAMENTO")</f>
        <v>SECRETARIA B DEPARTAMENTO</v>
      </c>
      <c r="H254">
        <f>IFERROR(__xludf.DUMMYFUNCTION("""COMPUTED_VALUE"""),17.0)</f>
        <v>17</v>
      </c>
      <c r="I254" t="str">
        <f>IFERROR(__xludf.DUMMYFUNCTION("""COMPUTED_VALUE"""),"Jornada Completa")</f>
        <v>Jornada Completa</v>
      </c>
      <c r="J254" t="str">
        <f>IFERROR(__xludf.DUMMYFUNCTION("""COMPUTED_VALUE"""),"A CONTRATA")</f>
        <v>A CONTRATA</v>
      </c>
      <c r="K254" t="str">
        <f>IFERROR(__xludf.DUMMYFUNCTION("""COMPUTED_VALUE"""),"ADMINISTRATIVO")</f>
        <v>ADMINISTRATIVO</v>
      </c>
      <c r="L254" t="str">
        <f>IFERROR(__xludf.DUMMYFUNCTION("""COMPUTED_VALUE"""),"INTERNO")</f>
        <v>INTERNO</v>
      </c>
      <c r="M254">
        <f>IFERROR(__xludf.DUMMYFUNCTION("""COMPUTED_VALUE"""),1.0)</f>
        <v>1</v>
      </c>
      <c r="N254" t="str">
        <f>IFERROR(__xludf.DUMMYFUNCTION("""COMPUTED_VALUE"""),"EXTERNO")</f>
        <v>EXTERNO</v>
      </c>
      <c r="O254">
        <f>IFERROR(__xludf.DUMMYFUNCTION("""COMPUTED_VALUE"""),7.0)</f>
        <v>7</v>
      </c>
      <c r="P254">
        <f>IFERROR(__xludf.DUMMYFUNCTION("""COMPUTED_VALUE"""),1.0)</f>
        <v>1</v>
      </c>
      <c r="Q254">
        <f>IFERROR(__xludf.DUMMYFUNCTION("""COMPUTED_VALUE"""),1.0)</f>
        <v>1</v>
      </c>
      <c r="R254" s="45" t="str">
        <f>IFERROR(__xludf.DUMMYFUNCTION("""COMPUTED_VALUE"""),"SELECCIONADA")</f>
        <v>SELECCIONADA</v>
      </c>
      <c r="S254" s="38">
        <f>IFERROR(__xludf.DUMMYFUNCTION("""COMPUTED_VALUE"""),42954.0)</f>
        <v>42954</v>
      </c>
      <c r="U254" t="str">
        <f>IFERROR(__xludf.DUMMYFUNCTION("""COMPUTED_VALUE"""),"SILVIA ACEVEDO BERRIOS")</f>
        <v>SILVIA ACEVEDO BERRIOS</v>
      </c>
      <c r="V254" t="str">
        <f>IFERROR(__xludf.DUMMYFUNCTION("""COMPUTED_VALUE"""),"12960008-K")</f>
        <v>12960008-K</v>
      </c>
      <c r="W254" t="str">
        <f>IFERROR(__xludf.DUMMYFUNCTION("""COMPUTED_VALUE"""),"NO")</f>
        <v>NO</v>
      </c>
      <c r="AA254" s="38">
        <f>IFERROR(__xludf.DUMMYFUNCTION("""COMPUTED_VALUE"""),42922.0)</f>
        <v>42922</v>
      </c>
      <c r="AB254" s="38">
        <f>IFERROR(__xludf.DUMMYFUNCTION("""COMPUTED_VALUE"""),42929.0)</f>
        <v>42929</v>
      </c>
      <c r="AH254" t="str">
        <f>IFERROR(__xludf.DUMMYFUNCTION("""COMPUTED_VALUE"""),"PROCESO DE SELECCIÓN")</f>
        <v>PROCESO DE SELECCIÓN</v>
      </c>
      <c r="AI254" t="str">
        <f>IFERROR(__xludf.DUMMYFUNCTION("""COMPUTED_VALUE"""),"AUTORIZADO 2017")</f>
        <v>AUTORIZADO 2017</v>
      </c>
      <c r="AK254" t="str">
        <f>IFERROR(__xludf.DUMMYFUNCTION("""COMPUTED_VALUE"""),"P")</f>
        <v>P</v>
      </c>
      <c r="AL254">
        <f>IFERROR(__xludf.DUMMYFUNCTION("""COMPUTED_VALUE"""),18.0)</f>
        <v>18</v>
      </c>
      <c r="AM254">
        <f>IFERROR(__xludf.DUMMYFUNCTION("""COMPUTED_VALUE"""),2017.0)</f>
        <v>2017</v>
      </c>
    </row>
    <row r="255">
      <c r="A255">
        <f>IFERROR(__xludf.DUMMYFUNCTION("""COMPUTED_VALUE"""),1.2260688E7)</f>
        <v>12260688</v>
      </c>
      <c r="B255">
        <f>IFERROR(__xludf.DUMMYFUNCTION("""COMPUTED_VALUE"""),29.0)</f>
        <v>29</v>
      </c>
      <c r="D255" t="str">
        <f>IFERROR(__xludf.DUMMYFUNCTION("""COMPUTED_VALUE"""),"INGRESAR CENTRO DE COSTO A LA DERECHA")</f>
        <v>INGRESAR CENTRO DE COSTO A LA DERECHA</v>
      </c>
      <c r="E255" t="str">
        <f>IFERROR(__xludf.DUMMYFUNCTION("""COMPUTED_VALUE"""),"FACULTAD DE QUIMICA Y BIOLOGIA")</f>
        <v>FACULTAD DE QUIMICA Y BIOLOGIA</v>
      </c>
      <c r="F255" t="str">
        <f>IFERROR(__xludf.DUMMYFUNCTION("""COMPUTED_VALUE"""),"Administrativo(a) de Apoyo")</f>
        <v>Administrativo(a) de Apoyo</v>
      </c>
      <c r="G255" t="str">
        <f>IFERROR(__xludf.DUMMYFUNCTION("""COMPUTED_VALUE"""),"ADMINISTRATIVO DE APOYO")</f>
        <v>ADMINISTRATIVO DE APOYO</v>
      </c>
      <c r="H255">
        <f>IFERROR(__xludf.DUMMYFUNCTION("""COMPUTED_VALUE"""),20.0)</f>
        <v>20</v>
      </c>
      <c r="I255" t="str">
        <f>IFERROR(__xludf.DUMMYFUNCTION("""COMPUTED_VALUE"""),"Jornada Completa")</f>
        <v>Jornada Completa</v>
      </c>
      <c r="J255" t="str">
        <f>IFERROR(__xludf.DUMMYFUNCTION("""COMPUTED_VALUE"""),"A CONTRATA")</f>
        <v>A CONTRATA</v>
      </c>
      <c r="K255" t="str">
        <f>IFERROR(__xludf.DUMMYFUNCTION("""COMPUTED_VALUE"""),"ADMINISTRATIVO")</f>
        <v>ADMINISTRATIVO</v>
      </c>
      <c r="L255" t="str">
        <f>IFERROR(__xludf.DUMMYFUNCTION("""COMPUTED_VALUE"""),"INTERNO")</f>
        <v>INTERNO</v>
      </c>
      <c r="M255">
        <f>IFERROR(__xludf.DUMMYFUNCTION("""COMPUTED_VALUE"""),0.0)</f>
        <v>0</v>
      </c>
      <c r="N255" t="str">
        <f>IFERROR(__xludf.DUMMYFUNCTION("""COMPUTED_VALUE"""),"EXTERNO")</f>
        <v>EXTERNO</v>
      </c>
      <c r="O255">
        <f>IFERROR(__xludf.DUMMYFUNCTION("""COMPUTED_VALUE"""),15.0)</f>
        <v>15</v>
      </c>
      <c r="P255">
        <f>IFERROR(__xludf.DUMMYFUNCTION("""COMPUTED_VALUE"""),2.0)</f>
        <v>2</v>
      </c>
      <c r="Q255">
        <f>IFERROR(__xludf.DUMMYFUNCTION("""COMPUTED_VALUE"""),1.0)</f>
        <v>1</v>
      </c>
      <c r="R255" s="45" t="str">
        <f>IFERROR(__xludf.DUMMYFUNCTION("""COMPUTED_VALUE"""),"SELECCIONADA")</f>
        <v>SELECCIONADA</v>
      </c>
      <c r="S255" s="38">
        <f>IFERROR(__xludf.DUMMYFUNCTION("""COMPUTED_VALUE"""),42948.0)</f>
        <v>42948</v>
      </c>
      <c r="U255" t="str">
        <f>IFERROR(__xludf.DUMMYFUNCTION("""COMPUTED_VALUE"""),"MARTA ADRIAZOLA MORENO")</f>
        <v>MARTA ADRIAZOLA MORENO</v>
      </c>
      <c r="V255" t="str">
        <f>IFERROR(__xludf.DUMMYFUNCTION("""COMPUTED_VALUE"""),"12260688-0")</f>
        <v>12260688-0</v>
      </c>
      <c r="W255" t="str">
        <f>IFERROR(__xludf.DUMMYFUNCTION("""COMPUTED_VALUE"""),"SI")</f>
        <v>SI</v>
      </c>
      <c r="X255" t="str">
        <f>IFERROR(__xludf.DUMMYFUNCTION("""COMPUTED_VALUE"""),"COMUNICACION")</f>
        <v>COMUNICACION</v>
      </c>
      <c r="AA255" s="38">
        <f>IFERROR(__xludf.DUMMYFUNCTION("""COMPUTED_VALUE"""),42899.0)</f>
        <v>42899</v>
      </c>
      <c r="AB255" s="38">
        <f>IFERROR(__xludf.DUMMYFUNCTION("""COMPUTED_VALUE"""),42906.0)</f>
        <v>42906</v>
      </c>
      <c r="AH255" t="str">
        <f>IFERROR(__xludf.DUMMYFUNCTION("""COMPUTED_VALUE"""),"PROCESO DE SELECCIÓN")</f>
        <v>PROCESO DE SELECCIÓN</v>
      </c>
      <c r="AI255" t="str">
        <f>IFERROR(__xludf.DUMMYFUNCTION("""COMPUTED_VALUE"""),"LORENA IBARRA ACOSTA")</f>
        <v>LORENA IBARRA ACOSTA</v>
      </c>
      <c r="AK255" t="str">
        <f>IFERROR(__xludf.DUMMYFUNCTION("""COMPUTED_VALUE"""),"P")</f>
        <v>P</v>
      </c>
      <c r="AL255">
        <f>IFERROR(__xludf.DUMMYFUNCTION("""COMPUTED_VALUE"""),31.0)</f>
        <v>31</v>
      </c>
      <c r="AM255">
        <f>IFERROR(__xludf.DUMMYFUNCTION("""COMPUTED_VALUE"""),2017.0)</f>
        <v>2017</v>
      </c>
    </row>
    <row r="256">
      <c r="A256">
        <f>IFERROR(__xludf.DUMMYFUNCTION("""COMPUTED_VALUE"""),1.8326702E7)</f>
        <v>18326702</v>
      </c>
      <c r="B256">
        <f>IFERROR(__xludf.DUMMYFUNCTION("""COMPUTED_VALUE"""),30.0)</f>
        <v>30</v>
      </c>
      <c r="D256" t="str">
        <f>IFERROR(__xludf.DUMMYFUNCTION("""COMPUTED_VALUE"""),"INGRESAR CENTRO DE COSTO A LA DERECHA")</f>
        <v>INGRESAR CENTRO DE COSTO A LA DERECHA</v>
      </c>
      <c r="E256" t="str">
        <f>IFERROR(__xludf.DUMMYFUNCTION("""COMPUTED_VALUE"""),"SECRETARIA GENERAL")</f>
        <v>SECRETARIA GENERAL</v>
      </c>
      <c r="F256" t="str">
        <f>IFERROR(__xludf.DUMMYFUNCTION("""COMPUTED_VALUE"""),"Administrativo(a) Especializado")</f>
        <v>Administrativo(a) Especializado</v>
      </c>
      <c r="G256" t="str">
        <f>IFERROR(__xludf.DUMMYFUNCTION("""COMPUTED_VALUE"""),"ADMINISTRATIVO ESPECIALIZADO")</f>
        <v>ADMINISTRATIVO ESPECIALIZADO</v>
      </c>
      <c r="H256">
        <f>IFERROR(__xludf.DUMMYFUNCTION("""COMPUTED_VALUE"""),12.0)</f>
        <v>12</v>
      </c>
      <c r="I256" t="str">
        <f>IFERROR(__xludf.DUMMYFUNCTION("""COMPUTED_VALUE"""),"Jornada Completa")</f>
        <v>Jornada Completa</v>
      </c>
      <c r="J256" t="str">
        <f>IFERROR(__xludf.DUMMYFUNCTION("""COMPUTED_VALUE"""),"A CONTRATA")</f>
        <v>A CONTRATA</v>
      </c>
      <c r="K256" t="str">
        <f>IFERROR(__xludf.DUMMYFUNCTION("""COMPUTED_VALUE"""),"ADMINISTRATIVO")</f>
        <v>ADMINISTRATIVO</v>
      </c>
      <c r="L256" t="str">
        <f>IFERROR(__xludf.DUMMYFUNCTION("""COMPUTED_VALUE"""),"INTERNO")</f>
        <v>INTERNO</v>
      </c>
      <c r="M256">
        <f>IFERROR(__xludf.DUMMYFUNCTION("""COMPUTED_VALUE"""),19.0)</f>
        <v>19</v>
      </c>
      <c r="N256" t="str">
        <f>IFERROR(__xludf.DUMMYFUNCTION("""COMPUTED_VALUE"""),"NO")</f>
        <v>NO</v>
      </c>
      <c r="O256">
        <f>IFERROR(__xludf.DUMMYFUNCTION("""COMPUTED_VALUE"""),0.0)</f>
        <v>0</v>
      </c>
      <c r="P256">
        <f>IFERROR(__xludf.DUMMYFUNCTION("""COMPUTED_VALUE"""),3.0)</f>
        <v>3</v>
      </c>
      <c r="Q256">
        <f>IFERROR(__xludf.DUMMYFUNCTION("""COMPUTED_VALUE"""),0.0)</f>
        <v>0</v>
      </c>
      <c r="R256" s="45" t="str">
        <f>IFERROR(__xludf.DUMMYFUNCTION("""COMPUTED_VALUE"""),"SELECCIONADO")</f>
        <v>SELECCIONADO</v>
      </c>
      <c r="S256" s="38">
        <f>IFERROR(__xludf.DUMMYFUNCTION("""COMPUTED_VALUE"""),42954.0)</f>
        <v>42954</v>
      </c>
      <c r="T256" t="str">
        <f>IFERROR(__xludf.DUMMYFUNCTION("""COMPUTED_VALUE"""),"ESTAY ZORRICUETA RENE EDUARDO FELIPE")</f>
        <v>ESTAY ZORRICUETA RENE EDUARDO FELIPE</v>
      </c>
      <c r="V256" t="str">
        <f>IFERROR(__xludf.DUMMYFUNCTION("""COMPUTED_VALUE"""),"18326702-7")</f>
        <v>18326702-7</v>
      </c>
      <c r="W256" t="str">
        <f>IFERROR(__xludf.DUMMYFUNCTION("""COMPUTED_VALUE"""),"NO")</f>
        <v>NO</v>
      </c>
      <c r="AA256" s="38">
        <f>IFERROR(__xludf.DUMMYFUNCTION("""COMPUTED_VALUE"""),42901.0)</f>
        <v>42901</v>
      </c>
      <c r="AB256" s="38">
        <f>IFERROR(__xludf.DUMMYFUNCTION("""COMPUTED_VALUE"""),42908.0)</f>
        <v>42908</v>
      </c>
      <c r="AH256" t="str">
        <f>IFERROR(__xludf.DUMMYFUNCTION("""COMPUTED_VALUE"""),"PROCESO DE SELECCIÓN")</f>
        <v>PROCESO DE SELECCIÓN</v>
      </c>
      <c r="AI256" t="str">
        <f>IFERROR(__xludf.DUMMYFUNCTION("""COMPUTED_VALUE"""),"AUTORIZADO 2017")</f>
        <v>AUTORIZADO 2017</v>
      </c>
      <c r="AK256" t="str">
        <f>IFERROR(__xludf.DUMMYFUNCTION("""COMPUTED_VALUE"""),"C")</f>
        <v>C</v>
      </c>
      <c r="AL256">
        <f>IFERROR(__xludf.DUMMYFUNCTION("""COMPUTED_VALUE"""),33.0)</f>
        <v>33</v>
      </c>
      <c r="AM256">
        <f>IFERROR(__xludf.DUMMYFUNCTION("""COMPUTED_VALUE"""),2017.0)</f>
        <v>2017</v>
      </c>
    </row>
    <row r="257">
      <c r="A257">
        <f>IFERROR(__xludf.DUMMYFUNCTION("""COMPUTED_VALUE"""),1.5426721E7)</f>
        <v>15426721</v>
      </c>
      <c r="B257">
        <f>IFERROR(__xludf.DUMMYFUNCTION("""COMPUTED_VALUE"""),31.0)</f>
        <v>31</v>
      </c>
      <c r="D257" t="str">
        <f>IFERROR(__xludf.DUMMYFUNCTION("""COMPUTED_VALUE"""),"INGRESAR CENTRO DE COSTO A LA DERECHA")</f>
        <v>INGRESAR CENTRO DE COSTO A LA DERECHA</v>
      </c>
      <c r="E257" t="str">
        <f>IFERROR(__xludf.DUMMYFUNCTION("""COMPUTED_VALUE"""),"DPTO. DE FISICA")</f>
        <v>DPTO. DE FISICA</v>
      </c>
      <c r="F257" t="str">
        <f>IFERROR(__xludf.DUMMYFUNCTION("""COMPUTED_VALUE"""),"Mayordomo(a)")</f>
        <v>Mayordomo(a)</v>
      </c>
      <c r="G257" t="str">
        <f>IFERROR(__xludf.DUMMYFUNCTION("""COMPUTED_VALUE"""),"MAYORDOMO")</f>
        <v>MAYORDOMO</v>
      </c>
      <c r="H257">
        <f>IFERROR(__xludf.DUMMYFUNCTION("""COMPUTED_VALUE"""),21.0)</f>
        <v>21</v>
      </c>
      <c r="I257" t="str">
        <f>IFERROR(__xludf.DUMMYFUNCTION("""COMPUTED_VALUE"""),"Jornada Completa")</f>
        <v>Jornada Completa</v>
      </c>
      <c r="J257" t="str">
        <f>IFERROR(__xludf.DUMMYFUNCTION("""COMPUTED_VALUE"""),"A CONTRATA")</f>
        <v>A CONTRATA</v>
      </c>
      <c r="K257" t="str">
        <f>IFERROR(__xludf.DUMMYFUNCTION("""COMPUTED_VALUE"""),"AUXILIAR")</f>
        <v>AUXILIAR</v>
      </c>
      <c r="L257" t="str">
        <f>IFERROR(__xludf.DUMMYFUNCTION("""COMPUTED_VALUE"""),"INTERNO")</f>
        <v>INTERNO</v>
      </c>
      <c r="M257">
        <f>IFERROR(__xludf.DUMMYFUNCTION("""COMPUTED_VALUE"""),0.0)</f>
        <v>0</v>
      </c>
      <c r="N257" t="str">
        <f>IFERROR(__xludf.DUMMYFUNCTION("""COMPUTED_VALUE"""),"EXTERNO")</f>
        <v>EXTERNO</v>
      </c>
      <c r="O257">
        <f>IFERROR(__xludf.DUMMYFUNCTION("""COMPUTED_VALUE"""),32.0)</f>
        <v>32</v>
      </c>
      <c r="P257">
        <f>IFERROR(__xludf.DUMMYFUNCTION("""COMPUTED_VALUE"""),1.0)</f>
        <v>1</v>
      </c>
      <c r="Q257">
        <f>IFERROR(__xludf.DUMMYFUNCTION("""COMPUTED_VALUE"""),3.0)</f>
        <v>3</v>
      </c>
      <c r="R257" s="45" t="str">
        <f>IFERROR(__xludf.DUMMYFUNCTION("""COMPUTED_VALUE"""),"SELECCIONADO")</f>
        <v>SELECCIONADO</v>
      </c>
      <c r="S257" s="38">
        <f>IFERROR(__xludf.DUMMYFUNCTION("""COMPUTED_VALUE"""),42948.0)</f>
        <v>42948</v>
      </c>
      <c r="U257" t="str">
        <f>IFERROR(__xludf.DUMMYFUNCTION("""COMPUTED_VALUE"""),"ALEXIS RIFFO CAMPOS")</f>
        <v>ALEXIS RIFFO CAMPOS</v>
      </c>
      <c r="V257" t="str">
        <f>IFERROR(__xludf.DUMMYFUNCTION("""COMPUTED_VALUE"""),"15426721-2")</f>
        <v>15426721-2</v>
      </c>
      <c r="W257" t="str">
        <f>IFERROR(__xludf.DUMMYFUNCTION("""COMPUTED_VALUE"""),"NO")</f>
        <v>NO</v>
      </c>
      <c r="AA257" s="38">
        <f>IFERROR(__xludf.DUMMYFUNCTION("""COMPUTED_VALUE"""),42880.0)</f>
        <v>42880</v>
      </c>
      <c r="AB257" s="38">
        <f>IFERROR(__xludf.DUMMYFUNCTION("""COMPUTED_VALUE"""),42894.0)</f>
        <v>42894</v>
      </c>
      <c r="AH257" t="str">
        <f>IFERROR(__xludf.DUMMYFUNCTION("""COMPUTED_VALUE"""),"PROCESO DE SELECCIÓN")</f>
        <v>PROCESO DE SELECCIÓN</v>
      </c>
      <c r="AI257" t="str">
        <f>IFERROR(__xludf.DUMMYFUNCTION("""COMPUTED_VALUE"""),"AUTORIZADO 2016")</f>
        <v>AUTORIZADO 2016</v>
      </c>
      <c r="AK257" t="str">
        <f>IFERROR(__xludf.DUMMYFUNCTION("""COMPUTED_VALUE"""),"E")</f>
        <v>E</v>
      </c>
      <c r="AL257">
        <f>IFERROR(__xludf.DUMMYFUNCTION("""COMPUTED_VALUE"""),39.0)</f>
        <v>39</v>
      </c>
      <c r="AM257">
        <f>IFERROR(__xludf.DUMMYFUNCTION("""COMPUTED_VALUE"""),2017.0)</f>
        <v>2017</v>
      </c>
    </row>
    <row r="258">
      <c r="A258">
        <f>IFERROR(__xludf.DUMMYFUNCTION("""COMPUTED_VALUE"""),1.8304944E7)</f>
        <v>18304944</v>
      </c>
      <c r="B258">
        <f>IFERROR(__xludf.DUMMYFUNCTION("""COMPUTED_VALUE"""),32.0)</f>
        <v>32</v>
      </c>
      <c r="D258" t="str">
        <f>IFERROR(__xludf.DUMMYFUNCTION("""COMPUTED_VALUE"""),"INGRESAR CENTRO DE COSTO A LA DERECHA")</f>
        <v>INGRESAR CENTRO DE COSTO A LA DERECHA</v>
      </c>
      <c r="E258" t="str">
        <f>IFERROR(__xludf.DUMMYFUNCTION("""COMPUTED_VALUE"""),"ESCUELA DE MEDICINA")</f>
        <v>ESCUELA DE MEDICINA</v>
      </c>
      <c r="F258" t="str">
        <f>IFERROR(__xludf.DUMMYFUNCTION("""COMPUTED_VALUE"""),"Analista de Gestión Administrativa")</f>
        <v>Analista de Gestión Administrativa</v>
      </c>
      <c r="G258" t="str">
        <f>IFERROR(__xludf.DUMMYFUNCTION("""COMPUTED_VALUE"""),"ANALISTA DE GESTION ADMINISTRATIVA")</f>
        <v>ANALISTA DE GESTION ADMINISTRATIVA</v>
      </c>
      <c r="H258">
        <f>IFERROR(__xludf.DUMMYFUNCTION("""COMPUTED_VALUE"""),14.0)</f>
        <v>14</v>
      </c>
      <c r="I258" t="str">
        <f>IFERROR(__xludf.DUMMYFUNCTION("""COMPUTED_VALUE"""),"Jornada Completa")</f>
        <v>Jornada Completa</v>
      </c>
      <c r="J258" t="str">
        <f>IFERROR(__xludf.DUMMYFUNCTION("""COMPUTED_VALUE"""),"A CONTRATA")</f>
        <v>A CONTRATA</v>
      </c>
      <c r="K258" t="str">
        <f>IFERROR(__xludf.DUMMYFUNCTION("""COMPUTED_VALUE"""),"ADMINISTRATIVO")</f>
        <v>ADMINISTRATIVO</v>
      </c>
      <c r="L258" t="str">
        <f>IFERROR(__xludf.DUMMYFUNCTION("""COMPUTED_VALUE"""),"INTERNO")</f>
        <v>INTERNO</v>
      </c>
      <c r="M258">
        <f>IFERROR(__xludf.DUMMYFUNCTION("""COMPUTED_VALUE"""),5.0)</f>
        <v>5</v>
      </c>
      <c r="N258" t="str">
        <f>IFERROR(__xludf.DUMMYFUNCTION("""COMPUTED_VALUE"""),"EXTERNO")</f>
        <v>EXTERNO</v>
      </c>
      <c r="O258">
        <f>IFERROR(__xludf.DUMMYFUNCTION("""COMPUTED_VALUE"""),10.0)</f>
        <v>10</v>
      </c>
      <c r="P258">
        <f>IFERROR(__xludf.DUMMYFUNCTION("""COMPUTED_VALUE"""),6.0)</f>
        <v>6</v>
      </c>
      <c r="Q258">
        <f>IFERROR(__xludf.DUMMYFUNCTION("""COMPUTED_VALUE"""),1.0)</f>
        <v>1</v>
      </c>
      <c r="R258" s="45" t="str">
        <f>IFERROR(__xludf.DUMMYFUNCTION("""COMPUTED_VALUE"""),"SELECCIONADA")</f>
        <v>SELECCIONADA</v>
      </c>
      <c r="S258" s="38">
        <f>IFERROR(__xludf.DUMMYFUNCTION("""COMPUTED_VALUE"""),42936.0)</f>
        <v>42936</v>
      </c>
      <c r="U258" t="str">
        <f>IFERROR(__xludf.DUMMYFUNCTION("""COMPUTED_VALUE"""),"SILVINA MAYO AVILA")</f>
        <v>SILVINA MAYO AVILA</v>
      </c>
      <c r="V258" t="str">
        <f>IFERROR(__xludf.DUMMYFUNCTION("""COMPUTED_VALUE"""),"18304944-5")</f>
        <v>18304944-5</v>
      </c>
      <c r="W258" t="str">
        <f>IFERROR(__xludf.DUMMYFUNCTION("""COMPUTED_VALUE"""),"SI")</f>
        <v>SI</v>
      </c>
      <c r="X258" t="str">
        <f>IFERROR(__xludf.DUMMYFUNCTION("""COMPUTED_VALUE"""),"CAPACIDAD DE PLANIFICACION Y ORGANIZACION")</f>
        <v>CAPACIDAD DE PLANIFICACION Y ORGANIZACION</v>
      </c>
      <c r="AA258" s="38">
        <f>IFERROR(__xludf.DUMMYFUNCTION("""COMPUTED_VALUE"""),42886.0)</f>
        <v>42886</v>
      </c>
      <c r="AB258" s="38">
        <f>IFERROR(__xludf.DUMMYFUNCTION("""COMPUTED_VALUE"""),42893.0)</f>
        <v>42893</v>
      </c>
      <c r="AH258" t="str">
        <f>IFERROR(__xludf.DUMMYFUNCTION("""COMPUTED_VALUE"""),"PROCESO DE SELECCIÓN")</f>
        <v>PROCESO DE SELECCIÓN</v>
      </c>
      <c r="AI258" t="str">
        <f>IFERROR(__xludf.DUMMYFUNCTION("""COMPUTED_VALUE"""),"MARCELA TAPIA AREVALO")</f>
        <v>MARCELA TAPIA AREVALO</v>
      </c>
      <c r="AK258" t="str">
        <f>IFERROR(__xludf.DUMMYFUNCTION("""COMPUTED_VALUE"""),"E")</f>
        <v>E</v>
      </c>
      <c r="AL258">
        <f>IFERROR(__xludf.DUMMYFUNCTION("""COMPUTED_VALUE"""),32.0)</f>
        <v>32</v>
      </c>
      <c r="AM258">
        <f>IFERROR(__xludf.DUMMYFUNCTION("""COMPUTED_VALUE"""),2017.0)</f>
        <v>2017</v>
      </c>
    </row>
    <row r="259">
      <c r="A259">
        <f>IFERROR(__xludf.DUMMYFUNCTION("""COMPUTED_VALUE"""),1.7339326E7)</f>
        <v>17339326</v>
      </c>
      <c r="B259">
        <f>IFERROR(__xludf.DUMMYFUNCTION("""COMPUTED_VALUE"""),33.0)</f>
        <v>33</v>
      </c>
      <c r="D259" t="str">
        <f>IFERROR(__xludf.DUMMYFUNCTION("""COMPUTED_VALUE"""),"INGRESAR CENTRO DE COSTO A LA DERECHA")</f>
        <v>INGRESAR CENTRO DE COSTO A LA DERECHA</v>
      </c>
      <c r="E259" t="str">
        <f>IFERROR(__xludf.DUMMYFUNCTION("""COMPUTED_VALUE"""),"DPTO. DE INGENIERIA OBRAS CIVILES")</f>
        <v>DPTO. DE INGENIERIA OBRAS CIVILES</v>
      </c>
      <c r="F259" t="str">
        <f>IFERROR(__xludf.DUMMYFUNCTION("""COMPUTED_VALUE"""),"Encargado(a) Técnico(a) de Laboratorio")</f>
        <v>Encargado(a) Técnico(a) de Laboratorio</v>
      </c>
      <c r="G259" t="str">
        <f>IFERROR(__xludf.DUMMYFUNCTION("""COMPUTED_VALUE"""),"ENCARGADO TECNICO DE LABORATORIO")</f>
        <v>ENCARGADO TECNICO DE LABORATORIO</v>
      </c>
      <c r="H259">
        <f>IFERROR(__xludf.DUMMYFUNCTION("""COMPUTED_VALUE"""),14.0)</f>
        <v>14</v>
      </c>
      <c r="I259" t="str">
        <f>IFERROR(__xludf.DUMMYFUNCTION("""COMPUTED_VALUE"""),"Jornada Completa")</f>
        <v>Jornada Completa</v>
      </c>
      <c r="J259" t="str">
        <f>IFERROR(__xludf.DUMMYFUNCTION("""COMPUTED_VALUE"""),"A CONTRATA")</f>
        <v>A CONTRATA</v>
      </c>
      <c r="K259" t="str">
        <f>IFERROR(__xludf.DUMMYFUNCTION("""COMPUTED_VALUE"""),"TECNICO")</f>
        <v>TECNICO</v>
      </c>
      <c r="L259" t="str">
        <f>IFERROR(__xludf.DUMMYFUNCTION("""COMPUTED_VALUE"""),"INTERNO")</f>
        <v>INTERNO</v>
      </c>
      <c r="M259">
        <f>IFERROR(__xludf.DUMMYFUNCTION("""COMPUTED_VALUE"""),0.0)</f>
        <v>0</v>
      </c>
      <c r="N259" t="str">
        <f>IFERROR(__xludf.DUMMYFUNCTION("""COMPUTED_VALUE"""),"EXTERNO")</f>
        <v>EXTERNO</v>
      </c>
      <c r="O259">
        <f>IFERROR(__xludf.DUMMYFUNCTION("""COMPUTED_VALUE"""),5.0)</f>
        <v>5</v>
      </c>
      <c r="P259">
        <f>IFERROR(__xludf.DUMMYFUNCTION("""COMPUTED_VALUE"""),1.0)</f>
        <v>1</v>
      </c>
      <c r="Q259">
        <f>IFERROR(__xludf.DUMMYFUNCTION("""COMPUTED_VALUE"""),1.0)</f>
        <v>1</v>
      </c>
      <c r="R259" s="45" t="str">
        <f>IFERROR(__xludf.DUMMYFUNCTION("""COMPUTED_VALUE"""),"SELECCIONADO")</f>
        <v>SELECCIONADO</v>
      </c>
      <c r="S259" s="38">
        <f>IFERROR(__xludf.DUMMYFUNCTION("""COMPUTED_VALUE"""),42948.0)</f>
        <v>42948</v>
      </c>
      <c r="U259" t="str">
        <f>IFERROR(__xludf.DUMMYFUNCTION("""COMPUTED_VALUE"""),"PABLO TOBAR PALMA")</f>
        <v>PABLO TOBAR PALMA</v>
      </c>
      <c r="V259" t="str">
        <f>IFERROR(__xludf.DUMMYFUNCTION("""COMPUTED_VALUE"""),"17339326-1")</f>
        <v>17339326-1</v>
      </c>
      <c r="W259" t="str">
        <f>IFERROR(__xludf.DUMMYFUNCTION("""COMPUTED_VALUE"""),"SI")</f>
        <v>SI</v>
      </c>
      <c r="X259" t="str">
        <f>IFERROR(__xludf.DUMMYFUNCTION("""COMPUTED_VALUE"""),"CAPACIDAD DE PLANIFICACION Y ORGANIZACION")</f>
        <v>CAPACIDAD DE PLANIFICACION Y ORGANIZACION</v>
      </c>
      <c r="AA259" s="38">
        <f>IFERROR(__xludf.DUMMYFUNCTION("""COMPUTED_VALUE"""),42807.0)</f>
        <v>42807</v>
      </c>
      <c r="AB259" s="38">
        <f>IFERROR(__xludf.DUMMYFUNCTION("""COMPUTED_VALUE"""),42814.0)</f>
        <v>42814</v>
      </c>
      <c r="AH259" t="str">
        <f>IFERROR(__xludf.DUMMYFUNCTION("""COMPUTED_VALUE"""),"PROCESO DE SELECCIÓN")</f>
        <v>PROCESO DE SELECCIÓN</v>
      </c>
      <c r="AI259" t="str">
        <f>IFERROR(__xludf.DUMMYFUNCTION("""COMPUTED_VALUE"""),"AUTORIZADO 2016")</f>
        <v>AUTORIZADO 2016</v>
      </c>
      <c r="AK259" t="str">
        <f>IFERROR(__xludf.DUMMYFUNCTION("""COMPUTED_VALUE"""),"P")</f>
        <v>P</v>
      </c>
      <c r="AL259">
        <f>IFERROR(__xludf.DUMMYFUNCTION("""COMPUTED_VALUE"""),97.0)</f>
        <v>97</v>
      </c>
      <c r="AM259">
        <f>IFERROR(__xludf.DUMMYFUNCTION("""COMPUTED_VALUE"""),2017.0)</f>
        <v>2017</v>
      </c>
    </row>
    <row r="260">
      <c r="A260">
        <f>IFERROR(__xludf.DUMMYFUNCTION("""COMPUTED_VALUE"""),1.5314358E7)</f>
        <v>15314358</v>
      </c>
      <c r="B260">
        <f>IFERROR(__xludf.DUMMYFUNCTION("""COMPUTED_VALUE"""),34.0)</f>
        <v>34</v>
      </c>
      <c r="D260" t="str">
        <f>IFERROR(__xludf.DUMMYFUNCTION("""COMPUTED_VALUE"""),"INGRESAR CENTRO DE COSTO A LA DERECHA")</f>
        <v>INGRESAR CENTRO DE COSTO A LA DERECHA</v>
      </c>
      <c r="E260" t="str">
        <f>IFERROR(__xludf.DUMMYFUNCTION("""COMPUTED_VALUE"""),"VR. DE VINCULACION CON EL MEDIO")</f>
        <v>VR. DE VINCULACION CON EL MEDIO</v>
      </c>
      <c r="F260" t="str">
        <f>IFERROR(__xludf.DUMMYFUNCTION("""COMPUTED_VALUE"""),"Jefe(a) de Área")</f>
        <v>Jefe(a) de Área</v>
      </c>
      <c r="G260" t="str">
        <f>IFERROR(__xludf.DUMMYFUNCTION("""COMPUTED_VALUE"""),"JEFE DE AREA ARCHIVO PATRIMONIAL")</f>
        <v>JEFE DE AREA ARCHIVO PATRIMONIAL</v>
      </c>
      <c r="H260">
        <f>IFERROR(__xludf.DUMMYFUNCTION("""COMPUTED_VALUE"""),8.0)</f>
        <v>8</v>
      </c>
      <c r="I260" t="str">
        <f>IFERROR(__xludf.DUMMYFUNCTION("""COMPUTED_VALUE"""),"Jornada Completa")</f>
        <v>Jornada Completa</v>
      </c>
      <c r="J260" t="str">
        <f>IFERROR(__xludf.DUMMYFUNCTION("""COMPUTED_VALUE"""),"A CONTRATA")</f>
        <v>A CONTRATA</v>
      </c>
      <c r="K260" t="str">
        <f>IFERROR(__xludf.DUMMYFUNCTION("""COMPUTED_VALUE"""),"PROFESIONAL")</f>
        <v>PROFESIONAL</v>
      </c>
      <c r="L260" t="str">
        <f>IFERROR(__xludf.DUMMYFUNCTION("""COMPUTED_VALUE"""),"INTERNO")</f>
        <v>INTERNO</v>
      </c>
      <c r="M260">
        <f>IFERROR(__xludf.DUMMYFUNCTION("""COMPUTED_VALUE"""),1.0)</f>
        <v>1</v>
      </c>
      <c r="N260" t="str">
        <f>IFERROR(__xludf.DUMMYFUNCTION("""COMPUTED_VALUE"""),"EXTERNO")</f>
        <v>EXTERNO</v>
      </c>
      <c r="O260">
        <f>IFERROR(__xludf.DUMMYFUNCTION("""COMPUTED_VALUE"""),16.0)</f>
        <v>16</v>
      </c>
      <c r="P260">
        <f>IFERROR(__xludf.DUMMYFUNCTION("""COMPUTED_VALUE"""),1.0)</f>
        <v>1</v>
      </c>
      <c r="Q260">
        <f>IFERROR(__xludf.DUMMYFUNCTION("""COMPUTED_VALUE"""),1.0)</f>
        <v>1</v>
      </c>
      <c r="R260" s="45" t="str">
        <f>IFERROR(__xludf.DUMMYFUNCTION("""COMPUTED_VALUE"""),"SELECCIONADA")</f>
        <v>SELECCIONADA</v>
      </c>
      <c r="S260" s="38">
        <f>IFERROR(__xludf.DUMMYFUNCTION("""COMPUTED_VALUE"""),42969.0)</f>
        <v>42969</v>
      </c>
      <c r="U260" t="str">
        <f>IFERROR(__xludf.DUMMYFUNCTION("""COMPUTED_VALUE"""),"ALEJANDRA PINTO LOPEZ")</f>
        <v>ALEJANDRA PINTO LOPEZ</v>
      </c>
      <c r="V260" t="str">
        <f>IFERROR(__xludf.DUMMYFUNCTION("""COMPUTED_VALUE"""),"15314358-7")</f>
        <v>15314358-7</v>
      </c>
      <c r="W260" t="str">
        <f>IFERROR(__xludf.DUMMYFUNCTION("""COMPUTED_VALUE"""),"NO")</f>
        <v>NO</v>
      </c>
      <c r="AA260" s="38">
        <f>IFERROR(__xludf.DUMMYFUNCTION("""COMPUTED_VALUE"""),42926.0)</f>
        <v>42926</v>
      </c>
      <c r="AB260" s="38">
        <f>IFERROR(__xludf.DUMMYFUNCTION("""COMPUTED_VALUE"""),42933.0)</f>
        <v>42933</v>
      </c>
      <c r="AH260" t="str">
        <f>IFERROR(__xludf.DUMMYFUNCTION("""COMPUTED_VALUE"""),"PROCESO DE SELECCIÓN")</f>
        <v>PROCESO DE SELECCIÓN</v>
      </c>
      <c r="AI260" t="str">
        <f>IFERROR(__xludf.DUMMYFUNCTION("""COMPUTED_VALUE"""),"ANDRES ZUÑIGA MELLA")</f>
        <v>ANDRES ZUÑIGA MELLA</v>
      </c>
      <c r="AK260" t="str">
        <f>IFERROR(__xludf.DUMMYFUNCTION("""COMPUTED_VALUE"""),"P")</f>
        <v>P</v>
      </c>
      <c r="AL260">
        <f>IFERROR(__xludf.DUMMYFUNCTION("""COMPUTED_VALUE"""),27.0)</f>
        <v>27</v>
      </c>
      <c r="AM260">
        <f>IFERROR(__xludf.DUMMYFUNCTION("""COMPUTED_VALUE"""),2017.0)</f>
        <v>2017</v>
      </c>
    </row>
    <row r="261">
      <c r="A261">
        <f>IFERROR(__xludf.DUMMYFUNCTION("""COMPUTED_VALUE"""),1.3923654E7)</f>
        <v>13923654</v>
      </c>
      <c r="B261">
        <f>IFERROR(__xludf.DUMMYFUNCTION("""COMPUTED_VALUE"""),35.0)</f>
        <v>35</v>
      </c>
      <c r="D261" t="str">
        <f>IFERROR(__xludf.DUMMYFUNCTION("""COMPUTED_VALUE"""),"INGRESAR CENTRO DE COSTO A LA DERECHA")</f>
        <v>INGRESAR CENTRO DE COSTO A LA DERECHA</v>
      </c>
      <c r="E261" t="str">
        <f>IFERROR(__xludf.DUMMYFUNCTION("""COMPUTED_VALUE"""),"DIR. DE ADM. Y FINANZAS")</f>
        <v>DIR. DE ADM. Y FINANZAS</v>
      </c>
      <c r="F261" t="str">
        <f>IFERROR(__xludf.DUMMYFUNCTION("""COMPUTED_VALUE"""),"Analista Contable I")</f>
        <v>Analista Contable I</v>
      </c>
      <c r="G261" t="str">
        <f>IFERROR(__xludf.DUMMYFUNCTION("""COMPUTED_VALUE"""),"ANALISTA CONTABLE TRIBUTARIO")</f>
        <v>ANALISTA CONTABLE TRIBUTARIO</v>
      </c>
      <c r="H261">
        <f>IFERROR(__xludf.DUMMYFUNCTION("""COMPUTED_VALUE"""),10.0)</f>
        <v>10</v>
      </c>
      <c r="I261" t="str">
        <f>IFERROR(__xludf.DUMMYFUNCTION("""COMPUTED_VALUE"""),"Jornada Completa")</f>
        <v>Jornada Completa</v>
      </c>
      <c r="J261" t="str">
        <f>IFERROR(__xludf.DUMMYFUNCTION("""COMPUTED_VALUE"""),"A CONTRATA")</f>
        <v>A CONTRATA</v>
      </c>
      <c r="K261" t="str">
        <f>IFERROR(__xludf.DUMMYFUNCTION("""COMPUTED_VALUE"""),"PROFESIONAL")</f>
        <v>PROFESIONAL</v>
      </c>
      <c r="L261" t="str">
        <f>IFERROR(__xludf.DUMMYFUNCTION("""COMPUTED_VALUE"""),"INTERNO")</f>
        <v>INTERNO</v>
      </c>
      <c r="M261">
        <f>IFERROR(__xludf.DUMMYFUNCTION("""COMPUTED_VALUE"""),2.0)</f>
        <v>2</v>
      </c>
      <c r="N261" t="str">
        <f>IFERROR(__xludf.DUMMYFUNCTION("""COMPUTED_VALUE"""),"NO")</f>
        <v>NO</v>
      </c>
      <c r="O261">
        <f>IFERROR(__xludf.DUMMYFUNCTION("""COMPUTED_VALUE"""),0.0)</f>
        <v>0</v>
      </c>
      <c r="P261">
        <f>IFERROR(__xludf.DUMMYFUNCTION("""COMPUTED_VALUE"""),1.0)</f>
        <v>1</v>
      </c>
      <c r="Q261">
        <f>IFERROR(__xludf.DUMMYFUNCTION("""COMPUTED_VALUE"""),0.0)</f>
        <v>0</v>
      </c>
      <c r="R261" s="45" t="str">
        <f>IFERROR(__xludf.DUMMYFUNCTION("""COMPUTED_VALUE"""),"SELECCIONADA")</f>
        <v>SELECCIONADA</v>
      </c>
      <c r="S261" s="38">
        <f>IFERROR(__xludf.DUMMYFUNCTION("""COMPUTED_VALUE"""),42963.0)</f>
        <v>42963</v>
      </c>
      <c r="T261" t="str">
        <f>IFERROR(__xludf.DUMMYFUNCTION("""COMPUTED_VALUE"""),"DONA RIOSECO LESLEY LAUREN")</f>
        <v>DONA RIOSECO LESLEY LAUREN</v>
      </c>
      <c r="V261" t="str">
        <f>IFERROR(__xludf.DUMMYFUNCTION("""COMPUTED_VALUE"""),"13923654-8")</f>
        <v>13923654-8</v>
      </c>
      <c r="W261" t="str">
        <f>IFERROR(__xludf.DUMMYFUNCTION("""COMPUTED_VALUE"""),"NO")</f>
        <v>NO</v>
      </c>
      <c r="AA261" s="38">
        <f>IFERROR(__xludf.DUMMYFUNCTION("""COMPUTED_VALUE"""),42930.0)</f>
        <v>42930</v>
      </c>
      <c r="AB261" s="38">
        <f>IFERROR(__xludf.DUMMYFUNCTION("""COMPUTED_VALUE"""),42937.0)</f>
        <v>42937</v>
      </c>
      <c r="AC261">
        <f>IFERROR(__xludf.DUMMYFUNCTION("""COMPUTED_VALUE"""),13.0)</f>
        <v>13</v>
      </c>
      <c r="AD261" t="str">
        <f>IFERROR(__xludf.DUMMYFUNCTION("""COMPUTED_VALUE"""),"PROFESIONAL")</f>
        <v>PROFESIONAL</v>
      </c>
      <c r="AE261" t="str">
        <f>IFERROR(__xludf.DUMMYFUNCTION("""COMPUTED_VALUE"""),"ANALISTA CONTABLE II")</f>
        <v>ANALISTA CONTABLE II</v>
      </c>
      <c r="AF261" s="46" t="str">
        <f>IFERROR(__xludf.DUMMYFUNCTION("""COMPUTED_VALUE"""),"DIR. ADM. Y FINANZAS")</f>
        <v>DIR. ADM. Y FINANZAS</v>
      </c>
      <c r="AH261" t="str">
        <f>IFERROR(__xludf.DUMMYFUNCTION("""COMPUTED_VALUE"""),"PROCESO DE SELECCIÓN")</f>
        <v>PROCESO DE SELECCIÓN</v>
      </c>
      <c r="AI261" t="str">
        <f>IFERROR(__xludf.DUMMYFUNCTION("""COMPUTED_VALUE"""),"CARMEN SANCHO ")</f>
        <v>CARMEN SANCHO </v>
      </c>
      <c r="AL261">
        <f>IFERROR(__xludf.DUMMYFUNCTION("""COMPUTED_VALUE"""),19.0)</f>
        <v>19</v>
      </c>
      <c r="AM261">
        <f>IFERROR(__xludf.DUMMYFUNCTION("""COMPUTED_VALUE"""),2017.0)</f>
        <v>2017</v>
      </c>
    </row>
    <row r="262">
      <c r="A262">
        <f>IFERROR(__xludf.DUMMYFUNCTION("""COMPUTED_VALUE"""),1.0972162E7)</f>
        <v>10972162</v>
      </c>
      <c r="B262">
        <f>IFERROR(__xludf.DUMMYFUNCTION("""COMPUTED_VALUE"""),36.0)</f>
        <v>36</v>
      </c>
      <c r="D262" t="str">
        <f>IFERROR(__xludf.DUMMYFUNCTION("""COMPUTED_VALUE"""),"INGRESAR CENTRO DE COSTO A LA DERECHA")</f>
        <v>INGRESAR CENTRO DE COSTO A LA DERECHA</v>
      </c>
      <c r="E262" t="str">
        <f>IFERROR(__xludf.DUMMYFUNCTION("""COMPUTED_VALUE"""),"DPTO. DE FINANZAS Y TESORERIA")</f>
        <v>DPTO. DE FINANZAS Y TESORERIA</v>
      </c>
      <c r="F262" t="str">
        <f>IFERROR(__xludf.DUMMYFUNCTION("""COMPUTED_VALUE"""),"Jefe(a) de Sección")</f>
        <v>Jefe(a) de Sección</v>
      </c>
      <c r="G262" t="str">
        <f>IFERROR(__xludf.DUMMYFUNCTION("""COMPUTED_VALUE"""),"JEFE DE SECCION ( ANALISIS)")</f>
        <v>JEFE DE SECCION ( ANALISIS)</v>
      </c>
      <c r="H262">
        <f>IFERROR(__xludf.DUMMYFUNCTION("""COMPUTED_VALUE"""),8.0)</f>
        <v>8</v>
      </c>
      <c r="I262" t="str">
        <f>IFERROR(__xludf.DUMMYFUNCTION("""COMPUTED_VALUE"""),"Jornada Completa")</f>
        <v>Jornada Completa</v>
      </c>
      <c r="J262" t="str">
        <f>IFERROR(__xludf.DUMMYFUNCTION("""COMPUTED_VALUE"""),"A CONTRATA")</f>
        <v>A CONTRATA</v>
      </c>
      <c r="K262" t="str">
        <f>IFERROR(__xludf.DUMMYFUNCTION("""COMPUTED_VALUE"""),"PROFESIONAL")</f>
        <v>PROFESIONAL</v>
      </c>
      <c r="L262" t="str">
        <f>IFERROR(__xludf.DUMMYFUNCTION("""COMPUTED_VALUE"""),"INTERNO")</f>
        <v>INTERNO</v>
      </c>
      <c r="M262">
        <f>IFERROR(__xludf.DUMMYFUNCTION("""COMPUTED_VALUE"""),1.0)</f>
        <v>1</v>
      </c>
      <c r="N262" t="str">
        <f>IFERROR(__xludf.DUMMYFUNCTION("""COMPUTED_VALUE"""),"NO")</f>
        <v>NO</v>
      </c>
      <c r="O262">
        <f>IFERROR(__xludf.DUMMYFUNCTION("""COMPUTED_VALUE"""),0.0)</f>
        <v>0</v>
      </c>
      <c r="P262">
        <f>IFERROR(__xludf.DUMMYFUNCTION("""COMPUTED_VALUE"""),1.0)</f>
        <v>1</v>
      </c>
      <c r="Q262">
        <f>IFERROR(__xludf.DUMMYFUNCTION("""COMPUTED_VALUE"""),0.0)</f>
        <v>0</v>
      </c>
      <c r="R262" s="45" t="str">
        <f>IFERROR(__xludf.DUMMYFUNCTION("""COMPUTED_VALUE"""),"SELECCIONADA")</f>
        <v>SELECCIONADA</v>
      </c>
      <c r="S262" s="38">
        <f>IFERROR(__xludf.DUMMYFUNCTION("""COMPUTED_VALUE"""),42982.0)</f>
        <v>42982</v>
      </c>
      <c r="T262" t="str">
        <f>IFERROR(__xludf.DUMMYFUNCTION("""COMPUTED_VALUE"""),"DONOSO PAVEZ MARION DEL PILAR")</f>
        <v>DONOSO PAVEZ MARION DEL PILAR</v>
      </c>
      <c r="V262" t="str">
        <f>IFERROR(__xludf.DUMMYFUNCTION("""COMPUTED_VALUE"""),"10972162-K")</f>
        <v>10972162-K</v>
      </c>
      <c r="W262" t="str">
        <f>IFERROR(__xludf.DUMMYFUNCTION("""COMPUTED_VALUE"""),"SI")</f>
        <v>SI</v>
      </c>
      <c r="X262" t="str">
        <f>IFERROR(__xludf.DUMMYFUNCTION("""COMPUTED_VALUE"""),"TRABAJO EN EQUIPO")</f>
        <v>TRABAJO EN EQUIPO</v>
      </c>
      <c r="AA262" s="38">
        <f>IFERROR(__xludf.DUMMYFUNCTION("""COMPUTED_VALUE"""),42964.0)</f>
        <v>42964</v>
      </c>
      <c r="AB262" s="38">
        <f>IFERROR(__xludf.DUMMYFUNCTION("""COMPUTED_VALUE"""),42971.0)</f>
        <v>42971</v>
      </c>
      <c r="AC262">
        <f>IFERROR(__xludf.DUMMYFUNCTION("""COMPUTED_VALUE"""),13.0)</f>
        <v>13</v>
      </c>
      <c r="AD262" t="str">
        <f>IFERROR(__xludf.DUMMYFUNCTION("""COMPUTED_VALUE"""),"PROFESIONAL")</f>
        <v>PROFESIONAL</v>
      </c>
      <c r="AE262" t="str">
        <f>IFERROR(__xludf.DUMMYFUNCTION("""COMPUTED_VALUE"""),"ANALISTA CONTABLE II")</f>
        <v>ANALISTA CONTABLE II</v>
      </c>
      <c r="AF262" s="46" t="str">
        <f>IFERROR(__xludf.DUMMYFUNCTION("""COMPUTED_VALUE"""),"DIR. ADM. Y FINANZAS")</f>
        <v>DIR. ADM. Y FINANZAS</v>
      </c>
      <c r="AH262" t="str">
        <f>IFERROR(__xludf.DUMMYFUNCTION("""COMPUTED_VALUE"""),"PROCESO DE SELECCIÓN")</f>
        <v>PROCESO DE SELECCIÓN</v>
      </c>
      <c r="AI262" t="str">
        <f>IFERROR(__xludf.DUMMYFUNCTION("""COMPUTED_VALUE"""),"FRANCISCO MORENO SOTO")</f>
        <v>FRANCISCO MORENO SOTO</v>
      </c>
      <c r="AK262" t="str">
        <f>IFERROR(__xludf.DUMMYFUNCTION("""COMPUTED_VALUE"""),"P")</f>
        <v>P</v>
      </c>
      <c r="AL262">
        <f>IFERROR(__xludf.DUMMYFUNCTION("""COMPUTED_VALUE"""),8.0)</f>
        <v>8</v>
      </c>
      <c r="AM262">
        <f>IFERROR(__xludf.DUMMYFUNCTION("""COMPUTED_VALUE"""),2017.0)</f>
        <v>2017</v>
      </c>
    </row>
    <row r="263">
      <c r="A263">
        <f>IFERROR(__xludf.DUMMYFUNCTION("""COMPUTED_VALUE"""),1.86719E7)</f>
        <v>18671900</v>
      </c>
      <c r="B263">
        <f>IFERROR(__xludf.DUMMYFUNCTION("""COMPUTED_VALUE"""),37.0)</f>
        <v>37</v>
      </c>
      <c r="D263" t="str">
        <f>IFERROR(__xludf.DUMMYFUNCTION("""COMPUTED_VALUE"""),"INGRESAR CENTRO DE COSTO A LA DERECHA")</f>
        <v>INGRESAR CENTRO DE COSTO A LA DERECHA</v>
      </c>
      <c r="E263" t="str">
        <f>IFERROR(__xludf.DUMMYFUNCTION("""COMPUTED_VALUE"""),"DPTO. DE FINANZAS Y TESORERIA")</f>
        <v>DPTO. DE FINANZAS Y TESORERIA</v>
      </c>
      <c r="F263" t="str">
        <f>IFERROR(__xludf.DUMMYFUNCTION("""COMPUTED_VALUE"""),"Técnico(a) Contable")</f>
        <v>Técnico(a) Contable</v>
      </c>
      <c r="G263" t="str">
        <f>IFERROR(__xludf.DUMMYFUNCTION("""COMPUTED_VALUE"""),"TECNICO CONTABLE ( CONCILIACIONES BANCARIAS)")</f>
        <v>TECNICO CONTABLE ( CONCILIACIONES BANCARIAS)</v>
      </c>
      <c r="H263">
        <f>IFERROR(__xludf.DUMMYFUNCTION("""COMPUTED_VALUE"""),13.0)</f>
        <v>13</v>
      </c>
      <c r="I263" t="str">
        <f>IFERROR(__xludf.DUMMYFUNCTION("""COMPUTED_VALUE"""),"Jornada Completa")</f>
        <v>Jornada Completa</v>
      </c>
      <c r="J263" t="str">
        <f>IFERROR(__xludf.DUMMYFUNCTION("""COMPUTED_VALUE"""),"A CONTRATA")</f>
        <v>A CONTRATA</v>
      </c>
      <c r="K263" t="str">
        <f>IFERROR(__xludf.DUMMYFUNCTION("""COMPUTED_VALUE"""),"TECNICO")</f>
        <v>TECNICO</v>
      </c>
      <c r="L263" t="str">
        <f>IFERROR(__xludf.DUMMYFUNCTION("""COMPUTED_VALUE"""),"INTERNO")</f>
        <v>INTERNO</v>
      </c>
      <c r="M263">
        <f>IFERROR(__xludf.DUMMYFUNCTION("""COMPUTED_VALUE"""),1.0)</f>
        <v>1</v>
      </c>
      <c r="N263" t="str">
        <f>IFERROR(__xludf.DUMMYFUNCTION("""COMPUTED_VALUE"""),"NO")</f>
        <v>NO</v>
      </c>
      <c r="O263">
        <f>IFERROR(__xludf.DUMMYFUNCTION("""COMPUTED_VALUE"""),0.0)</f>
        <v>0</v>
      </c>
      <c r="P263">
        <f>IFERROR(__xludf.DUMMYFUNCTION("""COMPUTED_VALUE"""),1.0)</f>
        <v>1</v>
      </c>
      <c r="Q263">
        <f>IFERROR(__xludf.DUMMYFUNCTION("""COMPUTED_VALUE"""),0.0)</f>
        <v>0</v>
      </c>
      <c r="R263" s="45" t="str">
        <f>IFERROR(__xludf.DUMMYFUNCTION("""COMPUTED_VALUE"""),"SELECCIONADA")</f>
        <v>SELECCIONADA</v>
      </c>
      <c r="S263" s="38">
        <f>IFERROR(__xludf.DUMMYFUNCTION("""COMPUTED_VALUE"""),42982.0)</f>
        <v>42982</v>
      </c>
      <c r="T263" t="str">
        <f>IFERROR(__xludf.DUMMYFUNCTION("""COMPUTED_VALUE"""),"SALGADO CAYUL TAMARA ANDREA")</f>
        <v>SALGADO CAYUL TAMARA ANDREA</v>
      </c>
      <c r="V263" t="str">
        <f>IFERROR(__xludf.DUMMYFUNCTION("""COMPUTED_VALUE"""),"18671900-K")</f>
        <v>18671900-K</v>
      </c>
      <c r="W263" t="str">
        <f>IFERROR(__xludf.DUMMYFUNCTION("""COMPUTED_VALUE"""),"SI")</f>
        <v>SI</v>
      </c>
      <c r="X263" t="str">
        <f>IFERROR(__xludf.DUMMYFUNCTION("""COMPUTED_VALUE"""),"TOLERANCIA A LA PRESION")</f>
        <v>TOLERANCIA A LA PRESION</v>
      </c>
      <c r="AA263" s="38">
        <f>IFERROR(__xludf.DUMMYFUNCTION("""COMPUTED_VALUE"""),42930.0)</f>
        <v>42930</v>
      </c>
      <c r="AB263" s="38">
        <f>IFERROR(__xludf.DUMMYFUNCTION("""COMPUTED_VALUE"""),42937.0)</f>
        <v>42937</v>
      </c>
      <c r="AC263">
        <f>IFERROR(__xludf.DUMMYFUNCTION("""COMPUTED_VALUE"""),20.0)</f>
        <v>20</v>
      </c>
      <c r="AD263" t="str">
        <f>IFERROR(__xludf.DUMMYFUNCTION("""COMPUTED_VALUE"""),"ADMINISTRATIVO")</f>
        <v>ADMINISTRATIVO</v>
      </c>
      <c r="AE263" t="str">
        <f>IFERROR(__xludf.DUMMYFUNCTION("""COMPUTED_VALUE"""),"ADMINISTRATIVA DE APOYO")</f>
        <v>ADMINISTRATIVA DE APOYO</v>
      </c>
      <c r="AF263" s="46" t="str">
        <f>IFERROR(__xludf.DUMMYFUNCTION("""COMPUTED_VALUE"""),"DPTO. DESARROLLO PERSONAS")</f>
        <v>DPTO. DESARROLLO PERSONAS</v>
      </c>
      <c r="AH263" t="str">
        <f>IFERROR(__xludf.DUMMYFUNCTION("""COMPUTED_VALUE"""),"PROCESO DE SELECCIÓN")</f>
        <v>PROCESO DE SELECCIÓN</v>
      </c>
      <c r="AK263" t="str">
        <f>IFERROR(__xludf.DUMMYFUNCTION("""COMPUTED_VALUE"""),"C")</f>
        <v>C</v>
      </c>
      <c r="AL263">
        <f>IFERROR(__xludf.DUMMYFUNCTION("""COMPUTED_VALUE"""),32.0)</f>
        <v>32</v>
      </c>
      <c r="AM263">
        <f>IFERROR(__xludf.DUMMYFUNCTION("""COMPUTED_VALUE"""),2017.0)</f>
        <v>2017</v>
      </c>
    </row>
    <row r="264">
      <c r="A264">
        <f>IFERROR(__xludf.DUMMYFUNCTION("""COMPUTED_VALUE"""),8061081.0)</f>
        <v>8061081</v>
      </c>
      <c r="B264">
        <f>IFERROR(__xludf.DUMMYFUNCTION("""COMPUTED_VALUE"""),38.0)</f>
        <v>38</v>
      </c>
      <c r="D264" t="str">
        <f>IFERROR(__xludf.DUMMYFUNCTION("""COMPUTED_VALUE"""),"INGRESAR CENTRO DE COSTO A LA DERECHA")</f>
        <v>INGRESAR CENTRO DE COSTO A LA DERECHA</v>
      </c>
      <c r="E264" t="str">
        <f>IFERROR(__xludf.DUMMYFUNCTION("""COMPUTED_VALUE"""),"DPTO. DE FINANZAS Y TESORERIA")</f>
        <v>DPTO. DE FINANZAS Y TESORERIA</v>
      </c>
      <c r="F264" t="str">
        <f>IFERROR(__xludf.DUMMYFUNCTION("""COMPUTED_VALUE"""),"Técnico(a) Contable")</f>
        <v>Técnico(a) Contable</v>
      </c>
      <c r="G264" t="str">
        <f>IFERROR(__xludf.DUMMYFUNCTION("""COMPUTED_VALUE"""),"TECNICO CONTABLE ( ENCARGADO DE PAGOS)")</f>
        <v>TECNICO CONTABLE ( ENCARGADO DE PAGOS)</v>
      </c>
      <c r="H264">
        <f>IFERROR(__xludf.DUMMYFUNCTION("""COMPUTED_VALUE"""),13.0)</f>
        <v>13</v>
      </c>
      <c r="I264" t="str">
        <f>IFERROR(__xludf.DUMMYFUNCTION("""COMPUTED_VALUE"""),"Jornada Completa")</f>
        <v>Jornada Completa</v>
      </c>
      <c r="J264" t="str">
        <f>IFERROR(__xludf.DUMMYFUNCTION("""COMPUTED_VALUE"""),"A CONTRATA")</f>
        <v>A CONTRATA</v>
      </c>
      <c r="K264" t="str">
        <f>IFERROR(__xludf.DUMMYFUNCTION("""COMPUTED_VALUE"""),"TECNICO")</f>
        <v>TECNICO</v>
      </c>
      <c r="L264" t="str">
        <f>IFERROR(__xludf.DUMMYFUNCTION("""COMPUTED_VALUE"""),"INTERNO")</f>
        <v>INTERNO</v>
      </c>
      <c r="M264">
        <f>IFERROR(__xludf.DUMMYFUNCTION("""COMPUTED_VALUE"""),2.0)</f>
        <v>2</v>
      </c>
      <c r="N264" t="str">
        <f>IFERROR(__xludf.DUMMYFUNCTION("""COMPUTED_VALUE"""),"NO")</f>
        <v>NO</v>
      </c>
      <c r="O264">
        <f>IFERROR(__xludf.DUMMYFUNCTION("""COMPUTED_VALUE"""),0.0)</f>
        <v>0</v>
      </c>
      <c r="P264">
        <f>IFERROR(__xludf.DUMMYFUNCTION("""COMPUTED_VALUE"""),1.0)</f>
        <v>1</v>
      </c>
      <c r="Q264">
        <f>IFERROR(__xludf.DUMMYFUNCTION("""COMPUTED_VALUE"""),0.0)</f>
        <v>0</v>
      </c>
      <c r="R264" s="45" t="str">
        <f>IFERROR(__xludf.DUMMYFUNCTION("""COMPUTED_VALUE"""),"SELECCIONADA")</f>
        <v>SELECCIONADA</v>
      </c>
      <c r="S264" s="38">
        <f>IFERROR(__xludf.DUMMYFUNCTION("""COMPUTED_VALUE"""),42982.0)</f>
        <v>42982</v>
      </c>
      <c r="T264" t="str">
        <f>IFERROR(__xludf.DUMMYFUNCTION("""COMPUTED_VALUE"""),"ACEVEDO CARRASCO XIMENA DE LOURDES")</f>
        <v>ACEVEDO CARRASCO XIMENA DE LOURDES</v>
      </c>
      <c r="V264" t="str">
        <f>IFERROR(__xludf.DUMMYFUNCTION("""COMPUTED_VALUE"""),"8061081-5")</f>
        <v>8061081-5</v>
      </c>
      <c r="W264" t="str">
        <f>IFERROR(__xludf.DUMMYFUNCTION("""COMPUTED_VALUE"""),"SI")</f>
        <v>SI</v>
      </c>
      <c r="X264" t="str">
        <f>IFERROR(__xludf.DUMMYFUNCTION("""COMPUTED_VALUE"""),"TOLERANCIA A LA PRESION")</f>
        <v>TOLERANCIA A LA PRESION</v>
      </c>
      <c r="AA264" s="38">
        <f>IFERROR(__xludf.DUMMYFUNCTION("""COMPUTED_VALUE"""),42930.0)</f>
        <v>42930</v>
      </c>
      <c r="AB264" s="38">
        <f>IFERROR(__xludf.DUMMYFUNCTION("""COMPUTED_VALUE"""),42937.0)</f>
        <v>42937</v>
      </c>
      <c r="AC264">
        <f>IFERROR(__xludf.DUMMYFUNCTION("""COMPUTED_VALUE"""),17.0)</f>
        <v>17</v>
      </c>
      <c r="AD264" t="str">
        <f>IFERROR(__xludf.DUMMYFUNCTION("""COMPUTED_VALUE"""),"ADMINISTRATIVO")</f>
        <v>ADMINISTRATIVO</v>
      </c>
      <c r="AE264" t="str">
        <f>IFERROR(__xludf.DUMMYFUNCTION("""COMPUTED_VALUE"""),"EJECUTIVO DE COBRANZAS")</f>
        <v>EJECUTIVO DE COBRANZAS</v>
      </c>
      <c r="AF264" s="46" t="str">
        <f>IFERROR(__xludf.DUMMYFUNCTION("""COMPUTED_VALUE"""),"DIR. ADM. Y FINANZAS")</f>
        <v>DIR. ADM. Y FINANZAS</v>
      </c>
      <c r="AH264" t="str">
        <f>IFERROR(__xludf.DUMMYFUNCTION("""COMPUTED_VALUE"""),"PROCESO DE SELECCIÓN")</f>
        <v>PROCESO DE SELECCIÓN</v>
      </c>
      <c r="AI264" t="str">
        <f>IFERROR(__xludf.DUMMYFUNCTION("""COMPUTED_VALUE"""),"MARJORIE MEDINA")</f>
        <v>MARJORIE MEDINA</v>
      </c>
      <c r="AK264" t="str">
        <f>IFERROR(__xludf.DUMMYFUNCTION("""COMPUTED_VALUE"""),"C")</f>
        <v>C</v>
      </c>
      <c r="AL264">
        <f>IFERROR(__xludf.DUMMYFUNCTION("""COMPUTED_VALUE"""),32.0)</f>
        <v>32</v>
      </c>
      <c r="AM264">
        <f>IFERROR(__xludf.DUMMYFUNCTION("""COMPUTED_VALUE"""),2017.0)</f>
        <v>2017</v>
      </c>
    </row>
    <row r="265">
      <c r="A265">
        <f>IFERROR(__xludf.DUMMYFUNCTION("""COMPUTED_VALUE"""),1.925895E7)</f>
        <v>19258950</v>
      </c>
      <c r="B265">
        <f>IFERROR(__xludf.DUMMYFUNCTION("""COMPUTED_VALUE"""),39.0)</f>
        <v>39</v>
      </c>
      <c r="D265" t="str">
        <f>IFERROR(__xludf.DUMMYFUNCTION("""COMPUTED_VALUE"""),"INGRESAR CENTRO DE COSTO A LA DERECHA")</f>
        <v>INGRESAR CENTRO DE COSTO A LA DERECHA</v>
      </c>
      <c r="E265" t="str">
        <f>IFERROR(__xludf.DUMMYFUNCTION("""COMPUTED_VALUE"""),"SECRETARIA GENERAL")</f>
        <v>SECRETARIA GENERAL</v>
      </c>
      <c r="F265" t="str">
        <f>IFERROR(__xludf.DUMMYFUNCTION("""COMPUTED_VALUE"""),"Administrativo(a) de Apoyo")</f>
        <v>Administrativo(a) de Apoyo</v>
      </c>
      <c r="G265" t="str">
        <f>IFERROR(__xludf.DUMMYFUNCTION("""COMPUTED_VALUE"""),"ADMINISTRATIVO DE APOYO ( OFICINA DE PARTES CENTRAL)")</f>
        <v>ADMINISTRATIVO DE APOYO ( OFICINA DE PARTES CENTRAL)</v>
      </c>
      <c r="H265">
        <f>IFERROR(__xludf.DUMMYFUNCTION("""COMPUTED_VALUE"""),20.0)</f>
        <v>20</v>
      </c>
      <c r="I265" t="str">
        <f>IFERROR(__xludf.DUMMYFUNCTION("""COMPUTED_VALUE"""),"Jornada Completa")</f>
        <v>Jornada Completa</v>
      </c>
      <c r="J265" t="str">
        <f>IFERROR(__xludf.DUMMYFUNCTION("""COMPUTED_VALUE"""),"A CONTRATA")</f>
        <v>A CONTRATA</v>
      </c>
      <c r="K265" t="str">
        <f>IFERROR(__xludf.DUMMYFUNCTION("""COMPUTED_VALUE"""),"ADMINISTRATIVO")</f>
        <v>ADMINISTRATIVO</v>
      </c>
      <c r="L265" t="str">
        <f>IFERROR(__xludf.DUMMYFUNCTION("""COMPUTED_VALUE"""),"INTERNO")</f>
        <v>INTERNO</v>
      </c>
      <c r="M265">
        <f>IFERROR(__xludf.DUMMYFUNCTION("""COMPUTED_VALUE"""),1.0)</f>
        <v>1</v>
      </c>
      <c r="N265" t="str">
        <f>IFERROR(__xludf.DUMMYFUNCTION("""COMPUTED_VALUE"""),"NO")</f>
        <v>NO</v>
      </c>
      <c r="O265">
        <f>IFERROR(__xludf.DUMMYFUNCTION("""COMPUTED_VALUE"""),0.0)</f>
        <v>0</v>
      </c>
      <c r="P265">
        <f>IFERROR(__xludf.DUMMYFUNCTION("""COMPUTED_VALUE"""),1.0)</f>
        <v>1</v>
      </c>
      <c r="Q265">
        <f>IFERROR(__xludf.DUMMYFUNCTION("""COMPUTED_VALUE"""),0.0)</f>
        <v>0</v>
      </c>
      <c r="R265" s="45" t="str">
        <f>IFERROR(__xludf.DUMMYFUNCTION("""COMPUTED_VALUE"""),"SELECCIONADO")</f>
        <v>SELECCIONADO</v>
      </c>
      <c r="S265" s="38">
        <f>IFERROR(__xludf.DUMMYFUNCTION("""COMPUTED_VALUE"""),43034.0)</f>
        <v>43034</v>
      </c>
      <c r="T265" t="str">
        <f>IFERROR(__xludf.DUMMYFUNCTION("""COMPUTED_VALUE"""),"MONTECINOS ASTROZA JONATHAN KEVIN")</f>
        <v>MONTECINOS ASTROZA JONATHAN KEVIN</v>
      </c>
      <c r="V265" t="str">
        <f>IFERROR(__xludf.DUMMYFUNCTION("""COMPUTED_VALUE"""),"19258950-9")</f>
        <v>19258950-9</v>
      </c>
      <c r="W265" t="str">
        <f>IFERROR(__xludf.DUMMYFUNCTION("""COMPUTED_VALUE"""),"SI")</f>
        <v>SI</v>
      </c>
      <c r="X265" t="str">
        <f>IFERROR(__xludf.DUMMYFUNCTION("""COMPUTED_VALUE"""),"COMUNICACION")</f>
        <v>COMUNICACION</v>
      </c>
      <c r="AA265" s="38">
        <f>IFERROR(__xludf.DUMMYFUNCTION("""COMPUTED_VALUE"""),42954.0)</f>
        <v>42954</v>
      </c>
      <c r="AB265" s="38">
        <f>IFERROR(__xludf.DUMMYFUNCTION("""COMPUTED_VALUE"""),42961.0)</f>
        <v>42961</v>
      </c>
      <c r="AC265">
        <f>IFERROR(__xludf.DUMMYFUNCTION("""COMPUTED_VALUE"""),23.0)</f>
        <v>23</v>
      </c>
      <c r="AD265" t="str">
        <f>IFERROR(__xludf.DUMMYFUNCTION("""COMPUTED_VALUE"""),"AUXILIAR")</f>
        <v>AUXILIAR</v>
      </c>
      <c r="AE265" t="str">
        <f>IFERROR(__xludf.DUMMYFUNCTION("""COMPUTED_VALUE"""),"AUXILIAR DE SERVICIO")</f>
        <v>AUXILIAR DE SERVICIO</v>
      </c>
      <c r="AF265" s="46" t="str">
        <f>IFERROR(__xludf.DUMMYFUNCTION("""COMPUTED_VALUE"""),"UNIDAD DE CASINO")</f>
        <v>UNIDAD DE CASINO</v>
      </c>
      <c r="AH265" t="str">
        <f>IFERROR(__xludf.DUMMYFUNCTION("""COMPUTED_VALUE"""),"PROCESO DE SELECCIÓN")</f>
        <v>PROCESO DE SELECCIÓN</v>
      </c>
      <c r="AI265" t="str">
        <f>IFERROR(__xludf.DUMMYFUNCTION("""COMPUTED_VALUE"""),"RENE ESTAY ZURICUETA")</f>
        <v>RENE ESTAY ZURICUETA</v>
      </c>
      <c r="AK265" t="str">
        <f>IFERROR(__xludf.DUMMYFUNCTION("""COMPUTED_VALUE"""),"C")</f>
        <v>C</v>
      </c>
      <c r="AL265">
        <f>IFERROR(__xludf.DUMMYFUNCTION("""COMPUTED_VALUE"""),54.0)</f>
        <v>54</v>
      </c>
      <c r="AM265">
        <f>IFERROR(__xludf.DUMMYFUNCTION("""COMPUTED_VALUE"""),2017.0)</f>
        <v>2017</v>
      </c>
    </row>
    <row r="266">
      <c r="A266">
        <f>IFERROR(__xludf.DUMMYFUNCTION("""COMPUTED_VALUE"""),1.8698548E7)</f>
        <v>18698548</v>
      </c>
      <c r="B266">
        <f>IFERROR(__xludf.DUMMYFUNCTION("""COMPUTED_VALUE"""),40.0)</f>
        <v>40</v>
      </c>
      <c r="D266" t="str">
        <f>IFERROR(__xludf.DUMMYFUNCTION("""COMPUTED_VALUE"""),"INGRESAR CENTRO DE COSTO A LA DERECHA")</f>
        <v>INGRESAR CENTRO DE COSTO A LA DERECHA</v>
      </c>
      <c r="E266" t="str">
        <f>IFERROR(__xludf.DUMMYFUNCTION("""COMPUTED_VALUE"""),"SECRETARIA GENERAL")</f>
        <v>SECRETARIA GENERAL</v>
      </c>
      <c r="F266" t="str">
        <f>IFERROR(__xludf.DUMMYFUNCTION("""COMPUTED_VALUE"""),"Analista de Gestión II")</f>
        <v>Analista de Gestión II</v>
      </c>
      <c r="G266" t="str">
        <f>IFERROR(__xludf.DUMMYFUNCTION("""COMPUTED_VALUE"""),"Analista de Gestión II")</f>
        <v>Analista de Gestión II</v>
      </c>
      <c r="H266">
        <f>IFERROR(__xludf.DUMMYFUNCTION("""COMPUTED_VALUE"""),13.0)</f>
        <v>13</v>
      </c>
      <c r="I266" t="str">
        <f>IFERROR(__xludf.DUMMYFUNCTION("""COMPUTED_VALUE"""),"Jornada Completa")</f>
        <v>Jornada Completa</v>
      </c>
      <c r="J266" t="str">
        <f>IFERROR(__xludf.DUMMYFUNCTION("""COMPUTED_VALUE"""),"A CONTRATA")</f>
        <v>A CONTRATA</v>
      </c>
      <c r="K266" t="str">
        <f>IFERROR(__xludf.DUMMYFUNCTION("""COMPUTED_VALUE"""),"PROFESIONAL")</f>
        <v>PROFESIONAL</v>
      </c>
      <c r="L266" t="str">
        <f>IFERROR(__xludf.DUMMYFUNCTION("""COMPUTED_VALUE"""),"INTERNO")</f>
        <v>INTERNO</v>
      </c>
      <c r="M266">
        <f>IFERROR(__xludf.DUMMYFUNCTION("""COMPUTED_VALUE"""),7.0)</f>
        <v>7</v>
      </c>
      <c r="N266" t="str">
        <f>IFERROR(__xludf.DUMMYFUNCTION("""COMPUTED_VALUE"""),"NO")</f>
        <v>NO</v>
      </c>
      <c r="P266">
        <f>IFERROR(__xludf.DUMMYFUNCTION("""COMPUTED_VALUE"""),3.0)</f>
        <v>3</v>
      </c>
      <c r="Q266">
        <f>IFERROR(__xludf.DUMMYFUNCTION("""COMPUTED_VALUE"""),0.0)</f>
        <v>0</v>
      </c>
      <c r="R266" s="45" t="str">
        <f>IFERROR(__xludf.DUMMYFUNCTION("""COMPUTED_VALUE"""),"SELECCIONADA")</f>
        <v>SELECCIONADA</v>
      </c>
      <c r="S266" s="38">
        <f>IFERROR(__xludf.DUMMYFUNCTION("""COMPUTED_VALUE"""),42970.0)</f>
        <v>42970</v>
      </c>
      <c r="T266" t="str">
        <f>IFERROR(__xludf.DUMMYFUNCTION("""COMPUTED_VALUE"""),"FARAY FARAY CAROLINA CONSTANZA")</f>
        <v>FARAY FARAY CAROLINA CONSTANZA</v>
      </c>
      <c r="V266" t="str">
        <f>IFERROR(__xludf.DUMMYFUNCTION("""COMPUTED_VALUE"""),"18698548-6")</f>
        <v>18698548-6</v>
      </c>
      <c r="W266" t="str">
        <f>IFERROR(__xludf.DUMMYFUNCTION("""COMPUTED_VALUE"""),"NO")</f>
        <v>NO</v>
      </c>
      <c r="AA266" s="38">
        <f>IFERROR(__xludf.DUMMYFUNCTION("""COMPUTED_VALUE"""),42901.0)</f>
        <v>42901</v>
      </c>
      <c r="AB266" s="38">
        <f>IFERROR(__xludf.DUMMYFUNCTION("""COMPUTED_VALUE"""),42908.0)</f>
        <v>42908</v>
      </c>
      <c r="AC266">
        <f>IFERROR(__xludf.DUMMYFUNCTION("""COMPUTED_VALUE"""),17.0)</f>
        <v>17</v>
      </c>
      <c r="AD266" t="str">
        <f>IFERROR(__xludf.DUMMYFUNCTION("""COMPUTED_VALUE"""),"ADMINISTRATIVO")</f>
        <v>ADMINISTRATIVO</v>
      </c>
      <c r="AE266" t="str">
        <f>IFERROR(__xludf.DUMMYFUNCTION("""COMPUTED_VALUE"""),"ADMINISTRATIVO DE PROCESOS")</f>
        <v>ADMINISTRATIVO DE PROCESOS</v>
      </c>
      <c r="AF266" s="46" t="str">
        <f>IFERROR(__xludf.DUMMYFUNCTION("""COMPUTED_VALUE"""),"DPTO. DESARROLLO DE PERSONAS")</f>
        <v>DPTO. DESARROLLO DE PERSONAS</v>
      </c>
      <c r="AH266" t="str">
        <f>IFERROR(__xludf.DUMMYFUNCTION("""COMPUTED_VALUE"""),"PROCESO DE SELECCIÓN")</f>
        <v>PROCESO DE SELECCIÓN</v>
      </c>
      <c r="AI266" t="str">
        <f>IFERROR(__xludf.DUMMYFUNCTION("""COMPUTED_VALUE"""),"EVELYN SANZANA PROVOSTE")</f>
        <v>EVELYN SANZANA PROVOSTE</v>
      </c>
      <c r="AK266" t="str">
        <f>IFERROR(__xludf.DUMMYFUNCTION("""COMPUTED_VALUE"""),"C")</f>
        <v>C</v>
      </c>
      <c r="AL266">
        <f>IFERROR(__xludf.DUMMYFUNCTION("""COMPUTED_VALUE"""),45.0)</f>
        <v>45</v>
      </c>
      <c r="AM266">
        <f>IFERROR(__xludf.DUMMYFUNCTION("""COMPUTED_VALUE"""),2017.0)</f>
        <v>2017</v>
      </c>
    </row>
    <row r="267">
      <c r="A267">
        <f>IFERROR(__xludf.DUMMYFUNCTION("""COMPUTED_VALUE"""),1.5776084E7)</f>
        <v>15776084</v>
      </c>
      <c r="B267">
        <f>IFERROR(__xludf.DUMMYFUNCTION("""COMPUTED_VALUE"""),41.0)</f>
        <v>41</v>
      </c>
      <c r="D267" t="str">
        <f>IFERROR(__xludf.DUMMYFUNCTION("""COMPUTED_VALUE"""),"INGRESAR CENTRO DE COSTO A LA DERECHA")</f>
        <v>INGRESAR CENTRO DE COSTO A LA DERECHA</v>
      </c>
      <c r="E267" t="str">
        <f>IFERROR(__xludf.DUMMYFUNCTION("""COMPUTED_VALUE"""),"UNIDAD DE ATENCION DE SALUD")</f>
        <v>UNIDAD DE ATENCION DE SALUD</v>
      </c>
      <c r="F267" t="str">
        <f>IFERROR(__xludf.DUMMYFUNCTION("""COMPUTED_VALUE"""),"Chofer de Ambulancia")</f>
        <v>Chofer de Ambulancia</v>
      </c>
      <c r="G267" t="str">
        <f>IFERROR(__xludf.DUMMYFUNCTION("""COMPUTED_VALUE"""),"CHOFER ( CONDUCTOR DE AMBULANCIA)")</f>
        <v>CHOFER ( CONDUCTOR DE AMBULANCIA)</v>
      </c>
      <c r="H267">
        <f>IFERROR(__xludf.DUMMYFUNCTION("""COMPUTED_VALUE"""),20.0)</f>
        <v>20</v>
      </c>
      <c r="I267" t="str">
        <f>IFERROR(__xludf.DUMMYFUNCTION("""COMPUTED_VALUE"""),"Jornada Completa")</f>
        <v>Jornada Completa</v>
      </c>
      <c r="J267" t="str">
        <f>IFERROR(__xludf.DUMMYFUNCTION("""COMPUTED_VALUE"""),"A CONTRATA")</f>
        <v>A CONTRATA</v>
      </c>
      <c r="K267" t="str">
        <f>IFERROR(__xludf.DUMMYFUNCTION("""COMPUTED_VALUE"""),"TECNICO")</f>
        <v>TECNICO</v>
      </c>
      <c r="L267" t="str">
        <f>IFERROR(__xludf.DUMMYFUNCTION("""COMPUTED_VALUE"""),"INTERNO")</f>
        <v>INTERNO</v>
      </c>
      <c r="M267">
        <f>IFERROR(__xludf.DUMMYFUNCTION("""COMPUTED_VALUE"""),0.0)</f>
        <v>0</v>
      </c>
      <c r="N267" t="str">
        <f>IFERROR(__xludf.DUMMYFUNCTION("""COMPUTED_VALUE"""),"EXTERNO")</f>
        <v>EXTERNO</v>
      </c>
      <c r="O267">
        <f>IFERROR(__xludf.DUMMYFUNCTION("""COMPUTED_VALUE"""),11.0)</f>
        <v>11</v>
      </c>
      <c r="P267">
        <f>IFERROR(__xludf.DUMMYFUNCTION("""COMPUTED_VALUE"""),3.0)</f>
        <v>3</v>
      </c>
      <c r="Q267">
        <f>IFERROR(__xludf.DUMMYFUNCTION("""COMPUTED_VALUE"""),3.0)</f>
        <v>3</v>
      </c>
      <c r="R267" s="45" t="str">
        <f>IFERROR(__xludf.DUMMYFUNCTION("""COMPUTED_VALUE"""),"SELECCIONADO")</f>
        <v>SELECCIONADO</v>
      </c>
      <c r="S267" s="38">
        <f>IFERROR(__xludf.DUMMYFUNCTION("""COMPUTED_VALUE"""),42870.0)</f>
        <v>42870</v>
      </c>
      <c r="U267" t="str">
        <f>IFERROR(__xludf.DUMMYFUNCTION("""COMPUTED_VALUE"""),"ISMAEL DIAZ ARANEDA")</f>
        <v>ISMAEL DIAZ ARANEDA</v>
      </c>
      <c r="V267" t="str">
        <f>IFERROR(__xludf.DUMMYFUNCTION("""COMPUTED_VALUE"""),"15776084-K")</f>
        <v>15776084-K</v>
      </c>
      <c r="W267" t="str">
        <f>IFERROR(__xludf.DUMMYFUNCTION("""COMPUTED_VALUE"""),"NO")</f>
        <v>NO</v>
      </c>
      <c r="AA267" s="38">
        <f>IFERROR(__xludf.DUMMYFUNCTION("""COMPUTED_VALUE"""),42818.0)</f>
        <v>42818</v>
      </c>
      <c r="AB267" s="38">
        <f>IFERROR(__xludf.DUMMYFUNCTION("""COMPUTED_VALUE"""),42825.0)</f>
        <v>42825</v>
      </c>
      <c r="AH267" t="str">
        <f>IFERROR(__xludf.DUMMYFUNCTION("""COMPUTED_VALUE"""),"PROCESO DE SELECCIÓN")</f>
        <v>PROCESO DE SELECCIÓN</v>
      </c>
      <c r="AK267" t="str">
        <f>IFERROR(__xludf.DUMMYFUNCTION("""COMPUTED_VALUE"""),"E")</f>
        <v>E</v>
      </c>
      <c r="AL267">
        <f>IFERROR(__xludf.DUMMYFUNCTION("""COMPUTED_VALUE"""),32.0)</f>
        <v>32</v>
      </c>
      <c r="AM267">
        <f>IFERROR(__xludf.DUMMYFUNCTION("""COMPUTED_VALUE"""),2017.0)</f>
        <v>2017</v>
      </c>
    </row>
    <row r="268">
      <c r="A268">
        <f>IFERROR(__xludf.DUMMYFUNCTION("""COMPUTED_VALUE"""),1.2449676E7)</f>
        <v>12449676</v>
      </c>
      <c r="B268">
        <f>IFERROR(__xludf.DUMMYFUNCTION("""COMPUTED_VALUE"""),42.0)</f>
        <v>42</v>
      </c>
      <c r="D268" t="str">
        <f>IFERROR(__xludf.DUMMYFUNCTION("""COMPUTED_VALUE"""),"INGRESAR CENTRO DE COSTO A LA DERECHA")</f>
        <v>INGRESAR CENTRO DE COSTO A LA DERECHA</v>
      </c>
      <c r="E268" t="str">
        <f>IFERROR(__xludf.DUMMYFUNCTION("""COMPUTED_VALUE"""),"UNIDAD DE ATENCION DE SALUD")</f>
        <v>UNIDAD DE ATENCION DE SALUD</v>
      </c>
      <c r="F268" t="str">
        <f>IFERROR(__xludf.DUMMYFUNCTION("""COMPUTED_VALUE"""),"Chofer de Ambulancia")</f>
        <v>Chofer de Ambulancia</v>
      </c>
      <c r="G268" t="str">
        <f>IFERROR(__xludf.DUMMYFUNCTION("""COMPUTED_VALUE"""),"CHOFER ( CONDUCTOR DE AMBULANCIA)")</f>
        <v>CHOFER ( CONDUCTOR DE AMBULANCIA)</v>
      </c>
      <c r="H268">
        <f>IFERROR(__xludf.DUMMYFUNCTION("""COMPUTED_VALUE"""),20.0)</f>
        <v>20</v>
      </c>
      <c r="I268" t="str">
        <f>IFERROR(__xludf.DUMMYFUNCTION("""COMPUTED_VALUE"""),"Jornada Completa")</f>
        <v>Jornada Completa</v>
      </c>
      <c r="J268" t="str">
        <f>IFERROR(__xludf.DUMMYFUNCTION("""COMPUTED_VALUE"""),"A CONTRATA")</f>
        <v>A CONTRATA</v>
      </c>
      <c r="K268" t="str">
        <f>IFERROR(__xludf.DUMMYFUNCTION("""COMPUTED_VALUE"""),"TECNICO")</f>
        <v>TECNICO</v>
      </c>
      <c r="L268" t="str">
        <f>IFERROR(__xludf.DUMMYFUNCTION("""COMPUTED_VALUE"""),"INTERNO")</f>
        <v>INTERNO</v>
      </c>
      <c r="M268">
        <f>IFERROR(__xludf.DUMMYFUNCTION("""COMPUTED_VALUE"""),0.0)</f>
        <v>0</v>
      </c>
      <c r="N268" t="str">
        <f>IFERROR(__xludf.DUMMYFUNCTION("""COMPUTED_VALUE"""),"EXTERNO")</f>
        <v>EXTERNO</v>
      </c>
      <c r="O268">
        <f>IFERROR(__xludf.DUMMYFUNCTION("""COMPUTED_VALUE"""),11.0)</f>
        <v>11</v>
      </c>
      <c r="P268">
        <f>IFERROR(__xludf.DUMMYFUNCTION("""COMPUTED_VALUE"""),3.0)</f>
        <v>3</v>
      </c>
      <c r="Q268">
        <f>IFERROR(__xludf.DUMMYFUNCTION("""COMPUTED_VALUE"""),3.0)</f>
        <v>3</v>
      </c>
      <c r="R268" s="45" t="str">
        <f>IFERROR(__xludf.DUMMYFUNCTION("""COMPUTED_VALUE"""),"SELECCIONADO")</f>
        <v>SELECCIONADO</v>
      </c>
      <c r="S268" s="38">
        <f>IFERROR(__xludf.DUMMYFUNCTION("""COMPUTED_VALUE"""),42870.0)</f>
        <v>42870</v>
      </c>
      <c r="U268" t="str">
        <f>IFERROR(__xludf.DUMMYFUNCTION("""COMPUTED_VALUE"""),"MAURICIO BARRIOS CALDERON")</f>
        <v>MAURICIO BARRIOS CALDERON</v>
      </c>
      <c r="V268" t="str">
        <f>IFERROR(__xludf.DUMMYFUNCTION("""COMPUTED_VALUE"""),"12449676-4")</f>
        <v>12449676-4</v>
      </c>
      <c r="W268" t="str">
        <f>IFERROR(__xludf.DUMMYFUNCTION("""COMPUTED_VALUE"""),"NO")</f>
        <v>NO</v>
      </c>
      <c r="AA268" s="38">
        <f>IFERROR(__xludf.DUMMYFUNCTION("""COMPUTED_VALUE"""),42818.0)</f>
        <v>42818</v>
      </c>
      <c r="AB268" s="38">
        <f>IFERROR(__xludf.DUMMYFUNCTION("""COMPUTED_VALUE"""),42825.0)</f>
        <v>42825</v>
      </c>
      <c r="AH268" t="str">
        <f>IFERROR(__xludf.DUMMYFUNCTION("""COMPUTED_VALUE"""),"PROCESO DE SELECCIÓN")</f>
        <v>PROCESO DE SELECCIÓN</v>
      </c>
      <c r="AK268" t="str">
        <f>IFERROR(__xludf.DUMMYFUNCTION("""COMPUTED_VALUE"""),"E")</f>
        <v>E</v>
      </c>
      <c r="AL268">
        <f>IFERROR(__xludf.DUMMYFUNCTION("""COMPUTED_VALUE"""),32.0)</f>
        <v>32</v>
      </c>
      <c r="AM268">
        <f>IFERROR(__xludf.DUMMYFUNCTION("""COMPUTED_VALUE"""),2017.0)</f>
        <v>2017</v>
      </c>
    </row>
    <row r="269">
      <c r="A269">
        <f>IFERROR(__xludf.DUMMYFUNCTION("""COMPUTED_VALUE"""),1.550534E7)</f>
        <v>15505340</v>
      </c>
      <c r="B269">
        <f>IFERROR(__xludf.DUMMYFUNCTION("""COMPUTED_VALUE"""),43.0)</f>
        <v>43</v>
      </c>
      <c r="D269" t="str">
        <f>IFERROR(__xludf.DUMMYFUNCTION("""COMPUTED_VALUE"""),"INGRESAR CENTRO DE COSTO A LA DERECHA")</f>
        <v>INGRESAR CENTRO DE COSTO A LA DERECHA</v>
      </c>
      <c r="E269" t="str">
        <f>IFERROR(__xludf.DUMMYFUNCTION("""COMPUTED_VALUE"""),"FACULTAD DE DERECHO")</f>
        <v>FACULTAD DE DERECHO</v>
      </c>
      <c r="F269" t="str">
        <f>IFERROR(__xludf.DUMMYFUNCTION("""COMPUTED_VALUE"""),"Estafeta")</f>
        <v>Estafeta</v>
      </c>
      <c r="G269" t="str">
        <f>IFERROR(__xludf.DUMMYFUNCTION("""COMPUTED_VALUE"""),"ESTAFETA")</f>
        <v>ESTAFETA</v>
      </c>
      <c r="H269">
        <f>IFERROR(__xludf.DUMMYFUNCTION("""COMPUTED_VALUE"""),23.0)</f>
        <v>23</v>
      </c>
      <c r="I269" t="str">
        <f>IFERROR(__xludf.DUMMYFUNCTION("""COMPUTED_VALUE"""),"Jornada Completa")</f>
        <v>Jornada Completa</v>
      </c>
      <c r="J269" t="str">
        <f>IFERROR(__xludf.DUMMYFUNCTION("""COMPUTED_VALUE"""),"A CONTRATA")</f>
        <v>A CONTRATA</v>
      </c>
      <c r="K269" t="str">
        <f>IFERROR(__xludf.DUMMYFUNCTION("""COMPUTED_VALUE"""),"AUXILIAR")</f>
        <v>AUXILIAR</v>
      </c>
      <c r="L269" t="str">
        <f>IFERROR(__xludf.DUMMYFUNCTION("""COMPUTED_VALUE"""),"INTERNO")</f>
        <v>INTERNO</v>
      </c>
      <c r="M269">
        <f>IFERROR(__xludf.DUMMYFUNCTION("""COMPUTED_VALUE"""),1.0)</f>
        <v>1</v>
      </c>
      <c r="N269" t="str">
        <f>IFERROR(__xludf.DUMMYFUNCTION("""COMPUTED_VALUE"""),"EXTERNO")</f>
        <v>EXTERNO</v>
      </c>
      <c r="O269">
        <f>IFERROR(__xludf.DUMMYFUNCTION("""COMPUTED_VALUE"""),14.0)</f>
        <v>14</v>
      </c>
      <c r="P269">
        <f>IFERROR(__xludf.DUMMYFUNCTION("""COMPUTED_VALUE"""),2.0)</f>
        <v>2</v>
      </c>
      <c r="Q269">
        <f>IFERROR(__xludf.DUMMYFUNCTION("""COMPUTED_VALUE"""),1.0)</f>
        <v>1</v>
      </c>
      <c r="R269" s="45" t="str">
        <f>IFERROR(__xludf.DUMMYFUNCTION("""COMPUTED_VALUE"""),"SELECCIONADO")</f>
        <v>SELECCIONADO</v>
      </c>
      <c r="S269" s="38">
        <f>IFERROR(__xludf.DUMMYFUNCTION("""COMPUTED_VALUE"""),42933.0)</f>
        <v>42933</v>
      </c>
      <c r="U269" t="str">
        <f>IFERROR(__xludf.DUMMYFUNCTION("""COMPUTED_VALUE"""),"MAURICIO ROJAS MARTINEZ")</f>
        <v>MAURICIO ROJAS MARTINEZ</v>
      </c>
      <c r="V269" t="str">
        <f>IFERROR(__xludf.DUMMYFUNCTION("""COMPUTED_VALUE"""),"15505340-2")</f>
        <v>15505340-2</v>
      </c>
      <c r="W269" t="str">
        <f>IFERROR(__xludf.DUMMYFUNCTION("""COMPUTED_VALUE"""),"NO")</f>
        <v>NO</v>
      </c>
      <c r="AA269" s="38">
        <f>IFERROR(__xludf.DUMMYFUNCTION("""COMPUTED_VALUE"""),42794.0)</f>
        <v>42794</v>
      </c>
      <c r="AB269" s="38">
        <f>IFERROR(__xludf.DUMMYFUNCTION("""COMPUTED_VALUE"""),42797.0)</f>
        <v>42797</v>
      </c>
      <c r="AH269" t="str">
        <f>IFERROR(__xludf.DUMMYFUNCTION("""COMPUTED_VALUE"""),"PROCESO DE SELECCIÓN")</f>
        <v>PROCESO DE SELECCIÓN</v>
      </c>
      <c r="AI269" t="str">
        <f>IFERROR(__xludf.DUMMYFUNCTION("""COMPUTED_VALUE"""),"AUTORIZADO 2016")</f>
        <v>AUTORIZADO 2016</v>
      </c>
      <c r="AL269">
        <f>IFERROR(__xludf.DUMMYFUNCTION("""COMPUTED_VALUE"""),97.0)</f>
        <v>97</v>
      </c>
      <c r="AM269">
        <f>IFERROR(__xludf.DUMMYFUNCTION("""COMPUTED_VALUE"""),2017.0)</f>
        <v>2017</v>
      </c>
    </row>
    <row r="270">
      <c r="A270">
        <f>IFERROR(__xludf.DUMMYFUNCTION("""COMPUTED_VALUE"""),1.5994631E7)</f>
        <v>15994631</v>
      </c>
      <c r="B270">
        <f>IFERROR(__xludf.DUMMYFUNCTION("""COMPUTED_VALUE"""),44.0)</f>
        <v>44</v>
      </c>
      <c r="D270" t="str">
        <f>IFERROR(__xludf.DUMMYFUNCTION("""COMPUTED_VALUE"""),"INGRESAR CENTRO DE COSTO A LA DERECHA")</f>
        <v>INGRESAR CENTRO DE COSTO A LA DERECHA</v>
      </c>
      <c r="E270" t="str">
        <f>IFERROR(__xludf.DUMMYFUNCTION("""COMPUTED_VALUE"""),"DPTO. DE CALIDAD Y ACREDITACION")</f>
        <v>DPTO. DE CALIDAD Y ACREDITACION</v>
      </c>
      <c r="F270" t="str">
        <f>IFERROR(__xludf.DUMMYFUNCTION("""COMPUTED_VALUE"""),"Analista de Acreditación")</f>
        <v>Analista de Acreditación</v>
      </c>
      <c r="G270" t="str">
        <f>IFERROR(__xludf.DUMMYFUNCTION("""COMPUTED_VALUE"""),"ANALISTA DE ACREDITACIÓN")</f>
        <v>ANALISTA DE ACREDITACIÓN</v>
      </c>
      <c r="H270">
        <f>IFERROR(__xludf.DUMMYFUNCTION("""COMPUTED_VALUE"""),8.0)</f>
        <v>8</v>
      </c>
      <c r="I270" t="str">
        <f>IFERROR(__xludf.DUMMYFUNCTION("""COMPUTED_VALUE"""),"Jornada Completa")</f>
        <v>Jornada Completa</v>
      </c>
      <c r="J270" t="str">
        <f>IFERROR(__xludf.DUMMYFUNCTION("""COMPUTED_VALUE"""),"A CONTRATA")</f>
        <v>A CONTRATA</v>
      </c>
      <c r="K270" t="str">
        <f>IFERROR(__xludf.DUMMYFUNCTION("""COMPUTED_VALUE"""),"PROFESIONAL")</f>
        <v>PROFESIONAL</v>
      </c>
      <c r="L270" t="str">
        <f>IFERROR(__xludf.DUMMYFUNCTION("""COMPUTED_VALUE"""),"INTERNO")</f>
        <v>INTERNO</v>
      </c>
      <c r="M270">
        <f>IFERROR(__xludf.DUMMYFUNCTION("""COMPUTED_VALUE"""),2.0)</f>
        <v>2</v>
      </c>
      <c r="N270" t="str">
        <f>IFERROR(__xludf.DUMMYFUNCTION("""COMPUTED_VALUE"""),"EXTERNO")</f>
        <v>EXTERNO</v>
      </c>
      <c r="O270">
        <f>IFERROR(__xludf.DUMMYFUNCTION("""COMPUTED_VALUE"""),21.0)</f>
        <v>21</v>
      </c>
      <c r="P270">
        <f>IFERROR(__xludf.DUMMYFUNCTION("""COMPUTED_VALUE"""),2.0)</f>
        <v>2</v>
      </c>
      <c r="Q270">
        <f>IFERROR(__xludf.DUMMYFUNCTION("""COMPUTED_VALUE"""),1.0)</f>
        <v>1</v>
      </c>
      <c r="R270" s="45" t="str">
        <f>IFERROR(__xludf.DUMMYFUNCTION("""COMPUTED_VALUE"""),"SELECCIONADO")</f>
        <v>SELECCIONADO</v>
      </c>
      <c r="S270" s="38">
        <f>IFERROR(__xludf.DUMMYFUNCTION("""COMPUTED_VALUE"""),42917.0)</f>
        <v>42917</v>
      </c>
      <c r="U270" t="str">
        <f>IFERROR(__xludf.DUMMYFUNCTION("""COMPUTED_VALUE"""),"OMAR SOTO BECERRA")</f>
        <v>OMAR SOTO BECERRA</v>
      </c>
      <c r="V270" t="str">
        <f>IFERROR(__xludf.DUMMYFUNCTION("""COMPUTED_VALUE"""),"15994631-2")</f>
        <v>15994631-2</v>
      </c>
      <c r="W270" t="str">
        <f>IFERROR(__xludf.DUMMYFUNCTION("""COMPUTED_VALUE"""),"SI")</f>
        <v>SI</v>
      </c>
      <c r="X270" t="str">
        <f>IFERROR(__xludf.DUMMYFUNCTION("""COMPUTED_VALUE"""),"Comunicacion")</f>
        <v>Comunicacion</v>
      </c>
      <c r="Y270" t="str">
        <f>IFERROR(__xludf.DUMMYFUNCTION("""COMPUTED_VALUE"""),"TRABAJO EN EQUIPO")</f>
        <v>TRABAJO EN EQUIPO</v>
      </c>
      <c r="AA270" s="38">
        <f>IFERROR(__xludf.DUMMYFUNCTION("""COMPUTED_VALUE"""),42845.0)</f>
        <v>42845</v>
      </c>
      <c r="AB270" s="38">
        <f>IFERROR(__xludf.DUMMYFUNCTION("""COMPUTED_VALUE"""),42853.0)</f>
        <v>42853</v>
      </c>
      <c r="AH270" t="str">
        <f>IFERROR(__xludf.DUMMYFUNCTION("""COMPUTED_VALUE"""),"PROCESO DE SELECCIÓN")</f>
        <v>PROCESO DE SELECCIÓN</v>
      </c>
      <c r="AI270" t="str">
        <f>IFERROR(__xludf.DUMMYFUNCTION("""COMPUTED_VALUE"""),"JENIFER CELIS")</f>
        <v>JENIFER CELIS</v>
      </c>
      <c r="AL270">
        <f>IFERROR(__xludf.DUMMYFUNCTION("""COMPUTED_VALUE"""),46.0)</f>
        <v>46</v>
      </c>
      <c r="AM270">
        <f>IFERROR(__xludf.DUMMYFUNCTION("""COMPUTED_VALUE"""),2017.0)</f>
        <v>2017</v>
      </c>
    </row>
    <row r="271">
      <c r="A271">
        <f>IFERROR(__xludf.DUMMYFUNCTION("""COMPUTED_VALUE"""),1.5316707E7)</f>
        <v>15316707</v>
      </c>
      <c r="B271">
        <f>IFERROR(__xludf.DUMMYFUNCTION("""COMPUTED_VALUE"""),45.0)</f>
        <v>45</v>
      </c>
      <c r="D271" t="str">
        <f>IFERROR(__xludf.DUMMYFUNCTION("""COMPUTED_VALUE"""),"INGRESAR CENTRO DE COSTO A LA DERECHA")</f>
        <v>INGRESAR CENTRO DE COSTO A LA DERECHA</v>
      </c>
      <c r="E271" t="str">
        <f>IFERROR(__xludf.DUMMYFUNCTION("""COMPUTED_VALUE"""),"DPTO. DE CALIDAD Y ACREDITACION")</f>
        <v>DPTO. DE CALIDAD Y ACREDITACION</v>
      </c>
      <c r="F271" t="str">
        <f>IFERROR(__xludf.DUMMYFUNCTION("""COMPUTED_VALUE"""),"Analista de Acreditación")</f>
        <v>Analista de Acreditación</v>
      </c>
      <c r="G271" t="str">
        <f>IFERROR(__xludf.DUMMYFUNCTION("""COMPUTED_VALUE"""),"ANALISTA DE ACREDITACIÓN")</f>
        <v>ANALISTA DE ACREDITACIÓN</v>
      </c>
      <c r="H271">
        <f>IFERROR(__xludf.DUMMYFUNCTION("""COMPUTED_VALUE"""),8.0)</f>
        <v>8</v>
      </c>
      <c r="I271" t="str">
        <f>IFERROR(__xludf.DUMMYFUNCTION("""COMPUTED_VALUE"""),"Jornada Completa")</f>
        <v>Jornada Completa</v>
      </c>
      <c r="J271" t="str">
        <f>IFERROR(__xludf.DUMMYFUNCTION("""COMPUTED_VALUE"""),"A CONTRATA")</f>
        <v>A CONTRATA</v>
      </c>
      <c r="K271" t="str">
        <f>IFERROR(__xludf.DUMMYFUNCTION("""COMPUTED_VALUE"""),"PROFESIONAL")</f>
        <v>PROFESIONAL</v>
      </c>
      <c r="L271" t="str">
        <f>IFERROR(__xludf.DUMMYFUNCTION("""COMPUTED_VALUE"""),"INTERNO")</f>
        <v>INTERNO</v>
      </c>
      <c r="M271">
        <f>IFERROR(__xludf.DUMMYFUNCTION("""COMPUTED_VALUE"""),2.0)</f>
        <v>2</v>
      </c>
      <c r="N271" t="str">
        <f>IFERROR(__xludf.DUMMYFUNCTION("""COMPUTED_VALUE"""),"EXTERNO")</f>
        <v>EXTERNO</v>
      </c>
      <c r="O271">
        <f>IFERROR(__xludf.DUMMYFUNCTION("""COMPUTED_VALUE"""),21.0)</f>
        <v>21</v>
      </c>
      <c r="P271">
        <f>IFERROR(__xludf.DUMMYFUNCTION("""COMPUTED_VALUE"""),2.0)</f>
        <v>2</v>
      </c>
      <c r="Q271">
        <f>IFERROR(__xludf.DUMMYFUNCTION("""COMPUTED_VALUE"""),1.0)</f>
        <v>1</v>
      </c>
      <c r="R271" s="45" t="str">
        <f>IFERROR(__xludf.DUMMYFUNCTION("""COMPUTED_VALUE"""),"SELECCIONADA")</f>
        <v>SELECCIONADA</v>
      </c>
      <c r="S271" s="38">
        <f>IFERROR(__xludf.DUMMYFUNCTION("""COMPUTED_VALUE"""),42917.0)</f>
        <v>42917</v>
      </c>
      <c r="U271" t="str">
        <f>IFERROR(__xludf.DUMMYFUNCTION("""COMPUTED_VALUE"""),"PAMELA PADILLA ORTIZ")</f>
        <v>PAMELA PADILLA ORTIZ</v>
      </c>
      <c r="V271" t="str">
        <f>IFERROR(__xludf.DUMMYFUNCTION("""COMPUTED_VALUE"""),"15316707-9")</f>
        <v>15316707-9</v>
      </c>
      <c r="W271" t="str">
        <f>IFERROR(__xludf.DUMMYFUNCTION("""COMPUTED_VALUE"""),"SI")</f>
        <v>SI</v>
      </c>
      <c r="X271" t="str">
        <f>IFERROR(__xludf.DUMMYFUNCTION("""COMPUTED_VALUE"""),"PENSAMIENTO ANALITICO")</f>
        <v>PENSAMIENTO ANALITICO</v>
      </c>
      <c r="Y271" t="str">
        <f>IFERROR(__xludf.DUMMYFUNCTION("""COMPUTED_VALUE"""),"ORIENTACION A LOS RESULTADOS")</f>
        <v>ORIENTACION A LOS RESULTADOS</v>
      </c>
      <c r="Z271" t="str">
        <f>IFERROR(__xludf.DUMMYFUNCTION("""COMPUTED_VALUE"""),"Capacidad de Planificacion y Organizacion")</f>
        <v>Capacidad de Planificacion y Organizacion</v>
      </c>
      <c r="AA271" s="38">
        <f>IFERROR(__xludf.DUMMYFUNCTION("""COMPUTED_VALUE"""),42845.0)</f>
        <v>42845</v>
      </c>
      <c r="AB271" s="38">
        <f>IFERROR(__xludf.DUMMYFUNCTION("""COMPUTED_VALUE"""),42853.0)</f>
        <v>42853</v>
      </c>
      <c r="AH271" t="str">
        <f>IFERROR(__xludf.DUMMYFUNCTION("""COMPUTED_VALUE"""),"PROCESO DE SELECCIÓN")</f>
        <v>PROCESO DE SELECCIÓN</v>
      </c>
      <c r="AI271" t="str">
        <f>IFERROR(__xludf.DUMMYFUNCTION("""COMPUTED_VALUE"""),"JOSE MIGUEL SANHUEZA")</f>
        <v>JOSE MIGUEL SANHUEZA</v>
      </c>
      <c r="AL271">
        <f>IFERROR(__xludf.DUMMYFUNCTION("""COMPUTED_VALUE"""),46.0)</f>
        <v>46</v>
      </c>
      <c r="AM271">
        <f>IFERROR(__xludf.DUMMYFUNCTION("""COMPUTED_VALUE"""),2017.0)</f>
        <v>2017</v>
      </c>
    </row>
    <row r="272">
      <c r="A272">
        <f>IFERROR(__xludf.DUMMYFUNCTION("""COMPUTED_VALUE"""),1.8278676E7)</f>
        <v>18278676</v>
      </c>
      <c r="B272">
        <f>IFERROR(__xludf.DUMMYFUNCTION("""COMPUTED_VALUE"""),46.0)</f>
        <v>46</v>
      </c>
      <c r="D272" t="str">
        <f>IFERROR(__xludf.DUMMYFUNCTION("""COMPUTED_VALUE"""),"INGRESAR CENTRO DE COSTO A LA DERECHA")</f>
        <v>INGRESAR CENTRO DE COSTO A LA DERECHA</v>
      </c>
      <c r="E272" t="str">
        <f>IFERROR(__xludf.DUMMYFUNCTION("""COMPUTED_VALUE"""),"UNIDAD DE GESTION DEL CAMPUS")</f>
        <v>UNIDAD DE GESTION DEL CAMPUS</v>
      </c>
      <c r="F272" t="str">
        <f>IFERROR(__xludf.DUMMYFUNCTION("""COMPUTED_VALUE"""),"Técnico(a) de Bodega")</f>
        <v>Técnico(a) de Bodega</v>
      </c>
      <c r="G272" t="str">
        <f>IFERROR(__xludf.DUMMYFUNCTION("""COMPUTED_VALUE"""),"TÉCNICO DE BODEGA")</f>
        <v>TÉCNICO DE BODEGA</v>
      </c>
      <c r="H272">
        <f>IFERROR(__xludf.DUMMYFUNCTION("""COMPUTED_VALUE"""),17.0)</f>
        <v>17</v>
      </c>
      <c r="I272" t="str">
        <f>IFERROR(__xludf.DUMMYFUNCTION("""COMPUTED_VALUE"""),"Jornada Completa")</f>
        <v>Jornada Completa</v>
      </c>
      <c r="J272" t="str">
        <f>IFERROR(__xludf.DUMMYFUNCTION("""COMPUTED_VALUE"""),"A CONTRATA")</f>
        <v>A CONTRATA</v>
      </c>
      <c r="K272" t="str">
        <f>IFERROR(__xludf.DUMMYFUNCTION("""COMPUTED_VALUE"""),"TECNICO")</f>
        <v>TECNICO</v>
      </c>
      <c r="L272" t="str">
        <f>IFERROR(__xludf.DUMMYFUNCTION("""COMPUTED_VALUE"""),"INTERNO")</f>
        <v>INTERNO</v>
      </c>
      <c r="M272">
        <f>IFERROR(__xludf.DUMMYFUNCTION("""COMPUTED_VALUE"""),1.0)</f>
        <v>1</v>
      </c>
      <c r="N272" t="str">
        <f>IFERROR(__xludf.DUMMYFUNCTION("""COMPUTED_VALUE"""),"EXTERNO")</f>
        <v>EXTERNO</v>
      </c>
      <c r="O272">
        <f>IFERROR(__xludf.DUMMYFUNCTION("""COMPUTED_VALUE"""),4.0)</f>
        <v>4</v>
      </c>
      <c r="P272">
        <f>IFERROR(__xludf.DUMMYFUNCTION("""COMPUTED_VALUE"""),2.0)</f>
        <v>2</v>
      </c>
      <c r="Q272">
        <f>IFERROR(__xludf.DUMMYFUNCTION("""COMPUTED_VALUE"""),1.0)</f>
        <v>1</v>
      </c>
      <c r="R272" s="45" t="str">
        <f>IFERROR(__xludf.DUMMYFUNCTION("""COMPUTED_VALUE"""),"SELECCIONADO")</f>
        <v>SELECCIONADO</v>
      </c>
      <c r="S272" s="38">
        <f>IFERROR(__xludf.DUMMYFUNCTION("""COMPUTED_VALUE"""),43047.0)</f>
        <v>43047</v>
      </c>
      <c r="U272" t="str">
        <f>IFERROR(__xludf.DUMMYFUNCTION("""COMPUTED_VALUE"""),"CHRISTIAN BAHAMONDES BARRIOS")</f>
        <v>CHRISTIAN BAHAMONDES BARRIOS</v>
      </c>
      <c r="V272" t="str">
        <f>IFERROR(__xludf.DUMMYFUNCTION("""COMPUTED_VALUE"""),"18278676-4")</f>
        <v>18278676-4</v>
      </c>
      <c r="W272" t="str">
        <f>IFERROR(__xludf.DUMMYFUNCTION("""COMPUTED_VALUE"""),"NO")</f>
        <v>NO</v>
      </c>
      <c r="AA272" s="38">
        <f>IFERROR(__xludf.DUMMYFUNCTION("""COMPUTED_VALUE"""),43006.0)</f>
        <v>43006</v>
      </c>
      <c r="AB272" s="38">
        <f>IFERROR(__xludf.DUMMYFUNCTION("""COMPUTED_VALUE"""),43013.0)</f>
        <v>43013</v>
      </c>
      <c r="AH272" t="str">
        <f>IFERROR(__xludf.DUMMYFUNCTION("""COMPUTED_VALUE"""),"PROCESO DE SELECCIÓN")</f>
        <v>PROCESO DE SELECCIÓN</v>
      </c>
      <c r="AI272" t="str">
        <f>IFERROR(__xludf.DUMMYFUNCTION("""COMPUTED_VALUE"""),"CLAUDIO REED ROMO")</f>
        <v>CLAUDIO REED ROMO</v>
      </c>
      <c r="AL272">
        <f>IFERROR(__xludf.DUMMYFUNCTION("""COMPUTED_VALUE"""),25.0)</f>
        <v>25</v>
      </c>
      <c r="AM272">
        <f>IFERROR(__xludf.DUMMYFUNCTION("""COMPUTED_VALUE"""),2017.0)</f>
        <v>2017</v>
      </c>
    </row>
    <row r="273">
      <c r="A273">
        <f>IFERROR(__xludf.DUMMYFUNCTION("""COMPUTED_VALUE"""),1.8336472E7)</f>
        <v>18336472</v>
      </c>
      <c r="B273">
        <f>IFERROR(__xludf.DUMMYFUNCTION("""COMPUTED_VALUE"""),47.0)</f>
        <v>47</v>
      </c>
      <c r="D273" t="str">
        <f>IFERROR(__xludf.DUMMYFUNCTION("""COMPUTED_VALUE"""),"INGRESAR CENTRO DE COSTO A LA DERECHA")</f>
        <v>INGRESAR CENTRO DE COSTO A LA DERECHA</v>
      </c>
      <c r="E273" t="str">
        <f>IFERROR(__xludf.DUMMYFUNCTION("""COMPUTED_VALUE"""),"DPTO. DE DESARROLLO DE PERSONAS")</f>
        <v>DPTO. DE DESARROLLO DE PERSONAS</v>
      </c>
      <c r="F273" t="str">
        <f>IFERROR(__xludf.DUMMYFUNCTION("""COMPUTED_VALUE"""),"Administrativo(a) de Proceso")</f>
        <v>Administrativo(a) de Proceso</v>
      </c>
      <c r="G273" t="str">
        <f>IFERROR(__xludf.DUMMYFUNCTION("""COMPUTED_VALUE"""),"ADMINISTRATIVO DE PROCESO")</f>
        <v>ADMINISTRATIVO DE PROCESO</v>
      </c>
      <c r="H273">
        <f>IFERROR(__xludf.DUMMYFUNCTION("""COMPUTED_VALUE"""),17.0)</f>
        <v>17</v>
      </c>
      <c r="I273" t="str">
        <f>IFERROR(__xludf.DUMMYFUNCTION("""COMPUTED_VALUE"""),"Jornada Completa")</f>
        <v>Jornada Completa</v>
      </c>
      <c r="J273" t="str">
        <f>IFERROR(__xludf.DUMMYFUNCTION("""COMPUTED_VALUE"""),"A CONTRATA")</f>
        <v>A CONTRATA</v>
      </c>
      <c r="K273" t="str">
        <f>IFERROR(__xludf.DUMMYFUNCTION("""COMPUTED_VALUE"""),"ADMINISTRATIVO")</f>
        <v>ADMINISTRATIVO</v>
      </c>
      <c r="L273" t="str">
        <f>IFERROR(__xludf.DUMMYFUNCTION("""COMPUTED_VALUE"""),"INTERNO")</f>
        <v>INTERNO</v>
      </c>
      <c r="M273">
        <f>IFERROR(__xludf.DUMMYFUNCTION("""COMPUTED_VALUE"""),2.0)</f>
        <v>2</v>
      </c>
      <c r="N273" t="str">
        <f>IFERROR(__xludf.DUMMYFUNCTION("""COMPUTED_VALUE"""),"EXTERNO")</f>
        <v>EXTERNO</v>
      </c>
      <c r="O273">
        <f>IFERROR(__xludf.DUMMYFUNCTION("""COMPUTED_VALUE"""),6.0)</f>
        <v>6</v>
      </c>
      <c r="P273">
        <f>IFERROR(__xludf.DUMMYFUNCTION("""COMPUTED_VALUE"""),1.0)</f>
        <v>1</v>
      </c>
      <c r="Q273">
        <f>IFERROR(__xludf.DUMMYFUNCTION("""COMPUTED_VALUE"""),1.0)</f>
        <v>1</v>
      </c>
      <c r="R273" s="45" t="str">
        <f>IFERROR(__xludf.DUMMYFUNCTION("""COMPUTED_VALUE"""),"SELECCIONADO")</f>
        <v>SELECCIONADO</v>
      </c>
      <c r="S273" s="38">
        <f>IFERROR(__xludf.DUMMYFUNCTION("""COMPUTED_VALUE"""),43010.0)</f>
        <v>43010</v>
      </c>
      <c r="U273" t="str">
        <f>IFERROR(__xludf.DUMMYFUNCTION("""COMPUTED_VALUE"""),"PATRICIO ARENAS LONCOMILLA")</f>
        <v>PATRICIO ARENAS LONCOMILLA</v>
      </c>
      <c r="V273" t="str">
        <f>IFERROR(__xludf.DUMMYFUNCTION("""COMPUTED_VALUE"""),"18336472-3")</f>
        <v>18336472-3</v>
      </c>
      <c r="W273" t="str">
        <f>IFERROR(__xludf.DUMMYFUNCTION("""COMPUTED_VALUE"""),"SI")</f>
        <v>SI</v>
      </c>
      <c r="AA273" s="38">
        <f>IFERROR(__xludf.DUMMYFUNCTION("""COMPUTED_VALUE"""),42982.0)</f>
        <v>42982</v>
      </c>
      <c r="AB273" s="38">
        <f>IFERROR(__xludf.DUMMYFUNCTION("""COMPUTED_VALUE"""),42985.0)</f>
        <v>42985</v>
      </c>
      <c r="AH273" t="str">
        <f>IFERROR(__xludf.DUMMYFUNCTION("""COMPUTED_VALUE"""),"PROCESO DE SELECCIÓN")</f>
        <v>PROCESO DE SELECCIÓN</v>
      </c>
      <c r="AI273" t="str">
        <f>IFERROR(__xludf.DUMMYFUNCTION("""COMPUTED_VALUE"""),"CAROLINA FARAY FARAY")</f>
        <v>CAROLINA FARAY FARAY</v>
      </c>
      <c r="AL273">
        <f>IFERROR(__xludf.DUMMYFUNCTION("""COMPUTED_VALUE"""),18.0)</f>
        <v>18</v>
      </c>
      <c r="AM273">
        <f>IFERROR(__xludf.DUMMYFUNCTION("""COMPUTED_VALUE"""),2017.0)</f>
        <v>2017</v>
      </c>
    </row>
    <row r="274">
      <c r="A274">
        <f>IFERROR(__xludf.DUMMYFUNCTION("""COMPUTED_VALUE"""),1.8076595E7)</f>
        <v>18076595</v>
      </c>
      <c r="B274">
        <f>IFERROR(__xludf.DUMMYFUNCTION("""COMPUTED_VALUE"""),48.0)</f>
        <v>48</v>
      </c>
      <c r="D274" t="str">
        <f>IFERROR(__xludf.DUMMYFUNCTION("""COMPUTED_VALUE"""),"INGRESAR CENTRO DE COSTO A LA DERECHA")</f>
        <v>INGRESAR CENTRO DE COSTO A LA DERECHA</v>
      </c>
      <c r="E274" t="str">
        <f>IFERROR(__xludf.DUMMYFUNCTION("""COMPUTED_VALUE"""),"CONTRALORIA UNIVERSITARIA")</f>
        <v>CONTRALORIA UNIVERSITARIA</v>
      </c>
      <c r="F274" t="str">
        <f>IFERROR(__xludf.DUMMYFUNCTION("""COMPUTED_VALUE"""),"Auditor(a) I")</f>
        <v>Auditor(a) I</v>
      </c>
      <c r="G274" t="str">
        <f>IFERROR(__xludf.DUMMYFUNCTION("""COMPUTED_VALUE"""),"AUDITOR I")</f>
        <v>AUDITOR I</v>
      </c>
      <c r="H274">
        <f>IFERROR(__xludf.DUMMYFUNCTION("""COMPUTED_VALUE"""),8.0)</f>
        <v>8</v>
      </c>
      <c r="I274" t="str">
        <f>IFERROR(__xludf.DUMMYFUNCTION("""COMPUTED_VALUE"""),"Jornada Completa")</f>
        <v>Jornada Completa</v>
      </c>
      <c r="J274" t="str">
        <f>IFERROR(__xludf.DUMMYFUNCTION("""COMPUTED_VALUE"""),"A CONTRATA")</f>
        <v>A CONTRATA</v>
      </c>
      <c r="K274" t="str">
        <f>IFERROR(__xludf.DUMMYFUNCTION("""COMPUTED_VALUE"""),"PROFESIONAL")</f>
        <v>PROFESIONAL</v>
      </c>
      <c r="L274" t="str">
        <f>IFERROR(__xludf.DUMMYFUNCTION("""COMPUTED_VALUE"""),"INTERNO")</f>
        <v>INTERNO</v>
      </c>
      <c r="M274">
        <f>IFERROR(__xludf.DUMMYFUNCTION("""COMPUTED_VALUE"""),3.0)</f>
        <v>3</v>
      </c>
      <c r="N274" t="str">
        <f>IFERROR(__xludf.DUMMYFUNCTION("""COMPUTED_VALUE"""),"EXTERNO")</f>
        <v>EXTERNO</v>
      </c>
      <c r="O274">
        <f>IFERROR(__xludf.DUMMYFUNCTION("""COMPUTED_VALUE"""),8.0)</f>
        <v>8</v>
      </c>
      <c r="P274">
        <f>IFERROR(__xludf.DUMMYFUNCTION("""COMPUTED_VALUE"""),1.0)</f>
        <v>1</v>
      </c>
      <c r="Q274">
        <f>IFERROR(__xludf.DUMMYFUNCTION("""COMPUTED_VALUE"""),1.0)</f>
        <v>1</v>
      </c>
      <c r="R274" s="45" t="str">
        <f>IFERROR(__xludf.DUMMYFUNCTION("""COMPUTED_VALUE"""),"SELECCIONADA")</f>
        <v>SELECCIONADA</v>
      </c>
      <c r="S274" s="38">
        <f>IFERROR(__xludf.DUMMYFUNCTION("""COMPUTED_VALUE"""),43031.0)</f>
        <v>43031</v>
      </c>
      <c r="U274" t="str">
        <f>IFERROR(__xludf.DUMMYFUNCTION("""COMPUTED_VALUE"""),"GISELLA RAMIREZ ASTUDILLO")</f>
        <v>GISELLA RAMIREZ ASTUDILLO</v>
      </c>
      <c r="V274" t="str">
        <f>IFERROR(__xludf.DUMMYFUNCTION("""COMPUTED_VALUE"""),"18076595-6")</f>
        <v>18076595-6</v>
      </c>
      <c r="W274" t="str">
        <f>IFERROR(__xludf.DUMMYFUNCTION("""COMPUTED_VALUE"""),"NO")</f>
        <v>NO</v>
      </c>
      <c r="AA274" s="38">
        <f>IFERROR(__xludf.DUMMYFUNCTION("""COMPUTED_VALUE"""),42972.0)</f>
        <v>42972</v>
      </c>
      <c r="AB274" s="38">
        <f>IFERROR(__xludf.DUMMYFUNCTION("""COMPUTED_VALUE"""),42979.0)</f>
        <v>42979</v>
      </c>
      <c r="AH274" t="str">
        <f>IFERROR(__xludf.DUMMYFUNCTION("""COMPUTED_VALUE"""),"PROCESO DE SELECCIÓN")</f>
        <v>PROCESO DE SELECCIÓN</v>
      </c>
      <c r="AI274" t="str">
        <f>IFERROR(__xludf.DUMMYFUNCTION("""COMPUTED_VALUE"""),"BUSCAR")</f>
        <v>BUSCAR</v>
      </c>
      <c r="AL274">
        <f>IFERROR(__xludf.DUMMYFUNCTION("""COMPUTED_VALUE"""),37.0)</f>
        <v>37</v>
      </c>
      <c r="AM274">
        <f>IFERROR(__xludf.DUMMYFUNCTION("""COMPUTED_VALUE"""),2017.0)</f>
        <v>2017</v>
      </c>
    </row>
    <row r="275">
      <c r="A275">
        <f>IFERROR(__xludf.DUMMYFUNCTION("""COMPUTED_VALUE"""),1.4189321E7)</f>
        <v>14189321</v>
      </c>
      <c r="B275">
        <f>IFERROR(__xludf.DUMMYFUNCTION("""COMPUTED_VALUE"""),49.0)</f>
        <v>49</v>
      </c>
      <c r="D275" t="str">
        <f>IFERROR(__xludf.DUMMYFUNCTION("""COMPUTED_VALUE"""),"INGRESAR CENTRO DE COSTO A LA DERECHA")</f>
        <v>INGRESAR CENTRO DE COSTO A LA DERECHA</v>
      </c>
      <c r="E275" t="str">
        <f>IFERROR(__xludf.DUMMYFUNCTION("""COMPUTED_VALUE"""),"DPTO. DE FINANZAS Y TESORERIA")</f>
        <v>DPTO. DE FINANZAS Y TESORERIA</v>
      </c>
      <c r="F275" t="str">
        <f>IFERROR(__xludf.DUMMYFUNCTION("""COMPUTED_VALUE"""),"Jefe(a) de Sección")</f>
        <v>Jefe(a) de Sección</v>
      </c>
      <c r="G275" t="str">
        <f>IFERROR(__xludf.DUMMYFUNCTION("""COMPUTED_VALUE"""),"JEFE DE SECCION  ( OPERACIONES)")</f>
        <v>JEFE DE SECCION  ( OPERACIONES)</v>
      </c>
      <c r="H275">
        <f>IFERROR(__xludf.DUMMYFUNCTION("""COMPUTED_VALUE"""),8.0)</f>
        <v>8</v>
      </c>
      <c r="I275" t="str">
        <f>IFERROR(__xludf.DUMMYFUNCTION("""COMPUTED_VALUE"""),"Jornada Completa")</f>
        <v>Jornada Completa</v>
      </c>
      <c r="J275" t="str">
        <f>IFERROR(__xludf.DUMMYFUNCTION("""COMPUTED_VALUE"""),"A CONTRATA")</f>
        <v>A CONTRATA</v>
      </c>
      <c r="K275" t="str">
        <f>IFERROR(__xludf.DUMMYFUNCTION("""COMPUTED_VALUE"""),"PROFESIONAL")</f>
        <v>PROFESIONAL</v>
      </c>
      <c r="L275" t="str">
        <f>IFERROR(__xludf.DUMMYFUNCTION("""COMPUTED_VALUE"""),"INTERNO")</f>
        <v>INTERNO</v>
      </c>
      <c r="M275">
        <f>IFERROR(__xludf.DUMMYFUNCTION("""COMPUTED_VALUE"""),1.0)</f>
        <v>1</v>
      </c>
      <c r="N275" t="str">
        <f>IFERROR(__xludf.DUMMYFUNCTION("""COMPUTED_VALUE"""),"EXTERNO")</f>
        <v>EXTERNO</v>
      </c>
      <c r="O275">
        <f>IFERROR(__xludf.DUMMYFUNCTION("""COMPUTED_VALUE"""),4.0)</f>
        <v>4</v>
      </c>
      <c r="P275">
        <f>IFERROR(__xludf.DUMMYFUNCTION("""COMPUTED_VALUE"""),1.0)</f>
        <v>1</v>
      </c>
      <c r="Q275">
        <f>IFERROR(__xludf.DUMMYFUNCTION("""COMPUTED_VALUE"""),2.0)</f>
        <v>2</v>
      </c>
      <c r="R275" s="45" t="str">
        <f>IFERROR(__xludf.DUMMYFUNCTION("""COMPUTED_VALUE"""),"SELECCIONADO")</f>
        <v>SELECCIONADO</v>
      </c>
      <c r="S275" s="38">
        <f>IFERROR(__xludf.DUMMYFUNCTION("""COMPUTED_VALUE"""),43024.0)</f>
        <v>43024</v>
      </c>
      <c r="U275" t="str">
        <f>IFERROR(__xludf.DUMMYFUNCTION("""COMPUTED_VALUE"""),"VICTOR DOCMAC CARVAJAL")</f>
        <v>VICTOR DOCMAC CARVAJAL</v>
      </c>
      <c r="V275" t="str">
        <f>IFERROR(__xludf.DUMMYFUNCTION("""COMPUTED_VALUE"""),"14189321-1")</f>
        <v>14189321-1</v>
      </c>
      <c r="W275" t="str">
        <f>IFERROR(__xludf.DUMMYFUNCTION("""COMPUTED_VALUE"""),"SI")</f>
        <v>SI</v>
      </c>
      <c r="X275" t="str">
        <f>IFERROR(__xludf.DUMMYFUNCTION("""COMPUTED_VALUE"""),"CAPACIDAD DE PLANIFICACION Y ORGANIZACION")</f>
        <v>CAPACIDAD DE PLANIFICACION Y ORGANIZACION</v>
      </c>
      <c r="Y275" t="str">
        <f>IFERROR(__xludf.DUMMYFUNCTION("""COMPUTED_VALUE"""),"TRABAJO EN EQUIPO")</f>
        <v>TRABAJO EN EQUIPO</v>
      </c>
      <c r="AA275" s="38">
        <f>IFERROR(__xludf.DUMMYFUNCTION("""COMPUTED_VALUE"""),42972.0)</f>
        <v>42972</v>
      </c>
      <c r="AB275" s="38">
        <f>IFERROR(__xludf.DUMMYFUNCTION("""COMPUTED_VALUE"""),42979.0)</f>
        <v>42979</v>
      </c>
      <c r="AH275" t="str">
        <f>IFERROR(__xludf.DUMMYFUNCTION("""COMPUTED_VALUE"""),"PROCESO DE SELECCIÓN")</f>
        <v>PROCESO DE SELECCIÓN</v>
      </c>
      <c r="AI275" t="str">
        <f>IFERROR(__xludf.DUMMYFUNCTION("""COMPUTED_VALUE"""),"BUSCAR")</f>
        <v>BUSCAR</v>
      </c>
      <c r="AL275">
        <f>IFERROR(__xludf.DUMMYFUNCTION("""COMPUTED_VALUE"""),32.0)</f>
        <v>32</v>
      </c>
      <c r="AM275">
        <f>IFERROR(__xludf.DUMMYFUNCTION("""COMPUTED_VALUE"""),2017.0)</f>
        <v>2017</v>
      </c>
    </row>
    <row r="276">
      <c r="A276">
        <f>IFERROR(__xludf.DUMMYFUNCTION("""COMPUTED_VALUE"""),1.1468281E7)</f>
        <v>11468281</v>
      </c>
      <c r="B276">
        <f>IFERROR(__xludf.DUMMYFUNCTION("""COMPUTED_VALUE"""),50.0)</f>
        <v>50</v>
      </c>
      <c r="D276" t="str">
        <f>IFERROR(__xludf.DUMMYFUNCTION("""COMPUTED_VALUE"""),"INGRESAR CENTRO DE COSTO A LA DERECHA")</f>
        <v>INGRESAR CENTRO DE COSTO A LA DERECHA</v>
      </c>
      <c r="E276" t="str">
        <f>IFERROR(__xludf.DUMMYFUNCTION("""COMPUTED_VALUE"""),"FACULTAD DE CIENCIAS MEDICAS")</f>
        <v>FACULTAD DE CIENCIAS MEDICAS</v>
      </c>
      <c r="F276" t="str">
        <f>IFERROR(__xludf.DUMMYFUNCTION("""COMPUTED_VALUE"""),"Secretario(a) de Apoyo Docente")</f>
        <v>Secretario(a) de Apoyo Docente</v>
      </c>
      <c r="G276" t="str">
        <f>IFERROR(__xludf.DUMMYFUNCTION("""COMPUTED_VALUE"""),"SECRETARIA DE APOYO DOCENTE ( HOSPITAL BARROS LUCO)")</f>
        <v>SECRETARIA DE APOYO DOCENTE ( HOSPITAL BARROS LUCO)</v>
      </c>
      <c r="H276">
        <f>IFERROR(__xludf.DUMMYFUNCTION("""COMPUTED_VALUE"""),17.0)</f>
        <v>17</v>
      </c>
      <c r="I276" t="str">
        <f>IFERROR(__xludf.DUMMYFUNCTION("""COMPUTED_VALUE"""),"Jornada Completa")</f>
        <v>Jornada Completa</v>
      </c>
      <c r="J276" t="str">
        <f>IFERROR(__xludf.DUMMYFUNCTION("""COMPUTED_VALUE"""),"A CONTRATA")</f>
        <v>A CONTRATA</v>
      </c>
      <c r="K276" t="str">
        <f>IFERROR(__xludf.DUMMYFUNCTION("""COMPUTED_VALUE"""),"ADMINISTRATIVO")</f>
        <v>ADMINISTRATIVO</v>
      </c>
      <c r="L276" t="str">
        <f>IFERROR(__xludf.DUMMYFUNCTION("""COMPUTED_VALUE"""),"INTERNO")</f>
        <v>INTERNO</v>
      </c>
      <c r="M276">
        <f>IFERROR(__xludf.DUMMYFUNCTION("""COMPUTED_VALUE"""),1.0)</f>
        <v>1</v>
      </c>
      <c r="N276" t="str">
        <f>IFERROR(__xludf.DUMMYFUNCTION("""COMPUTED_VALUE"""),"EXTERNO")</f>
        <v>EXTERNO</v>
      </c>
      <c r="O276">
        <f>IFERROR(__xludf.DUMMYFUNCTION("""COMPUTED_VALUE"""),15.0)</f>
        <v>15</v>
      </c>
      <c r="P276">
        <f>IFERROR(__xludf.DUMMYFUNCTION("""COMPUTED_VALUE"""),2.0)</f>
        <v>2</v>
      </c>
      <c r="Q276">
        <f>IFERROR(__xludf.DUMMYFUNCTION("""COMPUTED_VALUE"""),1.0)</f>
        <v>1</v>
      </c>
      <c r="R276" s="45" t="str">
        <f>IFERROR(__xludf.DUMMYFUNCTION("""COMPUTED_VALUE"""),"SELECCIONADA")</f>
        <v>SELECCIONADA</v>
      </c>
      <c r="S276" s="38">
        <f>IFERROR(__xludf.DUMMYFUNCTION("""COMPUTED_VALUE"""),43032.0)</f>
        <v>43032</v>
      </c>
      <c r="U276" t="str">
        <f>IFERROR(__xludf.DUMMYFUNCTION("""COMPUTED_VALUE"""),"CLAUDIA FUENTES PEZOA")</f>
        <v>CLAUDIA FUENTES PEZOA</v>
      </c>
      <c r="V276" t="str">
        <f>IFERROR(__xludf.DUMMYFUNCTION("""COMPUTED_VALUE"""),"11468281-0")</f>
        <v>11468281-0</v>
      </c>
      <c r="W276" t="str">
        <f>IFERROR(__xludf.DUMMYFUNCTION("""COMPUTED_VALUE"""),"NO")</f>
        <v>NO</v>
      </c>
      <c r="AA276" s="38">
        <f>IFERROR(__xludf.DUMMYFUNCTION("""COMPUTED_VALUE"""),42971.0)</f>
        <v>42971</v>
      </c>
      <c r="AB276" s="38">
        <f>IFERROR(__xludf.DUMMYFUNCTION("""COMPUTED_VALUE"""),42978.0)</f>
        <v>42978</v>
      </c>
      <c r="AH276" t="str">
        <f>IFERROR(__xludf.DUMMYFUNCTION("""COMPUTED_VALUE"""),"PROCESO DE SELECCIÓN")</f>
        <v>PROCESO DE SELECCIÓN</v>
      </c>
      <c r="AI276" t="str">
        <f>IFERROR(__xludf.DUMMYFUNCTION("""COMPUTED_VALUE"""),"BUSCAR")</f>
        <v>BUSCAR</v>
      </c>
      <c r="AL276">
        <f>IFERROR(__xludf.DUMMYFUNCTION("""COMPUTED_VALUE"""),39.0)</f>
        <v>39</v>
      </c>
      <c r="AM276">
        <f>IFERROR(__xludf.DUMMYFUNCTION("""COMPUTED_VALUE"""),2017.0)</f>
        <v>2017</v>
      </c>
    </row>
    <row r="277">
      <c r="A277">
        <f>IFERROR(__xludf.DUMMYFUNCTION("""COMPUTED_VALUE"""),1.7251005E7)</f>
        <v>17251005</v>
      </c>
      <c r="B277">
        <f>IFERROR(__xludf.DUMMYFUNCTION("""COMPUTED_VALUE"""),51.0)</f>
        <v>51</v>
      </c>
      <c r="D277" t="str">
        <f>IFERROR(__xludf.DUMMYFUNCTION("""COMPUTED_VALUE"""),"INGRESAR CENTRO DE COSTO A LA DERECHA")</f>
        <v>INGRESAR CENTRO DE COSTO A LA DERECHA</v>
      </c>
      <c r="E277" t="str">
        <f>IFERROR(__xludf.DUMMYFUNCTION("""COMPUTED_VALUE"""),"DPTO. DE DESARROLLO DE PERSONAS")</f>
        <v>DPTO. DE DESARROLLO DE PERSONAS</v>
      </c>
      <c r="F277" t="str">
        <f>IFERROR(__xludf.DUMMYFUNCTION("""COMPUTED_VALUE"""),"Administrativo(a) de Proceso")</f>
        <v>Administrativo(a) de Proceso</v>
      </c>
      <c r="G277" t="str">
        <f>IFERROR(__xludf.DUMMYFUNCTION("""COMPUTED_VALUE"""),"ADMINISTRATIVO DE PROCESO")</f>
        <v>ADMINISTRATIVO DE PROCESO</v>
      </c>
      <c r="H277">
        <f>IFERROR(__xludf.DUMMYFUNCTION("""COMPUTED_VALUE"""),17.0)</f>
        <v>17</v>
      </c>
      <c r="I277" t="str">
        <f>IFERROR(__xludf.DUMMYFUNCTION("""COMPUTED_VALUE"""),"Jornada Completa")</f>
        <v>Jornada Completa</v>
      </c>
      <c r="J277" t="str">
        <f>IFERROR(__xludf.DUMMYFUNCTION("""COMPUTED_VALUE"""),"A CONTRATA")</f>
        <v>A CONTRATA</v>
      </c>
      <c r="K277" t="str">
        <f>IFERROR(__xludf.DUMMYFUNCTION("""COMPUTED_VALUE"""),"ADMINISTRATIVO")</f>
        <v>ADMINISTRATIVO</v>
      </c>
      <c r="L277" t="str">
        <f>IFERROR(__xludf.DUMMYFUNCTION("""COMPUTED_VALUE"""),"INTERNO")</f>
        <v>INTERNO</v>
      </c>
      <c r="M277">
        <f>IFERROR(__xludf.DUMMYFUNCTION("""COMPUTED_VALUE"""),2.0)</f>
        <v>2</v>
      </c>
      <c r="N277" t="str">
        <f>IFERROR(__xludf.DUMMYFUNCTION("""COMPUTED_VALUE"""),"EXTERNO")</f>
        <v>EXTERNO</v>
      </c>
      <c r="O277">
        <f>IFERROR(__xludf.DUMMYFUNCTION("""COMPUTED_VALUE"""),12.0)</f>
        <v>12</v>
      </c>
      <c r="P277">
        <f>IFERROR(__xludf.DUMMYFUNCTION("""COMPUTED_VALUE"""),1.0)</f>
        <v>1</v>
      </c>
      <c r="Q277">
        <f>IFERROR(__xludf.DUMMYFUNCTION("""COMPUTED_VALUE"""),1.0)</f>
        <v>1</v>
      </c>
      <c r="R277" s="45" t="str">
        <f>IFERROR(__xludf.DUMMYFUNCTION("""COMPUTED_VALUE"""),"SELECCIONADA")</f>
        <v>SELECCIONADA</v>
      </c>
      <c r="S277" s="38">
        <f>IFERROR(__xludf.DUMMYFUNCTION("""COMPUTED_VALUE"""),42983.0)</f>
        <v>42983</v>
      </c>
      <c r="U277" t="str">
        <f>IFERROR(__xludf.DUMMYFUNCTION("""COMPUTED_VALUE"""),"GRACIELA GAMBOA MONSALVE")</f>
        <v>GRACIELA GAMBOA MONSALVE</v>
      </c>
      <c r="V277" t="str">
        <f>IFERROR(__xludf.DUMMYFUNCTION("""COMPUTED_VALUE"""),"17251005-1")</f>
        <v>17251005-1</v>
      </c>
      <c r="W277" t="str">
        <f>IFERROR(__xludf.DUMMYFUNCTION("""COMPUTED_VALUE"""),"NO")</f>
        <v>NO</v>
      </c>
      <c r="AA277" s="38">
        <f>IFERROR(__xludf.DUMMYFUNCTION("""COMPUTED_VALUE"""),42965.0)</f>
        <v>42965</v>
      </c>
      <c r="AB277" s="38">
        <f>IFERROR(__xludf.DUMMYFUNCTION("""COMPUTED_VALUE"""),42970.0)</f>
        <v>42970</v>
      </c>
      <c r="AH277" t="str">
        <f>IFERROR(__xludf.DUMMYFUNCTION("""COMPUTED_VALUE"""),"PROCESO DE SELECCIÓN")</f>
        <v>PROCESO DE SELECCIÓN</v>
      </c>
      <c r="AI277" t="str">
        <f>IFERROR(__xludf.DUMMYFUNCTION("""COMPUTED_VALUE"""),"TAMARA SALGADO CAYUL ")</f>
        <v>TAMARA SALGADO CAYUL </v>
      </c>
      <c r="AL277">
        <f>IFERROR(__xludf.DUMMYFUNCTION("""COMPUTED_VALUE"""),10.0)</f>
        <v>10</v>
      </c>
      <c r="AM277">
        <f>IFERROR(__xludf.DUMMYFUNCTION("""COMPUTED_VALUE"""),2017.0)</f>
        <v>2017</v>
      </c>
    </row>
    <row r="278">
      <c r="A278">
        <f>IFERROR(__xludf.DUMMYFUNCTION("""COMPUTED_VALUE"""),1.8818287E7)</f>
        <v>18818287</v>
      </c>
      <c r="B278">
        <f>IFERROR(__xludf.DUMMYFUNCTION("""COMPUTED_VALUE"""),52.0)</f>
        <v>52</v>
      </c>
      <c r="D278" t="str">
        <f>IFERROR(__xludf.DUMMYFUNCTION("""COMPUTED_VALUE"""),"INGRESAR CENTRO DE COSTO A LA DERECHA")</f>
        <v>INGRESAR CENTRO DE COSTO A LA DERECHA</v>
      </c>
      <c r="E278" t="str">
        <f>IFERROR(__xludf.DUMMYFUNCTION("""COMPUTED_VALUE"""),"UNIDAD DE ATENCION DE SALUD")</f>
        <v>UNIDAD DE ATENCION DE SALUD</v>
      </c>
      <c r="F278" t="str">
        <f>IFERROR(__xludf.DUMMYFUNCTION("""COMPUTED_VALUE"""),"Matrón(a)")</f>
        <v>Matrón(a)</v>
      </c>
      <c r="G278" t="str">
        <f>IFERROR(__xludf.DUMMYFUNCTION("""COMPUTED_VALUE"""),"MATRON")</f>
        <v>MATRON</v>
      </c>
      <c r="H278">
        <f>IFERROR(__xludf.DUMMYFUNCTION("""COMPUTED_VALUE"""),13.0)</f>
        <v>13</v>
      </c>
      <c r="I278" t="str">
        <f>IFERROR(__xludf.DUMMYFUNCTION("""COMPUTED_VALUE"""),"1/2 Jornada")</f>
        <v>1/2 Jornada</v>
      </c>
      <c r="J278" t="str">
        <f>IFERROR(__xludf.DUMMYFUNCTION("""COMPUTED_VALUE"""),"A CONTRATA")</f>
        <v>A CONTRATA</v>
      </c>
      <c r="K278" t="str">
        <f>IFERROR(__xludf.DUMMYFUNCTION("""COMPUTED_VALUE"""),"PROFESIONAL")</f>
        <v>PROFESIONAL</v>
      </c>
      <c r="L278" t="str">
        <f>IFERROR(__xludf.DUMMYFUNCTION("""COMPUTED_VALUE"""),"INTERNO")</f>
        <v>INTERNO</v>
      </c>
      <c r="M278">
        <f>IFERROR(__xludf.DUMMYFUNCTION("""COMPUTED_VALUE"""),0.0)</f>
        <v>0</v>
      </c>
      <c r="N278" t="str">
        <f>IFERROR(__xludf.DUMMYFUNCTION("""COMPUTED_VALUE"""),"EXTERNO")</f>
        <v>EXTERNO</v>
      </c>
      <c r="O278">
        <f>IFERROR(__xludf.DUMMYFUNCTION("""COMPUTED_VALUE"""),10.0)</f>
        <v>10</v>
      </c>
      <c r="P278">
        <f>IFERROR(__xludf.DUMMYFUNCTION("""COMPUTED_VALUE"""),4.0)</f>
        <v>4</v>
      </c>
      <c r="Q278">
        <f>IFERROR(__xludf.DUMMYFUNCTION("""COMPUTED_VALUE"""),3.0)</f>
        <v>3</v>
      </c>
      <c r="R278" s="45" t="str">
        <f>IFERROR(__xludf.DUMMYFUNCTION("""COMPUTED_VALUE"""),"SELECCIONADA")</f>
        <v>SELECCIONADA</v>
      </c>
      <c r="S278" s="38">
        <f>IFERROR(__xludf.DUMMYFUNCTION("""COMPUTED_VALUE"""),42989.0)</f>
        <v>42989</v>
      </c>
      <c r="U278" t="str">
        <f>IFERROR(__xludf.DUMMYFUNCTION("""COMPUTED_VALUE"""),"MARCELA VÁSQUEZ BECERRA")</f>
        <v>MARCELA VÁSQUEZ BECERRA</v>
      </c>
      <c r="V278" t="str">
        <f>IFERROR(__xludf.DUMMYFUNCTION("""COMPUTED_VALUE"""),"18818287-9")</f>
        <v>18818287-9</v>
      </c>
      <c r="W278" t="str">
        <f>IFERROR(__xludf.DUMMYFUNCTION("""COMPUTED_VALUE"""),"NO")</f>
        <v>NO</v>
      </c>
      <c r="AA278" s="38">
        <f>IFERROR(__xludf.DUMMYFUNCTION("""COMPUTED_VALUE"""),42965.0)</f>
        <v>42965</v>
      </c>
      <c r="AB278" s="38">
        <f>IFERROR(__xludf.DUMMYFUNCTION("""COMPUTED_VALUE"""),42972.0)</f>
        <v>42972</v>
      </c>
      <c r="AH278" t="str">
        <f>IFERROR(__xludf.DUMMYFUNCTION("""COMPUTED_VALUE"""),"PROCESO DE SELECCIÓN")</f>
        <v>PROCESO DE SELECCIÓN</v>
      </c>
      <c r="AI278" t="str">
        <f>IFERROR(__xludf.DUMMYFUNCTION("""COMPUTED_VALUE"""),"ESTEFANIA DE LA PEÑA")</f>
        <v>ESTEFANIA DE LA PEÑA</v>
      </c>
      <c r="AL278">
        <f>IFERROR(__xludf.DUMMYFUNCTION("""COMPUTED_VALUE"""),12.0)</f>
        <v>12</v>
      </c>
      <c r="AM278">
        <f>IFERROR(__xludf.DUMMYFUNCTION("""COMPUTED_VALUE"""),2017.0)</f>
        <v>2017</v>
      </c>
    </row>
    <row r="279">
      <c r="A279">
        <f>IFERROR(__xludf.DUMMYFUNCTION("""COMPUTED_VALUE"""),1.6280352E7)</f>
        <v>16280352</v>
      </c>
      <c r="B279">
        <f>IFERROR(__xludf.DUMMYFUNCTION("""COMPUTED_VALUE"""),53.0)</f>
        <v>53</v>
      </c>
      <c r="D279" t="str">
        <f>IFERROR(__xludf.DUMMYFUNCTION("""COMPUTED_VALUE"""),"INGRESAR CENTRO DE COSTO A LA DERECHA")</f>
        <v>INGRESAR CENTRO DE COSTO A LA DERECHA</v>
      </c>
      <c r="E279" t="str">
        <f>IFERROR(__xludf.DUMMYFUNCTION("""COMPUTED_VALUE"""),"DPTO. DE INGENIERIA MECANICA")</f>
        <v>DPTO. DE INGENIERIA MECANICA</v>
      </c>
      <c r="F279" t="str">
        <f>IFERROR(__xludf.DUMMYFUNCTION("""COMPUTED_VALUE"""),"Técnico(a) de Soporte Básico en Computación")</f>
        <v>Técnico(a) de Soporte Básico en Computación</v>
      </c>
      <c r="G279" t="str">
        <f>IFERROR(__xludf.DUMMYFUNCTION("""COMPUTED_VALUE"""),"TECNICO DE SOPORTE BASICO EN COMPUTACION")</f>
        <v>TECNICO DE SOPORTE BASICO EN COMPUTACION</v>
      </c>
      <c r="H279">
        <f>IFERROR(__xludf.DUMMYFUNCTION("""COMPUTED_VALUE"""),17.0)</f>
        <v>17</v>
      </c>
      <c r="I279" t="str">
        <f>IFERROR(__xludf.DUMMYFUNCTION("""COMPUTED_VALUE"""),"Jornada Completa")</f>
        <v>Jornada Completa</v>
      </c>
      <c r="J279" t="str">
        <f>IFERROR(__xludf.DUMMYFUNCTION("""COMPUTED_VALUE"""),"A CONTRATA")</f>
        <v>A CONTRATA</v>
      </c>
      <c r="K279" t="str">
        <f>IFERROR(__xludf.DUMMYFUNCTION("""COMPUTED_VALUE"""),"TECNICO")</f>
        <v>TECNICO</v>
      </c>
      <c r="L279" t="str">
        <f>IFERROR(__xludf.DUMMYFUNCTION("""COMPUTED_VALUE"""),"INTERNO")</f>
        <v>INTERNO</v>
      </c>
      <c r="M279">
        <f>IFERROR(__xludf.DUMMYFUNCTION("""COMPUTED_VALUE"""),2.0)</f>
        <v>2</v>
      </c>
      <c r="N279" t="str">
        <f>IFERROR(__xludf.DUMMYFUNCTION("""COMPUTED_VALUE"""),"EXTERNO")</f>
        <v>EXTERNO</v>
      </c>
      <c r="O279">
        <f>IFERROR(__xludf.DUMMYFUNCTION("""COMPUTED_VALUE"""),14.0)</f>
        <v>14</v>
      </c>
      <c r="P279">
        <f>IFERROR(__xludf.DUMMYFUNCTION("""COMPUTED_VALUE"""),2.0)</f>
        <v>2</v>
      </c>
      <c r="Q279">
        <f>IFERROR(__xludf.DUMMYFUNCTION("""COMPUTED_VALUE"""),5.0)</f>
        <v>5</v>
      </c>
      <c r="R279" s="45" t="str">
        <f>IFERROR(__xludf.DUMMYFUNCTION("""COMPUTED_VALUE"""),"SELECCIONADO")</f>
        <v>SELECCIONADO</v>
      </c>
      <c r="S279" s="38">
        <f>IFERROR(__xludf.DUMMYFUNCTION("""COMPUTED_VALUE"""),43024.0)</f>
        <v>43024</v>
      </c>
      <c r="U279" t="str">
        <f>IFERROR(__xludf.DUMMYFUNCTION("""COMPUTED_VALUE"""),"MATIAS ASTETE FUENTES")</f>
        <v>MATIAS ASTETE FUENTES</v>
      </c>
      <c r="V279" t="str">
        <f>IFERROR(__xludf.DUMMYFUNCTION("""COMPUTED_VALUE"""),"16280352-2")</f>
        <v>16280352-2</v>
      </c>
      <c r="W279" t="str">
        <f>IFERROR(__xludf.DUMMYFUNCTION("""COMPUTED_VALUE"""),"SI")</f>
        <v>SI</v>
      </c>
      <c r="X279" t="str">
        <f>IFERROR(__xludf.DUMMYFUNCTION("""COMPUTED_VALUE"""),"CAPACIDAD DE PLANIFICACION Y ORGANIZACION")</f>
        <v>CAPACIDAD DE PLANIFICACION Y ORGANIZACION</v>
      </c>
      <c r="Y279" t="str">
        <f>IFERROR(__xludf.DUMMYFUNCTION("""COMPUTED_VALUE"""),"PENSAMIENTO ANALITICO")</f>
        <v>PENSAMIENTO ANALITICO</v>
      </c>
      <c r="AA279" s="38">
        <f>IFERROR(__xludf.DUMMYFUNCTION("""COMPUTED_VALUE"""),42954.0)</f>
        <v>42954</v>
      </c>
      <c r="AB279" s="38">
        <f>IFERROR(__xludf.DUMMYFUNCTION("""COMPUTED_VALUE"""),42961.0)</f>
        <v>42961</v>
      </c>
      <c r="AH279" t="str">
        <f>IFERROR(__xludf.DUMMYFUNCTION("""COMPUTED_VALUE"""),"PROCESO DE SELECCIÓN")</f>
        <v>PROCESO DE SELECCIÓN</v>
      </c>
      <c r="AI279" t="str">
        <f>IFERROR(__xludf.DUMMYFUNCTION("""COMPUTED_VALUE"""),"BUSCAR")</f>
        <v>BUSCAR</v>
      </c>
      <c r="AL279">
        <f>IFERROR(__xludf.DUMMYFUNCTION("""COMPUTED_VALUE"""),46.0)</f>
        <v>46</v>
      </c>
      <c r="AM279">
        <f>IFERROR(__xludf.DUMMYFUNCTION("""COMPUTED_VALUE"""),2017.0)</f>
        <v>2017</v>
      </c>
    </row>
    <row r="280">
      <c r="A280">
        <f>IFERROR(__xludf.DUMMYFUNCTION("""COMPUTED_VALUE"""),1.6547604E7)</f>
        <v>16547604</v>
      </c>
      <c r="B280">
        <f>IFERROR(__xludf.DUMMYFUNCTION("""COMPUTED_VALUE"""),54.0)</f>
        <v>54</v>
      </c>
      <c r="D280" t="str">
        <f>IFERROR(__xludf.DUMMYFUNCTION("""COMPUTED_VALUE"""),"INGRESAR CENTRO DE COSTO A LA DERECHA")</f>
        <v>INGRESAR CENTRO DE COSTO A LA DERECHA</v>
      </c>
      <c r="E280" t="str">
        <f>IFERROR(__xludf.DUMMYFUNCTION("""COMPUTED_VALUE"""),"ADM.GRAL. FONDO SOLIDARIO CRED")</f>
        <v>ADM.GRAL. FONDO SOLIDARIO CRED</v>
      </c>
      <c r="F280" t="str">
        <f>IFERROR(__xludf.DUMMYFUNCTION("""COMPUTED_VALUE"""),"Jefe(a) de Sección")</f>
        <v>Jefe(a) de Sección</v>
      </c>
      <c r="G280" t="str">
        <f>IFERROR(__xludf.DUMMYFUNCTION("""COMPUTED_VALUE"""),"JEFE DE SECCION ( COBRANZA)")</f>
        <v>JEFE DE SECCION ( COBRANZA)</v>
      </c>
      <c r="H280">
        <f>IFERROR(__xludf.DUMMYFUNCTION("""COMPUTED_VALUE"""),10.0)</f>
        <v>10</v>
      </c>
      <c r="I280" t="str">
        <f>IFERROR(__xludf.DUMMYFUNCTION("""COMPUTED_VALUE"""),"Jornada Completa")</f>
        <v>Jornada Completa</v>
      </c>
      <c r="J280" t="str">
        <f>IFERROR(__xludf.DUMMYFUNCTION("""COMPUTED_VALUE"""),"A CONTRATA")</f>
        <v>A CONTRATA</v>
      </c>
      <c r="K280" t="str">
        <f>IFERROR(__xludf.DUMMYFUNCTION("""COMPUTED_VALUE"""),"PROFESIONAL")</f>
        <v>PROFESIONAL</v>
      </c>
      <c r="L280" t="str">
        <f>IFERROR(__xludf.DUMMYFUNCTION("""COMPUTED_VALUE"""),"INTERNO")</f>
        <v>INTERNO</v>
      </c>
      <c r="M280">
        <f>IFERROR(__xludf.DUMMYFUNCTION("""COMPUTED_VALUE"""),2.0)</f>
        <v>2</v>
      </c>
      <c r="N280" t="str">
        <f>IFERROR(__xludf.DUMMYFUNCTION("""COMPUTED_VALUE"""),"EXTERNO")</f>
        <v>EXTERNO</v>
      </c>
      <c r="O280">
        <f>IFERROR(__xludf.DUMMYFUNCTION("""COMPUTED_VALUE"""),1.0)</f>
        <v>1</v>
      </c>
      <c r="P280">
        <f>IFERROR(__xludf.DUMMYFUNCTION("""COMPUTED_VALUE"""),1.0)</f>
        <v>1</v>
      </c>
      <c r="Q280">
        <f>IFERROR(__xludf.DUMMYFUNCTION("""COMPUTED_VALUE"""),2.0)</f>
        <v>2</v>
      </c>
      <c r="R280" s="45" t="str">
        <f>IFERROR(__xludf.DUMMYFUNCTION("""COMPUTED_VALUE"""),"SELECCIONADA")</f>
        <v>SELECCIONADA</v>
      </c>
      <c r="S280" s="38">
        <f>IFERROR(__xludf.DUMMYFUNCTION("""COMPUTED_VALUE"""),42963.0)</f>
        <v>42963</v>
      </c>
      <c r="U280" t="str">
        <f>IFERROR(__xludf.DUMMYFUNCTION("""COMPUTED_VALUE"""),"PAOLA MESA ROZAS")</f>
        <v>PAOLA MESA ROZAS</v>
      </c>
      <c r="V280" t="str">
        <f>IFERROR(__xludf.DUMMYFUNCTION("""COMPUTED_VALUE"""),"16547604-2")</f>
        <v>16547604-2</v>
      </c>
      <c r="W280" t="str">
        <f>IFERROR(__xludf.DUMMYFUNCTION("""COMPUTED_VALUE"""),"SI")</f>
        <v>SI</v>
      </c>
      <c r="X280" t="str">
        <f>IFERROR(__xludf.DUMMYFUNCTION("""COMPUTED_VALUE"""),"TRABAJO EN EQUIPO")</f>
        <v>TRABAJO EN EQUIPO</v>
      </c>
      <c r="AA280" s="38">
        <f>IFERROR(__xludf.DUMMYFUNCTION("""COMPUTED_VALUE"""),42951.0)</f>
        <v>42951</v>
      </c>
      <c r="AB280" s="38">
        <f>IFERROR(__xludf.DUMMYFUNCTION("""COMPUTED_VALUE"""),42955.0)</f>
        <v>42955</v>
      </c>
      <c r="AH280" t="str">
        <f>IFERROR(__xludf.DUMMYFUNCTION("""COMPUTED_VALUE"""),"PROCESO DE SELECCIÓN")</f>
        <v>PROCESO DE SELECCIÓN</v>
      </c>
      <c r="AI280" t="str">
        <f>IFERROR(__xludf.DUMMYFUNCTION("""COMPUTED_VALUE"""),"BUSCAR")</f>
        <v>BUSCAR</v>
      </c>
      <c r="AL280">
        <f>IFERROR(__xludf.DUMMYFUNCTION("""COMPUTED_VALUE"""),7.0)</f>
        <v>7</v>
      </c>
      <c r="AM280">
        <f>IFERROR(__xludf.DUMMYFUNCTION("""COMPUTED_VALUE"""),2017.0)</f>
        <v>2017</v>
      </c>
    </row>
    <row r="281">
      <c r="A281">
        <f>IFERROR(__xludf.DUMMYFUNCTION("""COMPUTED_VALUE"""),1.2783339E7)</f>
        <v>12783339</v>
      </c>
      <c r="B281">
        <f>IFERROR(__xludf.DUMMYFUNCTION("""COMPUTED_VALUE"""),55.0)</f>
        <v>55</v>
      </c>
      <c r="D281" t="str">
        <f>IFERROR(__xludf.DUMMYFUNCTION("""COMPUTED_VALUE"""),"INGRESAR CENTRO DE COSTO A LA DERECHA")</f>
        <v>INGRESAR CENTRO DE COSTO A LA DERECHA</v>
      </c>
      <c r="E281" t="str">
        <f>IFERROR(__xludf.DUMMYFUNCTION("""COMPUTED_VALUE"""),"DPTO. DE FINANZAS Y TESORERIA")</f>
        <v>DPTO. DE FINANZAS Y TESORERIA</v>
      </c>
      <c r="F281" t="str">
        <f>IFERROR(__xludf.DUMMYFUNCTION("""COMPUTED_VALUE"""),"Jefe(a) de Sección")</f>
        <v>Jefe(a) de Sección</v>
      </c>
      <c r="G281" t="str">
        <f>IFERROR(__xludf.DUMMYFUNCTION("""COMPUTED_VALUE"""),"JEFE DE SECCION ( ESTUDIOS- EJECUTIVO INTEGRAL CREDITO Y COBRANZAS)")</f>
        <v>JEFE DE SECCION ( ESTUDIOS- EJECUTIVO INTEGRAL CREDITO Y COBRANZAS)</v>
      </c>
      <c r="H281">
        <f>IFERROR(__xludf.DUMMYFUNCTION("""COMPUTED_VALUE"""),9.0)</f>
        <v>9</v>
      </c>
      <c r="I281" t="str">
        <f>IFERROR(__xludf.DUMMYFUNCTION("""COMPUTED_VALUE"""),"Jornada Completa")</f>
        <v>Jornada Completa</v>
      </c>
      <c r="J281" t="str">
        <f>IFERROR(__xludf.DUMMYFUNCTION("""COMPUTED_VALUE"""),"A CONTRATA")</f>
        <v>A CONTRATA</v>
      </c>
      <c r="K281" t="str">
        <f>IFERROR(__xludf.DUMMYFUNCTION("""COMPUTED_VALUE"""),"PROFESIONAL")</f>
        <v>PROFESIONAL</v>
      </c>
      <c r="L281" t="str">
        <f>IFERROR(__xludf.DUMMYFUNCTION("""COMPUTED_VALUE"""),"INTERNO")</f>
        <v>INTERNO</v>
      </c>
      <c r="M281">
        <f>IFERROR(__xludf.DUMMYFUNCTION("""COMPUTED_VALUE"""),1.0)</f>
        <v>1</v>
      </c>
      <c r="N281" t="str">
        <f>IFERROR(__xludf.DUMMYFUNCTION("""COMPUTED_VALUE"""),"EXTERNO")</f>
        <v>EXTERNO</v>
      </c>
      <c r="O281">
        <f>IFERROR(__xludf.DUMMYFUNCTION("""COMPUTED_VALUE"""),23.0)</f>
        <v>23</v>
      </c>
      <c r="P281">
        <f>IFERROR(__xludf.DUMMYFUNCTION("""COMPUTED_VALUE"""),3.0)</f>
        <v>3</v>
      </c>
      <c r="Q281">
        <f>IFERROR(__xludf.DUMMYFUNCTION("""COMPUTED_VALUE"""),1.0)</f>
        <v>1</v>
      </c>
      <c r="R281" s="45" t="str">
        <f>IFERROR(__xludf.DUMMYFUNCTION("""COMPUTED_VALUE"""),"SELECCIONADO")</f>
        <v>SELECCIONADO</v>
      </c>
      <c r="S281" s="38">
        <f>IFERROR(__xludf.DUMMYFUNCTION("""COMPUTED_VALUE"""),43033.0)</f>
        <v>43033</v>
      </c>
      <c r="U281" t="str">
        <f>IFERROR(__xludf.DUMMYFUNCTION("""COMPUTED_VALUE"""),"SEBASTIAN LABRA DIAZ")</f>
        <v>SEBASTIAN LABRA DIAZ</v>
      </c>
      <c r="V281" t="str">
        <f>IFERROR(__xludf.DUMMYFUNCTION("""COMPUTED_VALUE"""),"12783339-7")</f>
        <v>12783339-7</v>
      </c>
      <c r="W281" t="str">
        <f>IFERROR(__xludf.DUMMYFUNCTION("""COMPUTED_VALUE"""),"NO")</f>
        <v>NO</v>
      </c>
      <c r="AA281" s="38">
        <f>IFERROR(__xludf.DUMMYFUNCTION("""COMPUTED_VALUE"""),42947.0)</f>
        <v>42947</v>
      </c>
      <c r="AB281" s="38">
        <f>IFERROR(__xludf.DUMMYFUNCTION("""COMPUTED_VALUE"""),42954.0)</f>
        <v>42954</v>
      </c>
      <c r="AH281" t="str">
        <f>IFERROR(__xludf.DUMMYFUNCTION("""COMPUTED_VALUE"""),"PROCESO DE SELECCIÓN")</f>
        <v>PROCESO DE SELECCIÓN</v>
      </c>
      <c r="AI281" t="str">
        <f>IFERROR(__xludf.DUMMYFUNCTION("""COMPUTED_VALUE"""),"BUSCAR")</f>
        <v>BUSCAR</v>
      </c>
      <c r="AL281">
        <f>IFERROR(__xludf.DUMMYFUNCTION("""COMPUTED_VALUE"""),58.0)</f>
        <v>58</v>
      </c>
      <c r="AM281">
        <f>IFERROR(__xludf.DUMMYFUNCTION("""COMPUTED_VALUE"""),2017.0)</f>
        <v>2017</v>
      </c>
    </row>
    <row r="282">
      <c r="A282">
        <f>IFERROR(__xludf.DUMMYFUNCTION("""COMPUTED_VALUE"""),1.5320897E7)</f>
        <v>15320897</v>
      </c>
      <c r="B282">
        <f>IFERROR(__xludf.DUMMYFUNCTION("""COMPUTED_VALUE"""),56.0)</f>
        <v>56</v>
      </c>
      <c r="D282" t="str">
        <f>IFERROR(__xludf.DUMMYFUNCTION("""COMPUTED_VALUE"""),"INGRESAR CENTRO DE COSTO A LA DERECHA")</f>
        <v>INGRESAR CENTRO DE COSTO A LA DERECHA</v>
      </c>
      <c r="E282" t="str">
        <f>IFERROR(__xludf.DUMMYFUNCTION("""COMPUTED_VALUE"""),"DPTO. DE FINANZAS Y TESORERIA")</f>
        <v>DPTO. DE FINANZAS Y TESORERIA</v>
      </c>
      <c r="F282" t="str">
        <f>IFERROR(__xludf.DUMMYFUNCTION("""COMPUTED_VALUE"""),"Jefe(a) de Sección")</f>
        <v>Jefe(a) de Sección</v>
      </c>
      <c r="G282" t="str">
        <f>IFERROR(__xludf.DUMMYFUNCTION("""COMPUTED_VALUE"""),"JEFE DE SECCION ( INGRESOS)")</f>
        <v>JEFE DE SECCION ( INGRESOS)</v>
      </c>
      <c r="H282">
        <f>IFERROR(__xludf.DUMMYFUNCTION("""COMPUTED_VALUE"""),9.0)</f>
        <v>9</v>
      </c>
      <c r="I282" t="str">
        <f>IFERROR(__xludf.DUMMYFUNCTION("""COMPUTED_VALUE"""),"Jornada Completa")</f>
        <v>Jornada Completa</v>
      </c>
      <c r="J282" t="str">
        <f>IFERROR(__xludf.DUMMYFUNCTION("""COMPUTED_VALUE"""),"A CONTRATA")</f>
        <v>A CONTRATA</v>
      </c>
      <c r="K282" t="str">
        <f>IFERROR(__xludf.DUMMYFUNCTION("""COMPUTED_VALUE"""),"PROFESIONAL")</f>
        <v>PROFESIONAL</v>
      </c>
      <c r="L282" t="str">
        <f>IFERROR(__xludf.DUMMYFUNCTION("""COMPUTED_VALUE"""),"INTERNO")</f>
        <v>INTERNO</v>
      </c>
      <c r="M282">
        <f>IFERROR(__xludf.DUMMYFUNCTION("""COMPUTED_VALUE"""),1.0)</f>
        <v>1</v>
      </c>
      <c r="N282" t="str">
        <f>IFERROR(__xludf.DUMMYFUNCTION("""COMPUTED_VALUE"""),"EXTERNO")</f>
        <v>EXTERNO</v>
      </c>
      <c r="O282">
        <f>IFERROR(__xludf.DUMMYFUNCTION("""COMPUTED_VALUE"""),13.0)</f>
        <v>13</v>
      </c>
      <c r="P282">
        <f>IFERROR(__xludf.DUMMYFUNCTION("""COMPUTED_VALUE"""),1.0)</f>
        <v>1</v>
      </c>
      <c r="Q282">
        <f>IFERROR(__xludf.DUMMYFUNCTION("""COMPUTED_VALUE"""),1.0)</f>
        <v>1</v>
      </c>
      <c r="R282" s="45" t="str">
        <f>IFERROR(__xludf.DUMMYFUNCTION("""COMPUTED_VALUE"""),"SELECCIONADA")</f>
        <v>SELECCIONADA</v>
      </c>
      <c r="S282" s="38">
        <f>IFERROR(__xludf.DUMMYFUNCTION("""COMPUTED_VALUE"""),43024.0)</f>
        <v>43024</v>
      </c>
      <c r="U282" t="str">
        <f>IFERROR(__xludf.DUMMYFUNCTION("""COMPUTED_VALUE"""),"ANDREA ROJAS CANDIA")</f>
        <v>ANDREA ROJAS CANDIA</v>
      </c>
      <c r="V282" t="str">
        <f>IFERROR(__xludf.DUMMYFUNCTION("""COMPUTED_VALUE"""),"15320897-2")</f>
        <v>15320897-2</v>
      </c>
      <c r="W282" t="str">
        <f>IFERROR(__xludf.DUMMYFUNCTION("""COMPUTED_VALUE"""),"SI")</f>
        <v>SI</v>
      </c>
      <c r="X282" t="str">
        <f>IFERROR(__xludf.DUMMYFUNCTION("""COMPUTED_VALUE"""),"TRABAJO EN EQUIPO")</f>
        <v>TRABAJO EN EQUIPO</v>
      </c>
      <c r="AA282" s="38">
        <f>IFERROR(__xludf.DUMMYFUNCTION("""COMPUTED_VALUE"""),42941.0)</f>
        <v>42941</v>
      </c>
      <c r="AB282" s="38">
        <f>IFERROR(__xludf.DUMMYFUNCTION("""COMPUTED_VALUE"""),42948.0)</f>
        <v>42948</v>
      </c>
      <c r="AH282" t="str">
        <f>IFERROR(__xludf.DUMMYFUNCTION("""COMPUTED_VALUE"""),"PROCESO DE SELECCIÓN")</f>
        <v>PROCESO DE SELECCIÓN</v>
      </c>
      <c r="AI282" t="str">
        <f>IFERROR(__xludf.DUMMYFUNCTION("""COMPUTED_VALUE"""),"BUSCAR")</f>
        <v>BUSCAR</v>
      </c>
      <c r="AL282">
        <f>IFERROR(__xludf.DUMMYFUNCTION("""COMPUTED_VALUE"""),55.0)</f>
        <v>55</v>
      </c>
      <c r="AM282">
        <f>IFERROR(__xludf.DUMMYFUNCTION("""COMPUTED_VALUE"""),2017.0)</f>
        <v>2017</v>
      </c>
    </row>
    <row r="283">
      <c r="A283">
        <f>IFERROR(__xludf.DUMMYFUNCTION("""COMPUTED_VALUE"""),1.7803186E7)</f>
        <v>17803186</v>
      </c>
      <c r="B283">
        <f>IFERROR(__xludf.DUMMYFUNCTION("""COMPUTED_VALUE"""),57.0)</f>
        <v>57</v>
      </c>
      <c r="D283" t="str">
        <f>IFERROR(__xludf.DUMMYFUNCTION("""COMPUTED_VALUE"""),"INGRESAR CENTRO DE COSTO A LA DERECHA")</f>
        <v>INGRESAR CENTRO DE COSTO A LA DERECHA</v>
      </c>
      <c r="E283" t="str">
        <f>IFERROR(__xludf.DUMMYFUNCTION("""COMPUTED_VALUE"""),"DPTO. DE FINANZAS Y TESORERIA")</f>
        <v>DPTO. DE FINANZAS Y TESORERIA</v>
      </c>
      <c r="F283" t="str">
        <f>IFERROR(__xludf.DUMMYFUNCTION("""COMPUTED_VALUE"""),"Analista Contable II")</f>
        <v>Analista Contable II</v>
      </c>
      <c r="G283" t="str">
        <f>IFERROR(__xludf.DUMMYFUNCTION("""COMPUTED_VALUE"""),"ANALISTA CONTABLE II ( ANALISTA PROFESIONAL DE CONCILIACIONES BANCARIAS)")</f>
        <v>ANALISTA CONTABLE II ( ANALISTA PROFESIONAL DE CONCILIACIONES BANCARIAS)</v>
      </c>
      <c r="H283">
        <f>IFERROR(__xludf.DUMMYFUNCTION("""COMPUTED_VALUE"""),13.0)</f>
        <v>13</v>
      </c>
      <c r="I283" t="str">
        <f>IFERROR(__xludf.DUMMYFUNCTION("""COMPUTED_VALUE"""),"Jornada Completa")</f>
        <v>Jornada Completa</v>
      </c>
      <c r="J283" t="str">
        <f>IFERROR(__xludf.DUMMYFUNCTION("""COMPUTED_VALUE"""),"A CONTRATA")</f>
        <v>A CONTRATA</v>
      </c>
      <c r="K283" t="str">
        <f>IFERROR(__xludf.DUMMYFUNCTION("""COMPUTED_VALUE"""),"PROFESIONAL")</f>
        <v>PROFESIONAL</v>
      </c>
      <c r="L283" t="str">
        <f>IFERROR(__xludf.DUMMYFUNCTION("""COMPUTED_VALUE"""),"INTERNO")</f>
        <v>INTERNO</v>
      </c>
      <c r="M283">
        <f>IFERROR(__xludf.DUMMYFUNCTION("""COMPUTED_VALUE"""),0.0)</f>
        <v>0</v>
      </c>
      <c r="N283" t="str">
        <f>IFERROR(__xludf.DUMMYFUNCTION("""COMPUTED_VALUE"""),"EXTERNO")</f>
        <v>EXTERNO</v>
      </c>
      <c r="O283">
        <f>IFERROR(__xludf.DUMMYFUNCTION("""COMPUTED_VALUE"""),17.0)</f>
        <v>17</v>
      </c>
      <c r="P283">
        <f>IFERROR(__xludf.DUMMYFUNCTION("""COMPUTED_VALUE"""),1.0)</f>
        <v>1</v>
      </c>
      <c r="Q283">
        <f>IFERROR(__xludf.DUMMYFUNCTION("""COMPUTED_VALUE"""),1.0)</f>
        <v>1</v>
      </c>
      <c r="R283" s="45" t="str">
        <f>IFERROR(__xludf.DUMMYFUNCTION("""COMPUTED_VALUE"""),"SELECCIONADA")</f>
        <v>SELECCIONADA</v>
      </c>
      <c r="S283" s="38">
        <f>IFERROR(__xludf.DUMMYFUNCTION("""COMPUTED_VALUE"""),42979.0)</f>
        <v>42979</v>
      </c>
      <c r="U283" t="str">
        <f>IFERROR(__xludf.DUMMYFUNCTION("""COMPUTED_VALUE"""),"KARLA TORO FLORES")</f>
        <v>KARLA TORO FLORES</v>
      </c>
      <c r="V283" t="str">
        <f>IFERROR(__xludf.DUMMYFUNCTION("""COMPUTED_VALUE"""),"17803186-4")</f>
        <v>17803186-4</v>
      </c>
      <c r="W283" t="str">
        <f>IFERROR(__xludf.DUMMYFUNCTION("""COMPUTED_VALUE"""),"SI")</f>
        <v>SI</v>
      </c>
      <c r="X283" t="str">
        <f>IFERROR(__xludf.DUMMYFUNCTION("""COMPUTED_VALUE"""),"CAPACIDAD DE PLANIFICACION Y ORGANIZACION")</f>
        <v>CAPACIDAD DE PLANIFICACION Y ORGANIZACION</v>
      </c>
      <c r="AA283" s="38">
        <f>IFERROR(__xludf.DUMMYFUNCTION("""COMPUTED_VALUE"""),42941.0)</f>
        <v>42941</v>
      </c>
      <c r="AB283" s="38">
        <f>IFERROR(__xludf.DUMMYFUNCTION("""COMPUTED_VALUE"""),42948.0)</f>
        <v>42948</v>
      </c>
      <c r="AH283" t="str">
        <f>IFERROR(__xludf.DUMMYFUNCTION("""COMPUTED_VALUE"""),"PROCESO DE SELECCIÓN")</f>
        <v>PROCESO DE SELECCIÓN</v>
      </c>
      <c r="AI283" t="str">
        <f>IFERROR(__xludf.DUMMYFUNCTION("""COMPUTED_VALUE"""),"BUSCAR")</f>
        <v>BUSCAR</v>
      </c>
      <c r="AL283">
        <f>IFERROR(__xludf.DUMMYFUNCTION("""COMPUTED_VALUE"""),24.0)</f>
        <v>24</v>
      </c>
      <c r="AM283">
        <f>IFERROR(__xludf.DUMMYFUNCTION("""COMPUTED_VALUE"""),2017.0)</f>
        <v>2017</v>
      </c>
    </row>
    <row r="284">
      <c r="A284">
        <f>IFERROR(__xludf.DUMMYFUNCTION("""COMPUTED_VALUE"""),1.3265762E7)</f>
        <v>13265762</v>
      </c>
      <c r="B284">
        <f>IFERROR(__xludf.DUMMYFUNCTION("""COMPUTED_VALUE"""),58.0)</f>
        <v>58</v>
      </c>
      <c r="D284" t="str">
        <f>IFERROR(__xludf.DUMMYFUNCTION("""COMPUTED_VALUE"""),"INGRESAR CENTRO DE COSTO A LA DERECHA")</f>
        <v>INGRESAR CENTRO DE COSTO A LA DERECHA</v>
      </c>
      <c r="E284" t="str">
        <f>IFERROR(__xludf.DUMMYFUNCTION("""COMPUTED_VALUE"""),"DPTO. DE FINANZAS Y TESORERIA")</f>
        <v>DPTO. DE FINANZAS Y TESORERIA</v>
      </c>
      <c r="F284" t="str">
        <f>IFERROR(__xludf.DUMMYFUNCTION("""COMPUTED_VALUE"""),"Administrativo(a) Contable")</f>
        <v>Administrativo(a) Contable</v>
      </c>
      <c r="G284" t="str">
        <f>IFERROR(__xludf.DUMMYFUNCTION("""COMPUTED_VALUE"""),"ADMINISTRATIVO CONTABLE ( EJECUTIVO ATENCION RECAUDACION MATRICULAS)")</f>
        <v>ADMINISTRATIVO CONTABLE ( EJECUTIVO ATENCION RECAUDACION MATRICULAS)</v>
      </c>
      <c r="H284">
        <f>IFERROR(__xludf.DUMMYFUNCTION("""COMPUTED_VALUE"""),15.0)</f>
        <v>15</v>
      </c>
      <c r="I284" t="str">
        <f>IFERROR(__xludf.DUMMYFUNCTION("""COMPUTED_VALUE"""),"Jornada Completa")</f>
        <v>Jornada Completa</v>
      </c>
      <c r="J284" t="str">
        <f>IFERROR(__xludf.DUMMYFUNCTION("""COMPUTED_VALUE"""),"A CONTRATA")</f>
        <v>A CONTRATA</v>
      </c>
      <c r="K284" t="str">
        <f>IFERROR(__xludf.DUMMYFUNCTION("""COMPUTED_VALUE"""),"ADMINISTRATIVO")</f>
        <v>ADMINISTRATIVO</v>
      </c>
      <c r="L284" t="str">
        <f>IFERROR(__xludf.DUMMYFUNCTION("""COMPUTED_VALUE"""),"INTERNO")</f>
        <v>INTERNO</v>
      </c>
      <c r="M284">
        <f>IFERROR(__xludf.DUMMYFUNCTION("""COMPUTED_VALUE"""),0.0)</f>
        <v>0</v>
      </c>
      <c r="N284" t="str">
        <f>IFERROR(__xludf.DUMMYFUNCTION("""COMPUTED_VALUE"""),"EXTERNO")</f>
        <v>EXTERNO</v>
      </c>
      <c r="O284">
        <f>IFERROR(__xludf.DUMMYFUNCTION("""COMPUTED_VALUE"""),6.0)</f>
        <v>6</v>
      </c>
      <c r="P284">
        <f>IFERROR(__xludf.DUMMYFUNCTION("""COMPUTED_VALUE"""),1.0)</f>
        <v>1</v>
      </c>
      <c r="Q284">
        <f>IFERROR(__xludf.DUMMYFUNCTION("""COMPUTED_VALUE"""),1.0)</f>
        <v>1</v>
      </c>
      <c r="R284" s="45" t="str">
        <f>IFERROR(__xludf.DUMMYFUNCTION("""COMPUTED_VALUE"""),"SELECCIONADA")</f>
        <v>SELECCIONADA</v>
      </c>
      <c r="S284" s="38">
        <f>IFERROR(__xludf.DUMMYFUNCTION("""COMPUTED_VALUE"""),42982.0)</f>
        <v>42982</v>
      </c>
      <c r="U284" t="str">
        <f>IFERROR(__xludf.DUMMYFUNCTION("""COMPUTED_VALUE"""),"GUISELLA BEECHER PARRA")</f>
        <v>GUISELLA BEECHER PARRA</v>
      </c>
      <c r="V284" t="str">
        <f>IFERROR(__xludf.DUMMYFUNCTION("""COMPUTED_VALUE"""),"13265762-9")</f>
        <v>13265762-9</v>
      </c>
      <c r="W284" t="str">
        <f>IFERROR(__xludf.DUMMYFUNCTION("""COMPUTED_VALUE"""),"SI")</f>
        <v>SI</v>
      </c>
      <c r="X284" t="str">
        <f>IFERROR(__xludf.DUMMYFUNCTION("""COMPUTED_VALUE"""),"TRABAJO EN EQUIPO")</f>
        <v>TRABAJO EN EQUIPO</v>
      </c>
      <c r="Y284" t="str">
        <f>IFERROR(__xludf.DUMMYFUNCTION("""COMPUTED_VALUE"""),"PREOCUPACION POR EL ORDEN Y LA CLARIDAD")</f>
        <v>PREOCUPACION POR EL ORDEN Y LA CLARIDAD</v>
      </c>
      <c r="AA284" s="38">
        <f>IFERROR(__xludf.DUMMYFUNCTION("""COMPUTED_VALUE"""),42941.0)</f>
        <v>42941</v>
      </c>
      <c r="AB284" s="38">
        <f>IFERROR(__xludf.DUMMYFUNCTION("""COMPUTED_VALUE"""),42948.0)</f>
        <v>42948</v>
      </c>
      <c r="AH284" t="str">
        <f>IFERROR(__xludf.DUMMYFUNCTION("""COMPUTED_VALUE"""),"PROCESO DE SELECCIÓN")</f>
        <v>PROCESO DE SELECCIÓN</v>
      </c>
      <c r="AI284" t="str">
        <f>IFERROR(__xludf.DUMMYFUNCTION("""COMPUTED_VALUE"""),"BUSCAR")</f>
        <v>BUSCAR</v>
      </c>
      <c r="AL284">
        <f>IFERROR(__xludf.DUMMYFUNCTION("""COMPUTED_VALUE"""),25.0)</f>
        <v>25</v>
      </c>
      <c r="AM284">
        <f>IFERROR(__xludf.DUMMYFUNCTION("""COMPUTED_VALUE"""),2017.0)</f>
        <v>2017</v>
      </c>
    </row>
    <row r="285">
      <c r="A285">
        <f>IFERROR(__xludf.DUMMYFUNCTION("""COMPUTED_VALUE"""),1.7050761E7)</f>
        <v>17050761</v>
      </c>
      <c r="B285">
        <f>IFERROR(__xludf.DUMMYFUNCTION("""COMPUTED_VALUE"""),59.0)</f>
        <v>59</v>
      </c>
      <c r="D285" t="str">
        <f>IFERROR(__xludf.DUMMYFUNCTION("""COMPUTED_VALUE"""),"INGRESAR CENTRO DE COSTO A LA DERECHA")</f>
        <v>INGRESAR CENTRO DE COSTO A LA DERECHA</v>
      </c>
      <c r="E285" t="str">
        <f>IFERROR(__xludf.DUMMYFUNCTION("""COMPUTED_VALUE"""),"DPTO. DE INGENIERIA ELECTRICA")</f>
        <v>DPTO. DE INGENIERIA ELECTRICA</v>
      </c>
      <c r="F285" t="str">
        <f>IFERROR(__xludf.DUMMYFUNCTION("""COMPUTED_VALUE"""),"Analista de Apoyo a la Docencia")</f>
        <v>Analista de Apoyo a la Docencia</v>
      </c>
      <c r="G285" t="str">
        <f>IFERROR(__xludf.DUMMYFUNCTION("""COMPUTED_VALUE"""),"ANALISTA DE APOYO A LA DOCENCIA")</f>
        <v>ANALISTA DE APOYO A LA DOCENCIA</v>
      </c>
      <c r="H285">
        <f>IFERROR(__xludf.DUMMYFUNCTION("""COMPUTED_VALUE"""),13.0)</f>
        <v>13</v>
      </c>
      <c r="I285" t="str">
        <f>IFERROR(__xludf.DUMMYFUNCTION("""COMPUTED_VALUE"""),"Jornada Completa")</f>
        <v>Jornada Completa</v>
      </c>
      <c r="J285" t="str">
        <f>IFERROR(__xludf.DUMMYFUNCTION("""COMPUTED_VALUE"""),"A CONTRATA")</f>
        <v>A CONTRATA</v>
      </c>
      <c r="K285" t="str">
        <f>IFERROR(__xludf.DUMMYFUNCTION("""COMPUTED_VALUE"""),"PROFESIONAL")</f>
        <v>PROFESIONAL</v>
      </c>
      <c r="L285" t="str">
        <f>IFERROR(__xludf.DUMMYFUNCTION("""COMPUTED_VALUE"""),"INTERNO")</f>
        <v>INTERNO</v>
      </c>
      <c r="M285">
        <f>IFERROR(__xludf.DUMMYFUNCTION("""COMPUTED_VALUE"""),7.0)</f>
        <v>7</v>
      </c>
      <c r="N285" t="str">
        <f>IFERROR(__xludf.DUMMYFUNCTION("""COMPUTED_VALUE"""),"EXTERNO")</f>
        <v>EXTERNO</v>
      </c>
      <c r="O285">
        <f>IFERROR(__xludf.DUMMYFUNCTION("""COMPUTED_VALUE"""),36.0)</f>
        <v>36</v>
      </c>
      <c r="P285">
        <f>IFERROR(__xludf.DUMMYFUNCTION("""COMPUTED_VALUE"""),1.0)</f>
        <v>1</v>
      </c>
      <c r="Q285">
        <f>IFERROR(__xludf.DUMMYFUNCTION("""COMPUTED_VALUE"""),1.0)</f>
        <v>1</v>
      </c>
      <c r="R285" s="45" t="str">
        <f>IFERROR(__xludf.DUMMYFUNCTION("""COMPUTED_VALUE"""),"SELECCIONADO")</f>
        <v>SELECCIONADO</v>
      </c>
      <c r="S285" s="38">
        <f>IFERROR(__xludf.DUMMYFUNCTION("""COMPUTED_VALUE"""),42979.0)</f>
        <v>42979</v>
      </c>
      <c r="U285" t="str">
        <f>IFERROR(__xludf.DUMMYFUNCTION("""COMPUTED_VALUE"""),"SEBASTIAN SALAMANCA ARANDA")</f>
        <v>SEBASTIAN SALAMANCA ARANDA</v>
      </c>
      <c r="V285" t="str">
        <f>IFERROR(__xludf.DUMMYFUNCTION("""COMPUTED_VALUE"""),"17050761-4")</f>
        <v>17050761-4</v>
      </c>
      <c r="W285" t="str">
        <f>IFERROR(__xludf.DUMMYFUNCTION("""COMPUTED_VALUE"""),"NO")</f>
        <v>NO</v>
      </c>
      <c r="AA285" s="38">
        <f>IFERROR(__xludf.DUMMYFUNCTION("""COMPUTED_VALUE"""),42910.0)</f>
        <v>42910</v>
      </c>
      <c r="AB285" s="38">
        <f>IFERROR(__xludf.DUMMYFUNCTION("""COMPUTED_VALUE"""),42947.0)</f>
        <v>42947</v>
      </c>
      <c r="AH285" t="str">
        <f>IFERROR(__xludf.DUMMYFUNCTION("""COMPUTED_VALUE"""),"PROCESO DE SELECCIÓN")</f>
        <v>PROCESO DE SELECCIÓN</v>
      </c>
      <c r="AI285" t="str">
        <f>IFERROR(__xludf.DUMMYFUNCTION("""COMPUTED_VALUE"""),"BUSCAR")</f>
        <v>BUSCAR</v>
      </c>
      <c r="AL285">
        <f>IFERROR(__xludf.DUMMYFUNCTION("""COMPUTED_VALUE"""),25.0)</f>
        <v>25</v>
      </c>
      <c r="AM285">
        <f>IFERROR(__xludf.DUMMYFUNCTION("""COMPUTED_VALUE"""),2017.0)</f>
        <v>2017</v>
      </c>
    </row>
    <row r="286">
      <c r="A286">
        <f>IFERROR(__xludf.DUMMYFUNCTION("""COMPUTED_VALUE"""),1.6588861E7)</f>
        <v>16588861</v>
      </c>
      <c r="B286">
        <f>IFERROR(__xludf.DUMMYFUNCTION("""COMPUTED_VALUE"""),60.0)</f>
        <v>60</v>
      </c>
      <c r="D286" t="str">
        <f>IFERROR(__xludf.DUMMYFUNCTION("""COMPUTED_VALUE"""),"INGRESAR CENTRO DE COSTO A LA DERECHA")</f>
        <v>INGRESAR CENTRO DE COSTO A LA DERECHA</v>
      </c>
      <c r="E286" t="str">
        <f>IFERROR(__xludf.DUMMYFUNCTION("""COMPUTED_VALUE"""),"DIR. DE ASISTENCIA JURIDICA")</f>
        <v>DIR. DE ASISTENCIA JURIDICA</v>
      </c>
      <c r="F286" t="str">
        <f>IFERROR(__xludf.DUMMYFUNCTION("""COMPUTED_VALUE"""),"Abogado(a) Dirección Juridica")</f>
        <v>Abogado(a) Dirección Juridica</v>
      </c>
      <c r="G286" t="str">
        <f>IFERROR(__xludf.DUMMYFUNCTION("""COMPUTED_VALUE"""),"ABOGADO")</f>
        <v>ABOGADO</v>
      </c>
      <c r="H286">
        <f>IFERROR(__xludf.DUMMYFUNCTION("""COMPUTED_VALUE"""),6.0)</f>
        <v>6</v>
      </c>
      <c r="I286" t="str">
        <f>IFERROR(__xludf.DUMMYFUNCTION("""COMPUTED_VALUE"""),"Jornada Completa")</f>
        <v>Jornada Completa</v>
      </c>
      <c r="J286" t="str">
        <f>IFERROR(__xludf.DUMMYFUNCTION("""COMPUTED_VALUE"""),"A CONTRATA")</f>
        <v>A CONTRATA</v>
      </c>
      <c r="K286" t="str">
        <f>IFERROR(__xludf.DUMMYFUNCTION("""COMPUTED_VALUE"""),"PROFESIONAL")</f>
        <v>PROFESIONAL</v>
      </c>
      <c r="L286" t="str">
        <f>IFERROR(__xludf.DUMMYFUNCTION("""COMPUTED_VALUE"""),"NO")</f>
        <v>NO</v>
      </c>
      <c r="M286">
        <f>IFERROR(__xludf.DUMMYFUNCTION("""COMPUTED_VALUE"""),0.0)</f>
        <v>0</v>
      </c>
      <c r="N286" t="str">
        <f>IFERROR(__xludf.DUMMYFUNCTION("""COMPUTED_VALUE"""),"EXTERNO")</f>
        <v>EXTERNO</v>
      </c>
      <c r="O286">
        <f>IFERROR(__xludf.DUMMYFUNCTION("""COMPUTED_VALUE"""),87.0)</f>
        <v>87</v>
      </c>
      <c r="P286">
        <f>IFERROR(__xludf.DUMMYFUNCTION("""COMPUTED_VALUE"""),6.0)</f>
        <v>6</v>
      </c>
      <c r="Q286">
        <f>IFERROR(__xludf.DUMMYFUNCTION("""COMPUTED_VALUE"""),1.0)</f>
        <v>1</v>
      </c>
      <c r="R286" s="45" t="str">
        <f>IFERROR(__xludf.DUMMYFUNCTION("""COMPUTED_VALUE"""),"SELECCIONADA")</f>
        <v>SELECCIONADA</v>
      </c>
      <c r="S286" s="38">
        <f>IFERROR(__xludf.DUMMYFUNCTION("""COMPUTED_VALUE"""),43010.0)</f>
        <v>43010</v>
      </c>
      <c r="U286" t="str">
        <f>IFERROR(__xludf.DUMMYFUNCTION("""COMPUTED_VALUE"""),"ROSA MARIN TOLEDO")</f>
        <v>ROSA MARIN TOLEDO</v>
      </c>
      <c r="V286" t="str">
        <f>IFERROR(__xludf.DUMMYFUNCTION("""COMPUTED_VALUE"""),"16588861-8")</f>
        <v>16588861-8</v>
      </c>
      <c r="W286" t="str">
        <f>IFERROR(__xludf.DUMMYFUNCTION("""COMPUTED_VALUE"""),"SI")</f>
        <v>SI</v>
      </c>
      <c r="X286" t="str">
        <f>IFERROR(__xludf.DUMMYFUNCTION("""COMPUTED_VALUE"""),"PENSAMIENTO ANALITICO")</f>
        <v>PENSAMIENTO ANALITICO</v>
      </c>
      <c r="Y286" t="str">
        <f>IFERROR(__xludf.DUMMYFUNCTION("""COMPUTED_VALUE"""),"ORIENTACION A LOS RESULTADOS")</f>
        <v>ORIENTACION A LOS RESULTADOS</v>
      </c>
      <c r="AA286" s="38">
        <f>IFERROR(__xludf.DUMMYFUNCTION("""COMPUTED_VALUE"""),42937.0)</f>
        <v>42937</v>
      </c>
      <c r="AB286" s="38">
        <f>IFERROR(__xludf.DUMMYFUNCTION("""COMPUTED_VALUE"""),42978.0)</f>
        <v>42978</v>
      </c>
      <c r="AH286" t="str">
        <f>IFERROR(__xludf.DUMMYFUNCTION("""COMPUTED_VALUE"""),"PROCESO DE SELECCIÓN")</f>
        <v>PROCESO DE SELECCIÓN</v>
      </c>
      <c r="AI286" t="str">
        <f>IFERROR(__xludf.DUMMYFUNCTION("""COMPUTED_VALUE"""),"MARIA MALDONADO IBACETA")</f>
        <v>MARIA MALDONADO IBACETA</v>
      </c>
      <c r="AL286">
        <f>IFERROR(__xludf.DUMMYFUNCTION("""COMPUTED_VALUE"""),23.0)</f>
        <v>23</v>
      </c>
      <c r="AM286">
        <f>IFERROR(__xludf.DUMMYFUNCTION("""COMPUTED_VALUE"""),2017.0)</f>
        <v>2017</v>
      </c>
    </row>
    <row r="287">
      <c r="A287">
        <f>IFERROR(__xludf.DUMMYFUNCTION("""COMPUTED_VALUE"""),1.6808508E7)</f>
        <v>16808508</v>
      </c>
      <c r="B287">
        <f>IFERROR(__xludf.DUMMYFUNCTION("""COMPUTED_VALUE"""),61.0)</f>
        <v>61</v>
      </c>
      <c r="D287" t="str">
        <f>IFERROR(__xludf.DUMMYFUNCTION("""COMPUTED_VALUE"""),"INGRESAR CENTRO DE COSTO A LA DERECHA")</f>
        <v>INGRESAR CENTRO DE COSTO A LA DERECHA</v>
      </c>
      <c r="E287" t="str">
        <f>IFERROR(__xludf.DUMMYFUNCTION("""COMPUTED_VALUE"""),"DIR. DE ASISTENCIA JURIDICA")</f>
        <v>DIR. DE ASISTENCIA JURIDICA</v>
      </c>
      <c r="F287" t="str">
        <f>IFERROR(__xludf.DUMMYFUNCTION("""COMPUTED_VALUE"""),"Abogado(a) Control de Contratos")</f>
        <v>Abogado(a) Control de Contratos</v>
      </c>
      <c r="G287" t="str">
        <f>IFERROR(__xludf.DUMMYFUNCTION("""COMPUTED_VALUE"""),"ABOGADO")</f>
        <v>ABOGADO</v>
      </c>
      <c r="H287">
        <f>IFERROR(__xludf.DUMMYFUNCTION("""COMPUTED_VALUE"""),6.0)</f>
        <v>6</v>
      </c>
      <c r="I287" t="str">
        <f>IFERROR(__xludf.DUMMYFUNCTION("""COMPUTED_VALUE"""),"Jornada Completa")</f>
        <v>Jornada Completa</v>
      </c>
      <c r="J287" t="str">
        <f>IFERROR(__xludf.DUMMYFUNCTION("""COMPUTED_VALUE"""),"A CONTRATA")</f>
        <v>A CONTRATA</v>
      </c>
      <c r="K287" t="str">
        <f>IFERROR(__xludf.DUMMYFUNCTION("""COMPUTED_VALUE"""),"PROFESIONAL")</f>
        <v>PROFESIONAL</v>
      </c>
      <c r="L287" t="str">
        <f>IFERROR(__xludf.DUMMYFUNCTION("""COMPUTED_VALUE"""),"NO")</f>
        <v>NO</v>
      </c>
      <c r="M287">
        <f>IFERROR(__xludf.DUMMYFUNCTION("""COMPUTED_VALUE"""),0.0)</f>
        <v>0</v>
      </c>
      <c r="N287" t="str">
        <f>IFERROR(__xludf.DUMMYFUNCTION("""COMPUTED_VALUE"""),"EXTERNO")</f>
        <v>EXTERNO</v>
      </c>
      <c r="O287">
        <f>IFERROR(__xludf.DUMMYFUNCTION("""COMPUTED_VALUE"""),87.0)</f>
        <v>87</v>
      </c>
      <c r="P287">
        <f>IFERROR(__xludf.DUMMYFUNCTION("""COMPUTED_VALUE"""),6.0)</f>
        <v>6</v>
      </c>
      <c r="Q287">
        <f>IFERROR(__xludf.DUMMYFUNCTION("""COMPUTED_VALUE"""),1.0)</f>
        <v>1</v>
      </c>
      <c r="R287" s="45" t="str">
        <f>IFERROR(__xludf.DUMMYFUNCTION("""COMPUTED_VALUE"""),"SELECCIONADA")</f>
        <v>SELECCIONADA</v>
      </c>
      <c r="S287" s="38">
        <f>IFERROR(__xludf.DUMMYFUNCTION("""COMPUTED_VALUE"""),43010.0)</f>
        <v>43010</v>
      </c>
      <c r="U287" t="str">
        <f>IFERROR(__xludf.DUMMYFUNCTION("""COMPUTED_VALUE"""),"MELISSA OSSES VELASQUEZ")</f>
        <v>MELISSA OSSES VELASQUEZ</v>
      </c>
      <c r="V287" t="str">
        <f>IFERROR(__xludf.DUMMYFUNCTION("""COMPUTED_VALUE"""),"16808508-7")</f>
        <v>16808508-7</v>
      </c>
      <c r="W287" t="str">
        <f>IFERROR(__xludf.DUMMYFUNCTION("""COMPUTED_VALUE"""),"NO")</f>
        <v>NO</v>
      </c>
      <c r="AA287" s="38">
        <f>IFERROR(__xludf.DUMMYFUNCTION("""COMPUTED_VALUE"""),42937.0)</f>
        <v>42937</v>
      </c>
      <c r="AB287" s="38">
        <f>IFERROR(__xludf.DUMMYFUNCTION("""COMPUTED_VALUE"""),42978.0)</f>
        <v>42978</v>
      </c>
      <c r="AH287" t="str">
        <f>IFERROR(__xludf.DUMMYFUNCTION("""COMPUTED_VALUE"""),"PROCESO DE SELECCIÓN")</f>
        <v>PROCESO DE SELECCIÓN</v>
      </c>
      <c r="AI287" t="str">
        <f>IFERROR(__xludf.DUMMYFUNCTION("""COMPUTED_VALUE"""),"AUTORIZADO 2017")</f>
        <v>AUTORIZADO 2017</v>
      </c>
      <c r="AL287">
        <f>IFERROR(__xludf.DUMMYFUNCTION("""COMPUTED_VALUE"""),23.0)</f>
        <v>23</v>
      </c>
      <c r="AM287">
        <f>IFERROR(__xludf.DUMMYFUNCTION("""COMPUTED_VALUE"""),2017.0)</f>
        <v>2017</v>
      </c>
    </row>
    <row r="288">
      <c r="A288">
        <f>IFERROR(__xludf.DUMMYFUNCTION("""COMPUTED_VALUE"""),1.6277161E7)</f>
        <v>16277161</v>
      </c>
      <c r="B288">
        <f>IFERROR(__xludf.DUMMYFUNCTION("""COMPUTED_VALUE"""),62.0)</f>
        <v>62</v>
      </c>
      <c r="D288" t="str">
        <f>IFERROR(__xludf.DUMMYFUNCTION("""COMPUTED_VALUE"""),"INGRESAR CENTRO DE COSTO A LA DERECHA")</f>
        <v>INGRESAR CENTRO DE COSTO A LA DERECHA</v>
      </c>
      <c r="E288" t="str">
        <f>IFERROR(__xludf.DUMMYFUNCTION("""COMPUTED_VALUE"""),"DIR. DE ASISTENCIA JURIDICA")</f>
        <v>DIR. DE ASISTENCIA JURIDICA</v>
      </c>
      <c r="F288" t="str">
        <f>IFERROR(__xludf.DUMMYFUNCTION("""COMPUTED_VALUE"""),"Abogado(a) Dirección Juridica")</f>
        <v>Abogado(a) Dirección Juridica</v>
      </c>
      <c r="G288" t="str">
        <f>IFERROR(__xludf.DUMMYFUNCTION("""COMPUTED_VALUE"""),"ABOGADO")</f>
        <v>ABOGADO</v>
      </c>
      <c r="H288">
        <f>IFERROR(__xludf.DUMMYFUNCTION("""COMPUTED_VALUE"""),6.0)</f>
        <v>6</v>
      </c>
      <c r="I288" t="str">
        <f>IFERROR(__xludf.DUMMYFUNCTION("""COMPUTED_VALUE"""),"Jornada Completa")</f>
        <v>Jornada Completa</v>
      </c>
      <c r="J288" t="str">
        <f>IFERROR(__xludf.DUMMYFUNCTION("""COMPUTED_VALUE"""),"A CONTRATA")</f>
        <v>A CONTRATA</v>
      </c>
      <c r="K288" t="str">
        <f>IFERROR(__xludf.DUMMYFUNCTION("""COMPUTED_VALUE"""),"PROFESIONAL")</f>
        <v>PROFESIONAL</v>
      </c>
      <c r="L288" t="str">
        <f>IFERROR(__xludf.DUMMYFUNCTION("""COMPUTED_VALUE"""),"NO")</f>
        <v>NO</v>
      </c>
      <c r="M288">
        <f>IFERROR(__xludf.DUMMYFUNCTION("""COMPUTED_VALUE"""),0.0)</f>
        <v>0</v>
      </c>
      <c r="N288" t="str">
        <f>IFERROR(__xludf.DUMMYFUNCTION("""COMPUTED_VALUE"""),"EXTERNO")</f>
        <v>EXTERNO</v>
      </c>
      <c r="O288">
        <f>IFERROR(__xludf.DUMMYFUNCTION("""COMPUTED_VALUE"""),87.0)</f>
        <v>87</v>
      </c>
      <c r="P288">
        <f>IFERROR(__xludf.DUMMYFUNCTION("""COMPUTED_VALUE"""),6.0)</f>
        <v>6</v>
      </c>
      <c r="Q288">
        <f>IFERROR(__xludf.DUMMYFUNCTION("""COMPUTED_VALUE"""),1.0)</f>
        <v>1</v>
      </c>
      <c r="R288" s="45" t="str">
        <f>IFERROR(__xludf.DUMMYFUNCTION("""COMPUTED_VALUE"""),"SELECCIONADO")</f>
        <v>SELECCIONADO</v>
      </c>
      <c r="S288" s="38">
        <f>IFERROR(__xludf.DUMMYFUNCTION("""COMPUTED_VALUE"""),43010.0)</f>
        <v>43010</v>
      </c>
      <c r="U288" t="str">
        <f>IFERROR(__xludf.DUMMYFUNCTION("""COMPUTED_VALUE"""),"JOSE GUTIERREZ FERNANDEZ")</f>
        <v>JOSE GUTIERREZ FERNANDEZ</v>
      </c>
      <c r="V288" t="str">
        <f>IFERROR(__xludf.DUMMYFUNCTION("""COMPUTED_VALUE"""),"16277161-2")</f>
        <v>16277161-2</v>
      </c>
      <c r="W288" t="str">
        <f>IFERROR(__xludf.DUMMYFUNCTION("""COMPUTED_VALUE"""),"NO")</f>
        <v>NO</v>
      </c>
      <c r="AA288" s="38">
        <f>IFERROR(__xludf.DUMMYFUNCTION("""COMPUTED_VALUE"""),42937.0)</f>
        <v>42937</v>
      </c>
      <c r="AB288" s="38">
        <f>IFERROR(__xludf.DUMMYFUNCTION("""COMPUTED_VALUE"""),42978.0)</f>
        <v>42978</v>
      </c>
      <c r="AH288" t="str">
        <f>IFERROR(__xludf.DUMMYFUNCTION("""COMPUTED_VALUE"""),"PROCESO DE SELECCIÓN")</f>
        <v>PROCESO DE SELECCIÓN</v>
      </c>
      <c r="AI288" t="str">
        <f>IFERROR(__xludf.DUMMYFUNCTION("""COMPUTED_VALUE"""),"AUTORIZADO 2017")</f>
        <v>AUTORIZADO 2017</v>
      </c>
      <c r="AL288">
        <f>IFERROR(__xludf.DUMMYFUNCTION("""COMPUTED_VALUE"""),23.0)</f>
        <v>23</v>
      </c>
      <c r="AM288">
        <f>IFERROR(__xludf.DUMMYFUNCTION("""COMPUTED_VALUE"""),2017.0)</f>
        <v>2017</v>
      </c>
    </row>
    <row r="289">
      <c r="A289">
        <f>IFERROR(__xludf.DUMMYFUNCTION("""COMPUTED_VALUE"""),1.6428238E7)</f>
        <v>16428238</v>
      </c>
      <c r="B289">
        <f>IFERROR(__xludf.DUMMYFUNCTION("""COMPUTED_VALUE"""),63.0)</f>
        <v>63</v>
      </c>
      <c r="D289" t="str">
        <f>IFERROR(__xludf.DUMMYFUNCTION("""COMPUTED_VALUE"""),"INGRESAR CENTRO DE COSTO A LA DERECHA")</f>
        <v>INGRESAR CENTRO DE COSTO A LA DERECHA</v>
      </c>
      <c r="E289" t="str">
        <f>IFERROR(__xludf.DUMMYFUNCTION("""COMPUTED_VALUE"""),"DIR. DE ASISTENCIA JURIDICA")</f>
        <v>DIR. DE ASISTENCIA JURIDICA</v>
      </c>
      <c r="F289" t="str">
        <f>IFERROR(__xludf.DUMMYFUNCTION("""COMPUTED_VALUE"""),"Abogado(a) Dirección Juridica")</f>
        <v>Abogado(a) Dirección Juridica</v>
      </c>
      <c r="G289" t="str">
        <f>IFERROR(__xludf.DUMMYFUNCTION("""COMPUTED_VALUE"""),"ABOGADO")</f>
        <v>ABOGADO</v>
      </c>
      <c r="H289">
        <f>IFERROR(__xludf.DUMMYFUNCTION("""COMPUTED_VALUE"""),6.0)</f>
        <v>6</v>
      </c>
      <c r="I289" t="str">
        <f>IFERROR(__xludf.DUMMYFUNCTION("""COMPUTED_VALUE"""),"Jornada Completa")</f>
        <v>Jornada Completa</v>
      </c>
      <c r="J289" t="str">
        <f>IFERROR(__xludf.DUMMYFUNCTION("""COMPUTED_VALUE"""),"A CONTRATA")</f>
        <v>A CONTRATA</v>
      </c>
      <c r="K289" t="str">
        <f>IFERROR(__xludf.DUMMYFUNCTION("""COMPUTED_VALUE"""),"PROFESIONAL")</f>
        <v>PROFESIONAL</v>
      </c>
      <c r="L289" t="str">
        <f>IFERROR(__xludf.DUMMYFUNCTION("""COMPUTED_VALUE"""),"NO")</f>
        <v>NO</v>
      </c>
      <c r="M289">
        <f>IFERROR(__xludf.DUMMYFUNCTION("""COMPUTED_VALUE"""),0.0)</f>
        <v>0</v>
      </c>
      <c r="N289" t="str">
        <f>IFERROR(__xludf.DUMMYFUNCTION("""COMPUTED_VALUE"""),"EXTERNO")</f>
        <v>EXTERNO</v>
      </c>
      <c r="O289">
        <f>IFERROR(__xludf.DUMMYFUNCTION("""COMPUTED_VALUE"""),87.0)</f>
        <v>87</v>
      </c>
      <c r="P289">
        <f>IFERROR(__xludf.DUMMYFUNCTION("""COMPUTED_VALUE"""),6.0)</f>
        <v>6</v>
      </c>
      <c r="Q289">
        <f>IFERROR(__xludf.DUMMYFUNCTION("""COMPUTED_VALUE"""),1.0)</f>
        <v>1</v>
      </c>
      <c r="R289" s="45" t="str">
        <f>IFERROR(__xludf.DUMMYFUNCTION("""COMPUTED_VALUE"""),"SELECCIONADA")</f>
        <v>SELECCIONADA</v>
      </c>
      <c r="S289" s="38">
        <f>IFERROR(__xludf.DUMMYFUNCTION("""COMPUTED_VALUE"""),42983.0)</f>
        <v>42983</v>
      </c>
      <c r="U289" t="str">
        <f>IFERROR(__xludf.DUMMYFUNCTION("""COMPUTED_VALUE"""),"ELISA ARAUS SALAZAR")</f>
        <v>ELISA ARAUS SALAZAR</v>
      </c>
      <c r="V289" t="str">
        <f>IFERROR(__xludf.DUMMYFUNCTION("""COMPUTED_VALUE"""),"16428238-4")</f>
        <v>16428238-4</v>
      </c>
      <c r="W289" t="str">
        <f>IFERROR(__xludf.DUMMYFUNCTION("""COMPUTED_VALUE"""),"NO")</f>
        <v>NO</v>
      </c>
      <c r="AA289" s="38">
        <f>IFERROR(__xludf.DUMMYFUNCTION("""COMPUTED_VALUE"""),42937.0)</f>
        <v>42937</v>
      </c>
      <c r="AB289" s="38">
        <f>IFERROR(__xludf.DUMMYFUNCTION("""COMPUTED_VALUE"""),42978.0)</f>
        <v>42978</v>
      </c>
      <c r="AH289" t="str">
        <f>IFERROR(__xludf.DUMMYFUNCTION("""COMPUTED_VALUE"""),"PROCESO DE SELECCIÓN")</f>
        <v>PROCESO DE SELECCIÓN</v>
      </c>
      <c r="AI289" t="str">
        <f>IFERROR(__xludf.DUMMYFUNCTION("""COMPUTED_VALUE"""),"AUTORIZADO 2017")</f>
        <v>AUTORIZADO 2017</v>
      </c>
      <c r="AL289">
        <f>IFERROR(__xludf.DUMMYFUNCTION("""COMPUTED_VALUE"""),4.0)</f>
        <v>4</v>
      </c>
      <c r="AM289">
        <f>IFERROR(__xludf.DUMMYFUNCTION("""COMPUTED_VALUE"""),2017.0)</f>
        <v>2017</v>
      </c>
    </row>
    <row r="290">
      <c r="A290">
        <f>IFERROR(__xludf.DUMMYFUNCTION("""COMPUTED_VALUE"""),1.3683206E7)</f>
        <v>13683206</v>
      </c>
      <c r="B290">
        <f>IFERROR(__xludf.DUMMYFUNCTION("""COMPUTED_VALUE"""),64.0)</f>
        <v>64</v>
      </c>
      <c r="D290" t="str">
        <f>IFERROR(__xludf.DUMMYFUNCTION("""COMPUTED_VALUE"""),"INGRESAR CENTRO DE COSTO A LA DERECHA")</f>
        <v>INGRESAR CENTRO DE COSTO A LA DERECHA</v>
      </c>
      <c r="E290" t="str">
        <f>IFERROR(__xludf.DUMMYFUNCTION("""COMPUTED_VALUE"""),"DIR. DE ASISTENCIA JURIDICA")</f>
        <v>DIR. DE ASISTENCIA JURIDICA</v>
      </c>
      <c r="F290" t="str">
        <f>IFERROR(__xludf.DUMMYFUNCTION("""COMPUTED_VALUE"""),"Abogado(a) Dirección Juridica")</f>
        <v>Abogado(a) Dirección Juridica</v>
      </c>
      <c r="G290" t="str">
        <f>IFERROR(__xludf.DUMMYFUNCTION("""COMPUTED_VALUE"""),"ABOGADO")</f>
        <v>ABOGADO</v>
      </c>
      <c r="H290">
        <f>IFERROR(__xludf.DUMMYFUNCTION("""COMPUTED_VALUE"""),6.0)</f>
        <v>6</v>
      </c>
      <c r="I290" t="str">
        <f>IFERROR(__xludf.DUMMYFUNCTION("""COMPUTED_VALUE"""),"Jornada Completa")</f>
        <v>Jornada Completa</v>
      </c>
      <c r="J290" t="str">
        <f>IFERROR(__xludf.DUMMYFUNCTION("""COMPUTED_VALUE"""),"A CONTRATA")</f>
        <v>A CONTRATA</v>
      </c>
      <c r="K290" t="str">
        <f>IFERROR(__xludf.DUMMYFUNCTION("""COMPUTED_VALUE"""),"PROFESIONAL")</f>
        <v>PROFESIONAL</v>
      </c>
      <c r="L290" t="str">
        <f>IFERROR(__xludf.DUMMYFUNCTION("""COMPUTED_VALUE"""),"NO")</f>
        <v>NO</v>
      </c>
      <c r="M290">
        <f>IFERROR(__xludf.DUMMYFUNCTION("""COMPUTED_VALUE"""),0.0)</f>
        <v>0</v>
      </c>
      <c r="N290" t="str">
        <f>IFERROR(__xludf.DUMMYFUNCTION("""COMPUTED_VALUE"""),"EXTERNO")</f>
        <v>EXTERNO</v>
      </c>
      <c r="O290">
        <f>IFERROR(__xludf.DUMMYFUNCTION("""COMPUTED_VALUE"""),87.0)</f>
        <v>87</v>
      </c>
      <c r="P290">
        <f>IFERROR(__xludf.DUMMYFUNCTION("""COMPUTED_VALUE"""),6.0)</f>
        <v>6</v>
      </c>
      <c r="Q290">
        <f>IFERROR(__xludf.DUMMYFUNCTION("""COMPUTED_VALUE"""),1.0)</f>
        <v>1</v>
      </c>
      <c r="R290" s="45" t="str">
        <f>IFERROR(__xludf.DUMMYFUNCTION("""COMPUTED_VALUE"""),"SELECCIONADO")</f>
        <v>SELECCIONADO</v>
      </c>
      <c r="S290" s="38">
        <f>IFERROR(__xludf.DUMMYFUNCTION("""COMPUTED_VALUE"""),42983.0)</f>
        <v>42983</v>
      </c>
      <c r="U290" t="str">
        <f>IFERROR(__xludf.DUMMYFUNCTION("""COMPUTED_VALUE"""),"CARLOS GUAZZINI YAÑEZ")</f>
        <v>CARLOS GUAZZINI YAÑEZ</v>
      </c>
      <c r="V290" t="str">
        <f>IFERROR(__xludf.DUMMYFUNCTION("""COMPUTED_VALUE"""),"13683206-9")</f>
        <v>13683206-9</v>
      </c>
      <c r="W290" t="str">
        <f>IFERROR(__xludf.DUMMYFUNCTION("""COMPUTED_VALUE"""),"SI")</f>
        <v>SI</v>
      </c>
      <c r="X290" t="str">
        <f>IFERROR(__xludf.DUMMYFUNCTION("""COMPUTED_VALUE"""),"PENSAMIENTO ANALITICO")</f>
        <v>PENSAMIENTO ANALITICO</v>
      </c>
      <c r="AA290" s="38">
        <f>IFERROR(__xludf.DUMMYFUNCTION("""COMPUTED_VALUE"""),42937.0)</f>
        <v>42937</v>
      </c>
      <c r="AB290" s="38">
        <f>IFERROR(__xludf.DUMMYFUNCTION("""COMPUTED_VALUE"""),42978.0)</f>
        <v>42978</v>
      </c>
      <c r="AH290" t="str">
        <f>IFERROR(__xludf.DUMMYFUNCTION("""COMPUTED_VALUE"""),"PROCESO DE SELECCIÓN")</f>
        <v>PROCESO DE SELECCIÓN</v>
      </c>
      <c r="AI290" t="str">
        <f>IFERROR(__xludf.DUMMYFUNCTION("""COMPUTED_VALUE"""),"AUTORIZADO 2017")</f>
        <v>AUTORIZADO 2017</v>
      </c>
      <c r="AL290">
        <f>IFERROR(__xludf.DUMMYFUNCTION("""COMPUTED_VALUE"""),4.0)</f>
        <v>4</v>
      </c>
      <c r="AM290">
        <f>IFERROR(__xludf.DUMMYFUNCTION("""COMPUTED_VALUE"""),2017.0)</f>
        <v>2017</v>
      </c>
    </row>
    <row r="291">
      <c r="A291">
        <f>IFERROR(__xludf.DUMMYFUNCTION("""COMPUTED_VALUE"""),1.1434305E7)</f>
        <v>11434305</v>
      </c>
      <c r="B291">
        <f>IFERROR(__xludf.DUMMYFUNCTION("""COMPUTED_VALUE"""),65.0)</f>
        <v>65</v>
      </c>
      <c r="D291" t="str">
        <f>IFERROR(__xludf.DUMMYFUNCTION("""COMPUTED_VALUE"""),"INGRESAR CENTRO DE COSTO A LA DERECHA")</f>
        <v>INGRESAR CENTRO DE COSTO A LA DERECHA</v>
      </c>
      <c r="E291" t="str">
        <f>IFERROR(__xludf.DUMMYFUNCTION("""COMPUTED_VALUE"""),"FACULTAD DE CIENCIAS MEDICAS")</f>
        <v>FACULTAD DE CIENCIAS MEDICAS</v>
      </c>
      <c r="F291" t="str">
        <f>IFERROR(__xludf.DUMMYFUNCTION("""COMPUTED_VALUE"""),"Secretario(a) de Apoyo Docente")</f>
        <v>Secretario(a) de Apoyo Docente</v>
      </c>
      <c r="G291" t="str">
        <f>IFERROR(__xludf.DUMMYFUNCTION("""COMPUTED_VALUE"""),"SECRETARIA DE APOYO DOCENTE ( HOSPITAL EL CARMEN)")</f>
        <v>SECRETARIA DE APOYO DOCENTE ( HOSPITAL EL CARMEN)</v>
      </c>
      <c r="H291">
        <f>IFERROR(__xludf.DUMMYFUNCTION("""COMPUTED_VALUE"""),17.0)</f>
        <v>17</v>
      </c>
      <c r="I291" t="str">
        <f>IFERROR(__xludf.DUMMYFUNCTION("""COMPUTED_VALUE"""),"Jornada Completa")</f>
        <v>Jornada Completa</v>
      </c>
      <c r="J291" t="str">
        <f>IFERROR(__xludf.DUMMYFUNCTION("""COMPUTED_VALUE"""),"A CONTRATA")</f>
        <v>A CONTRATA</v>
      </c>
      <c r="K291" t="str">
        <f>IFERROR(__xludf.DUMMYFUNCTION("""COMPUTED_VALUE"""),"ADMINISTRATIVO")</f>
        <v>ADMINISTRATIVO</v>
      </c>
      <c r="L291" t="str">
        <f>IFERROR(__xludf.DUMMYFUNCTION("""COMPUTED_VALUE"""),"INTERNO")</f>
        <v>INTERNO</v>
      </c>
      <c r="M291">
        <f>IFERROR(__xludf.DUMMYFUNCTION("""COMPUTED_VALUE"""),0.0)</f>
        <v>0</v>
      </c>
      <c r="N291" t="str">
        <f>IFERROR(__xludf.DUMMYFUNCTION("""COMPUTED_VALUE"""),"EXTERNO")</f>
        <v>EXTERNO</v>
      </c>
      <c r="O291">
        <f>IFERROR(__xludf.DUMMYFUNCTION("""COMPUTED_VALUE"""),23.0)</f>
        <v>23</v>
      </c>
      <c r="P291">
        <f>IFERROR(__xludf.DUMMYFUNCTION("""COMPUTED_VALUE"""),1.0)</f>
        <v>1</v>
      </c>
      <c r="Q291">
        <f>IFERROR(__xludf.DUMMYFUNCTION("""COMPUTED_VALUE"""),1.0)</f>
        <v>1</v>
      </c>
      <c r="R291" s="45" t="str">
        <f>IFERROR(__xludf.DUMMYFUNCTION("""COMPUTED_VALUE"""),"SELECCIONADA")</f>
        <v>SELECCIONADA</v>
      </c>
      <c r="S291" s="38">
        <f>IFERROR(__xludf.DUMMYFUNCTION("""COMPUTED_VALUE"""),42983.0)</f>
        <v>42983</v>
      </c>
      <c r="U291" t="str">
        <f>IFERROR(__xludf.DUMMYFUNCTION("""COMPUTED_VALUE"""),"YOLANDA LEON PARDO")</f>
        <v>YOLANDA LEON PARDO</v>
      </c>
      <c r="V291" t="str">
        <f>IFERROR(__xludf.DUMMYFUNCTION("""COMPUTED_VALUE"""),"11434305-6")</f>
        <v>11434305-6</v>
      </c>
      <c r="W291" t="str">
        <f>IFERROR(__xludf.DUMMYFUNCTION("""COMPUTED_VALUE"""),"NO")</f>
        <v>NO</v>
      </c>
      <c r="AA291" s="38">
        <f>IFERROR(__xludf.DUMMYFUNCTION("""COMPUTED_VALUE"""),42936.0)</f>
        <v>42936</v>
      </c>
      <c r="AB291" s="38">
        <f>IFERROR(__xludf.DUMMYFUNCTION("""COMPUTED_VALUE"""),42943.0)</f>
        <v>42943</v>
      </c>
      <c r="AH291" t="str">
        <f>IFERROR(__xludf.DUMMYFUNCTION("""COMPUTED_VALUE"""),"PROCESO DE SELECCIÓN")</f>
        <v>PROCESO DE SELECCIÓN</v>
      </c>
      <c r="AI291" t="str">
        <f>IFERROR(__xludf.DUMMYFUNCTION("""COMPUTED_VALUE"""),"BUSCAR")</f>
        <v>BUSCAR</v>
      </c>
      <c r="AL291">
        <f>IFERROR(__xludf.DUMMYFUNCTION("""COMPUTED_VALUE"""),29.0)</f>
        <v>29</v>
      </c>
      <c r="AM291">
        <f>IFERROR(__xludf.DUMMYFUNCTION("""COMPUTED_VALUE"""),2017.0)</f>
        <v>2017</v>
      </c>
    </row>
    <row r="292">
      <c r="A292">
        <f>IFERROR(__xludf.DUMMYFUNCTION("""COMPUTED_VALUE"""),1.112364E7)</f>
        <v>11123640</v>
      </c>
      <c r="B292">
        <f>IFERROR(__xludf.DUMMYFUNCTION("""COMPUTED_VALUE"""),66.0)</f>
        <v>66</v>
      </c>
      <c r="D292" t="str">
        <f>IFERROR(__xludf.DUMMYFUNCTION("""COMPUTED_VALUE"""),"INGRESAR CENTRO DE COSTO A LA DERECHA")</f>
        <v>INGRESAR CENTRO DE COSTO A LA DERECHA</v>
      </c>
      <c r="E292" t="str">
        <f>IFERROR(__xludf.DUMMYFUNCTION("""COMPUTED_VALUE"""),"DPTO. DE INGENIERIA OBRAS CIVILES")</f>
        <v>DPTO. DE INGENIERIA OBRAS CIVILES</v>
      </c>
      <c r="F292" t="str">
        <f>IFERROR(__xludf.DUMMYFUNCTION("""COMPUTED_VALUE"""),"Mayordomo(a)")</f>
        <v>Mayordomo(a)</v>
      </c>
      <c r="G292" t="str">
        <f>IFERROR(__xludf.DUMMYFUNCTION("""COMPUTED_VALUE"""),"MAYORDOMO")</f>
        <v>MAYORDOMO</v>
      </c>
      <c r="H292">
        <f>IFERROR(__xludf.DUMMYFUNCTION("""COMPUTED_VALUE"""),21.0)</f>
        <v>21</v>
      </c>
      <c r="I292" t="str">
        <f>IFERROR(__xludf.DUMMYFUNCTION("""COMPUTED_VALUE"""),"Jornada Completa")</f>
        <v>Jornada Completa</v>
      </c>
      <c r="J292" t="str">
        <f>IFERROR(__xludf.DUMMYFUNCTION("""COMPUTED_VALUE"""),"A CONTRATA")</f>
        <v>A CONTRATA</v>
      </c>
      <c r="K292" t="str">
        <f>IFERROR(__xludf.DUMMYFUNCTION("""COMPUTED_VALUE"""),"AUXILIAR")</f>
        <v>AUXILIAR</v>
      </c>
      <c r="L292" t="str">
        <f>IFERROR(__xludf.DUMMYFUNCTION("""COMPUTED_VALUE"""),"INTERNO")</f>
        <v>INTERNO</v>
      </c>
      <c r="M292">
        <f>IFERROR(__xludf.DUMMYFUNCTION("""COMPUTED_VALUE"""),0.0)</f>
        <v>0</v>
      </c>
      <c r="N292" t="str">
        <f>IFERROR(__xludf.DUMMYFUNCTION("""COMPUTED_VALUE"""),"EXTERNO")</f>
        <v>EXTERNO</v>
      </c>
      <c r="O292">
        <f>IFERROR(__xludf.DUMMYFUNCTION("""COMPUTED_VALUE"""),3.0)</f>
        <v>3</v>
      </c>
      <c r="P292">
        <f>IFERROR(__xludf.DUMMYFUNCTION("""COMPUTED_VALUE"""),1.0)</f>
        <v>1</v>
      </c>
      <c r="Q292">
        <f>IFERROR(__xludf.DUMMYFUNCTION("""COMPUTED_VALUE"""),1.0)</f>
        <v>1</v>
      </c>
      <c r="R292" s="45" t="str">
        <f>IFERROR(__xludf.DUMMYFUNCTION("""COMPUTED_VALUE"""),"SELECCIONADO")</f>
        <v>SELECCIONADO</v>
      </c>
      <c r="S292" s="38">
        <f>IFERROR(__xludf.DUMMYFUNCTION("""COMPUTED_VALUE"""),43009.0)</f>
        <v>43009</v>
      </c>
      <c r="U292" t="str">
        <f>IFERROR(__xludf.DUMMYFUNCTION("""COMPUTED_VALUE"""),"MARCO FUENTES SAEZ")</f>
        <v>MARCO FUENTES SAEZ</v>
      </c>
      <c r="V292" t="str">
        <f>IFERROR(__xludf.DUMMYFUNCTION("""COMPUTED_VALUE"""),"11123640-2")</f>
        <v>11123640-2</v>
      </c>
      <c r="W292" t="str">
        <f>IFERROR(__xludf.DUMMYFUNCTION("""COMPUTED_VALUE"""),"NO")</f>
        <v>NO</v>
      </c>
      <c r="AA292" s="38">
        <f>IFERROR(__xludf.DUMMYFUNCTION("""COMPUTED_VALUE"""),42936.0)</f>
        <v>42936</v>
      </c>
      <c r="AB292" s="38">
        <f>IFERROR(__xludf.DUMMYFUNCTION("""COMPUTED_VALUE"""),42943.0)</f>
        <v>42943</v>
      </c>
      <c r="AH292" t="str">
        <f>IFERROR(__xludf.DUMMYFUNCTION("""COMPUTED_VALUE"""),"PROCESO DE SELECCIÓN")</f>
        <v>PROCESO DE SELECCIÓN</v>
      </c>
      <c r="AI292" t="str">
        <f>IFERROR(__xludf.DUMMYFUNCTION("""COMPUTED_VALUE"""),"JUAN CARLOS TRONCOSO ESCARATE")</f>
        <v>JUAN CARLOS TRONCOSO ESCARATE</v>
      </c>
      <c r="AL292">
        <f>IFERROR(__xludf.DUMMYFUNCTION("""COMPUTED_VALUE"""),47.0)</f>
        <v>47</v>
      </c>
      <c r="AM292">
        <f>IFERROR(__xludf.DUMMYFUNCTION("""COMPUTED_VALUE"""),2017.0)</f>
        <v>2017</v>
      </c>
    </row>
    <row r="293">
      <c r="A293">
        <f>IFERROR(__xludf.DUMMYFUNCTION("""COMPUTED_VALUE"""),1.8534953E7)</f>
        <v>18534953</v>
      </c>
      <c r="B293">
        <f>IFERROR(__xludf.DUMMYFUNCTION("""COMPUTED_VALUE"""),67.0)</f>
        <v>67</v>
      </c>
      <c r="D293" t="str">
        <f>IFERROR(__xludf.DUMMYFUNCTION("""COMPUTED_VALUE"""),"INGRESAR CENTRO DE COSTO A LA DERECHA")</f>
        <v>INGRESAR CENTRO DE COSTO A LA DERECHA</v>
      </c>
      <c r="E293" t="str">
        <f>IFERROR(__xludf.DUMMYFUNCTION("""COMPUTED_VALUE"""),"DPTO. DE INGENIERIA OBRAS CIVILES")</f>
        <v>DPTO. DE INGENIERIA OBRAS CIVILES</v>
      </c>
      <c r="F293" t="str">
        <f>IFERROR(__xludf.DUMMYFUNCTION("""COMPUTED_VALUE"""),"Encargado(a) Técnico(a) de Laboratorio")</f>
        <v>Encargado(a) Técnico(a) de Laboratorio</v>
      </c>
      <c r="G293" t="str">
        <f>IFERROR(__xludf.DUMMYFUNCTION("""COMPUTED_VALUE"""),"ENCARGADO TECNICO DE LABORATORIO")</f>
        <v>ENCARGADO TECNICO DE LABORATORIO</v>
      </c>
      <c r="H293">
        <f>IFERROR(__xludf.DUMMYFUNCTION("""COMPUTED_VALUE"""),14.0)</f>
        <v>14</v>
      </c>
      <c r="I293" t="str">
        <f>IFERROR(__xludf.DUMMYFUNCTION("""COMPUTED_VALUE"""),"Jornada Completa")</f>
        <v>Jornada Completa</v>
      </c>
      <c r="J293" t="str">
        <f>IFERROR(__xludf.DUMMYFUNCTION("""COMPUTED_VALUE"""),"A CONTRATA")</f>
        <v>A CONTRATA</v>
      </c>
      <c r="K293" t="str">
        <f>IFERROR(__xludf.DUMMYFUNCTION("""COMPUTED_VALUE"""),"TECNICO")</f>
        <v>TECNICO</v>
      </c>
      <c r="L293" t="str">
        <f>IFERROR(__xludf.DUMMYFUNCTION("""COMPUTED_VALUE"""),"NO")</f>
        <v>NO</v>
      </c>
      <c r="M293">
        <f>IFERROR(__xludf.DUMMYFUNCTION("""COMPUTED_VALUE"""),0.0)</f>
        <v>0</v>
      </c>
      <c r="N293" t="str">
        <f>IFERROR(__xludf.DUMMYFUNCTION("""COMPUTED_VALUE"""),"EXTERNO")</f>
        <v>EXTERNO</v>
      </c>
      <c r="O293">
        <f>IFERROR(__xludf.DUMMYFUNCTION("""COMPUTED_VALUE"""),6.0)</f>
        <v>6</v>
      </c>
      <c r="P293">
        <f>IFERROR(__xludf.DUMMYFUNCTION("""COMPUTED_VALUE"""),1.0)</f>
        <v>1</v>
      </c>
      <c r="Q293">
        <f>IFERROR(__xludf.DUMMYFUNCTION("""COMPUTED_VALUE"""),1.0)</f>
        <v>1</v>
      </c>
      <c r="R293" s="45" t="str">
        <f>IFERROR(__xludf.DUMMYFUNCTION("""COMPUTED_VALUE"""),"SELECCIONADO")</f>
        <v>SELECCIONADO</v>
      </c>
      <c r="S293" s="38">
        <f>IFERROR(__xludf.DUMMYFUNCTION("""COMPUTED_VALUE"""),43009.0)</f>
        <v>43009</v>
      </c>
      <c r="U293" t="str">
        <f>IFERROR(__xludf.DUMMYFUNCTION("""COMPUTED_VALUE"""),"DOUGLAS SUAREZ ZAMORANO")</f>
        <v>DOUGLAS SUAREZ ZAMORANO</v>
      </c>
      <c r="V293" t="str">
        <f>IFERROR(__xludf.DUMMYFUNCTION("""COMPUTED_VALUE"""),"18534953-5")</f>
        <v>18534953-5</v>
      </c>
      <c r="W293" t="str">
        <f>IFERROR(__xludf.DUMMYFUNCTION("""COMPUTED_VALUE"""),"SI")</f>
        <v>SI</v>
      </c>
      <c r="X293" t="str">
        <f>IFERROR(__xludf.DUMMYFUNCTION("""COMPUTED_VALUE"""),"CAPACIDAD DE PLANIFICACION Y ORGANIZACION")</f>
        <v>CAPACIDAD DE PLANIFICACION Y ORGANIZACION</v>
      </c>
      <c r="AA293" s="38">
        <f>IFERROR(__xludf.DUMMYFUNCTION("""COMPUTED_VALUE"""),42912.0)</f>
        <v>42912</v>
      </c>
      <c r="AB293" s="38">
        <f>IFERROR(__xludf.DUMMYFUNCTION("""COMPUTED_VALUE"""),42923.0)</f>
        <v>42923</v>
      </c>
      <c r="AH293" t="str">
        <f>IFERROR(__xludf.DUMMYFUNCTION("""COMPUTED_VALUE"""),"PROCESO DE SELECCIÓN")</f>
        <v>PROCESO DE SELECCIÓN</v>
      </c>
      <c r="AI293" t="str">
        <f>IFERROR(__xludf.DUMMYFUNCTION("""COMPUTED_VALUE"""),"AUTORIZADO 2017")</f>
        <v>AUTORIZADO 2017</v>
      </c>
      <c r="AL293">
        <f>IFERROR(__xludf.DUMMYFUNCTION("""COMPUTED_VALUE"""),61.0)</f>
        <v>61</v>
      </c>
      <c r="AM293">
        <f>IFERROR(__xludf.DUMMYFUNCTION("""COMPUTED_VALUE"""),2017.0)</f>
        <v>2017</v>
      </c>
    </row>
    <row r="294">
      <c r="A294">
        <f>IFERROR(__xludf.DUMMYFUNCTION("""COMPUTED_VALUE"""),1.8380085E7)</f>
        <v>18380085</v>
      </c>
      <c r="B294">
        <f>IFERROR(__xludf.DUMMYFUNCTION("""COMPUTED_VALUE"""),68.0)</f>
        <v>68</v>
      </c>
      <c r="D294" t="str">
        <f>IFERROR(__xludf.DUMMYFUNCTION("""COMPUTED_VALUE"""),"INGRESAR CENTRO DE COSTO A LA DERECHA")</f>
        <v>INGRESAR CENTRO DE COSTO A LA DERECHA</v>
      </c>
      <c r="E294" t="str">
        <f>IFERROR(__xludf.DUMMYFUNCTION("""COMPUTED_VALUE"""),"CONTRALORIA UNIVERSITARIA")</f>
        <v>CONTRALORIA UNIVERSITARIA</v>
      </c>
      <c r="F294" t="str">
        <f>IFERROR(__xludf.DUMMYFUNCTION("""COMPUTED_VALUE"""),"Administrativo(a) de Apoyo")</f>
        <v>Administrativo(a) de Apoyo</v>
      </c>
      <c r="G294" t="str">
        <f>IFERROR(__xludf.DUMMYFUNCTION("""COMPUTED_VALUE"""),"ADMINISTRATIVO DE APOYO")</f>
        <v>ADMINISTRATIVO DE APOYO</v>
      </c>
      <c r="H294">
        <f>IFERROR(__xludf.DUMMYFUNCTION("""COMPUTED_VALUE"""),20.0)</f>
        <v>20</v>
      </c>
      <c r="I294" t="str">
        <f>IFERROR(__xludf.DUMMYFUNCTION("""COMPUTED_VALUE"""),"Jornada Completa")</f>
        <v>Jornada Completa</v>
      </c>
      <c r="J294" t="str">
        <f>IFERROR(__xludf.DUMMYFUNCTION("""COMPUTED_VALUE"""),"A CONTRATA")</f>
        <v>A CONTRATA</v>
      </c>
      <c r="K294" t="str">
        <f>IFERROR(__xludf.DUMMYFUNCTION("""COMPUTED_VALUE"""),"ADMINISTRATIVO")</f>
        <v>ADMINISTRATIVO</v>
      </c>
      <c r="L294" t="str">
        <f>IFERROR(__xludf.DUMMYFUNCTION("""COMPUTED_VALUE"""),"INTERNO")</f>
        <v>INTERNO</v>
      </c>
      <c r="M294">
        <f>IFERROR(__xludf.DUMMYFUNCTION("""COMPUTED_VALUE"""),0.0)</f>
        <v>0</v>
      </c>
      <c r="N294" t="str">
        <f>IFERROR(__xludf.DUMMYFUNCTION("""COMPUTED_VALUE"""),"EXTERNO")</f>
        <v>EXTERNO</v>
      </c>
      <c r="O294">
        <f>IFERROR(__xludf.DUMMYFUNCTION("""COMPUTED_VALUE"""),8.0)</f>
        <v>8</v>
      </c>
      <c r="P294">
        <f>IFERROR(__xludf.DUMMYFUNCTION("""COMPUTED_VALUE"""),3.0)</f>
        <v>3</v>
      </c>
      <c r="Q294">
        <f>IFERROR(__xludf.DUMMYFUNCTION("""COMPUTED_VALUE"""),1.0)</f>
        <v>1</v>
      </c>
      <c r="R294" s="45" t="str">
        <f>IFERROR(__xludf.DUMMYFUNCTION("""COMPUTED_VALUE"""),"SELECCIONADO")</f>
        <v>SELECCIONADO</v>
      </c>
      <c r="S294" s="38">
        <f>IFERROR(__xludf.DUMMYFUNCTION("""COMPUTED_VALUE"""),42979.0)</f>
        <v>42979</v>
      </c>
      <c r="U294" t="str">
        <f>IFERROR(__xludf.DUMMYFUNCTION("""COMPUTED_VALUE"""),"ANTONIO VICENT CORTES")</f>
        <v>ANTONIO VICENT CORTES</v>
      </c>
      <c r="V294" t="str">
        <f>IFERROR(__xludf.DUMMYFUNCTION("""COMPUTED_VALUE"""),"18380085-K")</f>
        <v>18380085-K</v>
      </c>
      <c r="W294" t="str">
        <f>IFERROR(__xludf.DUMMYFUNCTION("""COMPUTED_VALUE"""),"NO")</f>
        <v>NO</v>
      </c>
      <c r="AA294" s="38">
        <f>IFERROR(__xludf.DUMMYFUNCTION("""COMPUTED_VALUE"""),42906.0)</f>
        <v>42906</v>
      </c>
      <c r="AB294" s="38">
        <f>IFERROR(__xludf.DUMMYFUNCTION("""COMPUTED_VALUE"""),42913.0)</f>
        <v>42913</v>
      </c>
      <c r="AH294" t="str">
        <f>IFERROR(__xludf.DUMMYFUNCTION("""COMPUTED_VALUE"""),"PROCESO DE SELECCIÓN")</f>
        <v>PROCESO DE SELECCIÓN</v>
      </c>
      <c r="AI294" t="str">
        <f>IFERROR(__xludf.DUMMYFUNCTION("""COMPUTED_VALUE"""),"RAUL ORTEGA ARANCIBIA")</f>
        <v>RAUL ORTEGA ARANCIBIA</v>
      </c>
      <c r="AL294">
        <f>IFERROR(__xludf.DUMMYFUNCTION("""COMPUTED_VALUE"""),49.0)</f>
        <v>49</v>
      </c>
      <c r="AM294">
        <f>IFERROR(__xludf.DUMMYFUNCTION("""COMPUTED_VALUE"""),2017.0)</f>
        <v>2017</v>
      </c>
    </row>
    <row r="295">
      <c r="A295">
        <f>IFERROR(__xludf.DUMMYFUNCTION("""COMPUTED_VALUE"""),1.8274489E7)</f>
        <v>18274489</v>
      </c>
      <c r="B295">
        <f>IFERROR(__xludf.DUMMYFUNCTION("""COMPUTED_VALUE"""),70.0)</f>
        <v>70</v>
      </c>
      <c r="D295" t="str">
        <f>IFERROR(__xludf.DUMMYFUNCTION("""COMPUTED_VALUE"""),"INGRESAR CENTRO DE COSTO A LA DERECHA")</f>
        <v>INGRESAR CENTRO DE COSTO A LA DERECHA</v>
      </c>
      <c r="E295" t="str">
        <f>IFERROR(__xludf.DUMMYFUNCTION("""COMPUTED_VALUE"""),"DPTO. DE INGENIERIA QUIMICA")</f>
        <v>DPTO. DE INGENIERIA QUIMICA</v>
      </c>
      <c r="F295" t="str">
        <f>IFERROR(__xludf.DUMMYFUNCTION("""COMPUTED_VALUE"""),"Encargado(a) Técnico(a) de Laboratorio")</f>
        <v>Encargado(a) Técnico(a) de Laboratorio</v>
      </c>
      <c r="G295" t="str">
        <f>IFERROR(__xludf.DUMMYFUNCTION("""COMPUTED_VALUE"""),"ENCARGADO TECNICO DE LABORATORIO")</f>
        <v>ENCARGADO TECNICO DE LABORATORIO</v>
      </c>
      <c r="H295">
        <f>IFERROR(__xludf.DUMMYFUNCTION("""COMPUTED_VALUE"""),14.0)</f>
        <v>14</v>
      </c>
      <c r="I295" t="str">
        <f>IFERROR(__xludf.DUMMYFUNCTION("""COMPUTED_VALUE"""),"Jornada Completa")</f>
        <v>Jornada Completa</v>
      </c>
      <c r="J295" t="str">
        <f>IFERROR(__xludf.DUMMYFUNCTION("""COMPUTED_VALUE"""),"A CONTRATA")</f>
        <v>A CONTRATA</v>
      </c>
      <c r="K295" t="str">
        <f>IFERROR(__xludf.DUMMYFUNCTION("""COMPUTED_VALUE"""),"TECNICO")</f>
        <v>TECNICO</v>
      </c>
      <c r="L295" t="str">
        <f>IFERROR(__xludf.DUMMYFUNCTION("""COMPUTED_VALUE"""),"INTERNO")</f>
        <v>INTERNO</v>
      </c>
      <c r="M295">
        <f>IFERROR(__xludf.DUMMYFUNCTION("""COMPUTED_VALUE"""),0.0)</f>
        <v>0</v>
      </c>
      <c r="N295" t="str">
        <f>IFERROR(__xludf.DUMMYFUNCTION("""COMPUTED_VALUE"""),"EXTERNO")</f>
        <v>EXTERNO</v>
      </c>
      <c r="O295">
        <f>IFERROR(__xludf.DUMMYFUNCTION("""COMPUTED_VALUE"""),7.0)</f>
        <v>7</v>
      </c>
      <c r="P295">
        <f>IFERROR(__xludf.DUMMYFUNCTION("""COMPUTED_VALUE"""),2.0)</f>
        <v>2</v>
      </c>
      <c r="Q295">
        <f>IFERROR(__xludf.DUMMYFUNCTION("""COMPUTED_VALUE"""),2.0)</f>
        <v>2</v>
      </c>
      <c r="R295" s="45" t="str">
        <f>IFERROR(__xludf.DUMMYFUNCTION("""COMPUTED_VALUE"""),"SELECCIONADA")</f>
        <v>SELECCIONADA</v>
      </c>
      <c r="S295" s="38">
        <f>IFERROR(__xludf.DUMMYFUNCTION("""COMPUTED_VALUE"""),42970.0)</f>
        <v>42970</v>
      </c>
      <c r="U295" t="str">
        <f>IFERROR(__xludf.DUMMYFUNCTION("""COMPUTED_VALUE"""),"JAVIERA OSORIO BRAVO")</f>
        <v>JAVIERA OSORIO BRAVO</v>
      </c>
      <c r="V295" t="str">
        <f>IFERROR(__xludf.DUMMYFUNCTION("""COMPUTED_VALUE"""),"18274489-1")</f>
        <v>18274489-1</v>
      </c>
      <c r="W295" t="str">
        <f>IFERROR(__xludf.DUMMYFUNCTION("""COMPUTED_VALUE"""),"SI")</f>
        <v>SI</v>
      </c>
      <c r="X295" t="str">
        <f>IFERROR(__xludf.DUMMYFUNCTION("""COMPUTED_VALUE"""),"CAPACIDAD DE PLANIFICACION Y ORGANIZACION")</f>
        <v>CAPACIDAD DE PLANIFICACION Y ORGANIZACION</v>
      </c>
      <c r="Y295" t="str">
        <f>IFERROR(__xludf.DUMMYFUNCTION("""COMPUTED_VALUE"""),"INICIATIVA")</f>
        <v>INICIATIVA</v>
      </c>
      <c r="Z295" t="str">
        <f>IFERROR(__xludf.DUMMYFUNCTION("""COMPUTED_VALUE"""),"ORIENTACION A LOS RESULTADOS")</f>
        <v>ORIENTACION A LOS RESULTADOS</v>
      </c>
      <c r="AA295" s="38">
        <f>IFERROR(__xludf.DUMMYFUNCTION("""COMPUTED_VALUE"""),42874.0)</f>
        <v>42874</v>
      </c>
      <c r="AB295" s="38">
        <f>IFERROR(__xludf.DUMMYFUNCTION("""COMPUTED_VALUE"""),42881.0)</f>
        <v>42881</v>
      </c>
      <c r="AH295" t="str">
        <f>IFERROR(__xludf.DUMMYFUNCTION("""COMPUTED_VALUE"""),"PROCESO DE SELECCIÓN")</f>
        <v>PROCESO DE SELECCIÓN</v>
      </c>
      <c r="AI295" t="str">
        <f>IFERROR(__xludf.DUMMYFUNCTION("""COMPUTED_VALUE"""),"BUSCAR")</f>
        <v>BUSCAR</v>
      </c>
      <c r="AL295">
        <f>IFERROR(__xludf.DUMMYFUNCTION("""COMPUTED_VALUE"""),64.0)</f>
        <v>64</v>
      </c>
      <c r="AM295">
        <f>IFERROR(__xludf.DUMMYFUNCTION("""COMPUTED_VALUE"""),2017.0)</f>
        <v>2017</v>
      </c>
    </row>
    <row r="296">
      <c r="A296">
        <f>IFERROR(__xludf.DUMMYFUNCTION("""COMPUTED_VALUE"""),1.0228277E7)</f>
        <v>10228277</v>
      </c>
      <c r="B296">
        <f>IFERROR(__xludf.DUMMYFUNCTION("""COMPUTED_VALUE"""),71.0)</f>
        <v>71</v>
      </c>
      <c r="D296" t="str">
        <f>IFERROR(__xludf.DUMMYFUNCTION("""COMPUTED_VALUE"""),"INGRESAR CENTRO DE COSTO A LA DERECHA")</f>
        <v>INGRESAR CENTRO DE COSTO A LA DERECHA</v>
      </c>
      <c r="E296" t="str">
        <f>IFERROR(__xludf.DUMMYFUNCTION("""COMPUTED_VALUE"""),"FACULTAD DE INGENIERIA")</f>
        <v>FACULTAD DE INGENIERIA</v>
      </c>
      <c r="F296" t="str">
        <f>IFERROR(__xludf.DUMMYFUNCTION("""COMPUTED_VALUE"""),"Administrativo(a) de Apoyo")</f>
        <v>Administrativo(a) de Apoyo</v>
      </c>
      <c r="G296" t="str">
        <f>IFERROR(__xludf.DUMMYFUNCTION("""COMPUTED_VALUE"""),"ADMINISTRATIVO DE APOYO")</f>
        <v>ADMINISTRATIVO DE APOYO</v>
      </c>
      <c r="H296">
        <f>IFERROR(__xludf.DUMMYFUNCTION("""COMPUTED_VALUE"""),20.0)</f>
        <v>20</v>
      </c>
      <c r="I296" t="str">
        <f>IFERROR(__xludf.DUMMYFUNCTION("""COMPUTED_VALUE"""),"Jornada Completa")</f>
        <v>Jornada Completa</v>
      </c>
      <c r="J296" t="str">
        <f>IFERROR(__xludf.DUMMYFUNCTION("""COMPUTED_VALUE"""),"A CONTRATA")</f>
        <v>A CONTRATA</v>
      </c>
      <c r="K296" t="str">
        <f>IFERROR(__xludf.DUMMYFUNCTION("""COMPUTED_VALUE"""),"ADMINISTRATIVO")</f>
        <v>ADMINISTRATIVO</v>
      </c>
      <c r="L296" t="str">
        <f>IFERROR(__xludf.DUMMYFUNCTION("""COMPUTED_VALUE"""),"INTERNO")</f>
        <v>INTERNO</v>
      </c>
      <c r="M296">
        <f>IFERROR(__xludf.DUMMYFUNCTION("""COMPUTED_VALUE"""),0.0)</f>
        <v>0</v>
      </c>
      <c r="N296" t="str">
        <f>IFERROR(__xludf.DUMMYFUNCTION("""COMPUTED_VALUE"""),"EXTERNO")</f>
        <v>EXTERNO</v>
      </c>
      <c r="O296">
        <f>IFERROR(__xludf.DUMMYFUNCTION("""COMPUTED_VALUE"""),19.0)</f>
        <v>19</v>
      </c>
      <c r="P296">
        <f>IFERROR(__xludf.DUMMYFUNCTION("""COMPUTED_VALUE"""),1.0)</f>
        <v>1</v>
      </c>
      <c r="Q296">
        <f>IFERROR(__xludf.DUMMYFUNCTION("""COMPUTED_VALUE"""),1.0)</f>
        <v>1</v>
      </c>
      <c r="R296" s="45" t="str">
        <f>IFERROR(__xludf.DUMMYFUNCTION("""COMPUTED_VALUE"""),"SELECCIONADO")</f>
        <v>SELECCIONADO</v>
      </c>
      <c r="S296" s="38">
        <f>IFERROR(__xludf.DUMMYFUNCTION("""COMPUTED_VALUE"""),42979.0)</f>
        <v>42979</v>
      </c>
      <c r="U296" t="str">
        <f>IFERROR(__xludf.DUMMYFUNCTION("""COMPUTED_VALUE"""),"CLAUDIO PIZARRO MUÑOZ")</f>
        <v>CLAUDIO PIZARRO MUÑOZ</v>
      </c>
      <c r="V296" t="str">
        <f>IFERROR(__xludf.DUMMYFUNCTION("""COMPUTED_VALUE"""),"10228277-9")</f>
        <v>10228277-9</v>
      </c>
      <c r="W296" t="str">
        <f>IFERROR(__xludf.DUMMYFUNCTION("""COMPUTED_VALUE"""),"NO")</f>
        <v>NO</v>
      </c>
      <c r="AA296" s="38">
        <f>IFERROR(__xludf.DUMMYFUNCTION("""COMPUTED_VALUE"""),42874.0)</f>
        <v>42874</v>
      </c>
      <c r="AB296" s="38">
        <f>IFERROR(__xludf.DUMMYFUNCTION("""COMPUTED_VALUE"""),42881.0)</f>
        <v>42881</v>
      </c>
      <c r="AH296" t="str">
        <f>IFERROR(__xludf.DUMMYFUNCTION("""COMPUTED_VALUE"""),"PROCESO DE SELECCIÓN")</f>
        <v>PROCESO DE SELECCIÓN</v>
      </c>
      <c r="AI296" t="str">
        <f>IFERROR(__xludf.DUMMYFUNCTION("""COMPUTED_VALUE"""),"CARLOS VALENZUELA SALAZAR")</f>
        <v>CARLOS VALENZUELA SALAZAR</v>
      </c>
      <c r="AL296">
        <f>IFERROR(__xludf.DUMMYFUNCTION("""COMPUTED_VALUE"""),71.0)</f>
        <v>71</v>
      </c>
      <c r="AM296">
        <f>IFERROR(__xludf.DUMMYFUNCTION("""COMPUTED_VALUE"""),2017.0)</f>
        <v>2017</v>
      </c>
    </row>
    <row r="297">
      <c r="A297">
        <f>IFERROR(__xludf.DUMMYFUNCTION("""COMPUTED_VALUE"""),1.5632197E7)</f>
        <v>15632197</v>
      </c>
      <c r="B297">
        <f>IFERROR(__xludf.DUMMYFUNCTION("""COMPUTED_VALUE"""),72.0)</f>
        <v>72</v>
      </c>
      <c r="D297" t="str">
        <f>IFERROR(__xludf.DUMMYFUNCTION("""COMPUTED_VALUE"""),"INGRESAR CENTRO DE COSTO A LA DERECHA")</f>
        <v>INGRESAR CENTRO DE COSTO A LA DERECHA</v>
      </c>
      <c r="E297" t="str">
        <f>IFERROR(__xludf.DUMMYFUNCTION("""COMPUTED_VALUE"""),"DPTO. DE CALIDAD Y ACREDITACION")</f>
        <v>DPTO. DE CALIDAD Y ACREDITACION</v>
      </c>
      <c r="F297" t="str">
        <f>IFERROR(__xludf.DUMMYFUNCTION("""COMPUTED_VALUE"""),"Jefe(a) de Área")</f>
        <v>Jefe(a) de Área</v>
      </c>
      <c r="G297" t="str">
        <f>IFERROR(__xludf.DUMMYFUNCTION("""COMPUTED_VALUE"""),"JEFE DE AREA ( ACREDITACION)")</f>
        <v>JEFE DE AREA ( ACREDITACION)</v>
      </c>
      <c r="H297">
        <f>IFERROR(__xludf.DUMMYFUNCTION("""COMPUTED_VALUE"""),6.0)</f>
        <v>6</v>
      </c>
      <c r="I297" t="str">
        <f>IFERROR(__xludf.DUMMYFUNCTION("""COMPUTED_VALUE"""),"Jornada Completa")</f>
        <v>Jornada Completa</v>
      </c>
      <c r="J297" t="str">
        <f>IFERROR(__xludf.DUMMYFUNCTION("""COMPUTED_VALUE"""),"A CONTRATA")</f>
        <v>A CONTRATA</v>
      </c>
      <c r="K297" t="str">
        <f>IFERROR(__xludf.DUMMYFUNCTION("""COMPUTED_VALUE"""),"PROFESIONAL")</f>
        <v>PROFESIONAL</v>
      </c>
      <c r="L297" t="str">
        <f>IFERROR(__xludf.DUMMYFUNCTION("""COMPUTED_VALUE"""),"INTERNO")</f>
        <v>INTERNO</v>
      </c>
      <c r="M297">
        <f>IFERROR(__xludf.DUMMYFUNCTION("""COMPUTED_VALUE"""),4.0)</f>
        <v>4</v>
      </c>
      <c r="N297" t="str">
        <f>IFERROR(__xludf.DUMMYFUNCTION("""COMPUTED_VALUE"""),"EXTERNO")</f>
        <v>EXTERNO</v>
      </c>
      <c r="O297">
        <f>IFERROR(__xludf.DUMMYFUNCTION("""COMPUTED_VALUE"""),12.0)</f>
        <v>12</v>
      </c>
      <c r="P297">
        <f>IFERROR(__xludf.DUMMYFUNCTION("""COMPUTED_VALUE"""),1.0)</f>
        <v>1</v>
      </c>
      <c r="Q297">
        <f>IFERROR(__xludf.DUMMYFUNCTION("""COMPUTED_VALUE"""),1.0)</f>
        <v>1</v>
      </c>
      <c r="R297" s="45" t="str">
        <f>IFERROR(__xludf.DUMMYFUNCTION("""COMPUTED_VALUE"""),"SELECCIONADA")</f>
        <v>SELECCIONADA</v>
      </c>
      <c r="S297" s="38">
        <f>IFERROR(__xludf.DUMMYFUNCTION("""COMPUTED_VALUE"""),42948.0)</f>
        <v>42948</v>
      </c>
      <c r="U297" t="str">
        <f>IFERROR(__xludf.DUMMYFUNCTION("""COMPUTED_VALUE"""),"PAULA MUÑOZ VASQUEZ")</f>
        <v>PAULA MUÑOZ VASQUEZ</v>
      </c>
      <c r="V297" t="str">
        <f>IFERROR(__xludf.DUMMYFUNCTION("""COMPUTED_VALUE"""),"15632197-4")</f>
        <v>15632197-4</v>
      </c>
      <c r="W297" t="str">
        <f>IFERROR(__xludf.DUMMYFUNCTION("""COMPUTED_VALUE"""),"NO")</f>
        <v>NO</v>
      </c>
      <c r="AA297" s="38">
        <f>IFERROR(__xludf.DUMMYFUNCTION("""COMPUTED_VALUE"""),42920.0)</f>
        <v>42920</v>
      </c>
      <c r="AB297" s="38">
        <f>IFERROR(__xludf.DUMMYFUNCTION("""COMPUTED_VALUE"""),42923.0)</f>
        <v>42923</v>
      </c>
      <c r="AH297" t="str">
        <f>IFERROR(__xludf.DUMMYFUNCTION("""COMPUTED_VALUE"""),"PROCESO DE SELECCIÓN")</f>
        <v>PROCESO DE SELECCIÓN</v>
      </c>
      <c r="AI297" t="str">
        <f>IFERROR(__xludf.DUMMYFUNCTION("""COMPUTED_VALUE"""),"DORIS RODES")</f>
        <v>DORIS RODES</v>
      </c>
      <c r="AL297">
        <f>IFERROR(__xludf.DUMMYFUNCTION("""COMPUTED_VALUE"""),18.0)</f>
        <v>18</v>
      </c>
      <c r="AM297">
        <f>IFERROR(__xludf.DUMMYFUNCTION("""COMPUTED_VALUE"""),2017.0)</f>
        <v>2017</v>
      </c>
    </row>
    <row r="298">
      <c r="A298">
        <f>IFERROR(__xludf.DUMMYFUNCTION("""COMPUTED_VALUE"""),1.8114911E7)</f>
        <v>18114911</v>
      </c>
      <c r="B298">
        <f>IFERROR(__xludf.DUMMYFUNCTION("""COMPUTED_VALUE"""),73.0)</f>
        <v>73</v>
      </c>
      <c r="D298" t="str">
        <f>IFERROR(__xludf.DUMMYFUNCTION("""COMPUTED_VALUE"""),"INGRESAR CENTRO DE COSTO A LA DERECHA")</f>
        <v>INGRESAR CENTRO DE COSTO A LA DERECHA</v>
      </c>
      <c r="E298" t="str">
        <f>IFERROR(__xludf.DUMMYFUNCTION("""COMPUTED_VALUE"""),"DPTO. DE CALIDAD Y ACREDITACION")</f>
        <v>DPTO. DE CALIDAD Y ACREDITACION</v>
      </c>
      <c r="F298" t="str">
        <f>IFERROR(__xludf.DUMMYFUNCTION("""COMPUTED_VALUE"""),"Analista de Acreditación")</f>
        <v>Analista de Acreditación</v>
      </c>
      <c r="G298" t="str">
        <f>IFERROR(__xludf.DUMMYFUNCTION("""COMPUTED_VALUE"""),"ANALISTA DE ACREDITACIÓN")</f>
        <v>ANALISTA DE ACREDITACIÓN</v>
      </c>
      <c r="H298">
        <f>IFERROR(__xludf.DUMMYFUNCTION("""COMPUTED_VALUE"""),8.0)</f>
        <v>8</v>
      </c>
      <c r="I298" t="str">
        <f>IFERROR(__xludf.DUMMYFUNCTION("""COMPUTED_VALUE"""),"Jornada Completa")</f>
        <v>Jornada Completa</v>
      </c>
      <c r="J298" t="str">
        <f>IFERROR(__xludf.DUMMYFUNCTION("""COMPUTED_VALUE"""),"A CONTRATA")</f>
        <v>A CONTRATA</v>
      </c>
      <c r="K298" t="str">
        <f>IFERROR(__xludf.DUMMYFUNCTION("""COMPUTED_VALUE"""),"PROFESIONAL")</f>
        <v>PROFESIONAL</v>
      </c>
      <c r="L298" t="str">
        <f>IFERROR(__xludf.DUMMYFUNCTION("""COMPUTED_VALUE"""),"INTERNO")</f>
        <v>INTERNO</v>
      </c>
      <c r="M298">
        <f>IFERROR(__xludf.DUMMYFUNCTION("""COMPUTED_VALUE"""),0.0)</f>
        <v>0</v>
      </c>
      <c r="N298" t="str">
        <f>IFERROR(__xludf.DUMMYFUNCTION("""COMPUTED_VALUE"""),"EXTERNO")</f>
        <v>EXTERNO</v>
      </c>
      <c r="O298">
        <f>IFERROR(__xludf.DUMMYFUNCTION("""COMPUTED_VALUE"""),9.0)</f>
        <v>9</v>
      </c>
      <c r="P298">
        <f>IFERROR(__xludf.DUMMYFUNCTION("""COMPUTED_VALUE"""),3.0)</f>
        <v>3</v>
      </c>
      <c r="Q298">
        <f>IFERROR(__xludf.DUMMYFUNCTION("""COMPUTED_VALUE"""),2.0)</f>
        <v>2</v>
      </c>
      <c r="R298" s="45" t="str">
        <f>IFERROR(__xludf.DUMMYFUNCTION("""COMPUTED_VALUE"""),"SELECCIONADA")</f>
        <v>SELECCIONADA</v>
      </c>
      <c r="S298" s="38">
        <f>IFERROR(__xludf.DUMMYFUNCTION("""COMPUTED_VALUE"""),42979.0)</f>
        <v>42979</v>
      </c>
      <c r="U298" t="str">
        <f>IFERROR(__xludf.DUMMYFUNCTION("""COMPUTED_VALUE"""),"ROCIO JEREZ NUÑEZ")</f>
        <v>ROCIO JEREZ NUÑEZ</v>
      </c>
      <c r="V298" t="str">
        <f>IFERROR(__xludf.DUMMYFUNCTION("""COMPUTED_VALUE"""),"18114911-6")</f>
        <v>18114911-6</v>
      </c>
      <c r="W298" t="str">
        <f>IFERROR(__xludf.DUMMYFUNCTION("""COMPUTED_VALUE"""),"NO")</f>
        <v>NO</v>
      </c>
      <c r="AA298" s="38">
        <f>IFERROR(__xludf.DUMMYFUNCTION("""COMPUTED_VALUE"""),42929.0)</f>
        <v>42929</v>
      </c>
      <c r="AB298" s="38">
        <f>IFERROR(__xludf.DUMMYFUNCTION("""COMPUTED_VALUE"""),42934.0)</f>
        <v>42934</v>
      </c>
      <c r="AH298" t="str">
        <f>IFERROR(__xludf.DUMMYFUNCTION("""COMPUTED_VALUE"""),"PROCESO DE SELECCIÓN")</f>
        <v>PROCESO DE SELECCIÓN</v>
      </c>
      <c r="AI298" t="str">
        <f>IFERROR(__xludf.DUMMYFUNCTION("""COMPUTED_VALUE"""),"VICTOR SOTO VALDIVIA")</f>
        <v>VICTOR SOTO VALDIVIA</v>
      </c>
      <c r="AL298">
        <f>IFERROR(__xludf.DUMMYFUNCTION("""COMPUTED_VALUE"""),34.0)</f>
        <v>34</v>
      </c>
      <c r="AM298">
        <f>IFERROR(__xludf.DUMMYFUNCTION("""COMPUTED_VALUE"""),2017.0)</f>
        <v>2017</v>
      </c>
    </row>
    <row r="299">
      <c r="A299">
        <f>IFERROR(__xludf.DUMMYFUNCTION("""COMPUTED_VALUE"""),1.6331696E7)</f>
        <v>16331696</v>
      </c>
      <c r="B299">
        <f>IFERROR(__xludf.DUMMYFUNCTION("""COMPUTED_VALUE"""),74.0)</f>
        <v>74</v>
      </c>
      <c r="D299" t="str">
        <f>IFERROR(__xludf.DUMMYFUNCTION("""COMPUTED_VALUE"""),"INGRESAR CENTRO DE COSTO A LA DERECHA")</f>
        <v>INGRESAR CENTRO DE COSTO A LA DERECHA</v>
      </c>
      <c r="E299" t="str">
        <f>IFERROR(__xludf.DUMMYFUNCTION("""COMPUTED_VALUE"""),"ESCUELA DE ARQUITECTURA")</f>
        <v>ESCUELA DE ARQUITECTURA</v>
      </c>
      <c r="F299" t="str">
        <f>IFERROR(__xludf.DUMMYFUNCTION("""COMPUTED_VALUE"""),"Bibliotecario(a)")</f>
        <v>Bibliotecario(a)</v>
      </c>
      <c r="G299" t="str">
        <f>IFERROR(__xludf.DUMMYFUNCTION("""COMPUTED_VALUE"""),"BIBLIOTECARIO")</f>
        <v>BIBLIOTECARIO</v>
      </c>
      <c r="H299">
        <f>IFERROR(__xludf.DUMMYFUNCTION("""COMPUTED_VALUE"""),14.0)</f>
        <v>14</v>
      </c>
      <c r="I299" t="str">
        <f>IFERROR(__xludf.DUMMYFUNCTION("""COMPUTED_VALUE"""),"Jornada Completa")</f>
        <v>Jornada Completa</v>
      </c>
      <c r="J299" t="str">
        <f>IFERROR(__xludf.DUMMYFUNCTION("""COMPUTED_VALUE"""),"A CONTRATA")</f>
        <v>A CONTRATA</v>
      </c>
      <c r="K299" t="str">
        <f>IFERROR(__xludf.DUMMYFUNCTION("""COMPUTED_VALUE"""),"PROFESIONAL")</f>
        <v>PROFESIONAL</v>
      </c>
      <c r="L299" t="str">
        <f>IFERROR(__xludf.DUMMYFUNCTION("""COMPUTED_VALUE"""),"INTERNO")</f>
        <v>INTERNO</v>
      </c>
      <c r="M299">
        <f>IFERROR(__xludf.DUMMYFUNCTION("""COMPUTED_VALUE"""),0.0)</f>
        <v>0</v>
      </c>
      <c r="N299" t="str">
        <f>IFERROR(__xludf.DUMMYFUNCTION("""COMPUTED_VALUE"""),"EXTERNO")</f>
        <v>EXTERNO</v>
      </c>
      <c r="O299">
        <f>IFERROR(__xludf.DUMMYFUNCTION("""COMPUTED_VALUE"""),40.0)</f>
        <v>40</v>
      </c>
      <c r="P299">
        <f>IFERROR(__xludf.DUMMYFUNCTION("""COMPUTED_VALUE"""),3.0)</f>
        <v>3</v>
      </c>
      <c r="Q299">
        <f>IFERROR(__xludf.DUMMYFUNCTION("""COMPUTED_VALUE"""),1.0)</f>
        <v>1</v>
      </c>
      <c r="R299" s="45" t="str">
        <f>IFERROR(__xludf.DUMMYFUNCTION("""COMPUTED_VALUE"""),"SELECCIONADO")</f>
        <v>SELECCIONADO</v>
      </c>
      <c r="S299" s="38">
        <f>IFERROR(__xludf.DUMMYFUNCTION("""COMPUTED_VALUE"""),43038.0)</f>
        <v>43038</v>
      </c>
      <c r="U299" t="str">
        <f>IFERROR(__xludf.DUMMYFUNCTION("""COMPUTED_VALUE"""),"DANILO LARENAS FARIAS")</f>
        <v>DANILO LARENAS FARIAS</v>
      </c>
      <c r="V299" t="str">
        <f>IFERROR(__xludf.DUMMYFUNCTION("""COMPUTED_VALUE"""),"16331696-K")</f>
        <v>16331696-K</v>
      </c>
      <c r="W299" t="str">
        <f>IFERROR(__xludf.DUMMYFUNCTION("""COMPUTED_VALUE"""),"SI")</f>
        <v>SI</v>
      </c>
      <c r="X299" t="str">
        <f>IFERROR(__xludf.DUMMYFUNCTION("""COMPUTED_VALUE"""),"TRABAJO EN EQUIPO")</f>
        <v>TRABAJO EN EQUIPO</v>
      </c>
      <c r="Y299" t="str">
        <f>IFERROR(__xludf.DUMMYFUNCTION("""COMPUTED_VALUE"""),"COMUNICACION")</f>
        <v>COMUNICACION</v>
      </c>
      <c r="AA299" s="38">
        <f>IFERROR(__xludf.DUMMYFUNCTION("""COMPUTED_VALUE"""),42954.0)</f>
        <v>42954</v>
      </c>
      <c r="AB299" s="38">
        <f>IFERROR(__xludf.DUMMYFUNCTION("""COMPUTED_VALUE"""),42961.0)</f>
        <v>42961</v>
      </c>
      <c r="AH299" t="str">
        <f>IFERROR(__xludf.DUMMYFUNCTION("""COMPUTED_VALUE"""),"PROCESO DE SELECCIÓN")</f>
        <v>PROCESO DE SELECCIÓN</v>
      </c>
      <c r="AI299" t="str">
        <f>IFERROR(__xludf.DUMMYFUNCTION("""COMPUTED_VALUE"""),"MABEL MATSUMOTO JIMENEZ")</f>
        <v>MABEL MATSUMOTO JIMENEZ</v>
      </c>
      <c r="AL299">
        <f>IFERROR(__xludf.DUMMYFUNCTION("""COMPUTED_VALUE"""),56.0)</f>
        <v>56</v>
      </c>
      <c r="AM299">
        <f>IFERROR(__xludf.DUMMYFUNCTION("""COMPUTED_VALUE"""),2017.0)</f>
        <v>2017</v>
      </c>
    </row>
    <row r="300">
      <c r="A300">
        <f>IFERROR(__xludf.DUMMYFUNCTION("""COMPUTED_VALUE"""),1.9270779E7)</f>
        <v>19270779</v>
      </c>
      <c r="B300">
        <f>IFERROR(__xludf.DUMMYFUNCTION("""COMPUTED_VALUE"""),75.0)</f>
        <v>75</v>
      </c>
      <c r="D300" t="str">
        <f>IFERROR(__xludf.DUMMYFUNCTION("""COMPUTED_VALUE"""),"INGRESAR CENTRO DE COSTO A LA DERECHA")</f>
        <v>INGRESAR CENTRO DE COSTO A LA DERECHA</v>
      </c>
      <c r="E300" t="str">
        <f>IFERROR(__xludf.DUMMYFUNCTION("""COMPUTED_VALUE"""),"SECRETARIA GENERAL")</f>
        <v>SECRETARIA GENERAL</v>
      </c>
      <c r="F300" t="str">
        <f>IFERROR(__xludf.DUMMYFUNCTION("""COMPUTED_VALUE"""),"Administrativo(a) de Apoyo")</f>
        <v>Administrativo(a) de Apoyo</v>
      </c>
      <c r="G300" t="str">
        <f>IFERROR(__xludf.DUMMYFUNCTION("""COMPUTED_VALUE"""),"ADMINISTRATIVO APOYO DE OFICINA DE PARTES CENTRAL")</f>
        <v>ADMINISTRATIVO APOYO DE OFICINA DE PARTES CENTRAL</v>
      </c>
      <c r="H300">
        <f>IFERROR(__xludf.DUMMYFUNCTION("""COMPUTED_VALUE"""),20.0)</f>
        <v>20</v>
      </c>
      <c r="I300" t="str">
        <f>IFERROR(__xludf.DUMMYFUNCTION("""COMPUTED_VALUE"""),"Jornada Completa")</f>
        <v>Jornada Completa</v>
      </c>
      <c r="J300" t="str">
        <f>IFERROR(__xludf.DUMMYFUNCTION("""COMPUTED_VALUE"""),"A CONTRATA")</f>
        <v>A CONTRATA</v>
      </c>
      <c r="K300" t="str">
        <f>IFERROR(__xludf.DUMMYFUNCTION("""COMPUTED_VALUE"""),"ADMINISTRATIVO")</f>
        <v>ADMINISTRATIVO</v>
      </c>
      <c r="L300" t="str">
        <f>IFERROR(__xludf.DUMMYFUNCTION("""COMPUTED_VALUE"""),"NO")</f>
        <v>NO</v>
      </c>
      <c r="M300">
        <f>IFERROR(__xludf.DUMMYFUNCTION("""COMPUTED_VALUE"""),0.0)</f>
        <v>0</v>
      </c>
      <c r="N300" t="str">
        <f>IFERROR(__xludf.DUMMYFUNCTION("""COMPUTED_VALUE"""),"EXTERNO")</f>
        <v>EXTERNO</v>
      </c>
      <c r="O300">
        <f>IFERROR(__xludf.DUMMYFUNCTION("""COMPUTED_VALUE"""),10.0)</f>
        <v>10</v>
      </c>
      <c r="P300">
        <f>IFERROR(__xludf.DUMMYFUNCTION("""COMPUTED_VALUE"""),1.0)</f>
        <v>1</v>
      </c>
      <c r="Q300">
        <f>IFERROR(__xludf.DUMMYFUNCTION("""COMPUTED_VALUE"""),1.0)</f>
        <v>1</v>
      </c>
      <c r="R300" s="45" t="str">
        <f>IFERROR(__xludf.DUMMYFUNCTION("""COMPUTED_VALUE"""),"SELECCIONADA")</f>
        <v>SELECCIONADA</v>
      </c>
      <c r="S300" s="38">
        <f>IFERROR(__xludf.DUMMYFUNCTION("""COMPUTED_VALUE"""),43031.0)</f>
        <v>43031</v>
      </c>
      <c r="U300" t="str">
        <f>IFERROR(__xludf.DUMMYFUNCTION("""COMPUTED_VALUE"""),"ISABEL SAEZ SALAS")</f>
        <v>ISABEL SAEZ SALAS</v>
      </c>
      <c r="V300" t="str">
        <f>IFERROR(__xludf.DUMMYFUNCTION("""COMPUTED_VALUE"""),"19270779-K")</f>
        <v>19270779-K</v>
      </c>
      <c r="W300" t="str">
        <f>IFERROR(__xludf.DUMMYFUNCTION("""COMPUTED_VALUE"""),"NO")</f>
        <v>NO</v>
      </c>
      <c r="AA300" s="38">
        <f>IFERROR(__xludf.DUMMYFUNCTION("""COMPUTED_VALUE"""),42972.0)</f>
        <v>42972</v>
      </c>
      <c r="AB300" s="38">
        <f>IFERROR(__xludf.DUMMYFUNCTION("""COMPUTED_VALUE"""),42979.0)</f>
        <v>42979</v>
      </c>
      <c r="AH300" t="str">
        <f>IFERROR(__xludf.DUMMYFUNCTION("""COMPUTED_VALUE"""),"PROCESO DE SELECCIÓN")</f>
        <v>PROCESO DE SELECCIÓN</v>
      </c>
      <c r="AI300" t="str">
        <f>IFERROR(__xludf.DUMMYFUNCTION("""COMPUTED_VALUE"""),"RENE ESTAY ZORRICUETA")</f>
        <v>RENE ESTAY ZORRICUETA</v>
      </c>
      <c r="AL300">
        <f>IFERROR(__xludf.DUMMYFUNCTION("""COMPUTED_VALUE"""),37.0)</f>
        <v>37</v>
      </c>
      <c r="AM300">
        <f>IFERROR(__xludf.DUMMYFUNCTION("""COMPUTED_VALUE"""),2017.0)</f>
        <v>2017</v>
      </c>
    </row>
    <row r="301">
      <c r="A301">
        <f>IFERROR(__xludf.DUMMYFUNCTION("""COMPUTED_VALUE"""),1.2471794E7)</f>
        <v>12471794</v>
      </c>
      <c r="B301">
        <f>IFERROR(__xludf.DUMMYFUNCTION("""COMPUTED_VALUE"""),76.0)</f>
        <v>76</v>
      </c>
      <c r="D301" t="str">
        <f>IFERROR(__xludf.DUMMYFUNCTION("""COMPUTED_VALUE"""),"INGRESAR CENTRO DE COSTO A LA DERECHA")</f>
        <v>INGRESAR CENTRO DE COSTO A LA DERECHA</v>
      </c>
      <c r="E301" t="str">
        <f>IFERROR(__xludf.DUMMYFUNCTION("""COMPUTED_VALUE"""),"DPTO. DE RECURSOS HUMANOS")</f>
        <v>DPTO. DE RECURSOS HUMANOS</v>
      </c>
      <c r="F301" t="str">
        <f>IFERROR(__xludf.DUMMYFUNCTION("""COMPUTED_VALUE"""),"Administrativo(a) de Recursos Humanos")</f>
        <v>Administrativo(a) de Recursos Humanos</v>
      </c>
      <c r="G301" t="str">
        <f>IFERROR(__xludf.DUMMYFUNCTION("""COMPUTED_VALUE"""),"ADMINISTRATIVO DE RECURSOS HUMANOS")</f>
        <v>ADMINISTRATIVO DE RECURSOS HUMANOS</v>
      </c>
      <c r="H301">
        <f>IFERROR(__xludf.DUMMYFUNCTION("""COMPUTED_VALUE"""),17.0)</f>
        <v>17</v>
      </c>
      <c r="I301" t="str">
        <f>IFERROR(__xludf.DUMMYFUNCTION("""COMPUTED_VALUE"""),"Jornada Completa")</f>
        <v>Jornada Completa</v>
      </c>
      <c r="J301" t="str">
        <f>IFERROR(__xludf.DUMMYFUNCTION("""COMPUTED_VALUE"""),"A CONTRATA")</f>
        <v>A CONTRATA</v>
      </c>
      <c r="K301" t="str">
        <f>IFERROR(__xludf.DUMMYFUNCTION("""COMPUTED_VALUE"""),"ADMINISTRATIVO")</f>
        <v>ADMINISTRATIVO</v>
      </c>
      <c r="L301" t="str">
        <f>IFERROR(__xludf.DUMMYFUNCTION("""COMPUTED_VALUE"""),"INTERNO")</f>
        <v>INTERNO</v>
      </c>
      <c r="M301">
        <f>IFERROR(__xludf.DUMMYFUNCTION("""COMPUTED_VALUE"""),1.0)</f>
        <v>1</v>
      </c>
      <c r="N301" t="str">
        <f>IFERROR(__xludf.DUMMYFUNCTION("""COMPUTED_VALUE"""),"EXTERNO")</f>
        <v>EXTERNO</v>
      </c>
      <c r="O301">
        <f>IFERROR(__xludf.DUMMYFUNCTION("""COMPUTED_VALUE"""),17.0)</f>
        <v>17</v>
      </c>
      <c r="P301">
        <f>IFERROR(__xludf.DUMMYFUNCTION("""COMPUTED_VALUE"""),3.0)</f>
        <v>3</v>
      </c>
      <c r="Q301">
        <f>IFERROR(__xludf.DUMMYFUNCTION("""COMPUTED_VALUE"""),1.0)</f>
        <v>1</v>
      </c>
      <c r="R301" s="45" t="str">
        <f>IFERROR(__xludf.DUMMYFUNCTION("""COMPUTED_VALUE"""),"SELECCIONADO")</f>
        <v>SELECCIONADO</v>
      </c>
      <c r="S301" s="38">
        <f>IFERROR(__xludf.DUMMYFUNCTION("""COMPUTED_VALUE"""),43010.0)</f>
        <v>43010</v>
      </c>
      <c r="U301" t="str">
        <f>IFERROR(__xludf.DUMMYFUNCTION("""COMPUTED_VALUE"""),"RODRIGO AGUILAR AVENDAÑO")</f>
        <v>RODRIGO AGUILAR AVENDAÑO</v>
      </c>
      <c r="V301" t="str">
        <f>IFERROR(__xludf.DUMMYFUNCTION("""COMPUTED_VALUE"""),"12471794-9")</f>
        <v>12471794-9</v>
      </c>
      <c r="W301" t="str">
        <f>IFERROR(__xludf.DUMMYFUNCTION("""COMPUTED_VALUE"""),"NO")</f>
        <v>NO</v>
      </c>
      <c r="AA301" s="38">
        <f>IFERROR(__xludf.DUMMYFUNCTION("""COMPUTED_VALUE"""),42934.0)</f>
        <v>42934</v>
      </c>
      <c r="AB301" s="38">
        <f>IFERROR(__xludf.DUMMYFUNCTION("""COMPUTED_VALUE"""),42941.0)</f>
        <v>42941</v>
      </c>
      <c r="AH301" t="str">
        <f>IFERROR(__xludf.DUMMYFUNCTION("""COMPUTED_VALUE"""),"PROCESO DE SELECCIÓN")</f>
        <v>PROCESO DE SELECCIÓN</v>
      </c>
      <c r="AI301" t="str">
        <f>IFERROR(__xludf.DUMMYFUNCTION("""COMPUTED_VALUE"""),"BUSCAR")</f>
        <v>BUSCAR</v>
      </c>
      <c r="AL301">
        <f>IFERROR(__xludf.DUMMYFUNCTION("""COMPUTED_VALUE"""),50.0)</f>
        <v>50</v>
      </c>
      <c r="AM301">
        <f>IFERROR(__xludf.DUMMYFUNCTION("""COMPUTED_VALUE"""),2017.0)</f>
        <v>2017</v>
      </c>
    </row>
    <row r="302">
      <c r="A302">
        <f>IFERROR(__xludf.DUMMYFUNCTION("""COMPUTED_VALUE"""),1.5932149E7)</f>
        <v>15932149</v>
      </c>
      <c r="B302">
        <f>IFERROR(__xludf.DUMMYFUNCTION("""COMPUTED_VALUE"""),77.0)</f>
        <v>77</v>
      </c>
      <c r="D302" t="str">
        <f>IFERROR(__xludf.DUMMYFUNCTION("""COMPUTED_VALUE"""),"INGRESAR CENTRO DE COSTO A LA DERECHA")</f>
        <v>INGRESAR CENTRO DE COSTO A LA DERECHA</v>
      </c>
      <c r="E302" t="str">
        <f>IFERROR(__xludf.DUMMYFUNCTION("""COMPUTED_VALUE"""),"DPTO. DE RECURSOS HUMANOS")</f>
        <v>DPTO. DE RECURSOS HUMANOS</v>
      </c>
      <c r="F302" t="str">
        <f>IFERROR(__xludf.DUMMYFUNCTION("""COMPUTED_VALUE"""),"Administrativo(a) de Recursos Humanos")</f>
        <v>Administrativo(a) de Recursos Humanos</v>
      </c>
      <c r="G302" t="str">
        <f>IFERROR(__xludf.DUMMYFUNCTION("""COMPUTED_VALUE"""),"ADMINISTRATIVO DE RECURSOS HUMANOS")</f>
        <v>ADMINISTRATIVO DE RECURSOS HUMANOS</v>
      </c>
      <c r="H302">
        <f>IFERROR(__xludf.DUMMYFUNCTION("""COMPUTED_VALUE"""),17.0)</f>
        <v>17</v>
      </c>
      <c r="I302" t="str">
        <f>IFERROR(__xludf.DUMMYFUNCTION("""COMPUTED_VALUE"""),"Jornada Completa")</f>
        <v>Jornada Completa</v>
      </c>
      <c r="J302" t="str">
        <f>IFERROR(__xludf.DUMMYFUNCTION("""COMPUTED_VALUE"""),"A CONTRATA")</f>
        <v>A CONTRATA</v>
      </c>
      <c r="K302" t="str">
        <f>IFERROR(__xludf.DUMMYFUNCTION("""COMPUTED_VALUE"""),"ADMINISTRATIVO")</f>
        <v>ADMINISTRATIVO</v>
      </c>
      <c r="L302" t="str">
        <f>IFERROR(__xludf.DUMMYFUNCTION("""COMPUTED_VALUE"""),"INTERNO")</f>
        <v>INTERNO</v>
      </c>
      <c r="M302">
        <f>IFERROR(__xludf.DUMMYFUNCTION("""COMPUTED_VALUE"""),1.0)</f>
        <v>1</v>
      </c>
      <c r="N302" t="str">
        <f>IFERROR(__xludf.DUMMYFUNCTION("""COMPUTED_VALUE"""),"EXTERNO")</f>
        <v>EXTERNO</v>
      </c>
      <c r="O302">
        <f>IFERROR(__xludf.DUMMYFUNCTION("""COMPUTED_VALUE"""),17.0)</f>
        <v>17</v>
      </c>
      <c r="P302">
        <f>IFERROR(__xludf.DUMMYFUNCTION("""COMPUTED_VALUE"""),3.0)</f>
        <v>3</v>
      </c>
      <c r="Q302">
        <f>IFERROR(__xludf.DUMMYFUNCTION("""COMPUTED_VALUE"""),1.0)</f>
        <v>1</v>
      </c>
      <c r="R302" s="45" t="str">
        <f>IFERROR(__xludf.DUMMYFUNCTION("""COMPUTED_VALUE"""),"SELECCIONADO")</f>
        <v>SELECCIONADO</v>
      </c>
      <c r="S302" s="38">
        <f>IFERROR(__xludf.DUMMYFUNCTION("""COMPUTED_VALUE"""),43010.0)</f>
        <v>43010</v>
      </c>
      <c r="U302" t="str">
        <f>IFERROR(__xludf.DUMMYFUNCTION("""COMPUTED_VALUE"""),"RAMON CARVAJAL NANJARI")</f>
        <v>RAMON CARVAJAL NANJARI</v>
      </c>
      <c r="V302" t="str">
        <f>IFERROR(__xludf.DUMMYFUNCTION("""COMPUTED_VALUE"""),"15932149-5")</f>
        <v>15932149-5</v>
      </c>
      <c r="W302" t="str">
        <f>IFERROR(__xludf.DUMMYFUNCTION("""COMPUTED_VALUE"""),"SI")</f>
        <v>SI</v>
      </c>
      <c r="X302" t="str">
        <f>IFERROR(__xludf.DUMMYFUNCTION("""COMPUTED_VALUE"""),"TRABAJO EN EQUIPO")</f>
        <v>TRABAJO EN EQUIPO</v>
      </c>
      <c r="AA302" s="38">
        <f>IFERROR(__xludf.DUMMYFUNCTION("""COMPUTED_VALUE"""),42934.0)</f>
        <v>42934</v>
      </c>
      <c r="AB302" s="38">
        <f>IFERROR(__xludf.DUMMYFUNCTION("""COMPUTED_VALUE"""),42941.0)</f>
        <v>42941</v>
      </c>
      <c r="AH302" t="str">
        <f>IFERROR(__xludf.DUMMYFUNCTION("""COMPUTED_VALUE"""),"PROCESO DE SELECCIÓN")</f>
        <v>PROCESO DE SELECCIÓN</v>
      </c>
      <c r="AI302" t="str">
        <f>IFERROR(__xludf.DUMMYFUNCTION("""COMPUTED_VALUE"""),"BUSCAR")</f>
        <v>BUSCAR</v>
      </c>
      <c r="AL302">
        <f>IFERROR(__xludf.DUMMYFUNCTION("""COMPUTED_VALUE"""),50.0)</f>
        <v>50</v>
      </c>
      <c r="AM302">
        <f>IFERROR(__xludf.DUMMYFUNCTION("""COMPUTED_VALUE"""),2017.0)</f>
        <v>2017</v>
      </c>
    </row>
    <row r="303">
      <c r="A303">
        <f>IFERROR(__xludf.DUMMYFUNCTION("""COMPUTED_VALUE"""),1.3438545E7)</f>
        <v>13438545</v>
      </c>
      <c r="B303">
        <f>IFERROR(__xludf.DUMMYFUNCTION("""COMPUTED_VALUE"""),78.0)</f>
        <v>78</v>
      </c>
      <c r="D303" t="str">
        <f>IFERROR(__xludf.DUMMYFUNCTION("""COMPUTED_VALUE"""),"INGRESAR CENTRO DE COSTO A LA DERECHA")</f>
        <v>INGRESAR CENTRO DE COSTO A LA DERECHA</v>
      </c>
      <c r="E303" t="str">
        <f>IFERROR(__xludf.DUMMYFUNCTION("""COMPUTED_VALUE"""),"DPTO. DE INGENIERIA METALURGICA")</f>
        <v>DPTO. DE INGENIERIA METALURGICA</v>
      </c>
      <c r="F303" t="str">
        <f>IFERROR(__xludf.DUMMYFUNCTION("""COMPUTED_VALUE"""),"Secretario(a) B")</f>
        <v>Secretario(a) B</v>
      </c>
      <c r="G303" t="str">
        <f>IFERROR(__xludf.DUMMYFUNCTION("""COMPUTED_VALUE"""),"SECRETARIA (B) DE DIRECCION")</f>
        <v>SECRETARIA (B) DE DIRECCION</v>
      </c>
      <c r="H303">
        <f>IFERROR(__xludf.DUMMYFUNCTION("""COMPUTED_VALUE"""),17.0)</f>
        <v>17</v>
      </c>
      <c r="I303" t="str">
        <f>IFERROR(__xludf.DUMMYFUNCTION("""COMPUTED_VALUE"""),"Jornada Completa")</f>
        <v>Jornada Completa</v>
      </c>
      <c r="J303" t="str">
        <f>IFERROR(__xludf.DUMMYFUNCTION("""COMPUTED_VALUE"""),"A CONTRATA")</f>
        <v>A CONTRATA</v>
      </c>
      <c r="K303" t="str">
        <f>IFERROR(__xludf.DUMMYFUNCTION("""COMPUTED_VALUE"""),"ADMINISTRATIVO")</f>
        <v>ADMINISTRATIVO</v>
      </c>
      <c r="L303" t="str">
        <f>IFERROR(__xludf.DUMMYFUNCTION("""COMPUTED_VALUE"""),"INTERNO")</f>
        <v>INTERNO</v>
      </c>
      <c r="M303">
        <f>IFERROR(__xludf.DUMMYFUNCTION("""COMPUTED_VALUE"""),1.0)</f>
        <v>1</v>
      </c>
      <c r="N303" t="str">
        <f>IFERROR(__xludf.DUMMYFUNCTION("""COMPUTED_VALUE"""),"EXTERNO")</f>
        <v>EXTERNO</v>
      </c>
      <c r="O303">
        <f>IFERROR(__xludf.DUMMYFUNCTION("""COMPUTED_VALUE"""),12.0)</f>
        <v>12</v>
      </c>
      <c r="P303">
        <f>IFERROR(__xludf.DUMMYFUNCTION("""COMPUTED_VALUE"""),1.0)</f>
        <v>1</v>
      </c>
      <c r="Q303">
        <f>IFERROR(__xludf.DUMMYFUNCTION("""COMPUTED_VALUE"""),1.0)</f>
        <v>1</v>
      </c>
      <c r="R303" s="45" t="str">
        <f>IFERROR(__xludf.DUMMYFUNCTION("""COMPUTED_VALUE"""),"SELECCIONADA")</f>
        <v>SELECCIONADA</v>
      </c>
      <c r="S303" s="38">
        <f>IFERROR(__xludf.DUMMYFUNCTION("""COMPUTED_VALUE"""),42917.0)</f>
        <v>42917</v>
      </c>
      <c r="U303" t="str">
        <f>IFERROR(__xludf.DUMMYFUNCTION("""COMPUTED_VALUE"""),"VALESKA ARELLANO ARELLANO")</f>
        <v>VALESKA ARELLANO ARELLANO</v>
      </c>
      <c r="V303" t="str">
        <f>IFERROR(__xludf.DUMMYFUNCTION("""COMPUTED_VALUE"""),"13438545-6")</f>
        <v>13438545-6</v>
      </c>
      <c r="W303" t="str">
        <f>IFERROR(__xludf.DUMMYFUNCTION("""COMPUTED_VALUE"""),"NO")</f>
        <v>NO</v>
      </c>
      <c r="AA303" s="38">
        <f>IFERROR(__xludf.DUMMYFUNCTION("""COMPUTED_VALUE"""),42843.0)</f>
        <v>42843</v>
      </c>
      <c r="AB303" s="38">
        <f>IFERROR(__xludf.DUMMYFUNCTION("""COMPUTED_VALUE"""),42850.0)</f>
        <v>42850</v>
      </c>
      <c r="AH303" t="str">
        <f>IFERROR(__xludf.DUMMYFUNCTION("""COMPUTED_VALUE"""),"PROCESO DE SELECCIÓN")</f>
        <v>PROCESO DE SELECCIÓN</v>
      </c>
      <c r="AI303" t="str">
        <f>IFERROR(__xludf.DUMMYFUNCTION("""COMPUTED_VALUE"""),"FLOR REYES CARO")</f>
        <v>FLOR REYES CARO</v>
      </c>
      <c r="AL303">
        <f>IFERROR(__xludf.DUMMYFUNCTION("""COMPUTED_VALUE"""),49.0)</f>
        <v>49</v>
      </c>
      <c r="AM303">
        <f>IFERROR(__xludf.DUMMYFUNCTION("""COMPUTED_VALUE"""),2017.0)</f>
        <v>2017</v>
      </c>
    </row>
    <row r="304">
      <c r="A304">
        <f>IFERROR(__xludf.DUMMYFUNCTION("""COMPUTED_VALUE"""),8540708.0)</f>
        <v>8540708</v>
      </c>
      <c r="B304">
        <f>IFERROR(__xludf.DUMMYFUNCTION("""COMPUTED_VALUE"""),79.0)</f>
        <v>79</v>
      </c>
      <c r="D304" t="str">
        <f>IFERROR(__xludf.DUMMYFUNCTION("""COMPUTED_VALUE"""),"INGRESAR CENTRO DE COSTO A LA DERECHA")</f>
        <v>INGRESAR CENTRO DE COSTO A LA DERECHA</v>
      </c>
      <c r="E304" t="str">
        <f>IFERROR(__xludf.DUMMYFUNCTION("""COMPUTED_VALUE"""),"UNIDAD DE ATENCION DE SALUD")</f>
        <v>UNIDAD DE ATENCION DE SALUD</v>
      </c>
      <c r="F304" t="str">
        <f>IFERROR(__xludf.DUMMYFUNCTION("""COMPUTED_VALUE"""),"Médicos(as) y Dentistas")</f>
        <v>Médicos(as) y Dentistas</v>
      </c>
      <c r="G304" t="str">
        <f>IFERROR(__xludf.DUMMYFUNCTION("""COMPUTED_VALUE"""),"MEDICO CIRUJANO")</f>
        <v>MEDICO CIRUJANO</v>
      </c>
      <c r="I304" t="str">
        <f>IFERROR(__xludf.DUMMYFUNCTION("""COMPUTED_VALUE"""),"1/2 Jornada")</f>
        <v>1/2 Jornada</v>
      </c>
      <c r="J304" t="str">
        <f>IFERROR(__xludf.DUMMYFUNCTION("""COMPUTED_VALUE"""),"Por 22 hrs. Ley 15.076")</f>
        <v>Por 22 hrs. Ley 15.076</v>
      </c>
      <c r="L304" t="str">
        <f>IFERROR(__xludf.DUMMYFUNCTION("""COMPUTED_VALUE"""),"NO")</f>
        <v>NO</v>
      </c>
      <c r="M304">
        <f>IFERROR(__xludf.DUMMYFUNCTION("""COMPUTED_VALUE"""),0.0)</f>
        <v>0</v>
      </c>
      <c r="N304" t="str">
        <f>IFERROR(__xludf.DUMMYFUNCTION("""COMPUTED_VALUE"""),"EXTERNO")</f>
        <v>EXTERNO</v>
      </c>
      <c r="O304">
        <f>IFERROR(__xludf.DUMMYFUNCTION("""COMPUTED_VALUE"""),2.0)</f>
        <v>2</v>
      </c>
      <c r="P304">
        <f>IFERROR(__xludf.DUMMYFUNCTION("""COMPUTED_VALUE"""),2.0)</f>
        <v>2</v>
      </c>
      <c r="Q304">
        <f>IFERROR(__xludf.DUMMYFUNCTION("""COMPUTED_VALUE"""),3.0)</f>
        <v>3</v>
      </c>
      <c r="R304" s="45" t="str">
        <f>IFERROR(__xludf.DUMMYFUNCTION("""COMPUTED_VALUE"""),"SELECCIONADA")</f>
        <v>SELECCIONADA</v>
      </c>
      <c r="S304" s="38">
        <f>IFERROR(__xludf.DUMMYFUNCTION("""COMPUTED_VALUE"""),43041.0)</f>
        <v>43041</v>
      </c>
      <c r="U304" t="str">
        <f>IFERROR(__xludf.DUMMYFUNCTION("""COMPUTED_VALUE"""),"CECILIA LISBOA BANDA")</f>
        <v>CECILIA LISBOA BANDA</v>
      </c>
      <c r="V304" t="str">
        <f>IFERROR(__xludf.DUMMYFUNCTION("""COMPUTED_VALUE"""),"8540708-2")</f>
        <v>8540708-2</v>
      </c>
      <c r="W304" t="str">
        <f>IFERROR(__xludf.DUMMYFUNCTION("""COMPUTED_VALUE"""),"NO")</f>
        <v>NO</v>
      </c>
      <c r="AA304" s="38">
        <f>IFERROR(__xludf.DUMMYFUNCTION("""COMPUTED_VALUE"""),42853.0)</f>
        <v>42853</v>
      </c>
      <c r="AB304" s="38">
        <f>IFERROR(__xludf.DUMMYFUNCTION("""COMPUTED_VALUE"""),43007.0)</f>
        <v>43007</v>
      </c>
      <c r="AH304" t="str">
        <f>IFERROR(__xludf.DUMMYFUNCTION("""COMPUTED_VALUE"""),"PROCESO DE SELECCIÓN")</f>
        <v>PROCESO DE SELECCIÓN</v>
      </c>
      <c r="AI304" t="str">
        <f>IFERROR(__xludf.DUMMYFUNCTION("""COMPUTED_VALUE"""),"JOSE EGAÑA RODRIGUEZ")</f>
        <v>JOSE EGAÑA RODRIGUEZ</v>
      </c>
      <c r="AL304">
        <f>IFERROR(__xludf.DUMMYFUNCTION("""COMPUTED_VALUE"""),25.0)</f>
        <v>25</v>
      </c>
      <c r="AM304">
        <f>IFERROR(__xludf.DUMMYFUNCTION("""COMPUTED_VALUE"""),2017.0)</f>
        <v>2017</v>
      </c>
    </row>
    <row r="305">
      <c r="A305">
        <f>IFERROR(__xludf.DUMMYFUNCTION("""COMPUTED_VALUE"""),1.3951491E7)</f>
        <v>13951491</v>
      </c>
      <c r="B305">
        <f>IFERROR(__xludf.DUMMYFUNCTION("""COMPUTED_VALUE"""),80.0)</f>
        <v>80</v>
      </c>
      <c r="D305" t="str">
        <f>IFERROR(__xludf.DUMMYFUNCTION("""COMPUTED_VALUE"""),"INGRESAR CENTRO DE COSTO A LA DERECHA")</f>
        <v>INGRESAR CENTRO DE COSTO A LA DERECHA</v>
      </c>
      <c r="E305" t="str">
        <f>IFERROR(__xludf.DUMMYFUNCTION("""COMPUTED_VALUE"""),"UNIDAD DE ATENCION DE SALUD")</f>
        <v>UNIDAD DE ATENCION DE SALUD</v>
      </c>
      <c r="F305" t="str">
        <f>IFERROR(__xludf.DUMMYFUNCTION("""COMPUTED_VALUE"""),"Médicos(as) y Dentistas")</f>
        <v>Médicos(as) y Dentistas</v>
      </c>
      <c r="G305" t="str">
        <f>IFERROR(__xludf.DUMMYFUNCTION("""COMPUTED_VALUE"""),"MEDICO CIRUJANO")</f>
        <v>MEDICO CIRUJANO</v>
      </c>
      <c r="I305" t="str">
        <f>IFERROR(__xludf.DUMMYFUNCTION("""COMPUTED_VALUE"""),"1/2 Jornada")</f>
        <v>1/2 Jornada</v>
      </c>
      <c r="J305" t="str">
        <f>IFERROR(__xludf.DUMMYFUNCTION("""COMPUTED_VALUE"""),"Por 22 hrs. Ley 15.076")</f>
        <v>Por 22 hrs. Ley 15.076</v>
      </c>
      <c r="L305" t="str">
        <f>IFERROR(__xludf.DUMMYFUNCTION("""COMPUTED_VALUE"""),"NO")</f>
        <v>NO</v>
      </c>
      <c r="M305">
        <f>IFERROR(__xludf.DUMMYFUNCTION("""COMPUTED_VALUE"""),0.0)</f>
        <v>0</v>
      </c>
      <c r="N305" t="str">
        <f>IFERROR(__xludf.DUMMYFUNCTION("""COMPUTED_VALUE"""),"EXTERNO")</f>
        <v>EXTERNO</v>
      </c>
      <c r="O305">
        <f>IFERROR(__xludf.DUMMYFUNCTION("""COMPUTED_VALUE"""),2.0)</f>
        <v>2</v>
      </c>
      <c r="P305">
        <f>IFERROR(__xludf.DUMMYFUNCTION("""COMPUTED_VALUE"""),2.0)</f>
        <v>2</v>
      </c>
      <c r="Q305">
        <f>IFERROR(__xludf.DUMMYFUNCTION("""COMPUTED_VALUE"""),2.0)</f>
        <v>2</v>
      </c>
      <c r="R305" s="45" t="str">
        <f>IFERROR(__xludf.DUMMYFUNCTION("""COMPUTED_VALUE"""),"SELECCIONADA")</f>
        <v>SELECCIONADA</v>
      </c>
      <c r="S305" s="38">
        <f>IFERROR(__xludf.DUMMYFUNCTION("""COMPUTED_VALUE"""),43039.0)</f>
        <v>43039</v>
      </c>
      <c r="U305" t="str">
        <f>IFERROR(__xludf.DUMMYFUNCTION("""COMPUTED_VALUE"""),"PAULINA GUTIERREZ PEÑAILILLO")</f>
        <v>PAULINA GUTIERREZ PEÑAILILLO</v>
      </c>
      <c r="V305" t="str">
        <f>IFERROR(__xludf.DUMMYFUNCTION("""COMPUTED_VALUE"""),"13951491-2")</f>
        <v>13951491-2</v>
      </c>
      <c r="W305" t="str">
        <f>IFERROR(__xludf.DUMMYFUNCTION("""COMPUTED_VALUE"""),"NO")</f>
        <v>NO</v>
      </c>
      <c r="AA305" s="38">
        <f>IFERROR(__xludf.DUMMYFUNCTION("""COMPUTED_VALUE"""),42853.0)</f>
        <v>42853</v>
      </c>
      <c r="AB305" s="38">
        <f>IFERROR(__xludf.DUMMYFUNCTION("""COMPUTED_VALUE"""),43007.0)</f>
        <v>43007</v>
      </c>
      <c r="AH305" t="str">
        <f>IFERROR(__xludf.DUMMYFUNCTION("""COMPUTED_VALUE"""),"PROCESO DE SELECCIÓN")</f>
        <v>PROCESO DE SELECCIÓN</v>
      </c>
      <c r="AI305" t="str">
        <f>IFERROR(__xludf.DUMMYFUNCTION("""COMPUTED_VALUE"""),"JOSE EGAÑA RODRIGUEZ")</f>
        <v>JOSE EGAÑA RODRIGUEZ</v>
      </c>
      <c r="AL305">
        <f>IFERROR(__xludf.DUMMYFUNCTION("""COMPUTED_VALUE"""),23.0)</f>
        <v>23</v>
      </c>
      <c r="AM305">
        <f>IFERROR(__xludf.DUMMYFUNCTION("""COMPUTED_VALUE"""),2017.0)</f>
        <v>2017</v>
      </c>
    </row>
    <row r="306">
      <c r="A306">
        <f>IFERROR(__xludf.DUMMYFUNCTION("""COMPUTED_VALUE"""),1.3048402E7)</f>
        <v>13048402</v>
      </c>
      <c r="B306">
        <f>IFERROR(__xludf.DUMMYFUNCTION("""COMPUTED_VALUE"""),81.0)</f>
        <v>81</v>
      </c>
      <c r="D306" t="str">
        <f>IFERROR(__xludf.DUMMYFUNCTION("""COMPUTED_VALUE"""),"INGRESAR CENTRO DE COSTO A LA DERECHA")</f>
        <v>INGRESAR CENTRO DE COSTO A LA DERECHA</v>
      </c>
      <c r="E306" t="str">
        <f>IFERROR(__xludf.DUMMYFUNCTION("""COMPUTED_VALUE"""),"FACULTAD DE HUMANIDADES")</f>
        <v>FACULTAD DE HUMANIDADES</v>
      </c>
      <c r="F306" t="str">
        <f>IFERROR(__xludf.DUMMYFUNCTION("""COMPUTED_VALUE"""),"Encargado(a) de Vinculación con el Medio")</f>
        <v>Encargado(a) de Vinculación con el Medio</v>
      </c>
      <c r="G306" t="str">
        <f>IFERROR(__xludf.DUMMYFUNCTION("""COMPUTED_VALUE"""),"ENCARGADO DE VINCULACION CON EL MEDIO")</f>
        <v>ENCARGADO DE VINCULACION CON EL MEDIO</v>
      </c>
      <c r="H306">
        <f>IFERROR(__xludf.DUMMYFUNCTION("""COMPUTED_VALUE"""),13.0)</f>
        <v>13</v>
      </c>
      <c r="I306" t="str">
        <f>IFERROR(__xludf.DUMMYFUNCTION("""COMPUTED_VALUE"""),"Jornada Completa")</f>
        <v>Jornada Completa</v>
      </c>
      <c r="J306" t="str">
        <f>IFERROR(__xludf.DUMMYFUNCTION("""COMPUTED_VALUE"""),"A CONTRATA")</f>
        <v>A CONTRATA</v>
      </c>
      <c r="K306" t="str">
        <f>IFERROR(__xludf.DUMMYFUNCTION("""COMPUTED_VALUE"""),"PROFESIONAL")</f>
        <v>PROFESIONAL</v>
      </c>
      <c r="L306" t="str">
        <f>IFERROR(__xludf.DUMMYFUNCTION("""COMPUTED_VALUE"""),"INTERNO")</f>
        <v>INTERNO</v>
      </c>
      <c r="M306">
        <f>IFERROR(__xludf.DUMMYFUNCTION("""COMPUTED_VALUE"""),0.0)</f>
        <v>0</v>
      </c>
      <c r="N306" t="str">
        <f>IFERROR(__xludf.DUMMYFUNCTION("""COMPUTED_VALUE"""),"EXTERNO")</f>
        <v>EXTERNO</v>
      </c>
      <c r="O306">
        <f>IFERROR(__xludf.DUMMYFUNCTION("""COMPUTED_VALUE"""),38.0)</f>
        <v>38</v>
      </c>
      <c r="P306">
        <f>IFERROR(__xludf.DUMMYFUNCTION("""COMPUTED_VALUE"""),3.0)</f>
        <v>3</v>
      </c>
      <c r="Q306">
        <f>IFERROR(__xludf.DUMMYFUNCTION("""COMPUTED_VALUE"""),2.0)</f>
        <v>2</v>
      </c>
      <c r="R306" s="45" t="str">
        <f>IFERROR(__xludf.DUMMYFUNCTION("""COMPUTED_VALUE"""),"SELECCIONADO")</f>
        <v>SELECCIONADO</v>
      </c>
      <c r="S306" s="38">
        <f>IFERROR(__xludf.DUMMYFUNCTION("""COMPUTED_VALUE"""),43010.0)</f>
        <v>43010</v>
      </c>
      <c r="U306" t="str">
        <f>IFERROR(__xludf.DUMMYFUNCTION("""COMPUTED_VALUE"""),"ENZO BORRONI RICARDI")</f>
        <v>ENZO BORRONI RICARDI</v>
      </c>
      <c r="V306" t="str">
        <f>IFERROR(__xludf.DUMMYFUNCTION("""COMPUTED_VALUE"""),"13048402-6")</f>
        <v>13048402-6</v>
      </c>
      <c r="W306" t="str">
        <f>IFERROR(__xludf.DUMMYFUNCTION("""COMPUTED_VALUE"""),"SI")</f>
        <v>SI</v>
      </c>
      <c r="X306" t="str">
        <f>IFERROR(__xludf.DUMMYFUNCTION("""COMPUTED_VALUE"""),"CAPACIDAD DE PLANIFICACION Y ORGANIZACION")</f>
        <v>CAPACIDAD DE PLANIFICACION Y ORGANIZACION</v>
      </c>
      <c r="AA306" s="38">
        <f>IFERROR(__xludf.DUMMYFUNCTION("""COMPUTED_VALUE"""),42943.0)</f>
        <v>42943</v>
      </c>
      <c r="AB306" s="38">
        <f>IFERROR(__xludf.DUMMYFUNCTION("""COMPUTED_VALUE"""),42950.0)</f>
        <v>42950</v>
      </c>
      <c r="AH306" t="str">
        <f>IFERROR(__xludf.DUMMYFUNCTION("""COMPUTED_VALUE"""),"PROCESO DE SELECCIÓN")</f>
        <v>PROCESO DE SELECCIÓN</v>
      </c>
      <c r="AI306" t="str">
        <f>IFERROR(__xludf.DUMMYFUNCTION("""COMPUTED_VALUE"""),"ALEX ARAYA")</f>
        <v>ALEX ARAYA</v>
      </c>
      <c r="AL306">
        <f>IFERROR(__xludf.DUMMYFUNCTION("""COMPUTED_VALUE"""),43.0)</f>
        <v>43</v>
      </c>
      <c r="AM306">
        <f>IFERROR(__xludf.DUMMYFUNCTION("""COMPUTED_VALUE"""),2017.0)</f>
        <v>2017</v>
      </c>
    </row>
    <row r="307">
      <c r="A307">
        <f>IFERROR(__xludf.DUMMYFUNCTION("""COMPUTED_VALUE"""),1.6648725E7)</f>
        <v>16648725</v>
      </c>
      <c r="B307">
        <f>IFERROR(__xludf.DUMMYFUNCTION("""COMPUTED_VALUE"""),82.0)</f>
        <v>82</v>
      </c>
      <c r="D307" t="str">
        <f>IFERROR(__xludf.DUMMYFUNCTION("""COMPUTED_VALUE"""),"INGRESAR CENTRO DE COSTO A LA DERECHA")</f>
        <v>INGRESAR CENTRO DE COSTO A LA DERECHA</v>
      </c>
      <c r="E307" t="str">
        <f>IFERROR(__xludf.DUMMYFUNCTION("""COMPUTED_VALUE"""),"SECRETARIA GENERAL")</f>
        <v>SECRETARIA GENERAL</v>
      </c>
      <c r="F307" t="str">
        <f>IFERROR(__xludf.DUMMYFUNCTION("""COMPUTED_VALUE"""),"Administrativo(a) de Apoyo")</f>
        <v>Administrativo(a) de Apoyo</v>
      </c>
      <c r="G307" t="str">
        <f>IFERROR(__xludf.DUMMYFUNCTION("""COMPUTED_VALUE"""),"ADMINISTRATIVO DE APOYO ( ARCHIVO CENTRAL)")</f>
        <v>ADMINISTRATIVO DE APOYO ( ARCHIVO CENTRAL)</v>
      </c>
      <c r="H307">
        <f>IFERROR(__xludf.DUMMYFUNCTION("""COMPUTED_VALUE"""),20.0)</f>
        <v>20</v>
      </c>
      <c r="I307" t="str">
        <f>IFERROR(__xludf.DUMMYFUNCTION("""COMPUTED_VALUE"""),"Jornada Completa")</f>
        <v>Jornada Completa</v>
      </c>
      <c r="J307" t="str">
        <f>IFERROR(__xludf.DUMMYFUNCTION("""COMPUTED_VALUE"""),"A CONTRATA")</f>
        <v>A CONTRATA</v>
      </c>
      <c r="K307" t="str">
        <f>IFERROR(__xludf.DUMMYFUNCTION("""COMPUTED_VALUE"""),"ADMINISTRATIVO")</f>
        <v>ADMINISTRATIVO</v>
      </c>
      <c r="L307" t="str">
        <f>IFERROR(__xludf.DUMMYFUNCTION("""COMPUTED_VALUE"""),"INTERNO")</f>
        <v>INTERNO</v>
      </c>
      <c r="M307">
        <f>IFERROR(__xludf.DUMMYFUNCTION("""COMPUTED_VALUE"""),2.0)</f>
        <v>2</v>
      </c>
      <c r="N307" t="str">
        <f>IFERROR(__xludf.DUMMYFUNCTION("""COMPUTED_VALUE"""),"EXTERNO")</f>
        <v>EXTERNO</v>
      </c>
      <c r="O307">
        <f>IFERROR(__xludf.DUMMYFUNCTION("""COMPUTED_VALUE"""),8.0)</f>
        <v>8</v>
      </c>
      <c r="P307">
        <f>IFERROR(__xludf.DUMMYFUNCTION("""COMPUTED_VALUE"""),3.0)</f>
        <v>3</v>
      </c>
      <c r="Q307">
        <f>IFERROR(__xludf.DUMMYFUNCTION("""COMPUTED_VALUE"""),1.0)</f>
        <v>1</v>
      </c>
      <c r="R307" s="45" t="str">
        <f>IFERROR(__xludf.DUMMYFUNCTION("""COMPUTED_VALUE"""),"SELECCIONADA")</f>
        <v>SELECCIONADA</v>
      </c>
      <c r="S307" s="38">
        <f>IFERROR(__xludf.DUMMYFUNCTION("""COMPUTED_VALUE"""),43066.0)</f>
        <v>43066</v>
      </c>
      <c r="U307" t="str">
        <f>IFERROR(__xludf.DUMMYFUNCTION("""COMPUTED_VALUE"""),"DANIELA SEPULVEDA ROJAS")</f>
        <v>DANIELA SEPULVEDA ROJAS</v>
      </c>
      <c r="V307" t="str">
        <f>IFERROR(__xludf.DUMMYFUNCTION("""COMPUTED_VALUE"""),"16648725-0")</f>
        <v>16648725-0</v>
      </c>
      <c r="W307" t="str">
        <f>IFERROR(__xludf.DUMMYFUNCTION("""COMPUTED_VALUE"""),"SI")</f>
        <v>SI</v>
      </c>
      <c r="X307" t="str">
        <f>IFERROR(__xludf.DUMMYFUNCTION("""COMPUTED_VALUE"""),"COMUNICACION")</f>
        <v>COMUNICACION</v>
      </c>
      <c r="AA307" s="38">
        <f>IFERROR(__xludf.DUMMYFUNCTION("""COMPUTED_VALUE"""),43021.0)</f>
        <v>43021</v>
      </c>
      <c r="AB307" s="38">
        <f>IFERROR(__xludf.DUMMYFUNCTION("""COMPUTED_VALUE"""),43028.0)</f>
        <v>43028</v>
      </c>
      <c r="AH307" t="str">
        <f>IFERROR(__xludf.DUMMYFUNCTION("""COMPUTED_VALUE"""),"PROCESO DE SELECCIÓN")</f>
        <v>PROCESO DE SELECCIÓN</v>
      </c>
      <c r="AI307" t="str">
        <f>IFERROR(__xludf.DUMMYFUNCTION("""COMPUTED_VALUE"""),"BUSCAR")</f>
        <v>BUSCAR</v>
      </c>
      <c r="AL307">
        <f>IFERROR(__xludf.DUMMYFUNCTION("""COMPUTED_VALUE"""),27.0)</f>
        <v>27</v>
      </c>
      <c r="AM307">
        <f>IFERROR(__xludf.DUMMYFUNCTION("""COMPUTED_VALUE"""),2017.0)</f>
        <v>2017</v>
      </c>
    </row>
    <row r="308">
      <c r="A308">
        <f>IFERROR(__xludf.DUMMYFUNCTION("""COMPUTED_VALUE"""),1.1168851E7)</f>
        <v>11168851</v>
      </c>
      <c r="B308">
        <f>IFERROR(__xludf.DUMMYFUNCTION("""COMPUTED_VALUE"""),83.0)</f>
        <v>83</v>
      </c>
      <c r="D308" t="str">
        <f>IFERROR(__xludf.DUMMYFUNCTION("""COMPUTED_VALUE"""),"INGRESAR CENTRO DE COSTO A LA DERECHA")</f>
        <v>INGRESAR CENTRO DE COSTO A LA DERECHA</v>
      </c>
      <c r="E308" t="str">
        <f>IFERROR(__xludf.DUMMYFUNCTION("""COMPUTED_VALUE"""),"FACULTAD DE CIENCIAS MEDICAS")</f>
        <v>FACULTAD DE CIENCIAS MEDICAS</v>
      </c>
      <c r="F308" t="str">
        <f>IFERROR(__xludf.DUMMYFUNCTION("""COMPUTED_VALUE"""),"Asistente de Biblioteca")</f>
        <v>Asistente de Biblioteca</v>
      </c>
      <c r="G308" t="str">
        <f>IFERROR(__xludf.DUMMYFUNCTION("""COMPUTED_VALUE"""),"ASISTENTE DE BIBLIOTECA")</f>
        <v>ASISTENTE DE BIBLIOTECA</v>
      </c>
      <c r="H308">
        <f>IFERROR(__xludf.DUMMYFUNCTION("""COMPUTED_VALUE"""),20.0)</f>
        <v>20</v>
      </c>
      <c r="I308" t="str">
        <f>IFERROR(__xludf.DUMMYFUNCTION("""COMPUTED_VALUE"""),"Jornada Completa")</f>
        <v>Jornada Completa</v>
      </c>
      <c r="J308" t="str">
        <f>IFERROR(__xludf.DUMMYFUNCTION("""COMPUTED_VALUE"""),"A CONTRATA")</f>
        <v>A CONTRATA</v>
      </c>
      <c r="K308" t="str">
        <f>IFERROR(__xludf.DUMMYFUNCTION("""COMPUTED_VALUE"""),"ADMINISTRATIVO")</f>
        <v>ADMINISTRATIVO</v>
      </c>
      <c r="L308" t="str">
        <f>IFERROR(__xludf.DUMMYFUNCTION("""COMPUTED_VALUE"""),"INTERNO")</f>
        <v>INTERNO</v>
      </c>
      <c r="M308">
        <f>IFERROR(__xludf.DUMMYFUNCTION("""COMPUTED_VALUE"""),1.0)</f>
        <v>1</v>
      </c>
      <c r="N308" t="str">
        <f>IFERROR(__xludf.DUMMYFUNCTION("""COMPUTED_VALUE"""),"EXTERNO")</f>
        <v>EXTERNO</v>
      </c>
      <c r="O308">
        <f>IFERROR(__xludf.DUMMYFUNCTION("""COMPUTED_VALUE"""),13.0)</f>
        <v>13</v>
      </c>
      <c r="P308">
        <f>IFERROR(__xludf.DUMMYFUNCTION("""COMPUTED_VALUE"""),1.0)</f>
        <v>1</v>
      </c>
      <c r="Q308">
        <f>IFERROR(__xludf.DUMMYFUNCTION("""COMPUTED_VALUE"""),4.0)</f>
        <v>4</v>
      </c>
      <c r="R308" s="45" t="str">
        <f>IFERROR(__xludf.DUMMYFUNCTION("""COMPUTED_VALUE"""),"SELECCIONADA")</f>
        <v>SELECCIONADA</v>
      </c>
      <c r="S308" s="38">
        <f>IFERROR(__xludf.DUMMYFUNCTION("""COMPUTED_VALUE"""),43066.0)</f>
        <v>43066</v>
      </c>
      <c r="U308" t="str">
        <f>IFERROR(__xludf.DUMMYFUNCTION("""COMPUTED_VALUE"""),"EDITH AGUILERA GONZALEZ")</f>
        <v>EDITH AGUILERA GONZALEZ</v>
      </c>
      <c r="V308" t="str">
        <f>IFERROR(__xludf.DUMMYFUNCTION("""COMPUTED_VALUE"""),"11168851-6")</f>
        <v>11168851-6</v>
      </c>
      <c r="W308" t="str">
        <f>IFERROR(__xludf.DUMMYFUNCTION("""COMPUTED_VALUE"""),"SI")</f>
        <v>SI</v>
      </c>
      <c r="X308" t="str">
        <f>IFERROR(__xludf.DUMMYFUNCTION("""COMPUTED_VALUE"""),"COMUNICACION")</f>
        <v>COMUNICACION</v>
      </c>
      <c r="AA308" s="38">
        <f>IFERROR(__xludf.DUMMYFUNCTION("""COMPUTED_VALUE"""),43025.0)</f>
        <v>43025</v>
      </c>
      <c r="AB308" s="38">
        <f>IFERROR(__xludf.DUMMYFUNCTION("""COMPUTED_VALUE"""),43032.0)</f>
        <v>43032</v>
      </c>
      <c r="AH308" t="str">
        <f>IFERROR(__xludf.DUMMYFUNCTION("""COMPUTED_VALUE"""),"PROCESO DE SELECCIÓN")</f>
        <v>PROCESO DE SELECCIÓN</v>
      </c>
      <c r="AI308" t="str">
        <f>IFERROR(__xludf.DUMMYFUNCTION("""COMPUTED_VALUE"""),"BUSCAR")</f>
        <v>BUSCAR</v>
      </c>
      <c r="AL308">
        <f>IFERROR(__xludf.DUMMYFUNCTION("""COMPUTED_VALUE"""),25.0)</f>
        <v>25</v>
      </c>
      <c r="AM308">
        <f>IFERROR(__xludf.DUMMYFUNCTION("""COMPUTED_VALUE"""),2017.0)</f>
        <v>2017</v>
      </c>
    </row>
    <row r="309">
      <c r="A309">
        <f>IFERROR(__xludf.DUMMYFUNCTION("""COMPUTED_VALUE"""),1.7387266E7)</f>
        <v>17387266</v>
      </c>
      <c r="B309">
        <f>IFERROR(__xludf.DUMMYFUNCTION("""COMPUTED_VALUE"""),84.0)</f>
        <v>84</v>
      </c>
      <c r="D309" t="str">
        <f>IFERROR(__xludf.DUMMYFUNCTION("""COMPUTED_VALUE"""),"INGRESAR CENTRO DE COSTO A LA DERECHA")</f>
        <v>INGRESAR CENTRO DE COSTO A LA DERECHA</v>
      </c>
      <c r="E309" t="str">
        <f>IFERROR(__xludf.DUMMYFUNCTION("""COMPUTED_VALUE"""),"VR. DE VINCULACION CON EL MEDIO")</f>
        <v>VR. DE VINCULACION CON EL MEDIO</v>
      </c>
      <c r="F309" t="str">
        <f>IFERROR(__xludf.DUMMYFUNCTION("""COMPUTED_VALUE"""),"Encargado(a) de Laboratorio")</f>
        <v>Encargado(a) de Laboratorio</v>
      </c>
      <c r="G309" t="str">
        <f>IFERROR(__xludf.DUMMYFUNCTION("""COMPUTED_VALUE"""),"ENCARGADO DE LABORATORIO ( ARCHIVO PATRIMONIAL)")</f>
        <v>ENCARGADO DE LABORATORIO ( ARCHIVO PATRIMONIAL)</v>
      </c>
      <c r="H309">
        <f>IFERROR(__xludf.DUMMYFUNCTION("""COMPUTED_VALUE"""),13.0)</f>
        <v>13</v>
      </c>
      <c r="I309" t="str">
        <f>IFERROR(__xludf.DUMMYFUNCTION("""COMPUTED_VALUE"""),"Jornada Completa")</f>
        <v>Jornada Completa</v>
      </c>
      <c r="J309" t="str">
        <f>IFERROR(__xludf.DUMMYFUNCTION("""COMPUTED_VALUE"""),"A CONTRATA")</f>
        <v>A CONTRATA</v>
      </c>
      <c r="K309" t="str">
        <f>IFERROR(__xludf.DUMMYFUNCTION("""COMPUTED_VALUE"""),"PROFESIONAL")</f>
        <v>PROFESIONAL</v>
      </c>
      <c r="L309" t="str">
        <f>IFERROR(__xludf.DUMMYFUNCTION("""COMPUTED_VALUE"""),"INTERNO")</f>
        <v>INTERNO</v>
      </c>
      <c r="M309">
        <f>IFERROR(__xludf.DUMMYFUNCTION("""COMPUTED_VALUE"""),1.0)</f>
        <v>1</v>
      </c>
      <c r="N309" t="str">
        <f>IFERROR(__xludf.DUMMYFUNCTION("""COMPUTED_VALUE"""),"EXTERNO")</f>
        <v>EXTERNO</v>
      </c>
      <c r="O309">
        <f>IFERROR(__xludf.DUMMYFUNCTION("""COMPUTED_VALUE"""),40.0)</f>
        <v>40</v>
      </c>
      <c r="P309">
        <f>IFERROR(__xludf.DUMMYFUNCTION("""COMPUTED_VALUE"""),2.0)</f>
        <v>2</v>
      </c>
      <c r="Q309">
        <f>IFERROR(__xludf.DUMMYFUNCTION("""COMPUTED_VALUE"""),2.0)</f>
        <v>2</v>
      </c>
      <c r="R309" s="45" t="str">
        <f>IFERROR(__xludf.DUMMYFUNCTION("""COMPUTED_VALUE"""),"SELECCIONADA")</f>
        <v>SELECCIONADA</v>
      </c>
      <c r="S309" s="38">
        <f>IFERROR(__xludf.DUMMYFUNCTION("""COMPUTED_VALUE"""),43070.0)</f>
        <v>43070</v>
      </c>
      <c r="U309" t="str">
        <f>IFERROR(__xludf.DUMMYFUNCTION("""COMPUTED_VALUE"""),"MICHELLE RIBAUT KOMPATZKI")</f>
        <v>MICHELLE RIBAUT KOMPATZKI</v>
      </c>
      <c r="V309" t="str">
        <f>IFERROR(__xludf.DUMMYFUNCTION("""COMPUTED_VALUE"""),"17387266-6")</f>
        <v>17387266-6</v>
      </c>
      <c r="W309" t="str">
        <f>IFERROR(__xludf.DUMMYFUNCTION("""COMPUTED_VALUE"""),"NO")</f>
        <v>NO</v>
      </c>
      <c r="AA309" s="38">
        <f>IFERROR(__xludf.DUMMYFUNCTION("""COMPUTED_VALUE"""),43020.0)</f>
        <v>43020</v>
      </c>
      <c r="AB309" s="38">
        <f>IFERROR(__xludf.DUMMYFUNCTION("""COMPUTED_VALUE"""),43027.0)</f>
        <v>43027</v>
      </c>
      <c r="AH309" t="str">
        <f>IFERROR(__xludf.DUMMYFUNCTION("""COMPUTED_VALUE"""),"PROCESO DE SELECCIÓN")</f>
        <v>PROCESO DE SELECCIÓN</v>
      </c>
      <c r="AI309" t="str">
        <f>IFERROR(__xludf.DUMMYFUNCTION("""COMPUTED_VALUE"""),"ANDRES ZUÑIGA MELLA")</f>
        <v>ANDRES ZUÑIGA MELLA</v>
      </c>
      <c r="AL309">
        <f>IFERROR(__xludf.DUMMYFUNCTION("""COMPUTED_VALUE"""),32.0)</f>
        <v>32</v>
      </c>
      <c r="AM309">
        <f>IFERROR(__xludf.DUMMYFUNCTION("""COMPUTED_VALUE"""),2017.0)</f>
        <v>2017</v>
      </c>
    </row>
    <row r="310">
      <c r="A310">
        <f>IFERROR(__xludf.DUMMYFUNCTION("""COMPUTED_VALUE"""),1.8456224E7)</f>
        <v>18456224</v>
      </c>
      <c r="B310">
        <f>IFERROR(__xludf.DUMMYFUNCTION("""COMPUTED_VALUE"""),85.0)</f>
        <v>85</v>
      </c>
      <c r="D310" t="str">
        <f>IFERROR(__xludf.DUMMYFUNCTION("""COMPUTED_VALUE"""),"INGRESAR CENTRO DE COSTO A LA DERECHA")</f>
        <v>INGRESAR CENTRO DE COSTO A LA DERECHA</v>
      </c>
      <c r="E310" t="str">
        <f>IFERROR(__xludf.DUMMYFUNCTION("""COMPUTED_VALUE"""),"FACULTAD DE ADMINIST Y ECONOMI")</f>
        <v>FACULTAD DE ADMINIST Y ECONOMI</v>
      </c>
      <c r="F310" t="str">
        <f>IFERROR(__xludf.DUMMYFUNCTION("""COMPUTED_VALUE"""),"Secretario(a) B")</f>
        <v>Secretario(a) B</v>
      </c>
      <c r="G310" t="str">
        <f>IFERROR(__xludf.DUMMYFUNCTION("""COMPUTED_VALUE"""),"SECRETARIA (B) ")</f>
        <v>SECRETARIA (B) </v>
      </c>
      <c r="H310">
        <f>IFERROR(__xludf.DUMMYFUNCTION("""COMPUTED_VALUE"""),17.0)</f>
        <v>17</v>
      </c>
      <c r="I310" t="str">
        <f>IFERROR(__xludf.DUMMYFUNCTION("""COMPUTED_VALUE"""),"Jornada Completa")</f>
        <v>Jornada Completa</v>
      </c>
      <c r="J310" t="str">
        <f>IFERROR(__xludf.DUMMYFUNCTION("""COMPUTED_VALUE"""),"A CONTRATA")</f>
        <v>A CONTRATA</v>
      </c>
      <c r="K310" t="str">
        <f>IFERROR(__xludf.DUMMYFUNCTION("""COMPUTED_VALUE"""),"ADMINISTRATIVO")</f>
        <v>ADMINISTRATIVO</v>
      </c>
      <c r="L310" t="str">
        <f>IFERROR(__xludf.DUMMYFUNCTION("""COMPUTED_VALUE"""),"INTERNO")</f>
        <v>INTERNO</v>
      </c>
      <c r="M310">
        <f>IFERROR(__xludf.DUMMYFUNCTION("""COMPUTED_VALUE"""),1.0)</f>
        <v>1</v>
      </c>
      <c r="N310" t="str">
        <f>IFERROR(__xludf.DUMMYFUNCTION("""COMPUTED_VALUE"""),"EXTERNO")</f>
        <v>EXTERNO</v>
      </c>
      <c r="O310">
        <f>IFERROR(__xludf.DUMMYFUNCTION("""COMPUTED_VALUE"""),8.0)</f>
        <v>8</v>
      </c>
      <c r="P310">
        <f>IFERROR(__xludf.DUMMYFUNCTION("""COMPUTED_VALUE"""),1.0)</f>
        <v>1</v>
      </c>
      <c r="Q310">
        <f>IFERROR(__xludf.DUMMYFUNCTION("""COMPUTED_VALUE"""),1.0)</f>
        <v>1</v>
      </c>
      <c r="R310" s="45" t="str">
        <f>IFERROR(__xludf.DUMMYFUNCTION("""COMPUTED_VALUE"""),"SELECCIONADA")</f>
        <v>SELECCIONADA</v>
      </c>
      <c r="S310" s="38">
        <f>IFERROR(__xludf.DUMMYFUNCTION("""COMPUTED_VALUE"""),43061.0)</f>
        <v>43061</v>
      </c>
      <c r="U310" t="str">
        <f>IFERROR(__xludf.DUMMYFUNCTION("""COMPUTED_VALUE"""),"CLAUDIA CANALES MUÑOZ")</f>
        <v>CLAUDIA CANALES MUÑOZ</v>
      </c>
      <c r="V310" t="str">
        <f>IFERROR(__xludf.DUMMYFUNCTION("""COMPUTED_VALUE"""),"18456224-3")</f>
        <v>18456224-3</v>
      </c>
      <c r="W310" t="str">
        <f>IFERROR(__xludf.DUMMYFUNCTION("""COMPUTED_VALUE"""),"NO")</f>
        <v>NO</v>
      </c>
      <c r="AA310" s="38">
        <f>IFERROR(__xludf.DUMMYFUNCTION("""COMPUTED_VALUE"""),43021.0)</f>
        <v>43021</v>
      </c>
      <c r="AB310" s="38">
        <f>IFERROR(__xludf.DUMMYFUNCTION("""COMPUTED_VALUE"""),43028.0)</f>
        <v>43028</v>
      </c>
      <c r="AH310" t="str">
        <f>IFERROR(__xludf.DUMMYFUNCTION("""COMPUTED_VALUE"""),"PROCESO DE SELECCIÓN")</f>
        <v>PROCESO DE SELECCIÓN</v>
      </c>
      <c r="AI310" t="str">
        <f>IFERROR(__xludf.DUMMYFUNCTION("""COMPUTED_VALUE"""),"JESUS VALDEBENITO GINART")</f>
        <v>JESUS VALDEBENITO GINART</v>
      </c>
      <c r="AL310">
        <f>IFERROR(__xludf.DUMMYFUNCTION("""COMPUTED_VALUE"""),24.0)</f>
        <v>24</v>
      </c>
      <c r="AM310">
        <f>IFERROR(__xludf.DUMMYFUNCTION("""COMPUTED_VALUE"""),2017.0)</f>
        <v>2017</v>
      </c>
    </row>
    <row r="311">
      <c r="A311">
        <f>IFERROR(__xludf.DUMMYFUNCTION("""COMPUTED_VALUE"""),1.5401585E7)</f>
        <v>15401585</v>
      </c>
      <c r="B311">
        <f>IFERROR(__xludf.DUMMYFUNCTION("""COMPUTED_VALUE"""),87.0)</f>
        <v>87</v>
      </c>
      <c r="D311" t="str">
        <f>IFERROR(__xludf.DUMMYFUNCTION("""COMPUTED_VALUE"""),"INGRESAR CENTRO DE COSTO A LA DERECHA")</f>
        <v>INGRESAR CENTRO DE COSTO A LA DERECHA</v>
      </c>
      <c r="E311" t="str">
        <f>IFERROR(__xludf.DUMMYFUNCTION("""COMPUTED_VALUE"""),"UNIDAD DE BIBLIOTECAS")</f>
        <v>UNIDAD DE BIBLIOTECAS</v>
      </c>
      <c r="F311" t="str">
        <f>IFERROR(__xludf.DUMMYFUNCTION("""COMPUTED_VALUE"""),"Encargado(a) de Sala")</f>
        <v>Encargado(a) de Sala</v>
      </c>
      <c r="G311" t="str">
        <f>IFERROR(__xludf.DUMMYFUNCTION("""COMPUTED_VALUE"""),"ENCARGADO DE SALA")</f>
        <v>ENCARGADO DE SALA</v>
      </c>
      <c r="H311">
        <f>IFERROR(__xludf.DUMMYFUNCTION("""COMPUTED_VALUE"""),23.0)</f>
        <v>23</v>
      </c>
      <c r="I311" t="str">
        <f>IFERROR(__xludf.DUMMYFUNCTION("""COMPUTED_VALUE"""),"Jornada Completa")</f>
        <v>Jornada Completa</v>
      </c>
      <c r="J311" t="str">
        <f>IFERROR(__xludf.DUMMYFUNCTION("""COMPUTED_VALUE"""),"A CONTRATA")</f>
        <v>A CONTRATA</v>
      </c>
      <c r="K311" t="str">
        <f>IFERROR(__xludf.DUMMYFUNCTION("""COMPUTED_VALUE"""),"AUXILIAR")</f>
        <v>AUXILIAR</v>
      </c>
      <c r="L311" t="str">
        <f>IFERROR(__xludf.DUMMYFUNCTION("""COMPUTED_VALUE"""),"INTERNO")</f>
        <v>INTERNO</v>
      </c>
      <c r="M311">
        <f>IFERROR(__xludf.DUMMYFUNCTION("""COMPUTED_VALUE"""),0.0)</f>
        <v>0</v>
      </c>
      <c r="N311" t="str">
        <f>IFERROR(__xludf.DUMMYFUNCTION("""COMPUTED_VALUE"""),"EXTERNO")</f>
        <v>EXTERNO</v>
      </c>
      <c r="O311">
        <f>IFERROR(__xludf.DUMMYFUNCTION("""COMPUTED_VALUE"""),21.0)</f>
        <v>21</v>
      </c>
      <c r="P311">
        <f>IFERROR(__xludf.DUMMYFUNCTION("""COMPUTED_VALUE"""),1.0)</f>
        <v>1</v>
      </c>
      <c r="Q311">
        <f>IFERROR(__xludf.DUMMYFUNCTION("""COMPUTED_VALUE"""),6.0)</f>
        <v>6</v>
      </c>
      <c r="R311" s="45" t="str">
        <f>IFERROR(__xludf.DUMMYFUNCTION("""COMPUTED_VALUE"""),"SELECCIONADO")</f>
        <v>SELECCIONADO</v>
      </c>
      <c r="S311" s="38">
        <f>IFERROR(__xludf.DUMMYFUNCTION("""COMPUTED_VALUE"""),43080.0)</f>
        <v>43080</v>
      </c>
      <c r="U311" t="str">
        <f>IFERROR(__xludf.DUMMYFUNCTION("""COMPUTED_VALUE"""),"DANIEL ROJAS ARANEDA")</f>
        <v>DANIEL ROJAS ARANEDA</v>
      </c>
      <c r="V311" t="str">
        <f>IFERROR(__xludf.DUMMYFUNCTION("""COMPUTED_VALUE"""),"15401585-K")</f>
        <v>15401585-K</v>
      </c>
      <c r="W311" t="str">
        <f>IFERROR(__xludf.DUMMYFUNCTION("""COMPUTED_VALUE"""),"SI")</f>
        <v>SI</v>
      </c>
      <c r="X311" t="str">
        <f>IFERROR(__xludf.DUMMYFUNCTION("""COMPUTED_VALUE"""),"COMUNICACION")</f>
        <v>COMUNICACION</v>
      </c>
      <c r="AA311" s="38">
        <f>IFERROR(__xludf.DUMMYFUNCTION("""COMPUTED_VALUE"""),43045.0)</f>
        <v>43045</v>
      </c>
      <c r="AB311" s="38">
        <f>IFERROR(__xludf.DUMMYFUNCTION("""COMPUTED_VALUE"""),43052.0)</f>
        <v>43052</v>
      </c>
      <c r="AH311" t="str">
        <f>IFERROR(__xludf.DUMMYFUNCTION("""COMPUTED_VALUE"""),"PROCESO DE SELECCIÓN")</f>
        <v>PROCESO DE SELECCIÓN</v>
      </c>
      <c r="AI311" t="str">
        <f>IFERROR(__xludf.DUMMYFUNCTION("""COMPUTED_VALUE"""),"CARLOS MARTINEZ HERRERA")</f>
        <v>CARLOS MARTINEZ HERRERA</v>
      </c>
      <c r="AL311">
        <f>IFERROR(__xludf.DUMMYFUNCTION("""COMPUTED_VALUE"""),21.0)</f>
        <v>21</v>
      </c>
      <c r="AM311">
        <f>IFERROR(__xludf.DUMMYFUNCTION("""COMPUTED_VALUE"""),2017.0)</f>
        <v>2017</v>
      </c>
    </row>
    <row r="312">
      <c r="A312">
        <f>IFERROR(__xludf.DUMMYFUNCTION("""COMPUTED_VALUE"""),1.3887751E7)</f>
        <v>13887751</v>
      </c>
      <c r="B312">
        <f>IFERROR(__xludf.DUMMYFUNCTION("""COMPUTED_VALUE"""),88.0)</f>
        <v>88</v>
      </c>
      <c r="D312" t="str">
        <f>IFERROR(__xludf.DUMMYFUNCTION("""COMPUTED_VALUE"""),"INGRESAR CENTRO DE COSTO A LA DERECHA")</f>
        <v>INGRESAR CENTRO DE COSTO A LA DERECHA</v>
      </c>
      <c r="E312" t="str">
        <f>IFERROR(__xludf.DUMMYFUNCTION("""COMPUTED_VALUE"""),"DPTO. DE FINANZAS Y TESORERIA")</f>
        <v>DPTO. DE FINANZAS Y TESORERIA</v>
      </c>
      <c r="F312" t="str">
        <f>IFERROR(__xludf.DUMMYFUNCTION("""COMPUTED_VALUE"""),"Administrativo(a) Contable")</f>
        <v>Administrativo(a) Contable</v>
      </c>
      <c r="G312" t="str">
        <f>IFERROR(__xludf.DUMMYFUNCTION("""COMPUTED_VALUE"""),"ADMINISTRATIVO CONTABLE ( EJECUTIVO DE COBRANZA)")</f>
        <v>ADMINISTRATIVO CONTABLE ( EJECUTIVO DE COBRANZA)</v>
      </c>
      <c r="H312">
        <f>IFERROR(__xludf.DUMMYFUNCTION("""COMPUTED_VALUE"""),17.0)</f>
        <v>17</v>
      </c>
      <c r="I312" t="str">
        <f>IFERROR(__xludf.DUMMYFUNCTION("""COMPUTED_VALUE"""),"Jornada Completa")</f>
        <v>Jornada Completa</v>
      </c>
      <c r="J312" t="str">
        <f>IFERROR(__xludf.DUMMYFUNCTION("""COMPUTED_VALUE"""),"A CONTRATA")</f>
        <v>A CONTRATA</v>
      </c>
      <c r="K312" t="str">
        <f>IFERROR(__xludf.DUMMYFUNCTION("""COMPUTED_VALUE"""),"TECNICO")</f>
        <v>TECNICO</v>
      </c>
      <c r="L312" t="str">
        <f>IFERROR(__xludf.DUMMYFUNCTION("""COMPUTED_VALUE"""),"INTERNO")</f>
        <v>INTERNO</v>
      </c>
      <c r="M312">
        <f>IFERROR(__xludf.DUMMYFUNCTION("""COMPUTED_VALUE"""),0.0)</f>
        <v>0</v>
      </c>
      <c r="N312" t="str">
        <f>IFERROR(__xludf.DUMMYFUNCTION("""COMPUTED_VALUE"""),"EXTERNO")</f>
        <v>EXTERNO</v>
      </c>
      <c r="O312">
        <f>IFERROR(__xludf.DUMMYFUNCTION("""COMPUTED_VALUE"""),5.0)</f>
        <v>5</v>
      </c>
      <c r="P312">
        <f>IFERROR(__xludf.DUMMYFUNCTION("""COMPUTED_VALUE"""),1.0)</f>
        <v>1</v>
      </c>
      <c r="Q312">
        <f>IFERROR(__xludf.DUMMYFUNCTION("""COMPUTED_VALUE"""),2.0)</f>
        <v>2</v>
      </c>
      <c r="R312" s="45" t="str">
        <f>IFERROR(__xludf.DUMMYFUNCTION("""COMPUTED_VALUE"""),"SELECCIONADA")</f>
        <v>SELECCIONADA</v>
      </c>
      <c r="S312" s="38">
        <f>IFERROR(__xludf.DUMMYFUNCTION("""COMPUTED_VALUE"""),43087.0)</f>
        <v>43087</v>
      </c>
      <c r="U312" t="str">
        <f>IFERROR(__xludf.DUMMYFUNCTION("""COMPUTED_VALUE"""),"EVELYN SOTO AID")</f>
        <v>EVELYN SOTO AID</v>
      </c>
      <c r="V312" t="str">
        <f>IFERROR(__xludf.DUMMYFUNCTION("""COMPUTED_VALUE"""),"13887751-5")</f>
        <v>13887751-5</v>
      </c>
      <c r="W312" t="str">
        <f>IFERROR(__xludf.DUMMYFUNCTION("""COMPUTED_VALUE"""),"SI")</f>
        <v>SI</v>
      </c>
      <c r="X312" t="str">
        <f>IFERROR(__xludf.DUMMYFUNCTION("""COMPUTED_VALUE"""),"PREOCUPACION POR EL ORDEN Y LA CLARIDAD")</f>
        <v>PREOCUPACION POR EL ORDEN Y LA CLARIDAD</v>
      </c>
      <c r="Y312" t="str">
        <f>IFERROR(__xludf.DUMMYFUNCTION("""COMPUTED_VALUE"""),"ORIENTACION A LOS RESULTADOS")</f>
        <v>ORIENTACION A LOS RESULTADOS</v>
      </c>
      <c r="AA312" s="38">
        <f>IFERROR(__xludf.DUMMYFUNCTION("""COMPUTED_VALUE"""),43025.0)</f>
        <v>43025</v>
      </c>
      <c r="AB312" s="38">
        <f>IFERROR(__xludf.DUMMYFUNCTION("""COMPUTED_VALUE"""),43041.0)</f>
        <v>43041</v>
      </c>
      <c r="AH312" t="str">
        <f>IFERROR(__xludf.DUMMYFUNCTION("""COMPUTED_VALUE"""),"PROCESO DE SELECCIÓN")</f>
        <v>PROCESO DE SELECCIÓN</v>
      </c>
      <c r="AI312" t="str">
        <f>IFERROR(__xludf.DUMMYFUNCTION("""COMPUTED_VALUE"""),"XIMENA ACEVEDO")</f>
        <v>XIMENA ACEVEDO</v>
      </c>
      <c r="AL312">
        <f>IFERROR(__xludf.DUMMYFUNCTION("""COMPUTED_VALUE"""),33.0)</f>
        <v>33</v>
      </c>
      <c r="AM312">
        <f>IFERROR(__xludf.DUMMYFUNCTION("""COMPUTED_VALUE"""),2017.0)</f>
        <v>2017</v>
      </c>
    </row>
    <row r="313">
      <c r="A313">
        <f>IFERROR(__xludf.DUMMYFUNCTION("""COMPUTED_VALUE"""),1.1884683E7)</f>
        <v>11884683</v>
      </c>
      <c r="B313">
        <f>IFERROR(__xludf.DUMMYFUNCTION("""COMPUTED_VALUE"""),89.0)</f>
        <v>89</v>
      </c>
      <c r="D313" t="str">
        <f>IFERROR(__xludf.DUMMYFUNCTION("""COMPUTED_VALUE"""),"INGRESAR CENTRO DE COSTO A LA DERECHA")</f>
        <v>INGRESAR CENTRO DE COSTO A LA DERECHA</v>
      </c>
      <c r="E313" t="str">
        <f>IFERROR(__xludf.DUMMYFUNCTION("""COMPUTED_VALUE"""),"DPTO. DE FINANZAS Y TESORERIA")</f>
        <v>DPTO. DE FINANZAS Y TESORERIA</v>
      </c>
      <c r="F313" t="str">
        <f>IFERROR(__xludf.DUMMYFUNCTION("""COMPUTED_VALUE"""),"Analista Contable II")</f>
        <v>Analista Contable II</v>
      </c>
      <c r="G313" t="str">
        <f>IFERROR(__xludf.DUMMYFUNCTION("""COMPUTED_VALUE"""),"ANALISTA CONTABLE II ")</f>
        <v>ANALISTA CONTABLE II </v>
      </c>
      <c r="H313">
        <f>IFERROR(__xludf.DUMMYFUNCTION("""COMPUTED_VALUE"""),13.0)</f>
        <v>13</v>
      </c>
      <c r="I313" t="str">
        <f>IFERROR(__xludf.DUMMYFUNCTION("""COMPUTED_VALUE"""),"Jornada Completa")</f>
        <v>Jornada Completa</v>
      </c>
      <c r="J313" t="str">
        <f>IFERROR(__xludf.DUMMYFUNCTION("""COMPUTED_VALUE"""),"A CONTRATA")</f>
        <v>A CONTRATA</v>
      </c>
      <c r="K313" t="str">
        <f>IFERROR(__xludf.DUMMYFUNCTION("""COMPUTED_VALUE"""),"PROFESIONAL")</f>
        <v>PROFESIONAL</v>
      </c>
      <c r="L313" t="str">
        <f>IFERROR(__xludf.DUMMYFUNCTION("""COMPUTED_VALUE"""),"INTERNO")</f>
        <v>INTERNO</v>
      </c>
      <c r="M313">
        <f>IFERROR(__xludf.DUMMYFUNCTION("""COMPUTED_VALUE"""),0.0)</f>
        <v>0</v>
      </c>
      <c r="N313" t="str">
        <f>IFERROR(__xludf.DUMMYFUNCTION("""COMPUTED_VALUE"""),"EXTERNO")</f>
        <v>EXTERNO</v>
      </c>
      <c r="O313">
        <f>IFERROR(__xludf.DUMMYFUNCTION("""COMPUTED_VALUE"""),10.0)</f>
        <v>10</v>
      </c>
      <c r="P313">
        <f>IFERROR(__xludf.DUMMYFUNCTION("""COMPUTED_VALUE"""),3.0)</f>
        <v>3</v>
      </c>
      <c r="Q313">
        <f>IFERROR(__xludf.DUMMYFUNCTION("""COMPUTED_VALUE"""),0.0)</f>
        <v>0</v>
      </c>
      <c r="R313" s="45" t="str">
        <f>IFERROR(__xludf.DUMMYFUNCTION("""COMPUTED_VALUE"""),"SELECCIONADO")</f>
        <v>SELECCIONADO</v>
      </c>
      <c r="S313" s="38">
        <f>IFERROR(__xludf.DUMMYFUNCTION("""COMPUTED_VALUE"""),43059.0)</f>
        <v>43059</v>
      </c>
      <c r="U313" t="str">
        <f>IFERROR(__xludf.DUMMYFUNCTION("""COMPUTED_VALUE"""),"DIEGO BUSTAMANTE FLORES")</f>
        <v>DIEGO BUSTAMANTE FLORES</v>
      </c>
      <c r="V313" t="str">
        <f>IFERROR(__xludf.DUMMYFUNCTION("""COMPUTED_VALUE"""),"11884683-4")</f>
        <v>11884683-4</v>
      </c>
      <c r="W313" t="str">
        <f>IFERROR(__xludf.DUMMYFUNCTION("""COMPUTED_VALUE"""),"SI")</f>
        <v>SI</v>
      </c>
      <c r="X313" t="str">
        <f>IFERROR(__xludf.DUMMYFUNCTION("""COMPUTED_VALUE"""),"Capacidad de Planificacion y Organizacion")</f>
        <v>Capacidad de Planificacion y Organizacion</v>
      </c>
      <c r="Y313" t="str">
        <f>IFERROR(__xludf.DUMMYFUNCTION("""COMPUTED_VALUE"""),"Iniciativa")</f>
        <v>Iniciativa</v>
      </c>
      <c r="Z313" t="str">
        <f>IFERROR(__xludf.DUMMYFUNCTION("""COMPUTED_VALUE"""),"Orientacion a los Resultados")</f>
        <v>Orientacion a los Resultados</v>
      </c>
      <c r="AA313" s="38">
        <f>IFERROR(__xludf.DUMMYFUNCTION("""COMPUTED_VALUE"""),43024.0)</f>
        <v>43024</v>
      </c>
      <c r="AB313" s="38">
        <f>IFERROR(__xludf.DUMMYFUNCTION("""COMPUTED_VALUE"""),43031.0)</f>
        <v>43031</v>
      </c>
      <c r="AL313">
        <f>IFERROR(__xludf.DUMMYFUNCTION("""COMPUTED_VALUE"""),21.0)</f>
        <v>21</v>
      </c>
      <c r="AM313">
        <f>IFERROR(__xludf.DUMMYFUNCTION("""COMPUTED_VALUE"""),2017.0)</f>
        <v>2017</v>
      </c>
    </row>
    <row r="314">
      <c r="A314">
        <f>IFERROR(__xludf.DUMMYFUNCTION("""COMPUTED_VALUE"""),1.5854032E7)</f>
        <v>15854032</v>
      </c>
      <c r="B314">
        <f>IFERROR(__xludf.DUMMYFUNCTION("""COMPUTED_VALUE"""),90.0)</f>
        <v>90</v>
      </c>
      <c r="D314" t="str">
        <f>IFERROR(__xludf.DUMMYFUNCTION("""COMPUTED_VALUE"""),"INGRESAR CENTRO DE COSTO A LA DERECHA")</f>
        <v>INGRESAR CENTRO DE COSTO A LA DERECHA</v>
      </c>
      <c r="E314" t="str">
        <f>IFERROR(__xludf.DUMMYFUNCTION("""COMPUTED_VALUE"""),"DPTO. DE FINANZAS Y TESORERIA")</f>
        <v>DPTO. DE FINANZAS Y TESORERIA</v>
      </c>
      <c r="F314" t="str">
        <f>IFERROR(__xludf.DUMMYFUNCTION("""COMPUTED_VALUE"""),"Analista Contable II")</f>
        <v>Analista Contable II</v>
      </c>
      <c r="G314" t="str">
        <f>IFERROR(__xludf.DUMMYFUNCTION("""COMPUTED_VALUE"""),"ANALISTA CONTABLE II")</f>
        <v>ANALISTA CONTABLE II</v>
      </c>
      <c r="H314">
        <f>IFERROR(__xludf.DUMMYFUNCTION("""COMPUTED_VALUE"""),13.0)</f>
        <v>13</v>
      </c>
      <c r="I314" t="str">
        <f>IFERROR(__xludf.DUMMYFUNCTION("""COMPUTED_VALUE"""),"Jornada Completa")</f>
        <v>Jornada Completa</v>
      </c>
      <c r="J314" t="str">
        <f>IFERROR(__xludf.DUMMYFUNCTION("""COMPUTED_VALUE"""),"A CONTRATA")</f>
        <v>A CONTRATA</v>
      </c>
      <c r="K314" t="str">
        <f>IFERROR(__xludf.DUMMYFUNCTION("""COMPUTED_VALUE"""),"PROFESIONAL")</f>
        <v>PROFESIONAL</v>
      </c>
      <c r="L314" t="str">
        <f>IFERROR(__xludf.DUMMYFUNCTION("""COMPUTED_VALUE"""),"NO")</f>
        <v>NO</v>
      </c>
      <c r="M314">
        <f>IFERROR(__xludf.DUMMYFUNCTION("""COMPUTED_VALUE"""),0.0)</f>
        <v>0</v>
      </c>
      <c r="N314" t="str">
        <f>IFERROR(__xludf.DUMMYFUNCTION("""COMPUTED_VALUE"""),"EXTERNO")</f>
        <v>EXTERNO</v>
      </c>
      <c r="O314">
        <f>IFERROR(__xludf.DUMMYFUNCTION("""COMPUTED_VALUE"""),5.0)</f>
        <v>5</v>
      </c>
      <c r="P314">
        <f>IFERROR(__xludf.DUMMYFUNCTION("""COMPUTED_VALUE"""),1.0)</f>
        <v>1</v>
      </c>
      <c r="Q314">
        <f>IFERROR(__xludf.DUMMYFUNCTION("""COMPUTED_VALUE"""),0.0)</f>
        <v>0</v>
      </c>
      <c r="R314" s="45" t="str">
        <f>IFERROR(__xludf.DUMMYFUNCTION("""COMPUTED_VALUE"""),"SELECCIONADO")</f>
        <v>SELECCIONADO</v>
      </c>
      <c r="S314" s="38">
        <f>IFERROR(__xludf.DUMMYFUNCTION("""COMPUTED_VALUE"""),43088.0)</f>
        <v>43088</v>
      </c>
      <c r="U314" t="str">
        <f>IFERROR(__xludf.DUMMYFUNCTION("""COMPUTED_VALUE"""),"VICTOR GONZALEZ AGUAYO")</f>
        <v>VICTOR GONZALEZ AGUAYO</v>
      </c>
      <c r="V314" t="str">
        <f>IFERROR(__xludf.DUMMYFUNCTION("""COMPUTED_VALUE"""),"15854032-0")</f>
        <v>15854032-0</v>
      </c>
      <c r="W314" t="str">
        <f>IFERROR(__xludf.DUMMYFUNCTION("""COMPUTED_VALUE"""),"NO")</f>
        <v>NO</v>
      </c>
      <c r="AA314" s="38">
        <f>IFERROR(__xludf.DUMMYFUNCTION("""COMPUTED_VALUE"""),43056.0)</f>
        <v>43056</v>
      </c>
      <c r="AB314" s="38">
        <f>IFERROR(__xludf.DUMMYFUNCTION("""COMPUTED_VALUE"""),43063.0)</f>
        <v>43063</v>
      </c>
      <c r="AL314">
        <f>IFERROR(__xludf.DUMMYFUNCTION("""COMPUTED_VALUE"""),18.0)</f>
        <v>18</v>
      </c>
      <c r="AM314">
        <f>IFERROR(__xludf.DUMMYFUNCTION("""COMPUTED_VALUE"""),2017.0)</f>
        <v>2017</v>
      </c>
    </row>
    <row r="315">
      <c r="A315">
        <f>IFERROR(__xludf.DUMMYFUNCTION("""COMPUTED_VALUE"""),1.5003727E7)</f>
        <v>15003727</v>
      </c>
      <c r="B315">
        <f>IFERROR(__xludf.DUMMYFUNCTION("""COMPUTED_VALUE"""),91.0)</f>
        <v>91</v>
      </c>
      <c r="D315" t="str">
        <f>IFERROR(__xludf.DUMMYFUNCTION("""COMPUTED_VALUE"""),"INGRESAR CENTRO DE COSTO A LA DERECHA")</f>
        <v>INGRESAR CENTRO DE COSTO A LA DERECHA</v>
      </c>
      <c r="E315" t="str">
        <f>IFERROR(__xludf.DUMMYFUNCTION("""COMPUTED_VALUE"""),"CECTA")</f>
        <v>CECTA</v>
      </c>
      <c r="F315" t="str">
        <f>IFERROR(__xludf.DUMMYFUNCTION("""COMPUTED_VALUE"""),"Profesional de Investigación y Desarrollo")</f>
        <v>Profesional de Investigación y Desarrollo</v>
      </c>
      <c r="G315" t="str">
        <f>IFERROR(__xludf.DUMMYFUNCTION("""COMPUTED_VALUE"""),"PROFESIONAL DE INVESTIGACION Y DESARROLLO")</f>
        <v>PROFESIONAL DE INVESTIGACION Y DESARROLLO</v>
      </c>
      <c r="H315">
        <f>IFERROR(__xludf.DUMMYFUNCTION("""COMPUTED_VALUE"""),8.0)</f>
        <v>8</v>
      </c>
      <c r="I315" t="str">
        <f>IFERROR(__xludf.DUMMYFUNCTION("""COMPUTED_VALUE"""),"Jornada Completa")</f>
        <v>Jornada Completa</v>
      </c>
      <c r="J315" t="str">
        <f>IFERROR(__xludf.DUMMYFUNCTION("""COMPUTED_VALUE"""),"A CONTRATA")</f>
        <v>A CONTRATA</v>
      </c>
      <c r="K315" t="str">
        <f>IFERROR(__xludf.DUMMYFUNCTION("""COMPUTED_VALUE"""),"PROFESIONAL")</f>
        <v>PROFESIONAL</v>
      </c>
      <c r="L315" t="str">
        <f>IFERROR(__xludf.DUMMYFUNCTION("""COMPUTED_VALUE"""),"INTERNO")</f>
        <v>INTERNO</v>
      </c>
      <c r="M315">
        <f>IFERROR(__xludf.DUMMYFUNCTION("""COMPUTED_VALUE"""),2.0)</f>
        <v>2</v>
      </c>
      <c r="N315" t="str">
        <f>IFERROR(__xludf.DUMMYFUNCTION("""COMPUTED_VALUE"""),"EXTERNO")</f>
        <v>EXTERNO</v>
      </c>
      <c r="O315">
        <f>IFERROR(__xludf.DUMMYFUNCTION("""COMPUTED_VALUE"""),18.0)</f>
        <v>18</v>
      </c>
      <c r="P315">
        <f>IFERROR(__xludf.DUMMYFUNCTION("""COMPUTED_VALUE"""),2.0)</f>
        <v>2</v>
      </c>
      <c r="Q315">
        <f>IFERROR(__xludf.DUMMYFUNCTION("""COMPUTED_VALUE"""),0.0)</f>
        <v>0</v>
      </c>
      <c r="R315" s="45" t="str">
        <f>IFERROR(__xludf.DUMMYFUNCTION("""COMPUTED_VALUE"""),"SELECCIONADO")</f>
        <v>SELECCIONADO</v>
      </c>
      <c r="S315" s="38">
        <f>IFERROR(__xludf.DUMMYFUNCTION("""COMPUTED_VALUE"""),42887.0)</f>
        <v>42887</v>
      </c>
      <c r="U315" t="str">
        <f>IFERROR(__xludf.DUMMYFUNCTION("""COMPUTED_VALUE"""),"ADENS GONZALEZ CHIA")</f>
        <v>ADENS GONZALEZ CHIA</v>
      </c>
      <c r="V315" t="str">
        <f>IFERROR(__xludf.DUMMYFUNCTION("""COMPUTED_VALUE"""),"15003727-1")</f>
        <v>15003727-1</v>
      </c>
      <c r="W315" t="str">
        <f>IFERROR(__xludf.DUMMYFUNCTION("""COMPUTED_VALUE"""),"SI")</f>
        <v>SI</v>
      </c>
      <c r="X315" t="str">
        <f>IFERROR(__xludf.DUMMYFUNCTION("""COMPUTED_VALUE"""),"Pensamiento Analitico")</f>
        <v>Pensamiento Analitico</v>
      </c>
      <c r="Z315" t="str">
        <f>IFERROR(__xludf.DUMMYFUNCTION("""COMPUTED_VALUE"""),"Capacidad de Planificacion y Organizacion")</f>
        <v>Capacidad de Planificacion y Organizacion</v>
      </c>
      <c r="AA315" s="38">
        <f>IFERROR(__xludf.DUMMYFUNCTION("""COMPUTED_VALUE"""),42802.0)</f>
        <v>42802</v>
      </c>
      <c r="AB315" s="38">
        <f>IFERROR(__xludf.DUMMYFUNCTION("""COMPUTED_VALUE"""),42809.0)</f>
        <v>42809</v>
      </c>
      <c r="AH315" t="str">
        <f>IFERROR(__xludf.DUMMYFUNCTION("""COMPUTED_VALUE"""),"PROCESO DE SELECCIÓN")</f>
        <v>PROCESO DE SELECCIÓN</v>
      </c>
      <c r="AK315" t="str">
        <f>IFERROR(__xludf.DUMMYFUNCTION("""COMPUTED_VALUE"""),"E")</f>
        <v>E</v>
      </c>
      <c r="AL315">
        <f>IFERROR(__xludf.DUMMYFUNCTION("""COMPUTED_VALUE"""),57.0)</f>
        <v>57</v>
      </c>
      <c r="AM315">
        <f>IFERROR(__xludf.DUMMYFUNCTION("""COMPUTED_VALUE"""),2017.0)</f>
        <v>2017</v>
      </c>
    </row>
    <row r="316">
      <c r="A316">
        <f>IFERROR(__xludf.DUMMYFUNCTION("""COMPUTED_VALUE"""),1.2513253E7)</f>
        <v>12513253</v>
      </c>
      <c r="B316">
        <f>IFERROR(__xludf.DUMMYFUNCTION("""COMPUTED_VALUE"""),92.0)</f>
        <v>92</v>
      </c>
      <c r="D316" t="str">
        <f>IFERROR(__xludf.DUMMYFUNCTION("""COMPUTED_VALUE"""),"INGRESAR CENTRO DE COSTO A LA DERECHA")</f>
        <v>INGRESAR CENTRO DE COSTO A LA DERECHA</v>
      </c>
      <c r="E316" t="str">
        <f>IFERROR(__xludf.DUMMYFUNCTION("""COMPUTED_VALUE"""),"VR. ACADEMICA")</f>
        <v>VR. ACADEMICA</v>
      </c>
      <c r="F316" t="str">
        <f>IFERROR(__xludf.DUMMYFUNCTION("""COMPUTED_VALUE"""),"Auxiliar de Servicios")</f>
        <v>Auxiliar de Servicios</v>
      </c>
      <c r="G316" t="str">
        <f>IFERROR(__xludf.DUMMYFUNCTION("""COMPUTED_VALUE"""),"AUXILIAR DE SERVICIOS (EDIFICIO 726)")</f>
        <v>AUXILIAR DE SERVICIOS (EDIFICIO 726)</v>
      </c>
      <c r="H316">
        <f>IFERROR(__xludf.DUMMYFUNCTION("""COMPUTED_VALUE"""),23.0)</f>
        <v>23</v>
      </c>
      <c r="I316" t="str">
        <f>IFERROR(__xludf.DUMMYFUNCTION("""COMPUTED_VALUE"""),"Jornada Completa")</f>
        <v>Jornada Completa</v>
      </c>
      <c r="J316" t="str">
        <f>IFERROR(__xludf.DUMMYFUNCTION("""COMPUTED_VALUE"""),"A CONTRATA")</f>
        <v>A CONTRATA</v>
      </c>
      <c r="K316" t="str">
        <f>IFERROR(__xludf.DUMMYFUNCTION("""COMPUTED_VALUE"""),"AUXILIAR")</f>
        <v>AUXILIAR</v>
      </c>
      <c r="L316" t="str">
        <f>IFERROR(__xludf.DUMMYFUNCTION("""COMPUTED_VALUE"""),"INTERNO")</f>
        <v>INTERNO</v>
      </c>
      <c r="M316">
        <f>IFERROR(__xludf.DUMMYFUNCTION("""COMPUTED_VALUE"""),0.0)</f>
        <v>0</v>
      </c>
      <c r="N316" t="str">
        <f>IFERROR(__xludf.DUMMYFUNCTION("""COMPUTED_VALUE"""),"EXTERNO")</f>
        <v>EXTERNO</v>
      </c>
      <c r="O316">
        <f>IFERROR(__xludf.DUMMYFUNCTION("""COMPUTED_VALUE"""),8.0)</f>
        <v>8</v>
      </c>
      <c r="P316">
        <f>IFERROR(__xludf.DUMMYFUNCTION("""COMPUTED_VALUE"""),1.0)</f>
        <v>1</v>
      </c>
      <c r="Q316">
        <f>IFERROR(__xludf.DUMMYFUNCTION("""COMPUTED_VALUE"""),7.0)</f>
        <v>7</v>
      </c>
      <c r="R316" s="45" t="str">
        <f>IFERROR(__xludf.DUMMYFUNCTION("""COMPUTED_VALUE"""),"SELECCIONADO")</f>
        <v>SELECCIONADO</v>
      </c>
      <c r="S316" s="38">
        <f>IFERROR(__xludf.DUMMYFUNCTION("""COMPUTED_VALUE"""),42933.0)</f>
        <v>42933</v>
      </c>
      <c r="U316" t="str">
        <f>IFERROR(__xludf.DUMMYFUNCTION("""COMPUTED_VALUE"""),"RICARDO FRANCESCONI ARAVENA")</f>
        <v>RICARDO FRANCESCONI ARAVENA</v>
      </c>
      <c r="V316" t="str">
        <f>IFERROR(__xludf.DUMMYFUNCTION("""COMPUTED_VALUE"""),"12513253-7")</f>
        <v>12513253-7</v>
      </c>
      <c r="W316" t="str">
        <f>IFERROR(__xludf.DUMMYFUNCTION("""COMPUTED_VALUE"""),"SI")</f>
        <v>SI</v>
      </c>
      <c r="X316" t="str">
        <f>IFERROR(__xludf.DUMMYFUNCTION("""COMPUTED_VALUE"""),"Comunicacion")</f>
        <v>Comunicacion</v>
      </c>
      <c r="AA316" s="38">
        <f>IFERROR(__xludf.DUMMYFUNCTION("""COMPUTED_VALUE"""),42853.0)</f>
        <v>42853</v>
      </c>
      <c r="AB316" s="38">
        <f>IFERROR(__xludf.DUMMYFUNCTION("""COMPUTED_VALUE"""),42860.0)</f>
        <v>42860</v>
      </c>
      <c r="AH316" t="str">
        <f>IFERROR(__xludf.DUMMYFUNCTION("""COMPUTED_VALUE"""),"PROCESO DE SELECCIÓN")</f>
        <v>PROCESO DE SELECCIÓN</v>
      </c>
      <c r="AI316" t="str">
        <f>IFERROR(__xludf.DUMMYFUNCTION("""COMPUTED_VALUE"""),"JUAN HERNÁNDEZ HERNÁNDEZ")</f>
        <v>JUAN HERNÁNDEZ HERNÁNDEZ</v>
      </c>
      <c r="AK316" t="str">
        <f>IFERROR(__xludf.DUMMYFUNCTION("""COMPUTED_VALUE"""),"E")</f>
        <v>E</v>
      </c>
      <c r="AL316">
        <f>IFERROR(__xludf.DUMMYFUNCTION("""COMPUTED_VALUE"""),52.0)</f>
        <v>52</v>
      </c>
      <c r="AM316">
        <f>IFERROR(__xludf.DUMMYFUNCTION("""COMPUTED_VALUE"""),2017.0)</f>
        <v>2017</v>
      </c>
    </row>
    <row r="317">
      <c r="A317">
        <f>IFERROR(__xludf.DUMMYFUNCTION("""COMPUTED_VALUE"""),1.6931062E7)</f>
        <v>16931062</v>
      </c>
      <c r="B317">
        <f>IFERROR(__xludf.DUMMYFUNCTION("""COMPUTED_VALUE"""),93.0)</f>
        <v>93</v>
      </c>
      <c r="D317" t="str">
        <f>IFERROR(__xludf.DUMMYFUNCTION("""COMPUTED_VALUE"""),"INGRESAR CENTRO DE COSTO A LA DERECHA")</f>
        <v>INGRESAR CENTRO DE COSTO A LA DERECHA</v>
      </c>
      <c r="E317" t="str">
        <f>IFERROR(__xludf.DUMMYFUNCTION("""COMPUTED_VALUE"""),"DPTO. DE COMUNICACIONES")</f>
        <v>DPTO. DE COMUNICACIONES</v>
      </c>
      <c r="F317" t="str">
        <f>IFERROR(__xludf.DUMMYFUNCTION("""COMPUTED_VALUE"""),"Radio Controlador(a)")</f>
        <v>Radio Controlador(a)</v>
      </c>
      <c r="G317" t="str">
        <f>IFERROR(__xludf.DUMMYFUNCTION("""COMPUTED_VALUE"""),"RADIO CONTROLADOR")</f>
        <v>RADIO CONTROLADOR</v>
      </c>
      <c r="H317">
        <f>IFERROR(__xludf.DUMMYFUNCTION("""COMPUTED_VALUE"""),17.0)</f>
        <v>17</v>
      </c>
      <c r="I317" t="str">
        <f>IFERROR(__xludf.DUMMYFUNCTION("""COMPUTED_VALUE"""),"Jornada Completa")</f>
        <v>Jornada Completa</v>
      </c>
      <c r="J317" t="str">
        <f>IFERROR(__xludf.DUMMYFUNCTION("""COMPUTED_VALUE"""),"A CONTRATA")</f>
        <v>A CONTRATA</v>
      </c>
      <c r="K317" t="str">
        <f>IFERROR(__xludf.DUMMYFUNCTION("""COMPUTED_VALUE"""),"TECNICO")</f>
        <v>TECNICO</v>
      </c>
      <c r="L317" t="str">
        <f>IFERROR(__xludf.DUMMYFUNCTION("""COMPUTED_VALUE"""),"INTERNO")</f>
        <v>INTERNO</v>
      </c>
      <c r="M317">
        <f>IFERROR(__xludf.DUMMYFUNCTION("""COMPUTED_VALUE"""),0.0)</f>
        <v>0</v>
      </c>
      <c r="N317" t="str">
        <f>IFERROR(__xludf.DUMMYFUNCTION("""COMPUTED_VALUE"""),"EXTERNO")</f>
        <v>EXTERNO</v>
      </c>
      <c r="O317">
        <f>IFERROR(__xludf.DUMMYFUNCTION("""COMPUTED_VALUE"""),11.0)</f>
        <v>11</v>
      </c>
      <c r="P317">
        <f>IFERROR(__xludf.DUMMYFUNCTION("""COMPUTED_VALUE"""),2.0)</f>
        <v>2</v>
      </c>
      <c r="Q317">
        <f>IFERROR(__xludf.DUMMYFUNCTION("""COMPUTED_VALUE"""),0.0)</f>
        <v>0</v>
      </c>
      <c r="R317" s="45" t="str">
        <f>IFERROR(__xludf.DUMMYFUNCTION("""COMPUTED_VALUE"""),"SELECCIONADO")</f>
        <v>SELECCIONADO</v>
      </c>
      <c r="S317" s="38">
        <f>IFERROR(__xludf.DUMMYFUNCTION("""COMPUTED_VALUE"""),42917.0)</f>
        <v>42917</v>
      </c>
      <c r="U317" t="str">
        <f>IFERROR(__xludf.DUMMYFUNCTION("""COMPUTED_VALUE"""),"MARCOS CORNES CARES")</f>
        <v>MARCOS CORNES CARES</v>
      </c>
      <c r="V317" t="str">
        <f>IFERROR(__xludf.DUMMYFUNCTION("""COMPUTED_VALUE"""),"16931062-9")</f>
        <v>16931062-9</v>
      </c>
      <c r="W317" t="str">
        <f>IFERROR(__xludf.DUMMYFUNCTION("""COMPUTED_VALUE"""),"SI")</f>
        <v>SI</v>
      </c>
      <c r="X317" t="str">
        <f>IFERROR(__xludf.DUMMYFUNCTION("""COMPUTED_VALUE"""),"Flexibilidad")</f>
        <v>Flexibilidad</v>
      </c>
      <c r="AA317" s="38">
        <f>IFERROR(__xludf.DUMMYFUNCTION("""COMPUTED_VALUE"""),42871.0)</f>
        <v>42871</v>
      </c>
      <c r="AB317" s="38">
        <f>IFERROR(__xludf.DUMMYFUNCTION("""COMPUTED_VALUE"""),42878.0)</f>
        <v>42878</v>
      </c>
      <c r="AH317" t="str">
        <f>IFERROR(__xludf.DUMMYFUNCTION("""COMPUTED_VALUE"""),"PROCESO DE SELECCIÓN")</f>
        <v>PROCESO DE SELECCIÓN</v>
      </c>
      <c r="AI317" t="str">
        <f>IFERROR(__xludf.DUMMYFUNCTION("""COMPUTED_VALUE"""),"ALEXIS ARMIJO HUERTA")</f>
        <v>ALEXIS ARMIJO HUERTA</v>
      </c>
      <c r="AK317" t="str">
        <f>IFERROR(__xludf.DUMMYFUNCTION("""COMPUTED_VALUE"""),"E")</f>
        <v>E</v>
      </c>
      <c r="AL317">
        <f>IFERROR(__xludf.DUMMYFUNCTION("""COMPUTED_VALUE"""),29.0)</f>
        <v>29</v>
      </c>
      <c r="AM317">
        <f>IFERROR(__xludf.DUMMYFUNCTION("""COMPUTED_VALUE"""),2017.0)</f>
        <v>2017</v>
      </c>
    </row>
    <row r="318">
      <c r="A318">
        <f>IFERROR(__xludf.DUMMYFUNCTION("""COMPUTED_VALUE"""),1.7706868E7)</f>
        <v>17706868</v>
      </c>
      <c r="B318">
        <f>IFERROR(__xludf.DUMMYFUNCTION("""COMPUTED_VALUE"""),94.0)</f>
        <v>94</v>
      </c>
      <c r="D318" t="str">
        <f>IFERROR(__xludf.DUMMYFUNCTION("""COMPUTED_VALUE"""),"INGRESAR CENTRO DE COSTO A LA DERECHA")</f>
        <v>INGRESAR CENTRO DE COSTO A LA DERECHA</v>
      </c>
      <c r="E318" t="str">
        <f>IFERROR(__xludf.DUMMYFUNCTION("""COMPUTED_VALUE"""),"DPTO. DE COMUNICACIONES")</f>
        <v>DPTO. DE COMUNICACIONES</v>
      </c>
      <c r="F318" t="str">
        <f>IFERROR(__xludf.DUMMYFUNCTION("""COMPUTED_VALUE"""),"Radio Controlador(a)")</f>
        <v>Radio Controlador(a)</v>
      </c>
      <c r="G318" t="str">
        <f>IFERROR(__xludf.DUMMYFUNCTION("""COMPUTED_VALUE"""),"RADIO CONTROLADOR")</f>
        <v>RADIO CONTROLADOR</v>
      </c>
      <c r="H318">
        <f>IFERROR(__xludf.DUMMYFUNCTION("""COMPUTED_VALUE"""),17.0)</f>
        <v>17</v>
      </c>
      <c r="I318" t="str">
        <f>IFERROR(__xludf.DUMMYFUNCTION("""COMPUTED_VALUE"""),"Jornada Completa")</f>
        <v>Jornada Completa</v>
      </c>
      <c r="J318" t="str">
        <f>IFERROR(__xludf.DUMMYFUNCTION("""COMPUTED_VALUE"""),"A CONTRATA")</f>
        <v>A CONTRATA</v>
      </c>
      <c r="K318" t="str">
        <f>IFERROR(__xludf.DUMMYFUNCTION("""COMPUTED_VALUE"""),"TECNICO")</f>
        <v>TECNICO</v>
      </c>
      <c r="L318" t="str">
        <f>IFERROR(__xludf.DUMMYFUNCTION("""COMPUTED_VALUE"""),"INTERNO")</f>
        <v>INTERNO</v>
      </c>
      <c r="M318">
        <f>IFERROR(__xludf.DUMMYFUNCTION("""COMPUTED_VALUE"""),0.0)</f>
        <v>0</v>
      </c>
      <c r="N318" t="str">
        <f>IFERROR(__xludf.DUMMYFUNCTION("""COMPUTED_VALUE"""),"EXTERNO")</f>
        <v>EXTERNO</v>
      </c>
      <c r="O318">
        <f>IFERROR(__xludf.DUMMYFUNCTION("""COMPUTED_VALUE"""),11.0)</f>
        <v>11</v>
      </c>
      <c r="P318">
        <f>IFERROR(__xludf.DUMMYFUNCTION("""COMPUTED_VALUE"""),2.0)</f>
        <v>2</v>
      </c>
      <c r="Q318">
        <f>IFERROR(__xludf.DUMMYFUNCTION("""COMPUTED_VALUE"""),0.0)</f>
        <v>0</v>
      </c>
      <c r="R318" s="45" t="str">
        <f>IFERROR(__xludf.DUMMYFUNCTION("""COMPUTED_VALUE"""),"SELECCIONADO")</f>
        <v>SELECCIONADO</v>
      </c>
      <c r="S318" s="38">
        <f>IFERROR(__xludf.DUMMYFUNCTION("""COMPUTED_VALUE"""),42917.0)</f>
        <v>42917</v>
      </c>
      <c r="U318" t="str">
        <f>IFERROR(__xludf.DUMMYFUNCTION("""COMPUTED_VALUE"""),"DANIEL CUEVAS MIRANDA")</f>
        <v>DANIEL CUEVAS MIRANDA</v>
      </c>
      <c r="V318" t="str">
        <f>IFERROR(__xludf.DUMMYFUNCTION("""COMPUTED_VALUE"""),"17706868-3")</f>
        <v>17706868-3</v>
      </c>
      <c r="W318" t="str">
        <f>IFERROR(__xludf.DUMMYFUNCTION("""COMPUTED_VALUE"""),"SI")</f>
        <v>SI</v>
      </c>
      <c r="X318" t="str">
        <f>IFERROR(__xludf.DUMMYFUNCTION("""COMPUTED_VALUE"""),"Flexibilidad")</f>
        <v>Flexibilidad</v>
      </c>
      <c r="AA318" s="38">
        <f>IFERROR(__xludf.DUMMYFUNCTION("""COMPUTED_VALUE"""),42871.0)</f>
        <v>42871</v>
      </c>
      <c r="AB318" s="38">
        <f>IFERROR(__xludf.DUMMYFUNCTION("""COMPUTED_VALUE"""),42878.0)</f>
        <v>42878</v>
      </c>
      <c r="AH318" t="str">
        <f>IFERROR(__xludf.DUMMYFUNCTION("""COMPUTED_VALUE"""),"PROCESO DE SELECCIÓN")</f>
        <v>PROCESO DE SELECCIÓN</v>
      </c>
      <c r="AI318" t="str">
        <f>IFERROR(__xludf.DUMMYFUNCTION("""COMPUTED_VALUE"""),"NICOLAS ORDENES FUENTES")</f>
        <v>NICOLAS ORDENES FUENTES</v>
      </c>
      <c r="AK318" t="str">
        <f>IFERROR(__xludf.DUMMYFUNCTION("""COMPUTED_VALUE"""),"E")</f>
        <v>E</v>
      </c>
      <c r="AL318">
        <f>IFERROR(__xludf.DUMMYFUNCTION("""COMPUTED_VALUE"""),29.0)</f>
        <v>29</v>
      </c>
      <c r="AM318">
        <f>IFERROR(__xludf.DUMMYFUNCTION("""COMPUTED_VALUE"""),2017.0)</f>
        <v>2017</v>
      </c>
    </row>
    <row r="319">
      <c r="A319">
        <f>IFERROR(__xludf.DUMMYFUNCTION("""COMPUTED_VALUE"""),1.7941217E7)</f>
        <v>17941217</v>
      </c>
      <c r="B319">
        <f>IFERROR(__xludf.DUMMYFUNCTION("""COMPUTED_VALUE"""),95.0)</f>
        <v>95</v>
      </c>
      <c r="D319" t="str">
        <f>IFERROR(__xludf.DUMMYFUNCTION("""COMPUTED_VALUE"""),"INGRESAR CENTRO DE COSTO A LA DERECHA")</f>
        <v>INGRESAR CENTRO DE COSTO A LA DERECHA</v>
      </c>
      <c r="E319" t="str">
        <f>IFERROR(__xludf.DUMMYFUNCTION("""COMPUTED_VALUE"""),"FACULTAD DE HUMANIDADES")</f>
        <v>FACULTAD DE HUMANIDADES</v>
      </c>
      <c r="F319" t="str">
        <f>IFERROR(__xludf.DUMMYFUNCTION("""COMPUTED_VALUE"""),"Secretario(a) C")</f>
        <v>Secretario(a) C</v>
      </c>
      <c r="G319" t="str">
        <f>IFERROR(__xludf.DUMMYFUNCTION("""COMPUTED_VALUE"""),"SECRETARIO C")</f>
        <v>SECRETARIO C</v>
      </c>
      <c r="H319">
        <f>IFERROR(__xludf.DUMMYFUNCTION("""COMPUTED_VALUE"""),20.0)</f>
        <v>20</v>
      </c>
      <c r="I319" t="str">
        <f>IFERROR(__xludf.DUMMYFUNCTION("""COMPUTED_VALUE"""),"Jornada Completa")</f>
        <v>Jornada Completa</v>
      </c>
      <c r="J319" t="str">
        <f>IFERROR(__xludf.DUMMYFUNCTION("""COMPUTED_VALUE"""),"A CONTRATA")</f>
        <v>A CONTRATA</v>
      </c>
      <c r="K319" t="str">
        <f>IFERROR(__xludf.DUMMYFUNCTION("""COMPUTED_VALUE"""),"ADMINISTRATIVO")</f>
        <v>ADMINISTRATIVO</v>
      </c>
      <c r="L319" t="str">
        <f>IFERROR(__xludf.DUMMYFUNCTION("""COMPUTED_VALUE"""),"INTERNO")</f>
        <v>INTERNO</v>
      </c>
      <c r="M319">
        <f>IFERROR(__xludf.DUMMYFUNCTION("""COMPUTED_VALUE"""),0.0)</f>
        <v>0</v>
      </c>
      <c r="N319" t="str">
        <f>IFERROR(__xludf.DUMMYFUNCTION("""COMPUTED_VALUE"""),"EXTERNO")</f>
        <v>EXTERNO</v>
      </c>
      <c r="O319">
        <f>IFERROR(__xludf.DUMMYFUNCTION("""COMPUTED_VALUE"""),14.0)</f>
        <v>14</v>
      </c>
      <c r="P319">
        <f>IFERROR(__xludf.DUMMYFUNCTION("""COMPUTED_VALUE"""),3.0)</f>
        <v>3</v>
      </c>
      <c r="Q319">
        <f>IFERROR(__xludf.DUMMYFUNCTION("""COMPUTED_VALUE"""),0.0)</f>
        <v>0</v>
      </c>
      <c r="R319" s="45" t="str">
        <f>IFERROR(__xludf.DUMMYFUNCTION("""COMPUTED_VALUE"""),"SELECCIONADA")</f>
        <v>SELECCIONADA</v>
      </c>
      <c r="S319" s="38">
        <f>IFERROR(__xludf.DUMMYFUNCTION("""COMPUTED_VALUE"""),43164.0)</f>
        <v>43164</v>
      </c>
      <c r="U319" t="str">
        <f>IFERROR(__xludf.DUMMYFUNCTION("""COMPUTED_VALUE"""),"SARA ALBORNOZ BOSICH")</f>
        <v>SARA ALBORNOZ BOSICH</v>
      </c>
      <c r="V319" t="str">
        <f>IFERROR(__xludf.DUMMYFUNCTION("""COMPUTED_VALUE"""),"17941217-9")</f>
        <v>17941217-9</v>
      </c>
      <c r="W319" t="str">
        <f>IFERROR(__xludf.DUMMYFUNCTION("""COMPUTED_VALUE"""),"SI")</f>
        <v>SI</v>
      </c>
      <c r="X319" t="str">
        <f>IFERROR(__xludf.DUMMYFUNCTION("""COMPUTED_VALUE"""),"Trabajo en Equipo")</f>
        <v>Trabajo en Equipo</v>
      </c>
      <c r="Y319" t="str">
        <f>IFERROR(__xludf.DUMMYFUNCTION("""COMPUTED_VALUE"""),"Iniciativa")</f>
        <v>Iniciativa</v>
      </c>
      <c r="Z319" t="str">
        <f>IFERROR(__xludf.DUMMYFUNCTION("""COMPUTED_VALUE"""),"Franqueza- Confiabilidad- Integridad")</f>
        <v>Franqueza- Confiabilidad- Integridad</v>
      </c>
      <c r="AA319" s="38">
        <f>IFERROR(__xludf.DUMMYFUNCTION("""COMPUTED_VALUE"""),43055.0)</f>
        <v>43055</v>
      </c>
      <c r="AB319" s="38">
        <f>IFERROR(__xludf.DUMMYFUNCTION("""COMPUTED_VALUE"""),43062.0)</f>
        <v>43062</v>
      </c>
      <c r="AH319" t="str">
        <f>IFERROR(__xludf.DUMMYFUNCTION("""COMPUTED_VALUE"""),"PROCESO DE SELECCIÓN")</f>
        <v>PROCESO DE SELECCIÓN</v>
      </c>
      <c r="AI319" t="str">
        <f>IFERROR(__xludf.DUMMYFUNCTION("""COMPUTED_VALUE"""),"SOLEDAD VELOSO GARCIA")</f>
        <v>SOLEDAD VELOSO GARCIA</v>
      </c>
      <c r="AL319">
        <f>IFERROR(__xludf.DUMMYFUNCTION("""COMPUTED_VALUE"""),73.0)</f>
        <v>73</v>
      </c>
      <c r="AM319">
        <f>IFERROR(__xludf.DUMMYFUNCTION("""COMPUTED_VALUE"""),2017.0)</f>
        <v>2017</v>
      </c>
    </row>
    <row r="320">
      <c r="A320">
        <f>IFERROR(__xludf.DUMMYFUNCTION("""COMPUTED_VALUE"""),1.3064375E7)</f>
        <v>13064375</v>
      </c>
      <c r="B320">
        <f>IFERROR(__xludf.DUMMYFUNCTION("""COMPUTED_VALUE"""),96.0)</f>
        <v>96</v>
      </c>
      <c r="D320" t="str">
        <f>IFERROR(__xludf.DUMMYFUNCTION("""COMPUTED_VALUE"""),"INGRESAR CENTRO DE COSTO A LA DERECHA")</f>
        <v>INGRESAR CENTRO DE COSTO A LA DERECHA</v>
      </c>
      <c r="E320" t="str">
        <f>IFERROR(__xludf.DUMMYFUNCTION("""COMPUTED_VALUE"""),"FACULTAD DE QUIMICA Y BIOLOGIA")</f>
        <v>FACULTAD DE QUIMICA Y BIOLOGIA</v>
      </c>
      <c r="F320" t="str">
        <f>IFERROR(__xludf.DUMMYFUNCTION("""COMPUTED_VALUE"""),"Jefe(a) de Sección")</f>
        <v>Jefe(a) de Sección</v>
      </c>
      <c r="G320" t="str">
        <f>IFERROR(__xludf.DUMMYFUNCTION("""COMPUTED_VALUE"""),"JEFE DE SECCION ( INSTALACIONES)")</f>
        <v>JEFE DE SECCION ( INSTALACIONES)</v>
      </c>
      <c r="H320">
        <f>IFERROR(__xludf.DUMMYFUNCTION("""COMPUTED_VALUE"""),10.0)</f>
        <v>10</v>
      </c>
      <c r="I320" t="str">
        <f>IFERROR(__xludf.DUMMYFUNCTION("""COMPUTED_VALUE"""),"Jornada Completa")</f>
        <v>Jornada Completa</v>
      </c>
      <c r="J320" t="str">
        <f>IFERROR(__xludf.DUMMYFUNCTION("""COMPUTED_VALUE"""),"A CONTRATA")</f>
        <v>A CONTRATA</v>
      </c>
      <c r="K320" t="str">
        <f>IFERROR(__xludf.DUMMYFUNCTION("""COMPUTED_VALUE"""),"PROFESIONAL")</f>
        <v>PROFESIONAL</v>
      </c>
      <c r="L320" t="str">
        <f>IFERROR(__xludf.DUMMYFUNCTION("""COMPUTED_VALUE"""),"INTERNO")</f>
        <v>INTERNO</v>
      </c>
      <c r="M320">
        <f>IFERROR(__xludf.DUMMYFUNCTION("""COMPUTED_VALUE"""),1.0)</f>
        <v>1</v>
      </c>
      <c r="N320" t="str">
        <f>IFERROR(__xludf.DUMMYFUNCTION("""COMPUTED_VALUE"""),"EXTERNO")</f>
        <v>EXTERNO</v>
      </c>
      <c r="O320">
        <f>IFERROR(__xludf.DUMMYFUNCTION("""COMPUTED_VALUE"""),15.0)</f>
        <v>15</v>
      </c>
      <c r="P320">
        <f>IFERROR(__xludf.DUMMYFUNCTION("""COMPUTED_VALUE"""),3.0)</f>
        <v>3</v>
      </c>
      <c r="Q320">
        <f>IFERROR(__xludf.DUMMYFUNCTION("""COMPUTED_VALUE"""),0.0)</f>
        <v>0</v>
      </c>
      <c r="R320" s="45" t="str">
        <f>IFERROR(__xludf.DUMMYFUNCTION("""COMPUTED_VALUE"""),"SELECCIONADO")</f>
        <v>SELECCIONADO</v>
      </c>
      <c r="S320" s="38">
        <f>IFERROR(__xludf.DUMMYFUNCTION("""COMPUTED_VALUE"""),43164.0)</f>
        <v>43164</v>
      </c>
      <c r="U320" t="str">
        <f>IFERROR(__xludf.DUMMYFUNCTION("""COMPUTED_VALUE"""),"JUAN MADRID CORTES")</f>
        <v>JUAN MADRID CORTES</v>
      </c>
      <c r="V320" t="str">
        <f>IFERROR(__xludf.DUMMYFUNCTION("""COMPUTED_VALUE"""),"13064375-2")</f>
        <v>13064375-2</v>
      </c>
      <c r="W320" t="str">
        <f>IFERROR(__xludf.DUMMYFUNCTION("""COMPUTED_VALUE"""),"SI")</f>
        <v>SI</v>
      </c>
      <c r="X320" t="str">
        <f>IFERROR(__xludf.DUMMYFUNCTION("""COMPUTED_VALUE"""),"Trabajo en Equipo")</f>
        <v>Trabajo en Equipo</v>
      </c>
      <c r="AA320" s="38">
        <f>IFERROR(__xludf.DUMMYFUNCTION("""COMPUTED_VALUE"""),43073.0)</f>
        <v>43073</v>
      </c>
      <c r="AB320" s="38">
        <f>IFERROR(__xludf.DUMMYFUNCTION("""COMPUTED_VALUE"""),43080.0)</f>
        <v>43080</v>
      </c>
      <c r="AH320" t="str">
        <f>IFERROR(__xludf.DUMMYFUNCTION("""COMPUTED_VALUE"""),"PROCESO DE SELECCIÓN")</f>
        <v>PROCESO DE SELECCIÓN</v>
      </c>
      <c r="AI320" t="str">
        <f>IFERROR(__xludf.DUMMYFUNCTION("""COMPUTED_VALUE"""),"DANIEL VALDES HENRIQUEZ")</f>
        <v>DANIEL VALDES HENRIQUEZ</v>
      </c>
      <c r="AL320">
        <f>IFERROR(__xludf.DUMMYFUNCTION("""COMPUTED_VALUE"""),61.0)</f>
        <v>61</v>
      </c>
      <c r="AM320">
        <f>IFERROR(__xludf.DUMMYFUNCTION("""COMPUTED_VALUE"""),2017.0)</f>
        <v>2017</v>
      </c>
    </row>
    <row r="321">
      <c r="A321">
        <f>IFERROR(__xludf.DUMMYFUNCTION("""COMPUTED_VALUE"""),1.2578312E7)</f>
        <v>12578312</v>
      </c>
      <c r="B321">
        <f>IFERROR(__xludf.DUMMYFUNCTION("""COMPUTED_VALUE"""),97.0)</f>
        <v>97</v>
      </c>
      <c r="D321" t="str">
        <f>IFERROR(__xludf.DUMMYFUNCTION("""COMPUTED_VALUE"""),"INGRESAR CENTRO DE COSTO A LA DERECHA")</f>
        <v>INGRESAR CENTRO DE COSTO A LA DERECHA</v>
      </c>
      <c r="E321" t="str">
        <f>IFERROR(__xludf.DUMMYFUNCTION("""COMPUTED_VALUE"""),"DPTO. DE FINANZAS Y TESORERIA")</f>
        <v>DPTO. DE FINANZAS Y TESORERIA</v>
      </c>
      <c r="F321" t="str">
        <f>IFERROR(__xludf.DUMMYFUNCTION("""COMPUTED_VALUE"""),"Analista Contable II")</f>
        <v>Analista Contable II</v>
      </c>
      <c r="G321" t="str">
        <f>IFERROR(__xludf.DUMMYFUNCTION("""COMPUTED_VALUE"""),"ANALISTA CONTABLE II")</f>
        <v>ANALISTA CONTABLE II</v>
      </c>
      <c r="H321">
        <f>IFERROR(__xludf.DUMMYFUNCTION("""COMPUTED_VALUE"""),13.0)</f>
        <v>13</v>
      </c>
      <c r="I321" t="str">
        <f>IFERROR(__xludf.DUMMYFUNCTION("""COMPUTED_VALUE"""),"Jornada Completa")</f>
        <v>Jornada Completa</v>
      </c>
      <c r="J321" t="str">
        <f>IFERROR(__xludf.DUMMYFUNCTION("""COMPUTED_VALUE"""),"A CONTRATA")</f>
        <v>A CONTRATA</v>
      </c>
      <c r="K321" t="str">
        <f>IFERROR(__xludf.DUMMYFUNCTION("""COMPUTED_VALUE"""),"PROFESIONAL")</f>
        <v>PROFESIONAL</v>
      </c>
      <c r="L321" t="str">
        <f>IFERROR(__xludf.DUMMYFUNCTION("""COMPUTED_VALUE"""),"INTERNO")</f>
        <v>INTERNO</v>
      </c>
      <c r="M321">
        <f>IFERROR(__xludf.DUMMYFUNCTION("""COMPUTED_VALUE"""),0.0)</f>
        <v>0</v>
      </c>
      <c r="N321" t="str">
        <f>IFERROR(__xludf.DUMMYFUNCTION("""COMPUTED_VALUE"""),"EXTERNO")</f>
        <v>EXTERNO</v>
      </c>
      <c r="O321">
        <f>IFERROR(__xludf.DUMMYFUNCTION("""COMPUTED_VALUE"""),1.0)</f>
        <v>1</v>
      </c>
      <c r="P321">
        <f>IFERROR(__xludf.DUMMYFUNCTION("""COMPUTED_VALUE"""),1.0)</f>
        <v>1</v>
      </c>
      <c r="Q321">
        <f>IFERROR(__xludf.DUMMYFUNCTION("""COMPUTED_VALUE"""),1.0)</f>
        <v>1</v>
      </c>
      <c r="R321" s="45" t="str">
        <f>IFERROR(__xludf.DUMMYFUNCTION("""COMPUTED_VALUE"""),"SELECCIONADO")</f>
        <v>SELECCIONADO</v>
      </c>
      <c r="S321" s="38">
        <f>IFERROR(__xludf.DUMMYFUNCTION("""COMPUTED_VALUE"""),43129.0)</f>
        <v>43129</v>
      </c>
      <c r="U321" t="str">
        <f>IFERROR(__xludf.DUMMYFUNCTION("""COMPUTED_VALUE"""),"CRISTIAN SAAVEDRA DONOSO")</f>
        <v>CRISTIAN SAAVEDRA DONOSO</v>
      </c>
      <c r="V321" t="str">
        <f>IFERROR(__xludf.DUMMYFUNCTION("""COMPUTED_VALUE"""),"12578312-0")</f>
        <v>12578312-0</v>
      </c>
      <c r="W321" t="str">
        <f>IFERROR(__xludf.DUMMYFUNCTION("""COMPUTED_VALUE"""),"SI")</f>
        <v>SI</v>
      </c>
      <c r="X321" t="str">
        <f>IFERROR(__xludf.DUMMYFUNCTION("""COMPUTED_VALUE"""),"Capacidad de Planificacion y Organizacion")</f>
        <v>Capacidad de Planificacion y Organizacion</v>
      </c>
      <c r="AA321" s="38">
        <f>IFERROR(__xludf.DUMMYFUNCTION("""COMPUTED_VALUE"""),43102.0)</f>
        <v>43102</v>
      </c>
      <c r="AB321" s="38">
        <f>IFERROR(__xludf.DUMMYFUNCTION("""COMPUTED_VALUE"""),43109.0)</f>
        <v>43109</v>
      </c>
      <c r="AL321">
        <f>IFERROR(__xludf.DUMMYFUNCTION("""COMPUTED_VALUE"""),15.0)</f>
        <v>15</v>
      </c>
      <c r="AM321">
        <f>IFERROR(__xludf.DUMMYFUNCTION("""COMPUTED_VALUE"""),2017.0)</f>
        <v>2017</v>
      </c>
    </row>
    <row r="322">
      <c r="A322">
        <f>IFERROR(__xludf.DUMMYFUNCTION("""COMPUTED_VALUE"""),1.7203105E7)</f>
        <v>17203105</v>
      </c>
      <c r="B322">
        <f>IFERROR(__xludf.DUMMYFUNCTION("""COMPUTED_VALUE"""),98.0)</f>
        <v>98</v>
      </c>
      <c r="D322" t="str">
        <f>IFERROR(__xludf.DUMMYFUNCTION("""COMPUTED_VALUE"""),"INGRESAR CENTRO DE COSTO A LA DERECHA")</f>
        <v>INGRESAR CENTRO DE COSTO A LA DERECHA</v>
      </c>
      <c r="E322" t="str">
        <f>IFERROR(__xludf.DUMMYFUNCTION("""COMPUTED_VALUE"""),"DPTO. DE FINANZAS Y TESORERIA")</f>
        <v>DPTO. DE FINANZAS Y TESORERIA</v>
      </c>
      <c r="F322" t="str">
        <f>IFERROR(__xludf.DUMMYFUNCTION("""COMPUTED_VALUE"""),"Administrativo(a) Especializado")</f>
        <v>Administrativo(a) Especializado</v>
      </c>
      <c r="G322" t="str">
        <f>IFERROR(__xludf.DUMMYFUNCTION("""COMPUTED_VALUE"""),"ADMINISTRATIVO ESPECIALIZADO ( CONTROL FACTURACION PROVEEDORES Y CUENTAS POR PAGAR)")</f>
        <v>ADMINISTRATIVO ESPECIALIZADO ( CONTROL FACTURACION PROVEEDORES Y CUENTAS POR PAGAR)</v>
      </c>
      <c r="H322">
        <f>IFERROR(__xludf.DUMMYFUNCTION("""COMPUTED_VALUE"""),12.0)</f>
        <v>12</v>
      </c>
      <c r="I322" t="str">
        <f>IFERROR(__xludf.DUMMYFUNCTION("""COMPUTED_VALUE"""),"Jornada Completa")</f>
        <v>Jornada Completa</v>
      </c>
      <c r="J322" t="str">
        <f>IFERROR(__xludf.DUMMYFUNCTION("""COMPUTED_VALUE"""),"A CONTRATA")</f>
        <v>A CONTRATA</v>
      </c>
      <c r="K322" t="str">
        <f>IFERROR(__xludf.DUMMYFUNCTION("""COMPUTED_VALUE"""),"ADMINISTRATIVO")</f>
        <v>ADMINISTRATIVO</v>
      </c>
      <c r="L322" t="str">
        <f>IFERROR(__xludf.DUMMYFUNCTION("""COMPUTED_VALUE"""),"INTERNO")</f>
        <v>INTERNO</v>
      </c>
      <c r="M322">
        <f>IFERROR(__xludf.DUMMYFUNCTION("""COMPUTED_VALUE"""),4.0)</f>
        <v>4</v>
      </c>
      <c r="N322" t="str">
        <f>IFERROR(__xludf.DUMMYFUNCTION("""COMPUTED_VALUE"""),"EXTERNO")</f>
        <v>EXTERNO</v>
      </c>
      <c r="O322">
        <f>IFERROR(__xludf.DUMMYFUNCTION("""COMPUTED_VALUE"""),4.0)</f>
        <v>4</v>
      </c>
      <c r="P322">
        <f>IFERROR(__xludf.DUMMYFUNCTION("""COMPUTED_VALUE"""),1.0)</f>
        <v>1</v>
      </c>
      <c r="Q322">
        <f>IFERROR(__xludf.DUMMYFUNCTION("""COMPUTED_VALUE"""),2.0)</f>
        <v>2</v>
      </c>
      <c r="R322" s="45" t="str">
        <f>IFERROR(__xludf.DUMMYFUNCTION("""COMPUTED_VALUE"""),"SELECCIONADA")</f>
        <v>SELECCIONADA</v>
      </c>
      <c r="S322" s="38">
        <f>IFERROR(__xludf.DUMMYFUNCTION("""COMPUTED_VALUE"""),43174.0)</f>
        <v>43174</v>
      </c>
      <c r="U322" t="str">
        <f>IFERROR(__xludf.DUMMYFUNCTION("""COMPUTED_VALUE"""),"FRANCISCA GONZALEZ AVILES")</f>
        <v>FRANCISCA GONZALEZ AVILES</v>
      </c>
      <c r="V322" t="str">
        <f>IFERROR(__xludf.DUMMYFUNCTION("""COMPUTED_VALUE"""),"17203105-6")</f>
        <v>17203105-6</v>
      </c>
      <c r="W322" t="str">
        <f>IFERROR(__xludf.DUMMYFUNCTION("""COMPUTED_VALUE"""),"SI")</f>
        <v>SI</v>
      </c>
      <c r="X322" t="str">
        <f>IFERROR(__xludf.DUMMYFUNCTION("""COMPUTED_VALUE"""),"Busqueda de Informacion")</f>
        <v>Busqueda de Informacion</v>
      </c>
      <c r="AA322" s="38">
        <f>IFERROR(__xludf.DUMMYFUNCTION("""COMPUTED_VALUE"""),43102.0)</f>
        <v>43102</v>
      </c>
      <c r="AB322" s="38">
        <f>IFERROR(__xludf.DUMMYFUNCTION("""COMPUTED_VALUE"""),43109.0)</f>
        <v>43109</v>
      </c>
      <c r="AL322">
        <f>IFERROR(__xludf.DUMMYFUNCTION("""COMPUTED_VALUE"""),48.0)</f>
        <v>48</v>
      </c>
      <c r="AM322">
        <f>IFERROR(__xludf.DUMMYFUNCTION("""COMPUTED_VALUE"""),2017.0)</f>
        <v>2017</v>
      </c>
    </row>
    <row r="323">
      <c r="A323">
        <f>IFERROR(__xludf.DUMMYFUNCTION("""COMPUTED_VALUE"""),1.2270826E7)</f>
        <v>12270826</v>
      </c>
      <c r="B323">
        <f>IFERROR(__xludf.DUMMYFUNCTION("""COMPUTED_VALUE"""),99.0)</f>
        <v>99</v>
      </c>
      <c r="D323" t="str">
        <f>IFERROR(__xludf.DUMMYFUNCTION("""COMPUTED_VALUE"""),"INGRESAR CENTRO DE COSTO A LA DERECHA")</f>
        <v>INGRESAR CENTRO DE COSTO A LA DERECHA</v>
      </c>
      <c r="E323" t="str">
        <f>IFERROR(__xludf.DUMMYFUNCTION("""COMPUTED_VALUE"""),"FACULTAD DE ADMINIST Y ECONOMI")</f>
        <v>FACULTAD DE ADMINIST Y ECONOMI</v>
      </c>
      <c r="F323" t="str">
        <f>IFERROR(__xludf.DUMMYFUNCTION("""COMPUTED_VALUE"""),"Mayordomo(a)")</f>
        <v>Mayordomo(a)</v>
      </c>
      <c r="G323" t="str">
        <f>IFERROR(__xludf.DUMMYFUNCTION("""COMPUTED_VALUE"""),"MAYORDOMO")</f>
        <v>MAYORDOMO</v>
      </c>
      <c r="H323">
        <f>IFERROR(__xludf.DUMMYFUNCTION("""COMPUTED_VALUE"""),21.0)</f>
        <v>21</v>
      </c>
      <c r="I323" t="str">
        <f>IFERROR(__xludf.DUMMYFUNCTION("""COMPUTED_VALUE"""),"Jornada Completa")</f>
        <v>Jornada Completa</v>
      </c>
      <c r="J323" t="str">
        <f>IFERROR(__xludf.DUMMYFUNCTION("""COMPUTED_VALUE"""),"A CONTRATA")</f>
        <v>A CONTRATA</v>
      </c>
      <c r="K323" t="str">
        <f>IFERROR(__xludf.DUMMYFUNCTION("""COMPUTED_VALUE"""),"AUXILIAR")</f>
        <v>AUXILIAR</v>
      </c>
      <c r="L323" t="str">
        <f>IFERROR(__xludf.DUMMYFUNCTION("""COMPUTED_VALUE"""),"INTERNO")</f>
        <v>INTERNO</v>
      </c>
      <c r="M323">
        <f>IFERROR(__xludf.DUMMYFUNCTION("""COMPUTED_VALUE"""),0.0)</f>
        <v>0</v>
      </c>
      <c r="N323" t="str">
        <f>IFERROR(__xludf.DUMMYFUNCTION("""COMPUTED_VALUE"""),"EXTERNO")</f>
        <v>EXTERNO</v>
      </c>
      <c r="O323">
        <f>IFERROR(__xludf.DUMMYFUNCTION("""COMPUTED_VALUE"""),5.0)</f>
        <v>5</v>
      </c>
      <c r="P323">
        <f>IFERROR(__xludf.DUMMYFUNCTION("""COMPUTED_VALUE"""),1.0)</f>
        <v>1</v>
      </c>
      <c r="Q323">
        <f>IFERROR(__xludf.DUMMYFUNCTION("""COMPUTED_VALUE"""),0.0)</f>
        <v>0</v>
      </c>
      <c r="R323" s="45" t="str">
        <f>IFERROR(__xludf.DUMMYFUNCTION("""COMPUTED_VALUE"""),"SELECCIONADO")</f>
        <v>SELECCIONADO</v>
      </c>
      <c r="S323" s="38">
        <f>IFERROR(__xludf.DUMMYFUNCTION("""COMPUTED_VALUE"""),43166.0)</f>
        <v>43166</v>
      </c>
      <c r="U323" t="str">
        <f>IFERROR(__xludf.DUMMYFUNCTION("""COMPUTED_VALUE"""),"GUIDO PARADA QUILALEO")</f>
        <v>GUIDO PARADA QUILALEO</v>
      </c>
      <c r="V323" t="str">
        <f>IFERROR(__xludf.DUMMYFUNCTION("""COMPUTED_VALUE"""),"12270826-8")</f>
        <v>12270826-8</v>
      </c>
      <c r="W323" t="str">
        <f>IFERROR(__xludf.DUMMYFUNCTION("""COMPUTED_VALUE"""),"NO")</f>
        <v>NO</v>
      </c>
      <c r="AA323" s="38">
        <f>IFERROR(__xludf.DUMMYFUNCTION("""COMPUTED_VALUE"""),43105.0)</f>
        <v>43105</v>
      </c>
      <c r="AB323" s="38">
        <f>IFERROR(__xludf.DUMMYFUNCTION("""COMPUTED_VALUE"""),43112.0)</f>
        <v>43112</v>
      </c>
      <c r="AH323" t="str">
        <f>IFERROR(__xludf.DUMMYFUNCTION("""COMPUTED_VALUE"""),"PROCESO DE SELECCIÓN")</f>
        <v>PROCESO DE SELECCIÓN</v>
      </c>
      <c r="AI323" t="str">
        <f>IFERROR(__xludf.DUMMYFUNCTION("""COMPUTED_VALUE"""),"HERNAN VENEGAS PEÑALOZA")</f>
        <v>HERNAN VENEGAS PEÑALOZA</v>
      </c>
      <c r="AL323">
        <f>IFERROR(__xludf.DUMMYFUNCTION("""COMPUTED_VALUE"""),39.0)</f>
        <v>39</v>
      </c>
      <c r="AM323">
        <f>IFERROR(__xludf.DUMMYFUNCTION("""COMPUTED_VALUE"""),2017.0)</f>
        <v>2017</v>
      </c>
    </row>
    <row r="324">
      <c r="A324">
        <f>IFERROR(__xludf.DUMMYFUNCTION("""COMPUTED_VALUE"""),1.7467477E7)</f>
        <v>17467477</v>
      </c>
      <c r="B324">
        <f>IFERROR(__xludf.DUMMYFUNCTION("""COMPUTED_VALUE"""),100.0)</f>
        <v>100</v>
      </c>
      <c r="D324" t="str">
        <f>IFERROR(__xludf.DUMMYFUNCTION("""COMPUTED_VALUE"""),"INGRESAR CENTRO DE COSTO A LA DERECHA")</f>
        <v>INGRESAR CENTRO DE COSTO A LA DERECHA</v>
      </c>
      <c r="E324" t="str">
        <f>IFERROR(__xludf.DUMMYFUNCTION("""COMPUTED_VALUE"""),"CONTRALORIA UNIVERSITARIA")</f>
        <v>CONTRALORIA UNIVERSITARIA</v>
      </c>
      <c r="F324" t="str">
        <f>IFERROR(__xludf.DUMMYFUNCTION("""COMPUTED_VALUE"""),"Abogado(a) Contraloria Universitaria")</f>
        <v>Abogado(a) Contraloria Universitaria</v>
      </c>
      <c r="G324" t="str">
        <f>IFERROR(__xludf.DUMMYFUNCTION("""COMPUTED_VALUE"""),"ABOGADO CONTRALORIA UNIVERSITARIA")</f>
        <v>ABOGADO CONTRALORIA UNIVERSITARIA</v>
      </c>
      <c r="H324">
        <f>IFERROR(__xludf.DUMMYFUNCTION("""COMPUTED_VALUE"""),6.0)</f>
        <v>6</v>
      </c>
      <c r="I324" t="str">
        <f>IFERROR(__xludf.DUMMYFUNCTION("""COMPUTED_VALUE"""),"Jornada Completa")</f>
        <v>Jornada Completa</v>
      </c>
      <c r="J324" t="str">
        <f>IFERROR(__xludf.DUMMYFUNCTION("""COMPUTED_VALUE"""),"A CONTRATA")</f>
        <v>A CONTRATA</v>
      </c>
      <c r="K324" t="str">
        <f>IFERROR(__xludf.DUMMYFUNCTION("""COMPUTED_VALUE"""),"PROFESIONAL")</f>
        <v>PROFESIONAL</v>
      </c>
      <c r="L324" t="str">
        <f>IFERROR(__xludf.DUMMYFUNCTION("""COMPUTED_VALUE"""),"NO")</f>
        <v>NO</v>
      </c>
      <c r="M324">
        <f>IFERROR(__xludf.DUMMYFUNCTION("""COMPUTED_VALUE"""),0.0)</f>
        <v>0</v>
      </c>
      <c r="N324" t="str">
        <f>IFERROR(__xludf.DUMMYFUNCTION("""COMPUTED_VALUE"""),"EXTERNO")</f>
        <v>EXTERNO</v>
      </c>
      <c r="O324">
        <f>IFERROR(__xludf.DUMMYFUNCTION("""COMPUTED_VALUE"""),27.0)</f>
        <v>27</v>
      </c>
      <c r="P324">
        <f>IFERROR(__xludf.DUMMYFUNCTION("""COMPUTED_VALUE"""),2.0)</f>
        <v>2</v>
      </c>
      <c r="Q324">
        <f>IFERROR(__xludf.DUMMYFUNCTION("""COMPUTED_VALUE"""),0.0)</f>
        <v>0</v>
      </c>
      <c r="R324" s="45" t="str">
        <f>IFERROR(__xludf.DUMMYFUNCTION("""COMPUTED_VALUE"""),"SELECCIONADA")</f>
        <v>SELECCIONADA</v>
      </c>
      <c r="S324" s="38">
        <f>IFERROR(__xludf.DUMMYFUNCTION("""COMPUTED_VALUE"""),43174.0)</f>
        <v>43174</v>
      </c>
      <c r="U324" t="str">
        <f>IFERROR(__xludf.DUMMYFUNCTION("""COMPUTED_VALUE"""),"CAROLINA PINCHEIRA SEPULVEDA")</f>
        <v>CAROLINA PINCHEIRA SEPULVEDA</v>
      </c>
      <c r="V324" t="str">
        <f>IFERROR(__xludf.DUMMYFUNCTION("""COMPUTED_VALUE"""),"17467477-9")</f>
        <v>17467477-9</v>
      </c>
      <c r="W324" t="str">
        <f>IFERROR(__xludf.DUMMYFUNCTION("""COMPUTED_VALUE"""),"NO")</f>
        <v>NO</v>
      </c>
      <c r="AA324" s="38">
        <f>IFERROR(__xludf.DUMMYFUNCTION("""COMPUTED_VALUE"""),43110.0)</f>
        <v>43110</v>
      </c>
      <c r="AB324" s="38">
        <f>IFERROR(__xludf.DUMMYFUNCTION("""COMPUTED_VALUE"""),43117.0)</f>
        <v>43117</v>
      </c>
      <c r="AH324" t="str">
        <f>IFERROR(__xludf.DUMMYFUNCTION("""COMPUTED_VALUE"""),"PROCESO DE SELECCIÓN")</f>
        <v>PROCESO DE SELECCIÓN</v>
      </c>
      <c r="AI324" t="str">
        <f>IFERROR(__xludf.DUMMYFUNCTION("""COMPUTED_VALUE"""),"PIERO VITERI ")</f>
        <v>PIERO VITERI </v>
      </c>
      <c r="AL324">
        <f>IFERROR(__xludf.DUMMYFUNCTION("""COMPUTED_VALUE"""),42.0)</f>
        <v>42</v>
      </c>
      <c r="AM324">
        <f>IFERROR(__xludf.DUMMYFUNCTION("""COMPUTED_VALUE"""),2017.0)</f>
        <v>2017</v>
      </c>
    </row>
    <row r="325">
      <c r="A325">
        <f>IFERROR(__xludf.DUMMYFUNCTION("""COMPUTED_VALUE"""),1.7819019E7)</f>
        <v>17819019</v>
      </c>
      <c r="B325">
        <f>IFERROR(__xludf.DUMMYFUNCTION("""COMPUTED_VALUE"""),101.0)</f>
        <v>101</v>
      </c>
      <c r="D325" t="str">
        <f>IFERROR(__xludf.DUMMYFUNCTION("""COMPUTED_VALUE"""),"INGRESAR CENTRO DE COSTO A LA DERECHA")</f>
        <v>INGRESAR CENTRO DE COSTO A LA DERECHA</v>
      </c>
      <c r="E325" t="str">
        <f>IFERROR(__xludf.DUMMYFUNCTION("""COMPUTED_VALUE"""),"CONTRALORIA UNIVERSITARIA")</f>
        <v>CONTRALORIA UNIVERSITARIA</v>
      </c>
      <c r="F325" t="str">
        <f>IFERROR(__xludf.DUMMYFUNCTION("""COMPUTED_VALUE"""),"Auditor(a) I")</f>
        <v>Auditor(a) I</v>
      </c>
      <c r="G325" t="str">
        <f>IFERROR(__xludf.DUMMYFUNCTION("""COMPUTED_VALUE"""),"AUDITOR I")</f>
        <v>AUDITOR I</v>
      </c>
      <c r="H325">
        <f>IFERROR(__xludf.DUMMYFUNCTION("""COMPUTED_VALUE"""),9.0)</f>
        <v>9</v>
      </c>
      <c r="I325" t="str">
        <f>IFERROR(__xludf.DUMMYFUNCTION("""COMPUTED_VALUE"""),"Jornada Completa")</f>
        <v>Jornada Completa</v>
      </c>
      <c r="J325" t="str">
        <f>IFERROR(__xludf.DUMMYFUNCTION("""COMPUTED_VALUE"""),"A CONTRATA")</f>
        <v>A CONTRATA</v>
      </c>
      <c r="K325" t="str">
        <f>IFERROR(__xludf.DUMMYFUNCTION("""COMPUTED_VALUE"""),"PROFESIONAL")</f>
        <v>PROFESIONAL</v>
      </c>
      <c r="L325" t="str">
        <f>IFERROR(__xludf.DUMMYFUNCTION("""COMPUTED_VALUE"""),"INTERNO")</f>
        <v>INTERNO</v>
      </c>
      <c r="M325">
        <f>IFERROR(__xludf.DUMMYFUNCTION("""COMPUTED_VALUE"""),0.0)</f>
        <v>0</v>
      </c>
      <c r="N325" t="str">
        <f>IFERROR(__xludf.DUMMYFUNCTION("""COMPUTED_VALUE"""),"EXTERNO")</f>
        <v>EXTERNO</v>
      </c>
      <c r="O325">
        <f>IFERROR(__xludf.DUMMYFUNCTION("""COMPUTED_VALUE"""),1.0)</f>
        <v>1</v>
      </c>
      <c r="P325">
        <f>IFERROR(__xludf.DUMMYFUNCTION("""COMPUTED_VALUE"""),1.0)</f>
        <v>1</v>
      </c>
      <c r="Q325">
        <f>IFERROR(__xludf.DUMMYFUNCTION("""COMPUTED_VALUE"""),0.0)</f>
        <v>0</v>
      </c>
      <c r="R325" s="45" t="str">
        <f>IFERROR(__xludf.DUMMYFUNCTION("""COMPUTED_VALUE"""),"SELECCIONADO")</f>
        <v>SELECCIONADO</v>
      </c>
      <c r="S325" s="38">
        <f>IFERROR(__xludf.DUMMYFUNCTION("""COMPUTED_VALUE"""),43164.0)</f>
        <v>43164</v>
      </c>
      <c r="U325" t="str">
        <f>IFERROR(__xludf.DUMMYFUNCTION("""COMPUTED_VALUE"""),"MARCO FERNANDEZ ASTORGA")</f>
        <v>MARCO FERNANDEZ ASTORGA</v>
      </c>
      <c r="V325" t="str">
        <f>IFERROR(__xludf.DUMMYFUNCTION("""COMPUTED_VALUE"""),"17819019-9")</f>
        <v>17819019-9</v>
      </c>
      <c r="W325" t="str">
        <f>IFERROR(__xludf.DUMMYFUNCTION("""COMPUTED_VALUE"""),"SI")</f>
        <v>SI</v>
      </c>
      <c r="X325" t="str">
        <f>IFERROR(__xludf.DUMMYFUNCTION("""COMPUTED_VALUE"""),"Capacidad de Planificacion y Organizacion")</f>
        <v>Capacidad de Planificacion y Organizacion</v>
      </c>
      <c r="Y325" t="str">
        <f>IFERROR(__xludf.DUMMYFUNCTION("""COMPUTED_VALUE"""),"Pensamiento Analitico")</f>
        <v>Pensamiento Analitico</v>
      </c>
      <c r="AA325" s="38">
        <f>IFERROR(__xludf.DUMMYFUNCTION("""COMPUTED_VALUE"""),43118.0)</f>
        <v>43118</v>
      </c>
      <c r="AB325" s="38">
        <f>IFERROR(__xludf.DUMMYFUNCTION("""COMPUTED_VALUE"""),43121.0)</f>
        <v>43121</v>
      </c>
      <c r="AH325" t="str">
        <f>IFERROR(__xludf.DUMMYFUNCTION("""COMPUTED_VALUE"""),"PROCESO DE SELECCIÓN")</f>
        <v>PROCESO DE SELECCIÓN</v>
      </c>
      <c r="AI325" t="str">
        <f>IFERROR(__xludf.DUMMYFUNCTION("""COMPUTED_VALUE"""),"CONSTANZA POBLETE CORNEJO")</f>
        <v>CONSTANZA POBLETE CORNEJO</v>
      </c>
      <c r="AL325">
        <f>IFERROR(__xludf.DUMMYFUNCTION("""COMPUTED_VALUE"""),31.0)</f>
        <v>31</v>
      </c>
      <c r="AM325">
        <f>IFERROR(__xludf.DUMMYFUNCTION("""COMPUTED_VALUE"""),2017.0)</f>
        <v>2017</v>
      </c>
    </row>
    <row r="326">
      <c r="A326">
        <f>IFERROR(__xludf.DUMMYFUNCTION("""COMPUTED_VALUE"""),7810002.0)</f>
        <v>7810002</v>
      </c>
      <c r="B326">
        <f>IFERROR(__xludf.DUMMYFUNCTION("""COMPUTED_VALUE"""),102.0)</f>
        <v>102</v>
      </c>
      <c r="D326" t="str">
        <f>IFERROR(__xludf.DUMMYFUNCTION("""COMPUTED_VALUE"""),"INGRESAR CENTRO DE COSTO A LA DERECHA")</f>
        <v>INGRESAR CENTRO DE COSTO A LA DERECHA</v>
      </c>
      <c r="E326" t="str">
        <f>IFERROR(__xludf.DUMMYFUNCTION("""COMPUTED_VALUE"""),"UNIDAD DE ATENCION DE SALUD")</f>
        <v>UNIDAD DE ATENCION DE SALUD</v>
      </c>
      <c r="F326" t="str">
        <f>IFERROR(__xludf.DUMMYFUNCTION("""COMPUTED_VALUE"""),"Médicos(as) y Dentistas")</f>
        <v>Médicos(as) y Dentistas</v>
      </c>
      <c r="G326" t="str">
        <f>IFERROR(__xludf.DUMMYFUNCTION("""COMPUTED_VALUE"""),"MEDICO PSIQUIATRA")</f>
        <v>MEDICO PSIQUIATRA</v>
      </c>
      <c r="I326" t="str">
        <f>IFERROR(__xludf.DUMMYFUNCTION("""COMPUTED_VALUE"""),"1/4 Jornada")</f>
        <v>1/4 Jornada</v>
      </c>
      <c r="J326" t="str">
        <f>IFERROR(__xludf.DUMMYFUNCTION("""COMPUTED_VALUE"""),"Por 11 hrs. Ley 15.076")</f>
        <v>Por 11 hrs. Ley 15.076</v>
      </c>
      <c r="L326" t="str">
        <f>IFERROR(__xludf.DUMMYFUNCTION("""COMPUTED_VALUE"""),"NO")</f>
        <v>NO</v>
      </c>
      <c r="M326">
        <f>IFERROR(__xludf.DUMMYFUNCTION("""COMPUTED_VALUE"""),0.0)</f>
        <v>0</v>
      </c>
      <c r="N326" t="str">
        <f>IFERROR(__xludf.DUMMYFUNCTION("""COMPUTED_VALUE"""),"EXTERNO")</f>
        <v>EXTERNO</v>
      </c>
      <c r="O326">
        <f>IFERROR(__xludf.DUMMYFUNCTION("""COMPUTED_VALUE"""),2.0)</f>
        <v>2</v>
      </c>
      <c r="P326">
        <f>IFERROR(__xludf.DUMMYFUNCTION("""COMPUTED_VALUE"""),1.0)</f>
        <v>1</v>
      </c>
      <c r="Q326">
        <f>IFERROR(__xludf.DUMMYFUNCTION("""COMPUTED_VALUE"""),1.0)</f>
        <v>1</v>
      </c>
      <c r="R326" s="45" t="str">
        <f>IFERROR(__xludf.DUMMYFUNCTION("""COMPUTED_VALUE"""),"SELECCIONADA")</f>
        <v>SELECCIONADA</v>
      </c>
      <c r="S326" s="38">
        <f>IFERROR(__xludf.DUMMYFUNCTION("""COMPUTED_VALUE"""),43164.0)</f>
        <v>43164</v>
      </c>
      <c r="U326" t="str">
        <f>IFERROR(__xludf.DUMMYFUNCTION("""COMPUTED_VALUE"""),"LISETTE GARCIA MESINA")</f>
        <v>LISETTE GARCIA MESINA</v>
      </c>
      <c r="V326" t="str">
        <f>IFERROR(__xludf.DUMMYFUNCTION("""COMPUTED_VALUE"""),"7810002-8")</f>
        <v>7810002-8</v>
      </c>
      <c r="W326" t="str">
        <f>IFERROR(__xludf.DUMMYFUNCTION("""COMPUTED_VALUE"""),"NO")</f>
        <v>NO</v>
      </c>
      <c r="AA326" s="38">
        <f>IFERROR(__xludf.DUMMYFUNCTION("""COMPUTED_VALUE"""),42863.0)</f>
        <v>42863</v>
      </c>
      <c r="AB326" s="38">
        <f>IFERROR(__xludf.DUMMYFUNCTION("""COMPUTED_VALUE"""),43007.0)</f>
        <v>43007</v>
      </c>
      <c r="AH326" t="str">
        <f>IFERROR(__xludf.DUMMYFUNCTION("""COMPUTED_VALUE"""),"PROCESO DE SELECCIÓN")</f>
        <v>PROCESO DE SELECCIÓN</v>
      </c>
      <c r="AL326">
        <f>IFERROR(__xludf.DUMMYFUNCTION("""COMPUTED_VALUE"""),112.0)</f>
        <v>112</v>
      </c>
      <c r="AM326">
        <f>IFERROR(__xludf.DUMMYFUNCTION("""COMPUTED_VALUE"""),2017.0)</f>
        <v>2017</v>
      </c>
    </row>
    <row r="327">
      <c r="A327">
        <f>IFERROR(__xludf.DUMMYFUNCTION("""COMPUTED_VALUE"""),1.8079595E7)</f>
        <v>18079595</v>
      </c>
      <c r="B327">
        <f>IFERROR(__xludf.DUMMYFUNCTION("""COMPUTED_VALUE"""),103.0)</f>
        <v>103</v>
      </c>
      <c r="D327" t="str">
        <f>IFERROR(__xludf.DUMMYFUNCTION("""COMPUTED_VALUE"""),"INGRESAR CENTRO DE COSTO A LA DERECHA")</f>
        <v>INGRESAR CENTRO DE COSTO A LA DERECHA</v>
      </c>
      <c r="E327" t="str">
        <f>IFERROR(__xludf.DUMMYFUNCTION("""COMPUTED_VALUE"""),"DPTO. DE INGENIERIA GEOGRAFICA")</f>
        <v>DPTO. DE INGENIERIA GEOGRAFICA</v>
      </c>
      <c r="F327" t="str">
        <f>IFERROR(__xludf.DUMMYFUNCTION("""COMPUTED_VALUE"""),"Secretario(a) de Apoyo Docente")</f>
        <v>Secretario(a) de Apoyo Docente</v>
      </c>
      <c r="G327" t="str">
        <f>IFERROR(__xludf.DUMMYFUNCTION("""COMPUTED_VALUE"""),"SECRETARIO DE APOYO DOCENTE")</f>
        <v>SECRETARIO DE APOYO DOCENTE</v>
      </c>
      <c r="H327">
        <f>IFERROR(__xludf.DUMMYFUNCTION("""COMPUTED_VALUE"""),17.0)</f>
        <v>17</v>
      </c>
      <c r="I327" t="str">
        <f>IFERROR(__xludf.DUMMYFUNCTION("""COMPUTED_VALUE"""),"Jornada Completa")</f>
        <v>Jornada Completa</v>
      </c>
      <c r="J327" t="str">
        <f>IFERROR(__xludf.DUMMYFUNCTION("""COMPUTED_VALUE"""),"A CONTRATA")</f>
        <v>A CONTRATA</v>
      </c>
      <c r="K327" t="str">
        <f>IFERROR(__xludf.DUMMYFUNCTION("""COMPUTED_VALUE"""),"ADMINISTRATIVO")</f>
        <v>ADMINISTRATIVO</v>
      </c>
      <c r="L327" t="str">
        <f>IFERROR(__xludf.DUMMYFUNCTION("""COMPUTED_VALUE"""),"INTERNO")</f>
        <v>INTERNO</v>
      </c>
      <c r="M327">
        <f>IFERROR(__xludf.DUMMYFUNCTION("""COMPUTED_VALUE"""),1.0)</f>
        <v>1</v>
      </c>
      <c r="N327" t="str">
        <f>IFERROR(__xludf.DUMMYFUNCTION("""COMPUTED_VALUE"""),"NO")</f>
        <v>NO</v>
      </c>
      <c r="O327">
        <f>IFERROR(__xludf.DUMMYFUNCTION("""COMPUTED_VALUE"""),0.0)</f>
        <v>0</v>
      </c>
      <c r="P327">
        <f>IFERROR(__xludf.DUMMYFUNCTION("""COMPUTED_VALUE"""),1.0)</f>
        <v>1</v>
      </c>
      <c r="Q327">
        <f>IFERROR(__xludf.DUMMYFUNCTION("""COMPUTED_VALUE"""),0.0)</f>
        <v>0</v>
      </c>
      <c r="R327" s="45" t="str">
        <f>IFERROR(__xludf.DUMMYFUNCTION("""COMPUTED_VALUE"""),"SELECCIONADA")</f>
        <v>SELECCIONADA</v>
      </c>
      <c r="S327" s="38">
        <f>IFERROR(__xludf.DUMMYFUNCTION("""COMPUTED_VALUE"""),43164.0)</f>
        <v>43164</v>
      </c>
      <c r="T327" t="str">
        <f>IFERROR(__xludf.DUMMYFUNCTION("""COMPUTED_VALUE"""),"OLGUIN FERNANDEZ VERONICA ELENA")</f>
        <v>OLGUIN FERNANDEZ VERONICA ELENA</v>
      </c>
      <c r="V327" t="str">
        <f>IFERROR(__xludf.DUMMYFUNCTION("""COMPUTED_VALUE"""),"18079595-2")</f>
        <v>18079595-2</v>
      </c>
      <c r="W327" t="str">
        <f>IFERROR(__xludf.DUMMYFUNCTION("""COMPUTED_VALUE"""),"SI")</f>
        <v>SI</v>
      </c>
      <c r="X327" t="str">
        <f>IFERROR(__xludf.DUMMYFUNCTION("""COMPUTED_VALUE"""),"Trabajo en Equipo")</f>
        <v>Trabajo en Equipo</v>
      </c>
      <c r="Y327" t="str">
        <f>IFERROR(__xludf.DUMMYFUNCTION("""COMPUTED_VALUE"""),"Franqueza- Confiabilidad- Integridad")</f>
        <v>Franqueza- Confiabilidad- Integridad</v>
      </c>
      <c r="AA327" s="38">
        <f>IFERROR(__xludf.DUMMYFUNCTION("""COMPUTED_VALUE"""),43039.0)</f>
        <v>43039</v>
      </c>
      <c r="AB327" s="38">
        <f>IFERROR(__xludf.DUMMYFUNCTION("""COMPUTED_VALUE"""),43046.0)</f>
        <v>43046</v>
      </c>
      <c r="AC327">
        <f>IFERROR(__xludf.DUMMYFUNCTION("""COMPUTED_VALUE"""),17.0)</f>
        <v>17</v>
      </c>
      <c r="AD327" t="str">
        <f>IFERROR(__xludf.DUMMYFUNCTION("""COMPUTED_VALUE"""),"ADMINISTRATIVO")</f>
        <v>ADMINISTRATIVO</v>
      </c>
      <c r="AE327" t="str">
        <f>IFERROR(__xludf.DUMMYFUNCTION("""COMPUTED_VALUE"""),"ADM COMPRAS MERCADO PUBLICO")</f>
        <v>ADM COMPRAS MERCADO PUBLICO</v>
      </c>
      <c r="AF327" s="46" t="str">
        <f>IFERROR(__xludf.DUMMYFUNCTION("""COMPUTED_VALUE"""),"DICYT")</f>
        <v>DICYT</v>
      </c>
      <c r="AH327" t="str">
        <f>IFERROR(__xludf.DUMMYFUNCTION("""COMPUTED_VALUE"""),"PROCESO DE SELECCIÓN")</f>
        <v>PROCESO DE SELECCIÓN</v>
      </c>
      <c r="AI327" t="str">
        <f>IFERROR(__xludf.DUMMYFUNCTION("""COMPUTED_VALUE"""),"SABINA HUERTA SERRANO")</f>
        <v>SABINA HUERTA SERRANO</v>
      </c>
      <c r="AK327" t="str">
        <f>IFERROR(__xludf.DUMMYFUNCTION("""COMPUTED_VALUE"""),"C")</f>
        <v>C</v>
      </c>
      <c r="AL327">
        <f>IFERROR(__xludf.DUMMYFUNCTION("""COMPUTED_VALUE"""),85.0)</f>
        <v>85</v>
      </c>
      <c r="AM327">
        <f>IFERROR(__xludf.DUMMYFUNCTION("""COMPUTED_VALUE"""),2017.0)</f>
        <v>2017</v>
      </c>
    </row>
    <row r="328">
      <c r="A328">
        <f>IFERROR(__xludf.DUMMYFUNCTION("""COMPUTED_VALUE"""),1.3465223E7)</f>
        <v>13465223</v>
      </c>
      <c r="B328">
        <f>IFERROR(__xludf.DUMMYFUNCTION("""COMPUTED_VALUE"""),104.0)</f>
        <v>104</v>
      </c>
      <c r="D328" t="str">
        <f>IFERROR(__xludf.DUMMYFUNCTION("""COMPUTED_VALUE"""),"INGRESAR CENTRO DE COSTO A LA DERECHA")</f>
        <v>INGRESAR CENTRO DE COSTO A LA DERECHA</v>
      </c>
      <c r="E328" t="str">
        <f>IFERROR(__xludf.DUMMYFUNCTION("""COMPUTED_VALUE"""),"EDIFICIO DOCENTE APOQUINDO")</f>
        <v>EDIFICIO DOCENTE APOQUINDO</v>
      </c>
      <c r="F328" t="str">
        <f>IFERROR(__xludf.DUMMYFUNCTION("""COMPUTED_VALUE"""),"Secretario(a) B")</f>
        <v>Secretario(a) B</v>
      </c>
      <c r="G328" t="str">
        <f>IFERROR(__xludf.DUMMYFUNCTION("""COMPUTED_VALUE"""),"SECRETARIA B ")</f>
        <v>SECRETARIA B </v>
      </c>
      <c r="H328">
        <f>IFERROR(__xludf.DUMMYFUNCTION("""COMPUTED_VALUE"""),17.0)</f>
        <v>17</v>
      </c>
      <c r="I328" t="str">
        <f>IFERROR(__xludf.DUMMYFUNCTION("""COMPUTED_VALUE"""),"Jornada Completa")</f>
        <v>Jornada Completa</v>
      </c>
      <c r="J328" t="str">
        <f>IFERROR(__xludf.DUMMYFUNCTION("""COMPUTED_VALUE"""),"A CONTRATA")</f>
        <v>A CONTRATA</v>
      </c>
      <c r="K328" t="str">
        <f>IFERROR(__xludf.DUMMYFUNCTION("""COMPUTED_VALUE"""),"ADMINISTRATIVO")</f>
        <v>ADMINISTRATIVO</v>
      </c>
      <c r="L328" t="str">
        <f>IFERROR(__xludf.DUMMYFUNCTION("""COMPUTED_VALUE"""),"INTERNO")</f>
        <v>INTERNO</v>
      </c>
      <c r="M328">
        <f>IFERROR(__xludf.DUMMYFUNCTION("""COMPUTED_VALUE"""),1.0)</f>
        <v>1</v>
      </c>
      <c r="N328" t="str">
        <f>IFERROR(__xludf.DUMMYFUNCTION("""COMPUTED_VALUE"""),"NO")</f>
        <v>NO</v>
      </c>
      <c r="O328">
        <f>IFERROR(__xludf.DUMMYFUNCTION("""COMPUTED_VALUE"""),0.0)</f>
        <v>0</v>
      </c>
      <c r="P328">
        <f>IFERROR(__xludf.DUMMYFUNCTION("""COMPUTED_VALUE"""),1.0)</f>
        <v>1</v>
      </c>
      <c r="Q328">
        <f>IFERROR(__xludf.DUMMYFUNCTION("""COMPUTED_VALUE"""),0.0)</f>
        <v>0</v>
      </c>
      <c r="R328" s="45" t="str">
        <f>IFERROR(__xludf.DUMMYFUNCTION("""COMPUTED_VALUE"""),"SELECCIONADA")</f>
        <v>SELECCIONADA</v>
      </c>
      <c r="S328" s="38">
        <f>IFERROR(__xludf.DUMMYFUNCTION("""COMPUTED_VALUE"""),43031.0)</f>
        <v>43031</v>
      </c>
      <c r="T328" t="str">
        <f>IFERROR(__xludf.DUMMYFUNCTION("""COMPUTED_VALUE"""),"HUERTA SERRANO SABINA KARINA")</f>
        <v>HUERTA SERRANO SABINA KARINA</v>
      </c>
      <c r="V328" t="str">
        <f>IFERROR(__xludf.DUMMYFUNCTION("""COMPUTED_VALUE"""),"13465223-3")</f>
        <v>13465223-3</v>
      </c>
      <c r="W328" t="str">
        <f>IFERROR(__xludf.DUMMYFUNCTION("""COMPUTED_VALUE"""),"NO")</f>
        <v>NO</v>
      </c>
      <c r="AA328" s="38">
        <f>IFERROR(__xludf.DUMMYFUNCTION("""COMPUTED_VALUE"""),42968.0)</f>
        <v>42968</v>
      </c>
      <c r="AB328" s="38">
        <f>IFERROR(__xludf.DUMMYFUNCTION("""COMPUTED_VALUE"""),42975.0)</f>
        <v>42975</v>
      </c>
      <c r="AC328">
        <f>IFERROR(__xludf.DUMMYFUNCTION("""COMPUTED_VALUE"""),17.0)</f>
        <v>17</v>
      </c>
      <c r="AD328" t="str">
        <f>IFERROR(__xludf.DUMMYFUNCTION("""COMPUTED_VALUE"""),"ADMINISTRATIVO")</f>
        <v>ADMINISTRATIVO</v>
      </c>
      <c r="AE328" t="str">
        <f>IFERROR(__xludf.DUMMYFUNCTION("""COMPUTED_VALUE"""),"SECRETARIA APOYO DOCENTE")</f>
        <v>SECRETARIA APOYO DOCENTE</v>
      </c>
      <c r="AF328" s="46" t="str">
        <f>IFERROR(__xludf.DUMMYFUNCTION("""COMPUTED_VALUE"""),"DPTO. DE INGENIERIA GEOGRAFICA")</f>
        <v>DPTO. DE INGENIERIA GEOGRAFICA</v>
      </c>
      <c r="AH328" t="str">
        <f>IFERROR(__xludf.DUMMYFUNCTION("""COMPUTED_VALUE"""),"PROCESO DE SELECCIÓN")</f>
        <v>PROCESO DE SELECCIÓN</v>
      </c>
      <c r="AI328" t="str">
        <f>IFERROR(__xludf.DUMMYFUNCTION("""COMPUTED_VALUE"""),"-")</f>
        <v>-</v>
      </c>
      <c r="AL328">
        <f>IFERROR(__xludf.DUMMYFUNCTION("""COMPUTED_VALUE"""),41.0)</f>
        <v>41</v>
      </c>
      <c r="AM328">
        <f>IFERROR(__xludf.DUMMYFUNCTION("""COMPUTED_VALUE"""),2017.0)</f>
        <v>2017</v>
      </c>
    </row>
    <row r="329">
      <c r="A329">
        <f>IFERROR(__xludf.DUMMYFUNCTION("""COMPUTED_VALUE"""),1.400322E7)</f>
        <v>14003220</v>
      </c>
      <c r="B329">
        <f>IFERROR(__xludf.DUMMYFUNCTION("""COMPUTED_VALUE"""),105.0)</f>
        <v>105</v>
      </c>
      <c r="D329" t="str">
        <f>IFERROR(__xludf.DUMMYFUNCTION("""COMPUTED_VALUE"""),"INGRESAR CENTRO DE COSTO A LA DERECHA")</f>
        <v>INGRESAR CENTRO DE COSTO A LA DERECHA</v>
      </c>
      <c r="E329" t="str">
        <f>IFERROR(__xludf.DUMMYFUNCTION("""COMPUTED_VALUE"""),"UNIDAD DE BIBLIOTECAS")</f>
        <v>UNIDAD DE BIBLIOTECAS</v>
      </c>
      <c r="F329" t="str">
        <f>IFERROR(__xludf.DUMMYFUNCTION("""COMPUTED_VALUE"""),"Bibliotecario(a)")</f>
        <v>Bibliotecario(a)</v>
      </c>
      <c r="G329" t="str">
        <f>IFERROR(__xludf.DUMMYFUNCTION("""COMPUTED_VALUE"""),"BIBLIOTECARIO")</f>
        <v>BIBLIOTECARIO</v>
      </c>
      <c r="H329">
        <f>IFERROR(__xludf.DUMMYFUNCTION("""COMPUTED_VALUE"""),14.0)</f>
        <v>14</v>
      </c>
      <c r="I329" t="str">
        <f>IFERROR(__xludf.DUMMYFUNCTION("""COMPUTED_VALUE"""),"Jornada Completa")</f>
        <v>Jornada Completa</v>
      </c>
      <c r="J329" t="str">
        <f>IFERROR(__xludf.DUMMYFUNCTION("""COMPUTED_VALUE"""),"A CONTRATA")</f>
        <v>A CONTRATA</v>
      </c>
      <c r="K329" t="str">
        <f>IFERROR(__xludf.DUMMYFUNCTION("""COMPUTED_VALUE"""),"PROFESIONAL")</f>
        <v>PROFESIONAL</v>
      </c>
      <c r="L329" t="str">
        <f>IFERROR(__xludf.DUMMYFUNCTION("""COMPUTED_VALUE"""),"INTERNO")</f>
        <v>INTERNO</v>
      </c>
      <c r="M329">
        <f>IFERROR(__xludf.DUMMYFUNCTION("""COMPUTED_VALUE"""),1.0)</f>
        <v>1</v>
      </c>
      <c r="N329" t="str">
        <f>IFERROR(__xludf.DUMMYFUNCTION("""COMPUTED_VALUE"""),"NO")</f>
        <v>NO</v>
      </c>
      <c r="O329">
        <f>IFERROR(__xludf.DUMMYFUNCTION("""COMPUTED_VALUE"""),0.0)</f>
        <v>0</v>
      </c>
      <c r="P329">
        <f>IFERROR(__xludf.DUMMYFUNCTION("""COMPUTED_VALUE"""),1.0)</f>
        <v>1</v>
      </c>
      <c r="Q329">
        <f>IFERROR(__xludf.DUMMYFUNCTION("""COMPUTED_VALUE"""),0.0)</f>
        <v>0</v>
      </c>
      <c r="R329" s="45" t="str">
        <f>IFERROR(__xludf.DUMMYFUNCTION("""COMPUTED_VALUE"""),"SELECCIONADA")</f>
        <v>SELECCIONADA</v>
      </c>
      <c r="S329" s="38">
        <f>IFERROR(__xludf.DUMMYFUNCTION("""COMPUTED_VALUE"""),43038.0)</f>
        <v>43038</v>
      </c>
      <c r="T329" t="str">
        <f>IFERROR(__xludf.DUMMYFUNCTION("""COMPUTED_VALUE"""),"MATSUMOTO JIMENEZ MABEL DEL CARMEN")</f>
        <v>MATSUMOTO JIMENEZ MABEL DEL CARMEN</v>
      </c>
      <c r="V329" t="str">
        <f>IFERROR(__xludf.DUMMYFUNCTION("""COMPUTED_VALUE"""),"14.003.220-4")</f>
        <v>14.003.220-4</v>
      </c>
      <c r="W329" t="str">
        <f>IFERROR(__xludf.DUMMYFUNCTION("""COMPUTED_VALUE"""),"SI")</f>
        <v>SI</v>
      </c>
      <c r="X329" t="str">
        <f>IFERROR(__xludf.DUMMYFUNCTION("""COMPUTED_VALUE"""),"Trabajo en Equipo")</f>
        <v>Trabajo en Equipo</v>
      </c>
      <c r="AA329" s="38">
        <f>IFERROR(__xludf.DUMMYFUNCTION("""COMPUTED_VALUE"""),42859.0)</f>
        <v>42859</v>
      </c>
      <c r="AB329" s="38">
        <f>IFERROR(__xludf.DUMMYFUNCTION("""COMPUTED_VALUE"""),42866.0)</f>
        <v>42866</v>
      </c>
      <c r="AC329">
        <f>IFERROR(__xludf.DUMMYFUNCTION("""COMPUTED_VALUE"""),14.0)</f>
        <v>14</v>
      </c>
      <c r="AD329" t="str">
        <f>IFERROR(__xludf.DUMMYFUNCTION("""COMPUTED_VALUE"""),"PROFESIONAL")</f>
        <v>PROFESIONAL</v>
      </c>
      <c r="AE329" t="str">
        <f>IFERROR(__xludf.DUMMYFUNCTION("""COMPUTED_VALUE"""),"ENCARGADA DE BIBLIOTECA")</f>
        <v>ENCARGADA DE BIBLIOTECA</v>
      </c>
      <c r="AF329" s="46" t="str">
        <f>IFERROR(__xludf.DUMMYFUNCTION("""COMPUTED_VALUE"""),"ESCUELA DE ARQUITECTURA")</f>
        <v>ESCUELA DE ARQUITECTURA</v>
      </c>
      <c r="AH329" t="str">
        <f>IFERROR(__xludf.DUMMYFUNCTION("""COMPUTED_VALUE"""),"PROCESO DE SELECCIÓN")</f>
        <v>PROCESO DE SELECCIÓN</v>
      </c>
      <c r="AI329" t="str">
        <f>IFERROR(__xludf.DUMMYFUNCTION("""COMPUTED_VALUE"""),"PAULINA PICHIHUECHE")</f>
        <v>PAULINA PICHIHUECHE</v>
      </c>
      <c r="AK329" t="str">
        <f>IFERROR(__xludf.DUMMYFUNCTION("""COMPUTED_VALUE"""),"C")</f>
        <v>C</v>
      </c>
      <c r="AL329">
        <f>IFERROR(__xludf.DUMMYFUNCTION("""COMPUTED_VALUE"""),123.0)</f>
        <v>123</v>
      </c>
      <c r="AM329">
        <f>IFERROR(__xludf.DUMMYFUNCTION("""COMPUTED_VALUE"""),2017.0)</f>
        <v>2017</v>
      </c>
    </row>
    <row r="330">
      <c r="A330">
        <f>IFERROR(__xludf.DUMMYFUNCTION("""COMPUTED_VALUE"""),1.3207216E7)</f>
        <v>13207216</v>
      </c>
      <c r="B330">
        <f>IFERROR(__xludf.DUMMYFUNCTION("""COMPUTED_VALUE"""),106.0)</f>
        <v>106</v>
      </c>
      <c r="D330" t="str">
        <f>IFERROR(__xludf.DUMMYFUNCTION("""COMPUTED_VALUE"""),"INGRESAR CENTRO DE COSTO A LA DERECHA")</f>
        <v>INGRESAR CENTRO DE COSTO A LA DERECHA</v>
      </c>
      <c r="E330" t="str">
        <f>IFERROR(__xludf.DUMMYFUNCTION("""COMPUTED_VALUE"""),"FACULTAD DE CIENCIA")</f>
        <v>FACULTAD DE CIENCIA</v>
      </c>
      <c r="F330" t="str">
        <f>IFERROR(__xludf.DUMMYFUNCTION("""COMPUTED_VALUE"""),"Secretario(a) B")</f>
        <v>Secretario(a) B</v>
      </c>
      <c r="G330" t="str">
        <f>IFERROR(__xludf.DUMMYFUNCTION("""COMPUTED_VALUE"""),"SECRETARIO B")</f>
        <v>SECRETARIO B</v>
      </c>
      <c r="H330">
        <f>IFERROR(__xludf.DUMMYFUNCTION("""COMPUTED_VALUE"""),14.0)</f>
        <v>14</v>
      </c>
      <c r="I330" t="str">
        <f>IFERROR(__xludf.DUMMYFUNCTION("""COMPUTED_VALUE"""),"Jornada Completa")</f>
        <v>Jornada Completa</v>
      </c>
      <c r="J330" t="str">
        <f>IFERROR(__xludf.DUMMYFUNCTION("""COMPUTED_VALUE"""),"A CONTRATA")</f>
        <v>A CONTRATA</v>
      </c>
      <c r="K330" t="str">
        <f>IFERROR(__xludf.DUMMYFUNCTION("""COMPUTED_VALUE"""),"ADMINISTRATIVO")</f>
        <v>ADMINISTRATIVO</v>
      </c>
      <c r="L330" t="str">
        <f>IFERROR(__xludf.DUMMYFUNCTION("""COMPUTED_VALUE"""),"INTERNO")</f>
        <v>INTERNO</v>
      </c>
      <c r="M330">
        <f>IFERROR(__xludf.DUMMYFUNCTION("""COMPUTED_VALUE"""),2.0)</f>
        <v>2</v>
      </c>
      <c r="N330" t="str">
        <f>IFERROR(__xludf.DUMMYFUNCTION("""COMPUTED_VALUE"""),"NO")</f>
        <v>NO</v>
      </c>
      <c r="O330">
        <f>IFERROR(__xludf.DUMMYFUNCTION("""COMPUTED_VALUE"""),0.0)</f>
        <v>0</v>
      </c>
      <c r="P330">
        <f>IFERROR(__xludf.DUMMYFUNCTION("""COMPUTED_VALUE"""),1.0)</f>
        <v>1</v>
      </c>
      <c r="Q330">
        <f>IFERROR(__xludf.DUMMYFUNCTION("""COMPUTED_VALUE"""),0.0)</f>
        <v>0</v>
      </c>
      <c r="R330" s="45" t="str">
        <f>IFERROR(__xludf.DUMMYFUNCTION("""COMPUTED_VALUE"""),"SELECCIONADA")</f>
        <v>SELECCIONADA</v>
      </c>
      <c r="S330" s="38">
        <f>IFERROR(__xludf.DUMMYFUNCTION("""COMPUTED_VALUE"""),43027.0)</f>
        <v>43027</v>
      </c>
      <c r="T330" t="str">
        <f>IFERROR(__xludf.DUMMYFUNCTION("""COMPUTED_VALUE"""),"VELOSO GARCIA SOLEDAD DEL PILAR")</f>
        <v>VELOSO GARCIA SOLEDAD DEL PILAR</v>
      </c>
      <c r="V330" t="str">
        <f>IFERROR(__xludf.DUMMYFUNCTION("""COMPUTED_VALUE"""),"13.207.216-7")</f>
        <v>13.207.216-7</v>
      </c>
      <c r="W330" t="str">
        <f>IFERROR(__xludf.DUMMYFUNCTION("""COMPUTED_VALUE"""),"SI")</f>
        <v>SI</v>
      </c>
      <c r="X330" t="str">
        <f>IFERROR(__xludf.DUMMYFUNCTION("""COMPUTED_VALUE"""),"Iniciativa")</f>
        <v>Iniciativa</v>
      </c>
      <c r="Y330" t="str">
        <f>IFERROR(__xludf.DUMMYFUNCTION("""COMPUTED_VALUE"""),"Trabajo en Equipo")</f>
        <v>Trabajo en Equipo</v>
      </c>
      <c r="AA330" s="38">
        <f>IFERROR(__xludf.DUMMYFUNCTION("""COMPUTED_VALUE"""),42954.0)</f>
        <v>42954</v>
      </c>
      <c r="AB330" s="38">
        <f>IFERROR(__xludf.DUMMYFUNCTION("""COMPUTED_VALUE"""),42961.0)</f>
        <v>42961</v>
      </c>
      <c r="AC330">
        <f>IFERROR(__xludf.DUMMYFUNCTION("""COMPUTED_VALUE"""),17.0)</f>
        <v>17</v>
      </c>
      <c r="AD330" t="str">
        <f>IFERROR(__xludf.DUMMYFUNCTION("""COMPUTED_VALUE"""),"ADMINISTRATIVO")</f>
        <v>ADMINISTRATIVO</v>
      </c>
      <c r="AE330" t="str">
        <f>IFERROR(__xludf.DUMMYFUNCTION("""COMPUTED_VALUE"""),"SECRETARIA")</f>
        <v>SECRETARIA</v>
      </c>
      <c r="AF330" s="46" t="str">
        <f>IFERROR(__xludf.DUMMYFUNCTION("""COMPUTED_VALUE"""),"FACULTAD DE HUMANIDADES")</f>
        <v>FACULTAD DE HUMANIDADES</v>
      </c>
      <c r="AH330" t="str">
        <f>IFERROR(__xludf.DUMMYFUNCTION("""COMPUTED_VALUE"""),"PROCESO DE SELECCIÓN")</f>
        <v>PROCESO DE SELECCIÓN</v>
      </c>
      <c r="AI330" t="str">
        <f>IFERROR(__xludf.DUMMYFUNCTION("""COMPUTED_VALUE"""),"PALOMA NUÑEZ ROBLES")</f>
        <v>PALOMA NUÑEZ ROBLES</v>
      </c>
      <c r="AK330" t="str">
        <f>IFERROR(__xludf.DUMMYFUNCTION("""COMPUTED_VALUE"""),"E")</f>
        <v>E</v>
      </c>
      <c r="AL330">
        <f>IFERROR(__xludf.DUMMYFUNCTION("""COMPUTED_VALUE"""),49.0)</f>
        <v>49</v>
      </c>
      <c r="AM330">
        <f>IFERROR(__xludf.DUMMYFUNCTION("""COMPUTED_VALUE"""),2017.0)</f>
        <v>2017</v>
      </c>
    </row>
    <row r="331">
      <c r="A331">
        <f>IFERROR(__xludf.DUMMYFUNCTION("""COMPUTED_VALUE"""),1.7738116E7)</f>
        <v>17738116</v>
      </c>
      <c r="B331">
        <f>IFERROR(__xludf.DUMMYFUNCTION("""COMPUTED_VALUE"""),107.0)</f>
        <v>107</v>
      </c>
      <c r="D331" t="str">
        <f>IFERROR(__xludf.DUMMYFUNCTION("""COMPUTED_VALUE"""),"INGRESAR CENTRO DE COSTO A LA DERECHA")</f>
        <v>INGRESAR CENTRO DE COSTO A LA DERECHA</v>
      </c>
      <c r="E331" t="str">
        <f>IFERROR(__xludf.DUMMYFUNCTION("""COMPUTED_VALUE"""),"DPTO. DE RELAC. INTERUNIV E INTERN")</f>
        <v>DPTO. DE RELAC. INTERUNIV E INTERN</v>
      </c>
      <c r="F331" t="str">
        <f>IFERROR(__xludf.DUMMYFUNCTION("""COMPUTED_VALUE"""),"Secretario(a) B")</f>
        <v>Secretario(a) B</v>
      </c>
      <c r="G331" t="str">
        <f>IFERROR(__xludf.DUMMYFUNCTION("""COMPUTED_VALUE"""),"SECRETARIO  B")</f>
        <v>SECRETARIO  B</v>
      </c>
      <c r="H331">
        <f>IFERROR(__xludf.DUMMYFUNCTION("""COMPUTED_VALUE"""),17.0)</f>
        <v>17</v>
      </c>
      <c r="I331" t="str">
        <f>IFERROR(__xludf.DUMMYFUNCTION("""COMPUTED_VALUE"""),"Jornada Completa")</f>
        <v>Jornada Completa</v>
      </c>
      <c r="J331" t="str">
        <f>IFERROR(__xludf.DUMMYFUNCTION("""COMPUTED_VALUE"""),"A CONTRATA")</f>
        <v>A CONTRATA</v>
      </c>
      <c r="K331" t="str">
        <f>IFERROR(__xludf.DUMMYFUNCTION("""COMPUTED_VALUE"""),"ADMINISTRATIVO")</f>
        <v>ADMINISTRATIVO</v>
      </c>
      <c r="L331" t="str">
        <f>IFERROR(__xludf.DUMMYFUNCTION("""COMPUTED_VALUE"""),"INTERNO")</f>
        <v>INTERNO</v>
      </c>
      <c r="M331">
        <f>IFERROR(__xludf.DUMMYFUNCTION("""COMPUTED_VALUE"""),1.0)</f>
        <v>1</v>
      </c>
      <c r="N331" t="str">
        <f>IFERROR(__xludf.DUMMYFUNCTION("""COMPUTED_VALUE"""),"NO")</f>
        <v>NO</v>
      </c>
      <c r="O331">
        <f>IFERROR(__xludf.DUMMYFUNCTION("""COMPUTED_VALUE"""),0.0)</f>
        <v>0</v>
      </c>
      <c r="P331">
        <f>IFERROR(__xludf.DUMMYFUNCTION("""COMPUTED_VALUE"""),1.0)</f>
        <v>1</v>
      </c>
      <c r="Q331">
        <f>IFERROR(__xludf.DUMMYFUNCTION("""COMPUTED_VALUE"""),0.0)</f>
        <v>0</v>
      </c>
      <c r="R331" s="45" t="str">
        <f>IFERROR(__xludf.DUMMYFUNCTION("""COMPUTED_VALUE"""),"SELECCIONADA")</f>
        <v>SELECCIONADA</v>
      </c>
      <c r="S331" s="38">
        <f>IFERROR(__xludf.DUMMYFUNCTION("""COMPUTED_VALUE"""),42979.0)</f>
        <v>42979</v>
      </c>
      <c r="T331" t="str">
        <f>IFERROR(__xludf.DUMMYFUNCTION("""COMPUTED_VALUE"""),"FLORES HUICHAHUALA MAGALY NATIVIDAD")</f>
        <v>FLORES HUICHAHUALA MAGALY NATIVIDAD</v>
      </c>
      <c r="V331" t="str">
        <f>IFERROR(__xludf.DUMMYFUNCTION("""COMPUTED_VALUE"""),"17738116-0")</f>
        <v>17738116-0</v>
      </c>
      <c r="W331" t="str">
        <f>IFERROR(__xludf.DUMMYFUNCTION("""COMPUTED_VALUE"""),"SI")</f>
        <v>SI</v>
      </c>
      <c r="X331" t="str">
        <f>IFERROR(__xludf.DUMMYFUNCTION("""COMPUTED_VALUE"""),"Franqueza- Confiabilidad- Integridad")</f>
        <v>Franqueza- Confiabilidad- Integridad</v>
      </c>
      <c r="AA331" s="38">
        <f>IFERROR(__xludf.DUMMYFUNCTION("""COMPUTED_VALUE"""),42829.0)</f>
        <v>42829</v>
      </c>
      <c r="AB331" s="38">
        <f>IFERROR(__xludf.DUMMYFUNCTION("""COMPUTED_VALUE"""),42836.0)</f>
        <v>42836</v>
      </c>
      <c r="AC331">
        <f>IFERROR(__xludf.DUMMYFUNCTION("""COMPUTED_VALUE"""),20.0)</f>
        <v>20</v>
      </c>
      <c r="AD331" t="str">
        <f>IFERROR(__xludf.DUMMYFUNCTION("""COMPUTED_VALUE"""),"ADMINISTRATIVO")</f>
        <v>ADMINISTRATIVO</v>
      </c>
      <c r="AE331" t="str">
        <f>IFERROR(__xludf.DUMMYFUNCTION("""COMPUTED_VALUE"""),"SECRETARIA C")</f>
        <v>SECRETARIA C</v>
      </c>
      <c r="AF331" s="46" t="str">
        <f>IFERROR(__xludf.DUMMYFUNCTION("""COMPUTED_VALUE"""),"DPTO. DE RELAC. INTERUNIV E INTERN")</f>
        <v>DPTO. DE RELAC. INTERUNIV E INTERN</v>
      </c>
      <c r="AH331" t="str">
        <f>IFERROR(__xludf.DUMMYFUNCTION("""COMPUTED_VALUE"""),"PROCESO DE SELECCIÓN")</f>
        <v>PROCESO DE SELECCIÓN</v>
      </c>
      <c r="AK331" t="str">
        <f>IFERROR(__xludf.DUMMYFUNCTION("""COMPUTED_VALUE"""),"C")</f>
        <v>C</v>
      </c>
      <c r="AL331">
        <f>IFERROR(__xludf.DUMMYFUNCTION("""COMPUTED_VALUE"""),104.0)</f>
        <v>104</v>
      </c>
      <c r="AM331">
        <f>IFERROR(__xludf.DUMMYFUNCTION("""COMPUTED_VALUE"""),2017.0)</f>
        <v>2017</v>
      </c>
    </row>
    <row r="332">
      <c r="A332">
        <f>IFERROR(__xludf.DUMMYFUNCTION("""COMPUTED_VALUE"""),1.4126884E7)</f>
        <v>14126884</v>
      </c>
      <c r="B332">
        <f>IFERROR(__xludf.DUMMYFUNCTION("""COMPUTED_VALUE"""),108.0)</f>
        <v>108</v>
      </c>
      <c r="D332" t="str">
        <f>IFERROR(__xludf.DUMMYFUNCTION("""COMPUTED_VALUE"""),"INGRESAR CENTRO DE COSTO A LA DERECHA")</f>
        <v>INGRESAR CENTRO DE COSTO A LA DERECHA</v>
      </c>
      <c r="E332" t="str">
        <f>IFERROR(__xludf.DUMMYFUNCTION("""COMPUTED_VALUE"""),"ESCUELA DE PSICOLOGIA")</f>
        <v>ESCUELA DE PSICOLOGIA</v>
      </c>
      <c r="F332" t="str">
        <f>IFERROR(__xludf.DUMMYFUNCTION("""COMPUTED_VALUE"""),"Secretario(a) B")</f>
        <v>Secretario(a) B</v>
      </c>
      <c r="G332" t="str">
        <f>IFERROR(__xludf.DUMMYFUNCTION("""COMPUTED_VALUE"""),"SECRETARIO B")</f>
        <v>SECRETARIO B</v>
      </c>
      <c r="H332">
        <f>IFERROR(__xludf.DUMMYFUNCTION("""COMPUTED_VALUE"""),17.0)</f>
        <v>17</v>
      </c>
      <c r="I332" t="str">
        <f>IFERROR(__xludf.DUMMYFUNCTION("""COMPUTED_VALUE"""),"Jornada Completa")</f>
        <v>Jornada Completa</v>
      </c>
      <c r="J332" t="str">
        <f>IFERROR(__xludf.DUMMYFUNCTION("""COMPUTED_VALUE"""),"A CONTRATA")</f>
        <v>A CONTRATA</v>
      </c>
      <c r="K332" t="str">
        <f>IFERROR(__xludf.DUMMYFUNCTION("""COMPUTED_VALUE"""),"ADMINISTRATIVO")</f>
        <v>ADMINISTRATIVO</v>
      </c>
      <c r="L332" t="str">
        <f>IFERROR(__xludf.DUMMYFUNCTION("""COMPUTED_VALUE"""),"INTERNO")</f>
        <v>INTERNO</v>
      </c>
      <c r="M332">
        <f>IFERROR(__xludf.DUMMYFUNCTION("""COMPUTED_VALUE"""),0.0)</f>
        <v>0</v>
      </c>
      <c r="N332" t="str">
        <f>IFERROR(__xludf.DUMMYFUNCTION("""COMPUTED_VALUE"""),"EXTERNO")</f>
        <v>EXTERNO</v>
      </c>
      <c r="O332">
        <f>IFERROR(__xludf.DUMMYFUNCTION("""COMPUTED_VALUE"""),13.0)</f>
        <v>13</v>
      </c>
      <c r="P332">
        <f>IFERROR(__xludf.DUMMYFUNCTION("""COMPUTED_VALUE"""),1.0)</f>
        <v>1</v>
      </c>
      <c r="Q332">
        <f>IFERROR(__xludf.DUMMYFUNCTION("""COMPUTED_VALUE"""),0.0)</f>
        <v>0</v>
      </c>
      <c r="R332" s="45" t="str">
        <f>IFERROR(__xludf.DUMMYFUNCTION("""COMPUTED_VALUE"""),"SELECCIONADA")</f>
        <v>SELECCIONADA</v>
      </c>
      <c r="S332" s="38">
        <f>IFERROR(__xludf.DUMMYFUNCTION("""COMPUTED_VALUE"""),42979.0)</f>
        <v>42979</v>
      </c>
      <c r="U332" t="str">
        <f>IFERROR(__xludf.DUMMYFUNCTION("""COMPUTED_VALUE"""),"MARITZA DÍAZ GALINDO")</f>
        <v>MARITZA DÍAZ GALINDO</v>
      </c>
      <c r="V332" t="str">
        <f>IFERROR(__xludf.DUMMYFUNCTION("""COMPUTED_VALUE"""),"14126884-8")</f>
        <v>14126884-8</v>
      </c>
      <c r="W332" t="str">
        <f>IFERROR(__xludf.DUMMYFUNCTION("""COMPUTED_VALUE"""),"NO")</f>
        <v>NO</v>
      </c>
      <c r="AA332" s="38">
        <f>IFERROR(__xludf.DUMMYFUNCTION("""COMPUTED_VALUE"""),42929.0)</f>
        <v>42929</v>
      </c>
      <c r="AB332" s="38">
        <f>IFERROR(__xludf.DUMMYFUNCTION("""COMPUTED_VALUE"""),42933.0)</f>
        <v>42933</v>
      </c>
      <c r="AH332" t="str">
        <f>IFERROR(__xludf.DUMMYFUNCTION("""COMPUTED_VALUE"""),"PROCESO DE SELECCIÓN")</f>
        <v>PROCESO DE SELECCIÓN</v>
      </c>
      <c r="AK332" t="str">
        <f>IFERROR(__xludf.DUMMYFUNCTION("""COMPUTED_VALUE"""),"C")</f>
        <v>C</v>
      </c>
      <c r="AL332">
        <f>IFERROR(__xludf.DUMMYFUNCTION("""COMPUTED_VALUE"""),35.0)</f>
        <v>35</v>
      </c>
      <c r="AM332">
        <f>IFERROR(__xludf.DUMMYFUNCTION("""COMPUTED_VALUE"""),2017.0)</f>
        <v>2017</v>
      </c>
    </row>
    <row r="333">
      <c r="A333">
        <f>IFERROR(__xludf.DUMMYFUNCTION("""COMPUTED_VALUE"""),1.1851134E7)</f>
        <v>11851134</v>
      </c>
      <c r="B333">
        <f>IFERROR(__xludf.DUMMYFUNCTION("""COMPUTED_VALUE"""),109.0)</f>
        <v>109</v>
      </c>
      <c r="D333" t="str">
        <f>IFERROR(__xludf.DUMMYFUNCTION("""COMPUTED_VALUE"""),"INGRESAR CENTRO DE COSTO A LA DERECHA")</f>
        <v>INGRESAR CENTRO DE COSTO A LA DERECHA</v>
      </c>
      <c r="E333" t="str">
        <f>IFERROR(__xludf.DUMMYFUNCTION("""COMPUTED_VALUE"""),"DPTO. DE CIENCIA Y TEC.DE LOS ALIM")</f>
        <v>DPTO. DE CIENCIA Y TEC.DE LOS ALIM</v>
      </c>
      <c r="F333" t="str">
        <f>IFERROR(__xludf.DUMMYFUNCTION("""COMPUTED_VALUE"""),"Secretario(a) B")</f>
        <v>Secretario(a) B</v>
      </c>
      <c r="G333" t="str">
        <f>IFERROR(__xludf.DUMMYFUNCTION("""COMPUTED_VALUE"""),"SECRETARIO (B) DE DEPARTAMENTO")</f>
        <v>SECRETARIO (B) DE DEPARTAMENTO</v>
      </c>
      <c r="H333">
        <f>IFERROR(__xludf.DUMMYFUNCTION("""COMPUTED_VALUE"""),17.0)</f>
        <v>17</v>
      </c>
      <c r="I333" t="str">
        <f>IFERROR(__xludf.DUMMYFUNCTION("""COMPUTED_VALUE"""),"Jornada Completa")</f>
        <v>Jornada Completa</v>
      </c>
      <c r="J333" t="str">
        <f>IFERROR(__xludf.DUMMYFUNCTION("""COMPUTED_VALUE"""),"A CONTRATA")</f>
        <v>A CONTRATA</v>
      </c>
      <c r="K333" t="str">
        <f>IFERROR(__xludf.DUMMYFUNCTION("""COMPUTED_VALUE"""),"ADMINISTRATIVO")</f>
        <v>ADMINISTRATIVO</v>
      </c>
      <c r="L333" t="str">
        <f>IFERROR(__xludf.DUMMYFUNCTION("""COMPUTED_VALUE"""),"INTERNO")</f>
        <v>INTERNO</v>
      </c>
      <c r="M333">
        <f>IFERROR(__xludf.DUMMYFUNCTION("""COMPUTED_VALUE"""),0.0)</f>
        <v>0</v>
      </c>
      <c r="N333" t="str">
        <f>IFERROR(__xludf.DUMMYFUNCTION("""COMPUTED_VALUE"""),"EXTERNO")</f>
        <v>EXTERNO</v>
      </c>
      <c r="O333">
        <f>IFERROR(__xludf.DUMMYFUNCTION("""COMPUTED_VALUE"""),15.0)</f>
        <v>15</v>
      </c>
      <c r="P333">
        <f>IFERROR(__xludf.DUMMYFUNCTION("""COMPUTED_VALUE"""),1.0)</f>
        <v>1</v>
      </c>
      <c r="Q333">
        <f>IFERROR(__xludf.DUMMYFUNCTION("""COMPUTED_VALUE"""),1.0)</f>
        <v>1</v>
      </c>
      <c r="R333" s="45" t="str">
        <f>IFERROR(__xludf.DUMMYFUNCTION("""COMPUTED_VALUE"""),"SELECCIONADA")</f>
        <v>SELECCIONADA</v>
      </c>
      <c r="S333" s="38">
        <f>IFERROR(__xludf.DUMMYFUNCTION("""COMPUTED_VALUE"""),43024.0)</f>
        <v>43024</v>
      </c>
      <c r="U333" t="str">
        <f>IFERROR(__xludf.DUMMYFUNCTION("""COMPUTED_VALUE"""),"TERESA FIGUEROA GONZÁLEZ")</f>
        <v>TERESA FIGUEROA GONZÁLEZ</v>
      </c>
      <c r="V333" t="str">
        <f>IFERROR(__xludf.DUMMYFUNCTION("""COMPUTED_VALUE"""),"11851134-4")</f>
        <v>11851134-4</v>
      </c>
      <c r="W333" t="str">
        <f>IFERROR(__xludf.DUMMYFUNCTION("""COMPUTED_VALUE"""),"NO")</f>
        <v>NO</v>
      </c>
      <c r="AA333" s="38">
        <f>IFERROR(__xludf.DUMMYFUNCTION("""COMPUTED_VALUE"""),42963.0)</f>
        <v>42963</v>
      </c>
      <c r="AB333" s="38">
        <f>IFERROR(__xludf.DUMMYFUNCTION("""COMPUTED_VALUE"""),42968.0)</f>
        <v>42968</v>
      </c>
      <c r="AH333" t="str">
        <f>IFERROR(__xludf.DUMMYFUNCTION("""COMPUTED_VALUE"""),"PROCESO DE SELECCIÓN")</f>
        <v>PROCESO DE SELECCIÓN</v>
      </c>
      <c r="AI333" t="str">
        <f>IFERROR(__xludf.DUMMYFUNCTION("""COMPUTED_VALUE"""),"ENRIQUETA UMAÑA HERRERA")</f>
        <v>ENRIQUETA UMAÑA HERRERA</v>
      </c>
      <c r="AK333" t="str">
        <f>IFERROR(__xludf.DUMMYFUNCTION("""COMPUTED_VALUE"""),"E")</f>
        <v>E</v>
      </c>
      <c r="AL333">
        <f>IFERROR(__xludf.DUMMYFUNCTION("""COMPUTED_VALUE"""),41.0)</f>
        <v>41</v>
      </c>
      <c r="AM333">
        <f>IFERROR(__xludf.DUMMYFUNCTION("""COMPUTED_VALUE"""),2017.0)</f>
        <v>2017</v>
      </c>
    </row>
    <row r="334">
      <c r="A334">
        <f>IFERROR(__xludf.DUMMYFUNCTION("""COMPUTED_VALUE"""),1.5045222E7)</f>
        <v>15045222</v>
      </c>
      <c r="B334">
        <f>IFERROR(__xludf.DUMMYFUNCTION("""COMPUTED_VALUE"""),110.0)</f>
        <v>110</v>
      </c>
      <c r="C334" t="str">
        <f>IFERROR(__xludf.DUMMYFUNCTION("""COMPUTED_VALUE"""),"A179.2")</f>
        <v>A179.2</v>
      </c>
      <c r="D334" t="str">
        <f>IFERROR(__xludf.DUMMYFUNCTION("""COMPUTED_VALUE"""),"INGRESAR CENTRO DE COSTO A LA DERECHA")</f>
        <v>INGRESAR CENTRO DE COSTO A LA DERECHA</v>
      </c>
      <c r="E334" t="str">
        <f>IFERROR(__xludf.DUMMYFUNCTION("""COMPUTED_VALUE"""),"VR. DE POSTGRADO")</f>
        <v>VR. DE POSTGRADO</v>
      </c>
      <c r="F334" t="str">
        <f>IFERROR(__xludf.DUMMYFUNCTION("""COMPUTED_VALUE"""),"Secretario(a) B")</f>
        <v>Secretario(a) B</v>
      </c>
      <c r="G334" t="str">
        <f>IFERROR(__xludf.DUMMYFUNCTION("""COMPUTED_VALUE"""),"SECRETARIO B DE DIRECCIÓN")</f>
        <v>SECRETARIO B DE DIRECCIÓN</v>
      </c>
      <c r="H334">
        <f>IFERROR(__xludf.DUMMYFUNCTION("""COMPUTED_VALUE"""),17.0)</f>
        <v>17</v>
      </c>
      <c r="I334" t="str">
        <f>IFERROR(__xludf.DUMMYFUNCTION("""COMPUTED_VALUE"""),"Jornada Completa")</f>
        <v>Jornada Completa</v>
      </c>
      <c r="J334" t="str">
        <f>IFERROR(__xludf.DUMMYFUNCTION("""COMPUTED_VALUE"""),"A CONTRATA")</f>
        <v>A CONTRATA</v>
      </c>
      <c r="K334" t="str">
        <f>IFERROR(__xludf.DUMMYFUNCTION("""COMPUTED_VALUE"""),"ADMINISTRATIVO")</f>
        <v>ADMINISTRATIVO</v>
      </c>
      <c r="L334" t="str">
        <f>IFERROR(__xludf.DUMMYFUNCTION("""COMPUTED_VALUE"""),"INTERNO")</f>
        <v>INTERNO</v>
      </c>
      <c r="M334">
        <f>IFERROR(__xludf.DUMMYFUNCTION("""COMPUTED_VALUE"""),1.0)</f>
        <v>1</v>
      </c>
      <c r="N334" t="str">
        <f>IFERROR(__xludf.DUMMYFUNCTION("""COMPUTED_VALUE"""),"NO")</f>
        <v>NO</v>
      </c>
      <c r="O334">
        <f>IFERROR(__xludf.DUMMYFUNCTION("""COMPUTED_VALUE"""),0.0)</f>
        <v>0</v>
      </c>
      <c r="P334">
        <f>IFERROR(__xludf.DUMMYFUNCTION("""COMPUTED_VALUE"""),1.0)</f>
        <v>1</v>
      </c>
      <c r="Q334">
        <f>IFERROR(__xludf.DUMMYFUNCTION("""COMPUTED_VALUE"""),0.0)</f>
        <v>0</v>
      </c>
      <c r="R334" s="45" t="str">
        <f>IFERROR(__xludf.DUMMYFUNCTION("""COMPUTED_VALUE"""),"SELECCIONADA")</f>
        <v>SELECCIONADA</v>
      </c>
      <c r="S334" s="38">
        <f>IFERROR(__xludf.DUMMYFUNCTION("""COMPUTED_VALUE"""),43222.0)</f>
        <v>43222</v>
      </c>
      <c r="T334" t="str">
        <f>IFERROR(__xludf.DUMMYFUNCTION("""COMPUTED_VALUE"""),"ARAYA VERGARA FERNANDA DEL CARMEN")</f>
        <v>ARAYA VERGARA FERNANDA DEL CARMEN</v>
      </c>
      <c r="V334" t="str">
        <f>IFERROR(__xludf.DUMMYFUNCTION("""COMPUTED_VALUE"""),"15045222-8")</f>
        <v>15045222-8</v>
      </c>
      <c r="W334" t="str">
        <f>IFERROR(__xludf.DUMMYFUNCTION("""COMPUTED_VALUE"""),"SI")</f>
        <v>SI</v>
      </c>
      <c r="X334" t="str">
        <f>IFERROR(__xludf.DUMMYFUNCTION("""COMPUTED_VALUE"""),"Iniciativa")</f>
        <v>Iniciativa</v>
      </c>
      <c r="Y334" t="str">
        <f>IFERROR(__xludf.DUMMYFUNCTION("""COMPUTED_VALUE"""),"Franqueza- Confiabilidad- Integridad")</f>
        <v>Franqueza- Confiabilidad- Integridad</v>
      </c>
      <c r="AA334" s="38">
        <f>IFERROR(__xludf.DUMMYFUNCTION("""COMPUTED_VALUE"""),43123.0)</f>
        <v>43123</v>
      </c>
      <c r="AB334" s="38">
        <f>IFERROR(__xludf.DUMMYFUNCTION("""COMPUTED_VALUE"""),43125.0)</f>
        <v>43125</v>
      </c>
      <c r="AC334">
        <f>IFERROR(__xludf.DUMMYFUNCTION("""COMPUTED_VALUE"""),20.0)</f>
        <v>20</v>
      </c>
      <c r="AD334" t="str">
        <f>IFERROR(__xludf.DUMMYFUNCTION("""COMPUTED_VALUE"""),"ADMINISTRATIVA")</f>
        <v>ADMINISTRATIVA</v>
      </c>
      <c r="AE334" t="str">
        <f>IFERROR(__xludf.DUMMYFUNCTION("""COMPUTED_VALUE"""),"ADMINISTRATIVO DE APOYO")</f>
        <v>ADMINISTRATIVO DE APOYO</v>
      </c>
      <c r="AF334" s="46" t="str">
        <f>IFERROR(__xludf.DUMMYFUNCTION("""COMPUTED_VALUE"""),"SECRETARIA GENERAL")</f>
        <v>SECRETARIA GENERAL</v>
      </c>
      <c r="AH334" t="str">
        <f>IFERROR(__xludf.DUMMYFUNCTION("""COMPUTED_VALUE"""),"PROCESO DE SELECCIÓN")</f>
        <v>PROCESO DE SELECCIÓN</v>
      </c>
      <c r="AK334" t="str">
        <f>IFERROR(__xludf.DUMMYFUNCTION("""COMPUTED_VALUE"""),"C")</f>
        <v>C</v>
      </c>
      <c r="AL334">
        <f>IFERROR(__xludf.DUMMYFUNCTION("""COMPUTED_VALUE"""),70.0)</f>
        <v>70</v>
      </c>
      <c r="AM334">
        <f>IFERROR(__xludf.DUMMYFUNCTION("""COMPUTED_VALUE"""),2017.0)</f>
        <v>2017</v>
      </c>
    </row>
    <row r="335">
      <c r="A335">
        <f>IFERROR(__xludf.DUMMYFUNCTION("""COMPUTED_VALUE"""),1.674777E7)</f>
        <v>16747770</v>
      </c>
      <c r="B335">
        <f>IFERROR(__xludf.DUMMYFUNCTION("""COMPUTED_VALUE"""),111.0)</f>
        <v>111</v>
      </c>
      <c r="D335" t="str">
        <f>IFERROR(__xludf.DUMMYFUNCTION("""COMPUTED_VALUE"""),"INGRESAR CENTRO DE COSTO A LA DERECHA")</f>
        <v>INGRESAR CENTRO DE COSTO A LA DERECHA</v>
      </c>
      <c r="E335" t="str">
        <f>IFERROR(__xludf.DUMMYFUNCTION("""COMPUTED_VALUE"""),"DPTO. DE FISICA")</f>
        <v>DPTO. DE FISICA</v>
      </c>
      <c r="F335" t="str">
        <f>IFERROR(__xludf.DUMMYFUNCTION("""COMPUTED_VALUE"""),"Encargado(a) Técnico(a) de Laboratorio")</f>
        <v>Encargado(a) Técnico(a) de Laboratorio</v>
      </c>
      <c r="G335" t="str">
        <f>IFERROR(__xludf.DUMMYFUNCTION("""COMPUTED_VALUE"""),"ENCARGADO TÉCNICO DE LABORATORIO")</f>
        <v>ENCARGADO TÉCNICO DE LABORATORIO</v>
      </c>
      <c r="H335">
        <f>IFERROR(__xludf.DUMMYFUNCTION("""COMPUTED_VALUE"""),14.0)</f>
        <v>14</v>
      </c>
      <c r="I335" t="str">
        <f>IFERROR(__xludf.DUMMYFUNCTION("""COMPUTED_VALUE"""),"Jornada Completa")</f>
        <v>Jornada Completa</v>
      </c>
      <c r="J335" t="str">
        <f>IFERROR(__xludf.DUMMYFUNCTION("""COMPUTED_VALUE"""),"A CONTRATA")</f>
        <v>A CONTRATA</v>
      </c>
      <c r="K335" t="str">
        <f>IFERROR(__xludf.DUMMYFUNCTION("""COMPUTED_VALUE"""),"TECNICO")</f>
        <v>TECNICO</v>
      </c>
      <c r="L335" t="str">
        <f>IFERROR(__xludf.DUMMYFUNCTION("""COMPUTED_VALUE"""),"NO")</f>
        <v>NO</v>
      </c>
      <c r="M335">
        <f>IFERROR(__xludf.DUMMYFUNCTION("""COMPUTED_VALUE"""),0.0)</f>
        <v>0</v>
      </c>
      <c r="N335" t="str">
        <f>IFERROR(__xludf.DUMMYFUNCTION("""COMPUTED_VALUE"""),"EXTERNO")</f>
        <v>EXTERNO</v>
      </c>
      <c r="O335">
        <f>IFERROR(__xludf.DUMMYFUNCTION("""COMPUTED_VALUE"""),2.0)</f>
        <v>2</v>
      </c>
      <c r="P335">
        <f>IFERROR(__xludf.DUMMYFUNCTION("""COMPUTED_VALUE"""),1.0)</f>
        <v>1</v>
      </c>
      <c r="Q335">
        <f>IFERROR(__xludf.DUMMYFUNCTION("""COMPUTED_VALUE"""),1.0)</f>
        <v>1</v>
      </c>
      <c r="R335" s="45" t="str">
        <f>IFERROR(__xludf.DUMMYFUNCTION("""COMPUTED_VALUE"""),"SELECCIONADO")</f>
        <v>SELECCIONADO</v>
      </c>
      <c r="S335" s="38">
        <f>IFERROR(__xludf.DUMMYFUNCTION("""COMPUTED_VALUE"""),43080.0)</f>
        <v>43080</v>
      </c>
      <c r="U335" t="str">
        <f>IFERROR(__xludf.DUMMYFUNCTION("""COMPUTED_VALUE"""),"AGUSTÍN FARIAS ORELLANA")</f>
        <v>AGUSTÍN FARIAS ORELLANA</v>
      </c>
      <c r="V335" t="str">
        <f>IFERROR(__xludf.DUMMYFUNCTION("""COMPUTED_VALUE"""),"16747770-4")</f>
        <v>16747770-4</v>
      </c>
      <c r="W335" t="str">
        <f>IFERROR(__xludf.DUMMYFUNCTION("""COMPUTED_VALUE"""),"SI")</f>
        <v>SI</v>
      </c>
      <c r="X335" t="str">
        <f>IFERROR(__xludf.DUMMYFUNCTION("""COMPUTED_VALUE"""),"Capacidad de Planificacion y Organizacion")</f>
        <v>Capacidad de Planificacion y Organizacion</v>
      </c>
      <c r="Y335" t="str">
        <f>IFERROR(__xludf.DUMMYFUNCTION("""COMPUTED_VALUE"""),"Iniciativa")</f>
        <v>Iniciativa</v>
      </c>
      <c r="AA335" s="38">
        <f>IFERROR(__xludf.DUMMYFUNCTION("""COMPUTED_VALUE"""),43024.0)</f>
        <v>43024</v>
      </c>
      <c r="AB335" s="38">
        <f>IFERROR(__xludf.DUMMYFUNCTION("""COMPUTED_VALUE"""),43039.0)</f>
        <v>43039</v>
      </c>
      <c r="AH335" t="str">
        <f>IFERROR(__xludf.DUMMYFUNCTION("""COMPUTED_VALUE"""),"PROCESO DE SELECCIÓN")</f>
        <v>PROCESO DE SELECCIÓN</v>
      </c>
      <c r="AK335" t="str">
        <f>IFERROR(__xludf.DUMMYFUNCTION("""COMPUTED_VALUE"""),"E")</f>
        <v>E</v>
      </c>
      <c r="AL335">
        <f>IFERROR(__xludf.DUMMYFUNCTION("""COMPUTED_VALUE"""),30.0)</f>
        <v>30</v>
      </c>
      <c r="AM335">
        <f>IFERROR(__xludf.DUMMYFUNCTION("""COMPUTED_VALUE"""),2017.0)</f>
        <v>2017</v>
      </c>
    </row>
    <row r="336">
      <c r="A336">
        <f>IFERROR(__xludf.DUMMYFUNCTION("""COMPUTED_VALUE"""),1.6447409E7)</f>
        <v>16447409</v>
      </c>
      <c r="B336">
        <f>IFERROR(__xludf.DUMMYFUNCTION("""COMPUTED_VALUE"""),112.0)</f>
        <v>112</v>
      </c>
      <c r="D336" t="str">
        <f>IFERROR(__xludf.DUMMYFUNCTION("""COMPUTED_VALUE"""),"INGRESAR CENTRO DE COSTO A LA DERECHA")</f>
        <v>INGRESAR CENTRO DE COSTO A LA DERECHA</v>
      </c>
      <c r="E336" t="str">
        <f>IFERROR(__xludf.DUMMYFUNCTION("""COMPUTED_VALUE"""),"VR. DE INVEST. DESARR E INNOVACION")</f>
        <v>VR. DE INVEST. DESARR E INNOVACION</v>
      </c>
      <c r="F336" t="str">
        <f>IFERROR(__xludf.DUMMYFUNCTION("""COMPUTED_VALUE"""),"Jefe(a) de Área")</f>
        <v>Jefe(a) de Área</v>
      </c>
      <c r="G336" t="str">
        <f>IFERROR(__xludf.DUMMYFUNCTION("""COMPUTED_VALUE"""),"JEFE DE AREA")</f>
        <v>JEFE DE AREA</v>
      </c>
      <c r="H336">
        <f>IFERROR(__xludf.DUMMYFUNCTION("""COMPUTED_VALUE"""),8.0)</f>
        <v>8</v>
      </c>
      <c r="I336" t="str">
        <f>IFERROR(__xludf.DUMMYFUNCTION("""COMPUTED_VALUE"""),"Jornada Completa")</f>
        <v>Jornada Completa</v>
      </c>
      <c r="J336" t="str">
        <f>IFERROR(__xludf.DUMMYFUNCTION("""COMPUTED_VALUE"""),"A CONTRATA")</f>
        <v>A CONTRATA</v>
      </c>
      <c r="K336" t="str">
        <f>IFERROR(__xludf.DUMMYFUNCTION("""COMPUTED_VALUE"""),"PROFESIONAL")</f>
        <v>PROFESIONAL</v>
      </c>
      <c r="L336" t="str">
        <f>IFERROR(__xludf.DUMMYFUNCTION("""COMPUTED_VALUE"""),"INTERNO")</f>
        <v>INTERNO</v>
      </c>
      <c r="M336">
        <f>IFERROR(__xludf.DUMMYFUNCTION("""COMPUTED_VALUE"""),7.0)</f>
        <v>7</v>
      </c>
      <c r="N336" t="str">
        <f>IFERROR(__xludf.DUMMYFUNCTION("""COMPUTED_VALUE"""),"NO")</f>
        <v>NO</v>
      </c>
      <c r="P336">
        <f>IFERROR(__xludf.DUMMYFUNCTION("""COMPUTED_VALUE"""),1.0)</f>
        <v>1</v>
      </c>
      <c r="Q336">
        <f>IFERROR(__xludf.DUMMYFUNCTION("""COMPUTED_VALUE"""),0.0)</f>
        <v>0</v>
      </c>
      <c r="R336" s="45" t="str">
        <f>IFERROR(__xludf.DUMMYFUNCTION("""COMPUTED_VALUE"""),"SELECCIONADA")</f>
        <v>SELECCIONADA</v>
      </c>
      <c r="S336" s="38">
        <f>IFERROR(__xludf.DUMMYFUNCTION("""COMPUTED_VALUE"""),43052.0)</f>
        <v>43052</v>
      </c>
      <c r="T336" t="str">
        <f>IFERROR(__xludf.DUMMYFUNCTION("""COMPUTED_VALUE"""),"CARRASCO GARRIDO MACARENA BEATRIZ")</f>
        <v>CARRASCO GARRIDO MACARENA BEATRIZ</v>
      </c>
      <c r="V336" t="str">
        <f>IFERROR(__xludf.DUMMYFUNCTION("""COMPUTED_VALUE"""),"16447409-7")</f>
        <v>16447409-7</v>
      </c>
      <c r="W336" t="str">
        <f>IFERROR(__xludf.DUMMYFUNCTION("""COMPUTED_VALUE"""),"SI")</f>
        <v>SI</v>
      </c>
      <c r="X336" t="str">
        <f>IFERROR(__xludf.DUMMYFUNCTION("""COMPUTED_VALUE"""),"Capacidad de Planificacion y Organizacion")</f>
        <v>Capacidad de Planificacion y Organizacion</v>
      </c>
      <c r="Y336" t="str">
        <f>IFERROR(__xludf.DUMMYFUNCTION("""COMPUTED_VALUE"""),"Liderazgo")</f>
        <v>Liderazgo</v>
      </c>
      <c r="Z336" t="str">
        <f>IFERROR(__xludf.DUMMYFUNCTION("""COMPUTED_VALUE"""),"Orientacion a los Resultados")</f>
        <v>Orientacion a los Resultados</v>
      </c>
      <c r="AA336" s="38">
        <f>IFERROR(__xludf.DUMMYFUNCTION("""COMPUTED_VALUE"""),42977.0)</f>
        <v>42977</v>
      </c>
      <c r="AB336" s="38">
        <f>IFERROR(__xludf.DUMMYFUNCTION("""COMPUTED_VALUE"""),42984.0)</f>
        <v>42984</v>
      </c>
      <c r="AC336">
        <f>IFERROR(__xludf.DUMMYFUNCTION("""COMPUTED_VALUE"""),10.0)</f>
        <v>10</v>
      </c>
      <c r="AD336" t="str">
        <f>IFERROR(__xludf.DUMMYFUNCTION("""COMPUTED_VALUE"""),"PROFESIONAL")</f>
        <v>PROFESIONAL</v>
      </c>
      <c r="AE336" t="str">
        <f>IFERROR(__xludf.DUMMYFUNCTION("""COMPUTED_VALUE"""),"ANALISTA DE GESTION")</f>
        <v>ANALISTA DE GESTION</v>
      </c>
      <c r="AF336" s="46" t="str">
        <f>IFERROR(__xludf.DUMMYFUNCTION("""COMPUTED_VALUE"""),"DPTO. DESARROLLO DE PERSONAS")</f>
        <v>DPTO. DESARROLLO DE PERSONAS</v>
      </c>
      <c r="AH336" t="str">
        <f>IFERROR(__xludf.DUMMYFUNCTION("""COMPUTED_VALUE"""),"PROCESO DE SELECCIÓN")</f>
        <v>PROCESO DE SELECCIÓN</v>
      </c>
      <c r="AK336" t="str">
        <f>IFERROR(__xludf.DUMMYFUNCTION("""COMPUTED_VALUE"""),"P")</f>
        <v>P</v>
      </c>
      <c r="AL336">
        <f>IFERROR(__xludf.DUMMYFUNCTION("""COMPUTED_VALUE"""),49.0)</f>
        <v>49</v>
      </c>
      <c r="AM336">
        <f>IFERROR(__xludf.DUMMYFUNCTION("""COMPUTED_VALUE"""),2017.0)</f>
        <v>2017</v>
      </c>
    </row>
    <row r="337">
      <c r="A337">
        <f>IFERROR(__xludf.DUMMYFUNCTION("""COMPUTED_VALUE"""),1.2870862E7)</f>
        <v>12870862</v>
      </c>
      <c r="B337">
        <f>IFERROR(__xludf.DUMMYFUNCTION("""COMPUTED_VALUE"""),113.0)</f>
        <v>113</v>
      </c>
      <c r="D337" t="str">
        <f>IFERROR(__xludf.DUMMYFUNCTION("""COMPUTED_VALUE"""),"INGRESAR CENTRO DE COSTO A LA DERECHA")</f>
        <v>INGRESAR CENTRO DE COSTO A LA DERECHA</v>
      </c>
      <c r="E337" t="str">
        <f>IFERROR(__xludf.DUMMYFUNCTION("""COMPUTED_VALUE"""),"FACULTAD DE CIENCIA")</f>
        <v>FACULTAD DE CIENCIA</v>
      </c>
      <c r="F337" t="str">
        <f>IFERROR(__xludf.DUMMYFUNCTION("""COMPUTED_VALUE"""),"Secretario(a) A")</f>
        <v>Secretario(a) A</v>
      </c>
      <c r="G337" t="str">
        <f>IFERROR(__xludf.DUMMYFUNCTION("""COMPUTED_VALUE"""),"SECRETARIO A")</f>
        <v>SECRETARIO A</v>
      </c>
      <c r="H337">
        <f>IFERROR(__xludf.DUMMYFUNCTION("""COMPUTED_VALUE"""),13.0)</f>
        <v>13</v>
      </c>
      <c r="I337" t="str">
        <f>IFERROR(__xludf.DUMMYFUNCTION("""COMPUTED_VALUE"""),"Jornada Completa")</f>
        <v>Jornada Completa</v>
      </c>
      <c r="J337" t="str">
        <f>IFERROR(__xludf.DUMMYFUNCTION("""COMPUTED_VALUE"""),"A CONTRATA")</f>
        <v>A CONTRATA</v>
      </c>
      <c r="K337" t="str">
        <f>IFERROR(__xludf.DUMMYFUNCTION("""COMPUTED_VALUE"""),"ADMINISTRATIVO")</f>
        <v>ADMINISTRATIVO</v>
      </c>
      <c r="L337" t="str">
        <f>IFERROR(__xludf.DUMMYFUNCTION("""COMPUTED_VALUE"""),"INTERNO")</f>
        <v>INTERNO</v>
      </c>
      <c r="M337">
        <f>IFERROR(__xludf.DUMMYFUNCTION("""COMPUTED_VALUE"""),3.0)</f>
        <v>3</v>
      </c>
      <c r="N337" t="str">
        <f>IFERROR(__xludf.DUMMYFUNCTION("""COMPUTED_VALUE"""),"EXTERNO")</f>
        <v>EXTERNO</v>
      </c>
      <c r="O337">
        <f>IFERROR(__xludf.DUMMYFUNCTION("""COMPUTED_VALUE"""),5.0)</f>
        <v>5</v>
      </c>
      <c r="P337">
        <f>IFERROR(__xludf.DUMMYFUNCTION("""COMPUTED_VALUE"""),5.0)</f>
        <v>5</v>
      </c>
      <c r="Q337">
        <f>IFERROR(__xludf.DUMMYFUNCTION("""COMPUTED_VALUE"""),2.0)</f>
        <v>2</v>
      </c>
      <c r="R337" s="45" t="str">
        <f>IFERROR(__xludf.DUMMYFUNCTION("""COMPUTED_VALUE"""),"SELECCIONADA")</f>
        <v>SELECCIONADA</v>
      </c>
      <c r="S337" s="38">
        <f>IFERROR(__xludf.DUMMYFUNCTION("""COMPUTED_VALUE"""),42954.0)</f>
        <v>42954</v>
      </c>
      <c r="T337" t="str">
        <f>IFERROR(__xludf.DUMMYFUNCTION("""COMPUTED_VALUE"""),"NUNEZ ROBLES PALOMA ISABEL")</f>
        <v>NUNEZ ROBLES PALOMA ISABEL</v>
      </c>
      <c r="V337" t="str">
        <f>IFERROR(__xludf.DUMMYFUNCTION("""COMPUTED_VALUE"""),"12870862-6")</f>
        <v>12870862-6</v>
      </c>
      <c r="W337" t="str">
        <f>IFERROR(__xludf.DUMMYFUNCTION("""COMPUTED_VALUE"""),"NO")</f>
        <v>NO</v>
      </c>
      <c r="AA337" s="38">
        <f>IFERROR(__xludf.DUMMYFUNCTION("""COMPUTED_VALUE"""),42900.0)</f>
        <v>42900</v>
      </c>
      <c r="AB337" s="38">
        <f>IFERROR(__xludf.DUMMYFUNCTION("""COMPUTED_VALUE"""),42907.0)</f>
        <v>42907</v>
      </c>
      <c r="AC337">
        <f>IFERROR(__xludf.DUMMYFUNCTION("""COMPUTED_VALUE"""),16.0)</f>
        <v>16</v>
      </c>
      <c r="AD337" t="str">
        <f>IFERROR(__xludf.DUMMYFUNCTION("""COMPUTED_VALUE"""),"ADMINISTRATIVO")</f>
        <v>ADMINISTRATIVO</v>
      </c>
      <c r="AE337" t="str">
        <f>IFERROR(__xludf.DUMMYFUNCTION("""COMPUTED_VALUE"""),"SECRETARIO DE FACULTAD")</f>
        <v>SECRETARIO DE FACULTAD</v>
      </c>
      <c r="AF337" s="46" t="str">
        <f>IFERROR(__xludf.DUMMYFUNCTION("""COMPUTED_VALUE"""),"FACULTAD DE CIENCIA")</f>
        <v>FACULTAD DE CIENCIA</v>
      </c>
      <c r="AH337" t="str">
        <f>IFERROR(__xludf.DUMMYFUNCTION("""COMPUTED_VALUE"""),"PROCESO DE SELECCIÓN")</f>
        <v>PROCESO DE SELECCIÓN</v>
      </c>
      <c r="AI337" t="str">
        <f>IFERROR(__xludf.DUMMYFUNCTION("""COMPUTED_VALUE"""),"ENRIQUETA UMAÑA HERRERA")</f>
        <v>ENRIQUETA UMAÑA HERRERA</v>
      </c>
      <c r="AL337">
        <f>IFERROR(__xludf.DUMMYFUNCTION("""COMPUTED_VALUE"""),34.0)</f>
        <v>34</v>
      </c>
      <c r="AM337">
        <f>IFERROR(__xludf.DUMMYFUNCTION("""COMPUTED_VALUE"""),2017.0)</f>
        <v>2017</v>
      </c>
    </row>
    <row r="338">
      <c r="A338">
        <f>IFERROR(__xludf.DUMMYFUNCTION("""COMPUTED_VALUE"""),1.1524154E7)</f>
        <v>11524154</v>
      </c>
      <c r="B338">
        <f>IFERROR(__xludf.DUMMYFUNCTION("""COMPUTED_VALUE"""),114.0)</f>
        <v>114</v>
      </c>
      <c r="D338" t="str">
        <f>IFERROR(__xludf.DUMMYFUNCTION("""COMPUTED_VALUE"""),"INGRESAR CENTRO DE COSTO A LA DERECHA")</f>
        <v>INGRESAR CENTRO DE COSTO A LA DERECHA</v>
      </c>
      <c r="E338" t="str">
        <f>IFERROR(__xludf.DUMMYFUNCTION("""COMPUTED_VALUE"""),"DPTO. DE TECNOLOGIAS INDUSTRIALES")</f>
        <v>DPTO. DE TECNOLOGIAS INDUSTRIALES</v>
      </c>
      <c r="F338" t="str">
        <f>IFERROR(__xludf.DUMMYFUNCTION("""COMPUTED_VALUE"""),"Secretario(a) B")</f>
        <v>Secretario(a) B</v>
      </c>
      <c r="G338" t="str">
        <f>IFERROR(__xludf.DUMMYFUNCTION("""COMPUTED_VALUE"""),"SECRETARIO B")</f>
        <v>SECRETARIO B</v>
      </c>
      <c r="H338">
        <f>IFERROR(__xludf.DUMMYFUNCTION("""COMPUTED_VALUE"""),17.0)</f>
        <v>17</v>
      </c>
      <c r="I338" t="str">
        <f>IFERROR(__xludf.DUMMYFUNCTION("""COMPUTED_VALUE"""),"Jornada Completa")</f>
        <v>Jornada Completa</v>
      </c>
      <c r="J338" t="str">
        <f>IFERROR(__xludf.DUMMYFUNCTION("""COMPUTED_VALUE"""),"A CONTRATA")</f>
        <v>A CONTRATA</v>
      </c>
      <c r="K338" t="str">
        <f>IFERROR(__xludf.DUMMYFUNCTION("""COMPUTED_VALUE"""),"ADMINISTRATIVO")</f>
        <v>ADMINISTRATIVO</v>
      </c>
      <c r="L338" t="str">
        <f>IFERROR(__xludf.DUMMYFUNCTION("""COMPUTED_VALUE"""),"INTERNO")</f>
        <v>INTERNO</v>
      </c>
      <c r="M338">
        <f>IFERROR(__xludf.DUMMYFUNCTION("""COMPUTED_VALUE"""),2.0)</f>
        <v>2</v>
      </c>
      <c r="N338" t="str">
        <f>IFERROR(__xludf.DUMMYFUNCTION("""COMPUTED_VALUE"""),"NO")</f>
        <v>NO</v>
      </c>
      <c r="P338">
        <f>IFERROR(__xludf.DUMMYFUNCTION("""COMPUTED_VALUE"""),2.0)</f>
        <v>2</v>
      </c>
      <c r="Q338">
        <f>IFERROR(__xludf.DUMMYFUNCTION("""COMPUTED_VALUE"""),0.0)</f>
        <v>0</v>
      </c>
      <c r="R338" s="45" t="str">
        <f>IFERROR(__xludf.DUMMYFUNCTION("""COMPUTED_VALUE"""),"SELECCIONADA")</f>
        <v>SELECCIONADA</v>
      </c>
      <c r="S338" s="38">
        <f>IFERROR(__xludf.DUMMYFUNCTION("""COMPUTED_VALUE"""),43222.0)</f>
        <v>43222</v>
      </c>
      <c r="T338" t="str">
        <f>IFERROR(__xludf.DUMMYFUNCTION("""COMPUTED_VALUE"""),"CEA MUENA MARIA PAMELA")</f>
        <v>CEA MUENA MARIA PAMELA</v>
      </c>
      <c r="V338" t="str">
        <f>IFERROR(__xludf.DUMMYFUNCTION("""COMPUTED_VALUE"""),"11524154-0")</f>
        <v>11524154-0</v>
      </c>
      <c r="W338" t="str">
        <f>IFERROR(__xludf.DUMMYFUNCTION("""COMPUTED_VALUE"""),"SI")</f>
        <v>SI</v>
      </c>
      <c r="X338" t="str">
        <f>IFERROR(__xludf.DUMMYFUNCTION("""COMPUTED_VALUE"""),"Iniciativa")</f>
        <v>Iniciativa</v>
      </c>
      <c r="AA338" s="38">
        <f>IFERROR(__xludf.DUMMYFUNCTION("""COMPUTED_VALUE"""),43111.0)</f>
        <v>43111</v>
      </c>
      <c r="AB338" s="38">
        <f>IFERROR(__xludf.DUMMYFUNCTION("""COMPUTED_VALUE"""),43118.0)</f>
        <v>43118</v>
      </c>
      <c r="AC338">
        <f>IFERROR(__xludf.DUMMYFUNCTION("""COMPUTED_VALUE"""),16.0)</f>
        <v>16</v>
      </c>
      <c r="AD338" t="str">
        <f>IFERROR(__xludf.DUMMYFUNCTION("""COMPUTED_VALUE"""),"ADMINISTRATIVO")</f>
        <v>ADMINISTRATIVO</v>
      </c>
      <c r="AE338" t="str">
        <f>IFERROR(__xludf.DUMMYFUNCTION("""COMPUTED_VALUE"""),"SECRETARIA DE DIRECCIÓN")</f>
        <v>SECRETARIA DE DIRECCIÓN</v>
      </c>
      <c r="AF338" s="46" t="str">
        <f>IFERROR(__xludf.DUMMYFUNCTION("""COMPUTED_VALUE"""),"DPTO. GESTION AGRARIA")</f>
        <v>DPTO. GESTION AGRARIA</v>
      </c>
      <c r="AH338" t="str">
        <f>IFERROR(__xludf.DUMMYFUNCTION("""COMPUTED_VALUE"""),"PROCESO DE SELECCIÓN")</f>
        <v>PROCESO DE SELECCIÓN</v>
      </c>
      <c r="AI338" t="str">
        <f>IFERROR(__xludf.DUMMYFUNCTION("""COMPUTED_VALUE"""),"SANDRA ROSAS")</f>
        <v>SANDRA ROSAS</v>
      </c>
      <c r="AK338" t="str">
        <f>IFERROR(__xludf.DUMMYFUNCTION("""COMPUTED_VALUE"""),"C")</f>
        <v>C</v>
      </c>
      <c r="AL338">
        <f>IFERROR(__xludf.DUMMYFUNCTION("""COMPUTED_VALUE"""),75.0)</f>
        <v>75</v>
      </c>
      <c r="AM338">
        <f>IFERROR(__xludf.DUMMYFUNCTION("""COMPUTED_VALUE"""),2017.0)</f>
        <v>2017</v>
      </c>
    </row>
    <row r="339">
      <c r="A339">
        <f>IFERROR(__xludf.DUMMYFUNCTION("""COMPUTED_VALUE"""),1.3297941E7)</f>
        <v>13297941</v>
      </c>
      <c r="B339">
        <f>IFERROR(__xludf.DUMMYFUNCTION("""COMPUTED_VALUE"""),115.0)</f>
        <v>115</v>
      </c>
      <c r="D339" t="str">
        <f>IFERROR(__xludf.DUMMYFUNCTION("""COMPUTED_VALUE"""),"INGRESAR CENTRO DE COSTO A LA DERECHA")</f>
        <v>INGRESAR CENTRO DE COSTO A LA DERECHA</v>
      </c>
      <c r="E339" t="str">
        <f>IFERROR(__xludf.DUMMYFUNCTION("""COMPUTED_VALUE"""),"VR. DE POSTGRADO")</f>
        <v>VR. DE POSTGRADO</v>
      </c>
      <c r="F339" t="str">
        <f>IFERROR(__xludf.DUMMYFUNCTION("""COMPUTED_VALUE"""),"Mayordomo(a)")</f>
        <v>Mayordomo(a)</v>
      </c>
      <c r="G339" t="str">
        <f>IFERROR(__xludf.DUMMYFUNCTION("""COMPUTED_VALUE"""),"MAYORDOMO")</f>
        <v>MAYORDOMO</v>
      </c>
      <c r="H339">
        <f>IFERROR(__xludf.DUMMYFUNCTION("""COMPUTED_VALUE"""),21.0)</f>
        <v>21</v>
      </c>
      <c r="I339" t="str">
        <f>IFERROR(__xludf.DUMMYFUNCTION("""COMPUTED_VALUE"""),"Jornada Completa")</f>
        <v>Jornada Completa</v>
      </c>
      <c r="J339" t="str">
        <f>IFERROR(__xludf.DUMMYFUNCTION("""COMPUTED_VALUE"""),"A CONTRATA")</f>
        <v>A CONTRATA</v>
      </c>
      <c r="K339" t="str">
        <f>IFERROR(__xludf.DUMMYFUNCTION("""COMPUTED_VALUE"""),"AUXILIAR")</f>
        <v>AUXILIAR</v>
      </c>
      <c r="L339" t="str">
        <f>IFERROR(__xludf.DUMMYFUNCTION("""COMPUTED_VALUE"""),"INTERNO")</f>
        <v>INTERNO</v>
      </c>
      <c r="M339">
        <f>IFERROR(__xludf.DUMMYFUNCTION("""COMPUTED_VALUE"""),0.0)</f>
        <v>0</v>
      </c>
      <c r="N339" t="str">
        <f>IFERROR(__xludf.DUMMYFUNCTION("""COMPUTED_VALUE"""),"EXTERNO")</f>
        <v>EXTERNO</v>
      </c>
      <c r="O339">
        <f>IFERROR(__xludf.DUMMYFUNCTION("""COMPUTED_VALUE"""),8.0)</f>
        <v>8</v>
      </c>
      <c r="P339">
        <f>IFERROR(__xludf.DUMMYFUNCTION("""COMPUTED_VALUE"""),1.0)</f>
        <v>1</v>
      </c>
      <c r="Q339">
        <f>IFERROR(__xludf.DUMMYFUNCTION("""COMPUTED_VALUE"""),0.0)</f>
        <v>0</v>
      </c>
      <c r="R339" s="45" t="str">
        <f>IFERROR(__xludf.DUMMYFUNCTION("""COMPUTED_VALUE"""),"SELECCIONADO")</f>
        <v>SELECCIONADO</v>
      </c>
      <c r="S339" s="38">
        <f>IFERROR(__xludf.DUMMYFUNCTION("""COMPUTED_VALUE"""),43164.0)</f>
        <v>43164</v>
      </c>
      <c r="U339" t="str">
        <f>IFERROR(__xludf.DUMMYFUNCTION("""COMPUTED_VALUE"""),"LUIS CONTRERAS GONZÁLEZ")</f>
        <v>LUIS CONTRERAS GONZÁLEZ</v>
      </c>
      <c r="V339" t="str">
        <f>IFERROR(__xludf.DUMMYFUNCTION("""COMPUTED_VALUE"""),"13297941-3")</f>
        <v>13297941-3</v>
      </c>
      <c r="W339" t="str">
        <f>IFERROR(__xludf.DUMMYFUNCTION("""COMPUTED_VALUE"""),"NO")</f>
        <v>NO</v>
      </c>
      <c r="AA339" s="38">
        <f>IFERROR(__xludf.DUMMYFUNCTION("""COMPUTED_VALUE"""),43039.0)</f>
        <v>43039</v>
      </c>
      <c r="AB339" s="38">
        <f>IFERROR(__xludf.DUMMYFUNCTION("""COMPUTED_VALUE"""),43046.0)</f>
        <v>43046</v>
      </c>
      <c r="AH339" t="str">
        <f>IFERROR(__xludf.DUMMYFUNCTION("""COMPUTED_VALUE"""),"PROCESO DE SELECCIÓN")</f>
        <v>PROCESO DE SELECCIÓN</v>
      </c>
      <c r="AI339" t="str">
        <f>IFERROR(__xludf.DUMMYFUNCTION("""COMPUTED_VALUE"""),"JUAN MORENO HUICHAPANE")</f>
        <v>JUAN MORENO HUICHAPANE</v>
      </c>
      <c r="AK339" t="str">
        <f>IFERROR(__xludf.DUMMYFUNCTION("""COMPUTED_VALUE"""),"E")</f>
        <v>E</v>
      </c>
      <c r="AL339">
        <f>IFERROR(__xludf.DUMMYFUNCTION("""COMPUTED_VALUE"""),85.0)</f>
        <v>85</v>
      </c>
      <c r="AM339">
        <f>IFERROR(__xludf.DUMMYFUNCTION("""COMPUTED_VALUE"""),2017.0)</f>
        <v>2017</v>
      </c>
    </row>
    <row r="340">
      <c r="A340">
        <f>IFERROR(__xludf.DUMMYFUNCTION("""COMPUTED_VALUE"""),1.2490135E7)</f>
        <v>12490135</v>
      </c>
      <c r="B340">
        <f>IFERROR(__xludf.DUMMYFUNCTION("""COMPUTED_VALUE"""),116.0)</f>
        <v>116</v>
      </c>
      <c r="D340" t="str">
        <f>IFERROR(__xludf.DUMMYFUNCTION("""COMPUTED_VALUE"""),"INGRESAR CENTRO DE COSTO A LA DERECHA")</f>
        <v>INGRESAR CENTRO DE COSTO A LA DERECHA</v>
      </c>
      <c r="E340" t="str">
        <f>IFERROR(__xludf.DUMMYFUNCTION("""COMPUTED_VALUE"""),"VR. ACADEMICA")</f>
        <v>VR. ACADEMICA</v>
      </c>
      <c r="F340" t="str">
        <f>IFERROR(__xludf.DUMMYFUNCTION("""COMPUTED_VALUE"""),"Jefe(a) de Administración y Finanzas")</f>
        <v>Jefe(a) de Administración y Finanzas</v>
      </c>
      <c r="G340" t="str">
        <f>IFERROR(__xludf.DUMMYFUNCTION("""COMPUTED_VALUE"""),"JEFE DE ADMINISTRACIÓN Y FINANZAS")</f>
        <v>JEFE DE ADMINISTRACIÓN Y FINANZAS</v>
      </c>
      <c r="H340">
        <f>IFERROR(__xludf.DUMMYFUNCTION("""COMPUTED_VALUE"""),10.0)</f>
        <v>10</v>
      </c>
      <c r="I340" t="str">
        <f>IFERROR(__xludf.DUMMYFUNCTION("""COMPUTED_VALUE"""),"Jornada Completa")</f>
        <v>Jornada Completa</v>
      </c>
      <c r="J340" t="str">
        <f>IFERROR(__xludf.DUMMYFUNCTION("""COMPUTED_VALUE"""),"A CONTRATA")</f>
        <v>A CONTRATA</v>
      </c>
      <c r="K340" t="str">
        <f>IFERROR(__xludf.DUMMYFUNCTION("""COMPUTED_VALUE"""),"PROFESIONAL")</f>
        <v>PROFESIONAL</v>
      </c>
      <c r="L340" t="str">
        <f>IFERROR(__xludf.DUMMYFUNCTION("""COMPUTED_VALUE"""),"INTERNO")</f>
        <v>INTERNO</v>
      </c>
      <c r="M340">
        <f>IFERROR(__xludf.DUMMYFUNCTION("""COMPUTED_VALUE"""),12.0)</f>
        <v>12</v>
      </c>
      <c r="N340" t="str">
        <f>IFERROR(__xludf.DUMMYFUNCTION("""COMPUTED_VALUE"""),"NO")</f>
        <v>NO</v>
      </c>
      <c r="P340">
        <f>IFERROR(__xludf.DUMMYFUNCTION("""COMPUTED_VALUE"""),3.0)</f>
        <v>3</v>
      </c>
      <c r="Q340">
        <f>IFERROR(__xludf.DUMMYFUNCTION("""COMPUTED_VALUE"""),0.0)</f>
        <v>0</v>
      </c>
      <c r="R340" s="45" t="str">
        <f>IFERROR(__xludf.DUMMYFUNCTION("""COMPUTED_VALUE"""),"SELECCIONADO")</f>
        <v>SELECCIONADO</v>
      </c>
      <c r="S340" s="38">
        <f>IFERROR(__xludf.DUMMYFUNCTION("""COMPUTED_VALUE"""),43164.0)</f>
        <v>43164</v>
      </c>
      <c r="T340" t="str">
        <f>IFERROR(__xludf.DUMMYFUNCTION("""COMPUTED_VALUE"""),"PARDO GARRIDO ANDRES LEONARDO")</f>
        <v>PARDO GARRIDO ANDRES LEONARDO</v>
      </c>
      <c r="V340" t="str">
        <f>IFERROR(__xludf.DUMMYFUNCTION("""COMPUTED_VALUE"""),"12490135-9")</f>
        <v>12490135-9</v>
      </c>
      <c r="W340" t="str">
        <f>IFERROR(__xludf.DUMMYFUNCTION("""COMPUTED_VALUE"""),"SI")</f>
        <v>SI</v>
      </c>
      <c r="X340" t="str">
        <f>IFERROR(__xludf.DUMMYFUNCTION("""COMPUTED_VALUE"""),"Capacidad de Planificacion y Organizacion")</f>
        <v>Capacidad de Planificacion y Organizacion</v>
      </c>
      <c r="AA340" s="38">
        <f>IFERROR(__xludf.DUMMYFUNCTION("""COMPUTED_VALUE"""),43028.0)</f>
        <v>43028</v>
      </c>
      <c r="AB340" s="38">
        <f>IFERROR(__xludf.DUMMYFUNCTION("""COMPUTED_VALUE"""),43034.0)</f>
        <v>43034</v>
      </c>
      <c r="AC340">
        <f>IFERROR(__xludf.DUMMYFUNCTION("""COMPUTED_VALUE"""),14.0)</f>
        <v>14</v>
      </c>
      <c r="AD340" t="str">
        <f>IFERROR(__xludf.DUMMYFUNCTION("""COMPUTED_VALUE"""),"PROFESIONAL")</f>
        <v>PROFESIONAL</v>
      </c>
      <c r="AE340" t="str">
        <f>IFERROR(__xludf.DUMMYFUNCTION("""COMPUTED_VALUE"""),"ANALISTA GESTION ADMINISTRATIVA")</f>
        <v>ANALISTA GESTION ADMINISTRATIVA</v>
      </c>
      <c r="AF340" s="46" t="str">
        <f>IFERROR(__xludf.DUMMYFUNCTION("""COMPUTED_VALUE"""),"PROGRAMA BACHILLERATO")</f>
        <v>PROGRAMA BACHILLERATO</v>
      </c>
      <c r="AH340" t="str">
        <f>IFERROR(__xludf.DUMMYFUNCTION("""COMPUTED_VALUE"""),"PROCESO DE SELECCIÓN")</f>
        <v>PROCESO DE SELECCIÓN</v>
      </c>
      <c r="AI340" t="str">
        <f>IFERROR(__xludf.DUMMYFUNCTION("""COMPUTED_VALUE"""),"DANIEL CAMPOS RIELOFF")</f>
        <v>DANIEL CAMPOS RIELOFF</v>
      </c>
      <c r="AK340" t="str">
        <f>IFERROR(__xludf.DUMMYFUNCTION("""COMPUTED_VALUE"""),"C")</f>
        <v>C</v>
      </c>
      <c r="AL340">
        <f>IFERROR(__xludf.DUMMYFUNCTION("""COMPUTED_VALUE"""),93.0)</f>
        <v>93</v>
      </c>
      <c r="AM340">
        <f>IFERROR(__xludf.DUMMYFUNCTION("""COMPUTED_VALUE"""),2017.0)</f>
        <v>2017</v>
      </c>
    </row>
    <row r="341">
      <c r="A341">
        <f>IFERROR(__xludf.DUMMYFUNCTION("""COMPUTED_VALUE"""),1.6452017E7)</f>
        <v>16452017</v>
      </c>
      <c r="B341">
        <f>IFERROR(__xludf.DUMMYFUNCTION("""COMPUTED_VALUE"""),117.0)</f>
        <v>117</v>
      </c>
      <c r="D341" t="str">
        <f>IFERROR(__xludf.DUMMYFUNCTION("""COMPUTED_VALUE"""),"INGRESAR CENTRO DE COSTO A LA DERECHA")</f>
        <v>INGRESAR CENTRO DE COSTO A LA DERECHA</v>
      </c>
      <c r="E341" t="str">
        <f>IFERROR(__xludf.DUMMYFUNCTION("""COMPUTED_VALUE"""),"PROGRAMA BACHILLERATO")</f>
        <v>PROGRAMA BACHILLERATO</v>
      </c>
      <c r="F341" t="str">
        <f>IFERROR(__xludf.DUMMYFUNCTION("""COMPUTED_VALUE"""),"Analista de Gestión Administrativa")</f>
        <v>Analista de Gestión Administrativa</v>
      </c>
      <c r="G341" t="str">
        <f>IFERROR(__xludf.DUMMYFUNCTION("""COMPUTED_VALUE"""),"ANALISTA  DE GESTION ADMINISTRATIVA")</f>
        <v>ANALISTA  DE GESTION ADMINISTRATIVA</v>
      </c>
      <c r="H341">
        <f>IFERROR(__xludf.DUMMYFUNCTION("""COMPUTED_VALUE"""),14.0)</f>
        <v>14</v>
      </c>
      <c r="I341" t="str">
        <f>IFERROR(__xludf.DUMMYFUNCTION("""COMPUTED_VALUE"""),"Jornada Completa")</f>
        <v>Jornada Completa</v>
      </c>
      <c r="J341" t="str">
        <f>IFERROR(__xludf.DUMMYFUNCTION("""COMPUTED_VALUE"""),"A CONTRATA")</f>
        <v>A CONTRATA</v>
      </c>
      <c r="K341" t="str">
        <f>IFERROR(__xludf.DUMMYFUNCTION("""COMPUTED_VALUE"""),"PROFESIONAL")</f>
        <v>PROFESIONAL</v>
      </c>
      <c r="L341" t="str">
        <f>IFERROR(__xludf.DUMMYFUNCTION("""COMPUTED_VALUE"""),"INTERNO")</f>
        <v>INTERNO</v>
      </c>
      <c r="M341">
        <f>IFERROR(__xludf.DUMMYFUNCTION("""COMPUTED_VALUE"""),7.0)</f>
        <v>7</v>
      </c>
      <c r="N341" t="str">
        <f>IFERROR(__xludf.DUMMYFUNCTION("""COMPUTED_VALUE"""),"NO")</f>
        <v>NO</v>
      </c>
      <c r="Q341">
        <f>IFERROR(__xludf.DUMMYFUNCTION("""COMPUTED_VALUE"""),0.0)</f>
        <v>0</v>
      </c>
      <c r="R341" s="45" t="str">
        <f>IFERROR(__xludf.DUMMYFUNCTION("""COMPUTED_VALUE"""),"SELECCIONADA")</f>
        <v>SELECCIONADA</v>
      </c>
      <c r="S341" s="38">
        <f>IFERROR(__xludf.DUMMYFUNCTION("""COMPUTED_VALUE"""),43185.0)</f>
        <v>43185</v>
      </c>
      <c r="T341" t="str">
        <f>IFERROR(__xludf.DUMMYFUNCTION("""COMPUTED_VALUE"""),"MENA AMACHE YANELA MAKARENA")</f>
        <v>MENA AMACHE YANELA MAKARENA</v>
      </c>
      <c r="V341" t="str">
        <f>IFERROR(__xludf.DUMMYFUNCTION("""COMPUTED_VALUE"""),"16452017-K")</f>
        <v>16452017-K</v>
      </c>
      <c r="W341" t="str">
        <f>IFERROR(__xludf.DUMMYFUNCTION("""COMPUTED_VALUE"""),"SI")</f>
        <v>SI</v>
      </c>
      <c r="X341" t="str">
        <f>IFERROR(__xludf.DUMMYFUNCTION("""COMPUTED_VALUE"""),"Capacidad de Planificacion y Organizacion")</f>
        <v>Capacidad de Planificacion y Organizacion</v>
      </c>
      <c r="Y341" t="str">
        <f>IFERROR(__xludf.DUMMYFUNCTION("""COMPUTED_VALUE"""),"Iniciativa")</f>
        <v>Iniciativa</v>
      </c>
      <c r="AA341" s="38">
        <f>IFERROR(__xludf.DUMMYFUNCTION("""COMPUTED_VALUE"""),43111.0)</f>
        <v>43111</v>
      </c>
      <c r="AB341" s="38">
        <f>IFERROR(__xludf.DUMMYFUNCTION("""COMPUTED_VALUE"""),43118.0)</f>
        <v>43118</v>
      </c>
      <c r="AC341">
        <f>IFERROR(__xludf.DUMMYFUNCTION("""COMPUTED_VALUE"""),17.0)</f>
        <v>17</v>
      </c>
      <c r="AD341" t="str">
        <f>IFERROR(__xludf.DUMMYFUNCTION("""COMPUTED_VALUE"""),"ADMINISTRATIVO")</f>
        <v>ADMINISTRATIVO</v>
      </c>
      <c r="AE341" t="str">
        <f>IFERROR(__xludf.DUMMYFUNCTION("""COMPUTED_VALUE"""),"ADMINISTRATIVO DE RECURSOS HUMANOS")</f>
        <v>ADMINISTRATIVO DE RECURSOS HUMANOS</v>
      </c>
      <c r="AF341" s="46" t="str">
        <f>IFERROR(__xludf.DUMMYFUNCTION("""COMPUTED_VALUE"""),"DPTO. DE RECURSOS HUMANOS")</f>
        <v>DPTO. DE RECURSOS HUMANOS</v>
      </c>
      <c r="AH341" t="str">
        <f>IFERROR(__xludf.DUMMYFUNCTION("""COMPUTED_VALUE"""),"PROCESO DE SELECCIÓN")</f>
        <v>PROCESO DE SELECCIÓN</v>
      </c>
      <c r="AI341" t="str">
        <f>IFERROR(__xludf.DUMMYFUNCTION("""COMPUTED_VALUE"""),"ANDRES PARDO GARRIDO")</f>
        <v>ANDRES PARDO GARRIDO</v>
      </c>
      <c r="AK341" t="str">
        <f>IFERROR(__xludf.DUMMYFUNCTION("""COMPUTED_VALUE"""),"C")</f>
        <v>C</v>
      </c>
      <c r="AL341">
        <f>IFERROR(__xludf.DUMMYFUNCTION("""COMPUTED_VALUE"""),48.0)</f>
        <v>48</v>
      </c>
      <c r="AM341">
        <f>IFERROR(__xludf.DUMMYFUNCTION("""COMPUTED_VALUE"""),2017.0)</f>
        <v>2017</v>
      </c>
    </row>
    <row r="342">
      <c r="A342">
        <f>IFERROR(__xludf.DUMMYFUNCTION("""COMPUTED_VALUE"""),6992571.0)</f>
        <v>6992571</v>
      </c>
      <c r="B342">
        <f>IFERROR(__xludf.DUMMYFUNCTION("""COMPUTED_VALUE"""),118.0)</f>
        <v>118</v>
      </c>
      <c r="C342" t="str">
        <f>IFERROR(__xludf.DUMMYFUNCTION("""COMPUTED_VALUE"""),"A130.1")</f>
        <v>A130.1</v>
      </c>
      <c r="D342" t="str">
        <f>IFERROR(__xludf.DUMMYFUNCTION("""COMPUTED_VALUE"""),"INGRESAR CENTRO DE COSTO A LA DERECHA")</f>
        <v>INGRESAR CENTRO DE COSTO A LA DERECHA</v>
      </c>
      <c r="E342" t="str">
        <f>IFERROR(__xludf.DUMMYFUNCTION("""COMPUTED_VALUE"""),"VR. ACADEMICA")</f>
        <v>VR. ACADEMICA</v>
      </c>
      <c r="F342" t="str">
        <f>IFERROR(__xludf.DUMMYFUNCTION("""COMPUTED_VALUE"""),"Mayordomo(a)")</f>
        <v>Mayordomo(a)</v>
      </c>
      <c r="G342" t="str">
        <f>IFERROR(__xludf.DUMMYFUNCTION("""COMPUTED_VALUE"""),"MAYORDOMO")</f>
        <v>MAYORDOMO</v>
      </c>
      <c r="H342">
        <f>IFERROR(__xludf.DUMMYFUNCTION("""COMPUTED_VALUE"""),21.0)</f>
        <v>21</v>
      </c>
      <c r="I342" t="str">
        <f>IFERROR(__xludf.DUMMYFUNCTION("""COMPUTED_VALUE"""),"Jornada Completa")</f>
        <v>Jornada Completa</v>
      </c>
      <c r="J342" t="str">
        <f>IFERROR(__xludf.DUMMYFUNCTION("""COMPUTED_VALUE"""),"A CONTRATA")</f>
        <v>A CONTRATA</v>
      </c>
      <c r="K342" t="str">
        <f>IFERROR(__xludf.DUMMYFUNCTION("""COMPUTED_VALUE"""),"AUXILIAR")</f>
        <v>AUXILIAR</v>
      </c>
      <c r="L342" t="str">
        <f>IFERROR(__xludf.DUMMYFUNCTION("""COMPUTED_VALUE"""),"INTERNO")</f>
        <v>INTERNO</v>
      </c>
      <c r="M342">
        <f>IFERROR(__xludf.DUMMYFUNCTION("""COMPUTED_VALUE"""),0.0)</f>
        <v>0</v>
      </c>
      <c r="N342" t="str">
        <f>IFERROR(__xludf.DUMMYFUNCTION("""COMPUTED_VALUE"""),"EXTERNO")</f>
        <v>EXTERNO</v>
      </c>
      <c r="O342">
        <f>IFERROR(__xludf.DUMMYFUNCTION("""COMPUTED_VALUE"""),12.0)</f>
        <v>12</v>
      </c>
      <c r="P342">
        <f>IFERROR(__xludf.DUMMYFUNCTION("""COMPUTED_VALUE"""),2.0)</f>
        <v>2</v>
      </c>
      <c r="Q342">
        <f>IFERROR(__xludf.DUMMYFUNCTION("""COMPUTED_VALUE"""),1.0)</f>
        <v>1</v>
      </c>
      <c r="R342" s="45" t="str">
        <f>IFERROR(__xludf.DUMMYFUNCTION("""COMPUTED_VALUE"""),"SELECCIONADO")</f>
        <v>SELECCIONADO</v>
      </c>
      <c r="S342" s="38">
        <f>IFERROR(__xludf.DUMMYFUNCTION("""COMPUTED_VALUE"""),43080.0)</f>
        <v>43080</v>
      </c>
      <c r="U342" t="str">
        <f>IFERROR(__xludf.DUMMYFUNCTION("""COMPUTED_VALUE"""),"LUIS ARAYA LAGUNAS")</f>
        <v>LUIS ARAYA LAGUNAS</v>
      </c>
      <c r="V342" t="str">
        <f>IFERROR(__xludf.DUMMYFUNCTION("""COMPUTED_VALUE"""),"6992571-5")</f>
        <v>6992571-5</v>
      </c>
      <c r="W342" t="str">
        <f>IFERROR(__xludf.DUMMYFUNCTION("""COMPUTED_VALUE"""),"NO")</f>
        <v>NO</v>
      </c>
      <c r="AA342" s="38">
        <f>IFERROR(__xludf.DUMMYFUNCTION("""COMPUTED_VALUE"""),43025.0)</f>
        <v>43025</v>
      </c>
      <c r="AB342" s="38">
        <f>IFERROR(__xludf.DUMMYFUNCTION("""COMPUTED_VALUE"""),43032.0)</f>
        <v>43032</v>
      </c>
      <c r="AH342" t="str">
        <f>IFERROR(__xludf.DUMMYFUNCTION("""COMPUTED_VALUE"""),"PROCESO DE SELECCIÓN")</f>
        <v>PROCESO DE SELECCIÓN</v>
      </c>
      <c r="AI342" t="str">
        <f>IFERROR(__xludf.DUMMYFUNCTION("""COMPUTED_VALUE"""),"-")</f>
        <v>-</v>
      </c>
      <c r="AK342" t="str">
        <f>IFERROR(__xludf.DUMMYFUNCTION("""COMPUTED_VALUE"""),"E")</f>
        <v>E</v>
      </c>
      <c r="AL342">
        <f>IFERROR(__xludf.DUMMYFUNCTION("""COMPUTED_VALUE"""),35.0)</f>
        <v>35</v>
      </c>
      <c r="AM342">
        <f>IFERROR(__xludf.DUMMYFUNCTION("""COMPUTED_VALUE"""),2017.0)</f>
        <v>2017</v>
      </c>
    </row>
    <row r="343">
      <c r="A343">
        <f>IFERROR(__xludf.DUMMYFUNCTION("""COMPUTED_VALUE"""),1.4367085E7)</f>
        <v>14367085</v>
      </c>
      <c r="B343">
        <f>IFERROR(__xludf.DUMMYFUNCTION("""COMPUTED_VALUE"""),118.0)</f>
        <v>118</v>
      </c>
      <c r="D343" t="str">
        <f>IFERROR(__xludf.DUMMYFUNCTION("""COMPUTED_VALUE"""),"INGRESAR CENTRO DE COSTO A LA DERECHA")</f>
        <v>INGRESAR CENTRO DE COSTO A LA DERECHA</v>
      </c>
      <c r="E343" t="str">
        <f>IFERROR(__xludf.DUMMYFUNCTION("""COMPUTED_VALUE"""),"AFUSACH")</f>
        <v>AFUSACH</v>
      </c>
      <c r="F343" t="str">
        <f>IFERROR(__xludf.DUMMYFUNCTION("""COMPUTED_VALUE"""),"Secretario(a) C")</f>
        <v>Secretario(a) C</v>
      </c>
      <c r="G343" t="str">
        <f>IFERROR(__xludf.DUMMYFUNCTION("""COMPUTED_VALUE"""),"SECRETARIO C")</f>
        <v>SECRETARIO C</v>
      </c>
      <c r="H343">
        <f>IFERROR(__xludf.DUMMYFUNCTION("""COMPUTED_VALUE"""),20.0)</f>
        <v>20</v>
      </c>
      <c r="I343" t="str">
        <f>IFERROR(__xludf.DUMMYFUNCTION("""COMPUTED_VALUE"""),"Jornada Completa")</f>
        <v>Jornada Completa</v>
      </c>
      <c r="J343" t="str">
        <f>IFERROR(__xludf.DUMMYFUNCTION("""COMPUTED_VALUE"""),"A CONTRATA")</f>
        <v>A CONTRATA</v>
      </c>
      <c r="K343" t="str">
        <f>IFERROR(__xludf.DUMMYFUNCTION("""COMPUTED_VALUE"""),"ADMINISTRATIVO")</f>
        <v>ADMINISTRATIVO</v>
      </c>
      <c r="L343" t="str">
        <f>IFERROR(__xludf.DUMMYFUNCTION("""COMPUTED_VALUE"""),"INTERNO")</f>
        <v>INTERNO</v>
      </c>
      <c r="M343">
        <f>IFERROR(__xludf.DUMMYFUNCTION("""COMPUTED_VALUE"""),0.0)</f>
        <v>0</v>
      </c>
      <c r="N343" t="str">
        <f>IFERROR(__xludf.DUMMYFUNCTION("""COMPUTED_VALUE"""),"EXTERNO")</f>
        <v>EXTERNO</v>
      </c>
      <c r="O343">
        <f>IFERROR(__xludf.DUMMYFUNCTION("""COMPUTED_VALUE"""),14.0)</f>
        <v>14</v>
      </c>
      <c r="P343">
        <f>IFERROR(__xludf.DUMMYFUNCTION("""COMPUTED_VALUE"""),1.0)</f>
        <v>1</v>
      </c>
      <c r="Q343">
        <f>IFERROR(__xludf.DUMMYFUNCTION("""COMPUTED_VALUE"""),0.0)</f>
        <v>0</v>
      </c>
      <c r="R343" s="45" t="str">
        <f>IFERROR(__xludf.DUMMYFUNCTION("""COMPUTED_VALUE"""),"SELECCIONADA")</f>
        <v>SELECCIONADA</v>
      </c>
      <c r="S343" s="38">
        <f>IFERROR(__xludf.DUMMYFUNCTION("""COMPUTED_VALUE"""),43074.0)</f>
        <v>43074</v>
      </c>
      <c r="U343" t="str">
        <f>IFERROR(__xludf.DUMMYFUNCTION("""COMPUTED_VALUE"""),"ROSA TAPIA MUÑOZ")</f>
        <v>ROSA TAPIA MUÑOZ</v>
      </c>
      <c r="V343" t="str">
        <f>IFERROR(__xludf.DUMMYFUNCTION("""COMPUTED_VALUE"""),"14367085-6")</f>
        <v>14367085-6</v>
      </c>
      <c r="W343" t="str">
        <f>IFERROR(__xludf.DUMMYFUNCTION("""COMPUTED_VALUE"""),"SI")</f>
        <v>SI</v>
      </c>
      <c r="X343" t="str">
        <f>IFERROR(__xludf.DUMMYFUNCTION("""COMPUTED_VALUE"""),"Franqueza- Confiabilidad- Integridad")</f>
        <v>Franqueza- Confiabilidad- Integridad</v>
      </c>
      <c r="AA343" s="38">
        <f>IFERROR(__xludf.DUMMYFUNCTION("""COMPUTED_VALUE"""),43039.0)</f>
        <v>43039</v>
      </c>
      <c r="AB343" s="38">
        <f>IFERROR(__xludf.DUMMYFUNCTION("""COMPUTED_VALUE"""),43046.0)</f>
        <v>43046</v>
      </c>
      <c r="AH343" t="str">
        <f>IFERROR(__xludf.DUMMYFUNCTION("""COMPUTED_VALUE"""),"PROCESO DE SELECCIÓN")</f>
        <v>PROCESO DE SELECCIÓN</v>
      </c>
      <c r="AI343" t="str">
        <f>IFERROR(__xludf.DUMMYFUNCTION("""COMPUTED_VALUE"""),"SOLEDAD SAN MARTIN AZUA")</f>
        <v>SOLEDAD SAN MARTIN AZUA</v>
      </c>
      <c r="AK343" t="str">
        <f>IFERROR(__xludf.DUMMYFUNCTION("""COMPUTED_VALUE"""),"E")</f>
        <v>E</v>
      </c>
      <c r="AL343">
        <f>IFERROR(__xludf.DUMMYFUNCTION("""COMPUTED_VALUE"""),21.0)</f>
        <v>21</v>
      </c>
      <c r="AM343">
        <f>IFERROR(__xludf.DUMMYFUNCTION("""COMPUTED_VALUE"""),2017.0)</f>
        <v>2017</v>
      </c>
    </row>
    <row r="344">
      <c r="A344">
        <f>IFERROR(__xludf.DUMMYFUNCTION("""COMPUTED_VALUE"""),1.4156475E7)</f>
        <v>14156475</v>
      </c>
      <c r="B344">
        <f>IFERROR(__xludf.DUMMYFUNCTION("""COMPUTED_VALUE"""),1.0)</f>
        <v>1</v>
      </c>
      <c r="D344" t="str">
        <f>IFERROR(__xludf.DUMMYFUNCTION("""COMPUTED_VALUE"""),"INGRESAR CENTRO DE COSTO A LA DERECHA")</f>
        <v>INGRESAR CENTRO DE COSTO A LA DERECHA</v>
      </c>
      <c r="E344" t="str">
        <f>IFERROR(__xludf.DUMMYFUNCTION("""COMPUTED_VALUE"""),"DPTO. DE FINANZAS Y TESORERIA")</f>
        <v>DPTO. DE FINANZAS Y TESORERIA</v>
      </c>
      <c r="F344" t="str">
        <f>IFERROR(__xludf.DUMMYFUNCTION("""COMPUTED_VALUE"""),"Administrativo(a) Contable")</f>
        <v>Administrativo(a) Contable</v>
      </c>
      <c r="G344" t="str">
        <f>IFERROR(__xludf.DUMMYFUNCTION("""COMPUTED_VALUE"""),"ADMINISTRATIVO CONTABLE")</f>
        <v>ADMINISTRATIVO CONTABLE</v>
      </c>
      <c r="H344">
        <f>IFERROR(__xludf.DUMMYFUNCTION("""COMPUTED_VALUE"""),17.0)</f>
        <v>17</v>
      </c>
      <c r="I344" t="str">
        <f>IFERROR(__xludf.DUMMYFUNCTION("""COMPUTED_VALUE"""),"Jornada Completa")</f>
        <v>Jornada Completa</v>
      </c>
      <c r="J344" t="str">
        <f>IFERROR(__xludf.DUMMYFUNCTION("""COMPUTED_VALUE"""),"A CONTRATA")</f>
        <v>A CONTRATA</v>
      </c>
      <c r="K344" t="str">
        <f>IFERROR(__xludf.DUMMYFUNCTION("""COMPUTED_VALUE"""),"TECNICO")</f>
        <v>TECNICO</v>
      </c>
      <c r="L344" t="str">
        <f>IFERROR(__xludf.DUMMYFUNCTION("""COMPUTED_VALUE"""),"INTERNO")</f>
        <v>INTERNO</v>
      </c>
      <c r="M344">
        <f>IFERROR(__xludf.DUMMYFUNCTION("""COMPUTED_VALUE"""),1.0)</f>
        <v>1</v>
      </c>
      <c r="N344" t="str">
        <f>IFERROR(__xludf.DUMMYFUNCTION("""COMPUTED_VALUE"""),"EXTERNO")</f>
        <v>EXTERNO</v>
      </c>
      <c r="O344">
        <f>IFERROR(__xludf.DUMMYFUNCTION("""COMPUTED_VALUE"""),12.0)</f>
        <v>12</v>
      </c>
      <c r="P344">
        <f>IFERROR(__xludf.DUMMYFUNCTION("""COMPUTED_VALUE"""),1.0)</f>
        <v>1</v>
      </c>
      <c r="Q344">
        <f>IFERROR(__xludf.DUMMYFUNCTION("""COMPUTED_VALUE"""),2.0)</f>
        <v>2</v>
      </c>
      <c r="R344" s="45" t="str">
        <f>IFERROR(__xludf.DUMMYFUNCTION("""COMPUTED_VALUE"""),"SELECCIONADA")</f>
        <v>SELECCIONADA</v>
      </c>
      <c r="S344" s="38">
        <f>IFERROR(__xludf.DUMMYFUNCTION("""COMPUTED_VALUE"""),42471.0)</f>
        <v>42471</v>
      </c>
      <c r="U344" t="str">
        <f>IFERROR(__xludf.DUMMYFUNCTION("""COMPUTED_VALUE"""),"MARYORIE MEDINA GOMEZ")</f>
        <v>MARYORIE MEDINA GOMEZ</v>
      </c>
      <c r="V344" t="str">
        <f>IFERROR(__xludf.DUMMYFUNCTION("""COMPUTED_VALUE"""),"14156475-7")</f>
        <v>14156475-7</v>
      </c>
      <c r="W344" t="str">
        <f>IFERROR(__xludf.DUMMYFUNCTION("""COMPUTED_VALUE"""),"NO")</f>
        <v>NO</v>
      </c>
      <c r="AA344" s="38">
        <f>IFERROR(__xludf.DUMMYFUNCTION("""COMPUTED_VALUE"""),42431.0)</f>
        <v>42431</v>
      </c>
      <c r="AB344" s="38">
        <f>IFERROR(__xludf.DUMMYFUNCTION("""COMPUTED_VALUE"""),42438.0)</f>
        <v>42438</v>
      </c>
      <c r="AH344" t="str">
        <f>IFERROR(__xludf.DUMMYFUNCTION("""COMPUTED_VALUE"""),"PROCESO DE SELECCIÓN")</f>
        <v>PROCESO DE SELECCIÓN</v>
      </c>
      <c r="AI344" t="str">
        <f>IFERROR(__xludf.DUMMYFUNCTION("""COMPUTED_VALUE"""),"JORGE VEGA QUINTANILLA")</f>
        <v>JORGE VEGA QUINTANILLA</v>
      </c>
      <c r="AK344" t="str">
        <f>IFERROR(__xludf.DUMMYFUNCTION("""COMPUTED_VALUE"""),"P")</f>
        <v>P</v>
      </c>
      <c r="AL344">
        <f>IFERROR(__xludf.DUMMYFUNCTION("""COMPUTED_VALUE"""),24.0)</f>
        <v>24</v>
      </c>
      <c r="AM344">
        <f>IFERROR(__xludf.DUMMYFUNCTION("""COMPUTED_VALUE"""),2016.0)</f>
        <v>2016</v>
      </c>
    </row>
    <row r="345">
      <c r="A345">
        <f>IFERROR(__xludf.DUMMYFUNCTION("""COMPUTED_VALUE"""),1.5623289E7)</f>
        <v>15623289</v>
      </c>
      <c r="B345">
        <f>IFERROR(__xludf.DUMMYFUNCTION("""COMPUTED_VALUE"""),2.0)</f>
        <v>2</v>
      </c>
      <c r="D345" t="str">
        <f>IFERROR(__xludf.DUMMYFUNCTION("""COMPUTED_VALUE"""),"INGRESAR CENTRO DE COSTO A LA DERECHA")</f>
        <v>INGRESAR CENTRO DE COSTO A LA DERECHA</v>
      </c>
      <c r="E345" t="str">
        <f>IFERROR(__xludf.DUMMYFUNCTION("""COMPUTED_VALUE"""),"DPTO. DE INGENIERIA INFORMATICA")</f>
        <v>DPTO. DE INGENIERIA INFORMATICA</v>
      </c>
      <c r="F345" t="str">
        <f>IFERROR(__xludf.DUMMYFUNCTION("""COMPUTED_VALUE"""),"Administrador(a) de Sistemas")</f>
        <v>Administrador(a) de Sistemas</v>
      </c>
      <c r="G345" t="str">
        <f>IFERROR(__xludf.DUMMYFUNCTION("""COMPUTED_VALUE"""),"ADMINISTRADOR DE SISTEMAS")</f>
        <v>ADMINISTRADOR DE SISTEMAS</v>
      </c>
      <c r="H345">
        <f>IFERROR(__xludf.DUMMYFUNCTION("""COMPUTED_VALUE"""),11.0)</f>
        <v>11</v>
      </c>
      <c r="I345" t="str">
        <f>IFERROR(__xludf.DUMMYFUNCTION("""COMPUTED_VALUE"""),"Jornada Completa")</f>
        <v>Jornada Completa</v>
      </c>
      <c r="J345" t="str">
        <f>IFERROR(__xludf.DUMMYFUNCTION("""COMPUTED_VALUE"""),"A CONTRATA")</f>
        <v>A CONTRATA</v>
      </c>
      <c r="K345" t="str">
        <f>IFERROR(__xludf.DUMMYFUNCTION("""COMPUTED_VALUE"""),"PROFESIONAL")</f>
        <v>PROFESIONAL</v>
      </c>
      <c r="L345" t="str">
        <f>IFERROR(__xludf.DUMMYFUNCTION("""COMPUTED_VALUE"""),"INTERNO")</f>
        <v>INTERNO</v>
      </c>
      <c r="M345">
        <f>IFERROR(__xludf.DUMMYFUNCTION("""COMPUTED_VALUE"""),1.0)</f>
        <v>1</v>
      </c>
      <c r="N345" t="str">
        <f>IFERROR(__xludf.DUMMYFUNCTION("""COMPUTED_VALUE"""),"NO")</f>
        <v>NO</v>
      </c>
      <c r="P345">
        <f>IFERROR(__xludf.DUMMYFUNCTION("""COMPUTED_VALUE"""),1.0)</f>
        <v>1</v>
      </c>
      <c r="Q345">
        <f>IFERROR(__xludf.DUMMYFUNCTION("""COMPUTED_VALUE"""),0.0)</f>
        <v>0</v>
      </c>
      <c r="R345" s="45" t="str">
        <f>IFERROR(__xludf.DUMMYFUNCTION("""COMPUTED_VALUE"""),"SELECCIONADO")</f>
        <v>SELECCIONADO</v>
      </c>
      <c r="S345" s="38">
        <f>IFERROR(__xludf.DUMMYFUNCTION("""COMPUTED_VALUE"""),42496.0)</f>
        <v>42496</v>
      </c>
      <c r="T345" t="str">
        <f>IFERROR(__xludf.DUMMYFUNCTION("""COMPUTED_VALUE"""),"ITURBE ARAYA JUAN IGNACIO")</f>
        <v>ITURBE ARAYA JUAN IGNACIO</v>
      </c>
      <c r="V345" t="str">
        <f>IFERROR(__xludf.DUMMYFUNCTION("""COMPUTED_VALUE"""),"15623289-0")</f>
        <v>15623289-0</v>
      </c>
      <c r="W345" t="str">
        <f>IFERROR(__xludf.DUMMYFUNCTION("""COMPUTED_VALUE"""),"NO")</f>
        <v>NO</v>
      </c>
      <c r="AA345" s="38">
        <f>IFERROR(__xludf.DUMMYFUNCTION("""COMPUTED_VALUE"""),42485.0)</f>
        <v>42485</v>
      </c>
      <c r="AB345" s="38">
        <f>IFERROR(__xludf.DUMMYFUNCTION("""COMPUTED_VALUE"""),42487.0)</f>
        <v>42487</v>
      </c>
      <c r="AE345" t="str">
        <f>IFERROR(__xludf.DUMMYFUNCTION("""COMPUTED_VALUE"""),"PROF. HRS")</f>
        <v>PROF. HRS</v>
      </c>
      <c r="AH345" t="str">
        <f>IFERROR(__xludf.DUMMYFUNCTION("""COMPUTED_VALUE"""),"PROCESO DE SELECCIÓN")</f>
        <v>PROCESO DE SELECCIÓN</v>
      </c>
      <c r="AK345" t="str">
        <f>IFERROR(__xludf.DUMMYFUNCTION("""COMPUTED_VALUE"""),"P")</f>
        <v>P</v>
      </c>
      <c r="AL345">
        <f>IFERROR(__xludf.DUMMYFUNCTION("""COMPUTED_VALUE"""),43.0)</f>
        <v>43</v>
      </c>
      <c r="AM345">
        <f>IFERROR(__xludf.DUMMYFUNCTION("""COMPUTED_VALUE"""),2016.0)</f>
        <v>2016</v>
      </c>
    </row>
    <row r="346">
      <c r="A346">
        <f>IFERROR(__xludf.DUMMYFUNCTION("""COMPUTED_VALUE"""),1.0974588E7)</f>
        <v>10974588</v>
      </c>
      <c r="B346">
        <f>IFERROR(__xludf.DUMMYFUNCTION("""COMPUTED_VALUE"""),3.0)</f>
        <v>3</v>
      </c>
      <c r="D346" t="str">
        <f>IFERROR(__xludf.DUMMYFUNCTION("""COMPUTED_VALUE"""),"INGRESAR CENTRO DE COSTO A LA DERECHA")</f>
        <v>INGRESAR CENTRO DE COSTO A LA DERECHA</v>
      </c>
      <c r="E346" t="str">
        <f>IFERROR(__xludf.DUMMYFUNCTION("""COMPUTED_VALUE"""),"FACULTAD DE QUIMICA Y BIOLOGIA")</f>
        <v>FACULTAD DE QUIMICA Y BIOLOGIA</v>
      </c>
      <c r="F346" t="str">
        <f>IFERROR(__xludf.DUMMYFUNCTION("""COMPUTED_VALUE"""),"Administrador(a) de Sistemas")</f>
        <v>Administrador(a) de Sistemas</v>
      </c>
      <c r="G346" t="str">
        <f>IFERROR(__xludf.DUMMYFUNCTION("""COMPUTED_VALUE"""),"ADMINISTRADOR DE SISTEMAS")</f>
        <v>ADMINISTRADOR DE SISTEMAS</v>
      </c>
      <c r="H346">
        <f>IFERROR(__xludf.DUMMYFUNCTION("""COMPUTED_VALUE"""),11.0)</f>
        <v>11</v>
      </c>
      <c r="I346" t="str">
        <f>IFERROR(__xludf.DUMMYFUNCTION("""COMPUTED_VALUE"""),"Jornada Completa")</f>
        <v>Jornada Completa</v>
      </c>
      <c r="J346" t="str">
        <f>IFERROR(__xludf.DUMMYFUNCTION("""COMPUTED_VALUE"""),"A CONTRATA")</f>
        <v>A CONTRATA</v>
      </c>
      <c r="K346" t="str">
        <f>IFERROR(__xludf.DUMMYFUNCTION("""COMPUTED_VALUE"""),"PROFESIONAL")</f>
        <v>PROFESIONAL</v>
      </c>
      <c r="L346" t="str">
        <f>IFERROR(__xludf.DUMMYFUNCTION("""COMPUTED_VALUE"""),"INTERNO")</f>
        <v>INTERNO</v>
      </c>
      <c r="M346">
        <f>IFERROR(__xludf.DUMMYFUNCTION("""COMPUTED_VALUE"""),2.0)</f>
        <v>2</v>
      </c>
      <c r="N346" t="str">
        <f>IFERROR(__xludf.DUMMYFUNCTION("""COMPUTED_VALUE"""),"NO")</f>
        <v>NO</v>
      </c>
      <c r="O346">
        <f>IFERROR(__xludf.DUMMYFUNCTION("""COMPUTED_VALUE"""),0.0)</f>
        <v>0</v>
      </c>
      <c r="P346">
        <f>IFERROR(__xludf.DUMMYFUNCTION("""COMPUTED_VALUE"""),1.0)</f>
        <v>1</v>
      </c>
      <c r="Q346">
        <f>IFERROR(__xludf.DUMMYFUNCTION("""COMPUTED_VALUE"""),0.0)</f>
        <v>0</v>
      </c>
      <c r="R346" s="45" t="str">
        <f>IFERROR(__xludf.DUMMYFUNCTION("""COMPUTED_VALUE"""),"SELECCIONADO")</f>
        <v>SELECCIONADO</v>
      </c>
      <c r="S346" s="38">
        <f>IFERROR(__xludf.DUMMYFUNCTION("""COMPUTED_VALUE"""),42492.0)</f>
        <v>42492</v>
      </c>
      <c r="T346" t="str">
        <f>IFERROR(__xludf.DUMMYFUNCTION("""COMPUTED_VALUE"""),"CASTRO SOTO ROBERTO MAURICIO")</f>
        <v>CASTRO SOTO ROBERTO MAURICIO</v>
      </c>
      <c r="V346" t="str">
        <f>IFERROR(__xludf.DUMMYFUNCTION("""COMPUTED_VALUE"""),"10974588-K")</f>
        <v>10974588-K</v>
      </c>
      <c r="W346" t="str">
        <f>IFERROR(__xludf.DUMMYFUNCTION("""COMPUTED_VALUE"""),"NO")</f>
        <v>NO</v>
      </c>
      <c r="AA346" s="38">
        <f>IFERROR(__xludf.DUMMYFUNCTION("""COMPUTED_VALUE"""),42436.0)</f>
        <v>42436</v>
      </c>
      <c r="AB346" s="38">
        <f>IFERROR(__xludf.DUMMYFUNCTION("""COMPUTED_VALUE"""),42439.0)</f>
        <v>42439</v>
      </c>
      <c r="AC346">
        <f>IFERROR(__xludf.DUMMYFUNCTION("""COMPUTED_VALUE"""),18.0)</f>
        <v>18</v>
      </c>
      <c r="AD346" t="str">
        <f>IFERROR(__xludf.DUMMYFUNCTION("""COMPUTED_VALUE"""),"TECNICO")</f>
        <v>TECNICO</v>
      </c>
      <c r="AE346" t="str">
        <f>IFERROR(__xludf.DUMMYFUNCTION("""COMPUTED_VALUE"""),"ENC. LABORATORIO")</f>
        <v>ENC. LABORATORIO</v>
      </c>
      <c r="AF346" s="46" t="str">
        <f>IFERROR(__xludf.DUMMYFUNCTION("""COMPUTED_VALUE"""),"FACULTAD DE QUIMICA Y BIOLOGIA")</f>
        <v>FACULTAD DE QUIMICA Y BIOLOGIA</v>
      </c>
      <c r="AH346" t="str">
        <f>IFERROR(__xludf.DUMMYFUNCTION("""COMPUTED_VALUE"""),"PROCESO DE SELECCIÓN")</f>
        <v>PROCESO DE SELECCIÓN</v>
      </c>
      <c r="AI346" t="str">
        <f>IFERROR(__xludf.DUMMYFUNCTION("""COMPUTED_VALUE"""),"-")</f>
        <v>-</v>
      </c>
      <c r="AK346" t="str">
        <f>IFERROR(__xludf.DUMMYFUNCTION("""COMPUTED_VALUE"""),"P")</f>
        <v>P</v>
      </c>
      <c r="AL346">
        <f>IFERROR(__xludf.DUMMYFUNCTION("""COMPUTED_VALUE"""),38.0)</f>
        <v>38</v>
      </c>
      <c r="AM346">
        <f>IFERROR(__xludf.DUMMYFUNCTION("""COMPUTED_VALUE"""),2016.0)</f>
        <v>2016</v>
      </c>
    </row>
    <row r="347">
      <c r="A347">
        <f>IFERROR(__xludf.DUMMYFUNCTION("""COMPUTED_VALUE"""),1.2798257E7)</f>
        <v>12798257</v>
      </c>
      <c r="B347">
        <f>IFERROR(__xludf.DUMMYFUNCTION("""COMPUTED_VALUE"""),4.0)</f>
        <v>4</v>
      </c>
      <c r="D347" t="str">
        <f>IFERROR(__xludf.DUMMYFUNCTION("""COMPUTED_VALUE"""),"INGRESAR CENTRO DE COSTO A LA DERECHA")</f>
        <v>INGRESAR CENTRO DE COSTO A LA DERECHA</v>
      </c>
      <c r="E347" t="str">
        <f>IFERROR(__xludf.DUMMYFUNCTION("""COMPUTED_VALUE"""),"VR. ACADEMICA")</f>
        <v>VR. ACADEMICA</v>
      </c>
      <c r="F347" t="str">
        <f>IFERROR(__xludf.DUMMYFUNCTION("""COMPUTED_VALUE"""),"Analista Informático")</f>
        <v>Analista Informático</v>
      </c>
      <c r="G347" t="str">
        <f>IFERROR(__xludf.DUMMYFUNCTION("""COMPUTED_VALUE"""),"ANALISTA INFORMATICO")</f>
        <v>ANALISTA INFORMATICO</v>
      </c>
      <c r="H347">
        <f>IFERROR(__xludf.DUMMYFUNCTION("""COMPUTED_VALUE"""),11.0)</f>
        <v>11</v>
      </c>
      <c r="I347" t="str">
        <f>IFERROR(__xludf.DUMMYFUNCTION("""COMPUTED_VALUE"""),"Jornada Completa")</f>
        <v>Jornada Completa</v>
      </c>
      <c r="J347" t="str">
        <f>IFERROR(__xludf.DUMMYFUNCTION("""COMPUTED_VALUE"""),"A CONTRATA")</f>
        <v>A CONTRATA</v>
      </c>
      <c r="K347" t="str">
        <f>IFERROR(__xludf.DUMMYFUNCTION("""COMPUTED_VALUE"""),"PROFESIONAL")</f>
        <v>PROFESIONAL</v>
      </c>
      <c r="L347" t="str">
        <f>IFERROR(__xludf.DUMMYFUNCTION("""COMPUTED_VALUE"""),"NO")</f>
        <v>NO</v>
      </c>
      <c r="M347">
        <f>IFERROR(__xludf.DUMMYFUNCTION("""COMPUTED_VALUE"""),0.0)</f>
        <v>0</v>
      </c>
      <c r="N347" t="str">
        <f>IFERROR(__xludf.DUMMYFUNCTION("""COMPUTED_VALUE"""),"EXTERNO")</f>
        <v>EXTERNO</v>
      </c>
      <c r="O347">
        <f>IFERROR(__xludf.DUMMYFUNCTION("""COMPUTED_VALUE"""),7.0)</f>
        <v>7</v>
      </c>
      <c r="P347">
        <f>IFERROR(__xludf.DUMMYFUNCTION("""COMPUTED_VALUE"""),1.0)</f>
        <v>1</v>
      </c>
      <c r="Q347">
        <f>IFERROR(__xludf.DUMMYFUNCTION("""COMPUTED_VALUE"""),1.0)</f>
        <v>1</v>
      </c>
      <c r="R347" s="45" t="str">
        <f>IFERROR(__xludf.DUMMYFUNCTION("""COMPUTED_VALUE"""),"SELECCIONADO")</f>
        <v>SELECCIONADO</v>
      </c>
      <c r="S347" s="38">
        <f>IFERROR(__xludf.DUMMYFUNCTION("""COMPUTED_VALUE"""),42493.0)</f>
        <v>42493</v>
      </c>
      <c r="U347" t="str">
        <f>IFERROR(__xludf.DUMMYFUNCTION("""COMPUTED_VALUE"""),"EDISON CAPRILE PONS")</f>
        <v>EDISON CAPRILE PONS</v>
      </c>
      <c r="V347" t="str">
        <f>IFERROR(__xludf.DUMMYFUNCTION("""COMPUTED_VALUE"""),"12798257-0")</f>
        <v>12798257-0</v>
      </c>
      <c r="W347" t="str">
        <f>IFERROR(__xludf.DUMMYFUNCTION("""COMPUTED_VALUE"""),"NO")</f>
        <v>NO</v>
      </c>
      <c r="AA347" s="38">
        <f>IFERROR(__xludf.DUMMYFUNCTION("""COMPUTED_VALUE"""),42520.0)</f>
        <v>42520</v>
      </c>
      <c r="AB347" s="38">
        <f>IFERROR(__xludf.DUMMYFUNCTION("""COMPUTED_VALUE"""),42466.0)</f>
        <v>42466</v>
      </c>
      <c r="AH347" t="str">
        <f>IFERROR(__xludf.DUMMYFUNCTION("""COMPUTED_VALUE"""),"PROCESO DE SELECCIÓN")</f>
        <v>PROCESO DE SELECCIÓN</v>
      </c>
      <c r="AI347" t="str">
        <f>IFERROR(__xludf.DUMMYFUNCTION("""COMPUTED_VALUE"""),"-")</f>
        <v>-</v>
      </c>
      <c r="AK347" t="str">
        <f>IFERROR(__xludf.DUMMYFUNCTION("""COMPUTED_VALUE"""),"P")</f>
        <v>P</v>
      </c>
      <c r="AL347">
        <f>IFERROR(__xludf.DUMMYFUNCTION("""COMPUTED_VALUE"""),20.0)</f>
        <v>20</v>
      </c>
      <c r="AM347">
        <f>IFERROR(__xludf.DUMMYFUNCTION("""COMPUTED_VALUE"""),2016.0)</f>
        <v>2016</v>
      </c>
    </row>
    <row r="348">
      <c r="A348">
        <f>IFERROR(__xludf.DUMMYFUNCTION("""COMPUTED_VALUE"""),1.6141569E7)</f>
        <v>16141569</v>
      </c>
      <c r="B348">
        <f>IFERROR(__xludf.DUMMYFUNCTION("""COMPUTED_VALUE"""),5.0)</f>
        <v>5</v>
      </c>
      <c r="D348" t="str">
        <f>IFERROR(__xludf.DUMMYFUNCTION("""COMPUTED_VALUE"""),"INGRESAR CENTRO DE COSTO A LA DERECHA")</f>
        <v>INGRESAR CENTRO DE COSTO A LA DERECHA</v>
      </c>
      <c r="E348" t="str">
        <f>IFERROR(__xludf.DUMMYFUNCTION("""COMPUTED_VALUE"""),"UNIDAD DE BIBLIOTECAS")</f>
        <v>UNIDAD DE BIBLIOTECAS</v>
      </c>
      <c r="F348" t="str">
        <f>IFERROR(__xludf.DUMMYFUNCTION("""COMPUTED_VALUE"""),"Bibliotecario(a)")</f>
        <v>Bibliotecario(a)</v>
      </c>
      <c r="G348" t="str">
        <f>IFERROR(__xludf.DUMMYFUNCTION("""COMPUTED_VALUE"""),"BIBLIOTECARIO")</f>
        <v>BIBLIOTECARIO</v>
      </c>
      <c r="H348">
        <f>IFERROR(__xludf.DUMMYFUNCTION("""COMPUTED_VALUE"""),14.0)</f>
        <v>14</v>
      </c>
      <c r="I348" t="str">
        <f>IFERROR(__xludf.DUMMYFUNCTION("""COMPUTED_VALUE"""),"Jornada Completa")</f>
        <v>Jornada Completa</v>
      </c>
      <c r="J348" t="str">
        <f>IFERROR(__xludf.DUMMYFUNCTION("""COMPUTED_VALUE"""),"A CONTRATA")</f>
        <v>A CONTRATA</v>
      </c>
      <c r="K348" t="str">
        <f>IFERROR(__xludf.DUMMYFUNCTION("""COMPUTED_VALUE"""),"PROFESIONAL")</f>
        <v>PROFESIONAL</v>
      </c>
      <c r="L348" t="str">
        <f>IFERROR(__xludf.DUMMYFUNCTION("""COMPUTED_VALUE"""),"INTERNO")</f>
        <v>INTERNO</v>
      </c>
      <c r="M348">
        <f>IFERROR(__xludf.DUMMYFUNCTION("""COMPUTED_VALUE"""),1.0)</f>
        <v>1</v>
      </c>
      <c r="N348" t="str">
        <f>IFERROR(__xludf.DUMMYFUNCTION("""COMPUTED_VALUE"""),"NO")</f>
        <v>NO</v>
      </c>
      <c r="O348">
        <f>IFERROR(__xludf.DUMMYFUNCTION("""COMPUTED_VALUE"""),0.0)</f>
        <v>0</v>
      </c>
      <c r="P348">
        <f>IFERROR(__xludf.DUMMYFUNCTION("""COMPUTED_VALUE"""),1.0)</f>
        <v>1</v>
      </c>
      <c r="Q348">
        <f>IFERROR(__xludf.DUMMYFUNCTION("""COMPUTED_VALUE"""),0.0)</f>
        <v>0</v>
      </c>
      <c r="R348" s="45" t="str">
        <f>IFERROR(__xludf.DUMMYFUNCTION("""COMPUTED_VALUE"""),"SELECCIONADA")</f>
        <v>SELECCIONADA</v>
      </c>
      <c r="S348" s="38">
        <f>IFERROR(__xludf.DUMMYFUNCTION("""COMPUTED_VALUE"""),42485.0)</f>
        <v>42485</v>
      </c>
      <c r="T348" t="str">
        <f>IFERROR(__xludf.DUMMYFUNCTION("""COMPUTED_VALUE"""),"PICHIHUECHE VIERA PAULINA ANDREA")</f>
        <v>PICHIHUECHE VIERA PAULINA ANDREA</v>
      </c>
      <c r="V348" t="str">
        <f>IFERROR(__xludf.DUMMYFUNCTION("""COMPUTED_VALUE"""),"16141569-3")</f>
        <v>16141569-3</v>
      </c>
      <c r="W348" t="str">
        <f>IFERROR(__xludf.DUMMYFUNCTION("""COMPUTED_VALUE"""),"NO")</f>
        <v>NO</v>
      </c>
      <c r="AA348" s="38">
        <f>IFERROR(__xludf.DUMMYFUNCTION("""COMPUTED_VALUE"""),42433.0)</f>
        <v>42433</v>
      </c>
      <c r="AB348" s="38">
        <f>IFERROR(__xludf.DUMMYFUNCTION("""COMPUTED_VALUE"""),42436.0)</f>
        <v>42436</v>
      </c>
      <c r="AC348">
        <f>IFERROR(__xludf.DUMMYFUNCTION("""COMPUTED_VALUE"""),14.0)</f>
        <v>14</v>
      </c>
      <c r="AD348" t="str">
        <f>IFERROR(__xludf.DUMMYFUNCTION("""COMPUTED_VALUE"""),"PROFESIONAL")</f>
        <v>PROFESIONAL</v>
      </c>
      <c r="AE348" t="str">
        <f>IFERROR(__xludf.DUMMYFUNCTION("""COMPUTED_VALUE"""),"BIBLIOTECARIA")</f>
        <v>BIBLIOTECARIA</v>
      </c>
      <c r="AF348" s="46" t="str">
        <f>IFERROR(__xludf.DUMMYFUNCTION("""COMPUTED_VALUE"""),"DEPARTAMENTO DE INGENIERIA MECANICA")</f>
        <v>DEPARTAMENTO DE INGENIERIA MECANICA</v>
      </c>
      <c r="AH348" t="str">
        <f>IFERROR(__xludf.DUMMYFUNCTION("""COMPUTED_VALUE"""),"PROCESO DE SELECCIÓN")</f>
        <v>PROCESO DE SELECCIÓN</v>
      </c>
      <c r="AI348" t="str">
        <f>IFERROR(__xludf.DUMMYFUNCTION("""COMPUTED_VALUE"""),"-")</f>
        <v>-</v>
      </c>
      <c r="AK348" t="str">
        <f>IFERROR(__xludf.DUMMYFUNCTION("""COMPUTED_VALUE"""),"P")</f>
        <v>P</v>
      </c>
      <c r="AL348">
        <f>IFERROR(__xludf.DUMMYFUNCTION("""COMPUTED_VALUE"""),36.0)</f>
        <v>36</v>
      </c>
      <c r="AM348">
        <f>IFERROR(__xludf.DUMMYFUNCTION("""COMPUTED_VALUE"""),2016.0)</f>
        <v>2016</v>
      </c>
    </row>
    <row r="349">
      <c r="A349">
        <f>IFERROR(__xludf.DUMMYFUNCTION("""COMPUTED_VALUE"""),1.6696867E7)</f>
        <v>16696867</v>
      </c>
      <c r="B349">
        <f>IFERROR(__xludf.DUMMYFUNCTION("""COMPUTED_VALUE"""),6.0)</f>
        <v>6</v>
      </c>
      <c r="D349" t="str">
        <f>IFERROR(__xludf.DUMMYFUNCTION("""COMPUTED_VALUE"""),"INGRESAR CENTRO DE COSTO A LA DERECHA")</f>
        <v>INGRESAR CENTRO DE COSTO A LA DERECHA</v>
      </c>
      <c r="E349" t="str">
        <f>IFERROR(__xludf.DUMMYFUNCTION("""COMPUTED_VALUE"""),"FACULTAD DE QUIMICA Y BIOLOGIA")</f>
        <v>FACULTAD DE QUIMICA Y BIOLOGIA</v>
      </c>
      <c r="F349" t="str">
        <f>IFERROR(__xludf.DUMMYFUNCTION("""COMPUTED_VALUE"""),"Encargado(a) de Bodega, Bienes y Servicios")</f>
        <v>Encargado(a) de Bodega, Bienes y Servicios</v>
      </c>
      <c r="G349" t="str">
        <f>IFERROR(__xludf.DUMMYFUNCTION("""COMPUTED_VALUE"""),"ENCARGADO DE BODEGA")</f>
        <v>ENCARGADO DE BODEGA</v>
      </c>
      <c r="H349">
        <f>IFERROR(__xludf.DUMMYFUNCTION("""COMPUTED_VALUE"""),20.0)</f>
        <v>20</v>
      </c>
      <c r="I349" t="str">
        <f>IFERROR(__xludf.DUMMYFUNCTION("""COMPUTED_VALUE"""),"Jornada Completa")</f>
        <v>Jornada Completa</v>
      </c>
      <c r="J349" t="str">
        <f>IFERROR(__xludf.DUMMYFUNCTION("""COMPUTED_VALUE"""),"A CONTRATA")</f>
        <v>A CONTRATA</v>
      </c>
      <c r="K349" t="str">
        <f>IFERROR(__xludf.DUMMYFUNCTION("""COMPUTED_VALUE"""),"ADMINISTRATIVO")</f>
        <v>ADMINISTRATIVO</v>
      </c>
      <c r="L349" t="str">
        <f>IFERROR(__xludf.DUMMYFUNCTION("""COMPUTED_VALUE"""),"NO")</f>
        <v>NO</v>
      </c>
      <c r="M349">
        <f>IFERROR(__xludf.DUMMYFUNCTION("""COMPUTED_VALUE"""),0.0)</f>
        <v>0</v>
      </c>
      <c r="N349" t="str">
        <f>IFERROR(__xludf.DUMMYFUNCTION("""COMPUTED_VALUE"""),"EXTERNO")</f>
        <v>EXTERNO</v>
      </c>
      <c r="O349">
        <f>IFERROR(__xludf.DUMMYFUNCTION("""COMPUTED_VALUE"""),19.0)</f>
        <v>19</v>
      </c>
      <c r="P349">
        <f>IFERROR(__xludf.DUMMYFUNCTION("""COMPUTED_VALUE"""),2.0)</f>
        <v>2</v>
      </c>
      <c r="Q349">
        <f>IFERROR(__xludf.DUMMYFUNCTION("""COMPUTED_VALUE"""),3.0)</f>
        <v>3</v>
      </c>
      <c r="R349" s="45" t="str">
        <f>IFERROR(__xludf.DUMMYFUNCTION("""COMPUTED_VALUE"""),"SELECCIONADO")</f>
        <v>SELECCIONADO</v>
      </c>
      <c r="S349" s="38">
        <f>IFERROR(__xludf.DUMMYFUNCTION("""COMPUTED_VALUE"""),42472.0)</f>
        <v>42472</v>
      </c>
      <c r="U349" t="str">
        <f>IFERROR(__xludf.DUMMYFUNCTION("""COMPUTED_VALUE"""),"FRANCISCO MENARES BUSTAMANTE")</f>
        <v>FRANCISCO MENARES BUSTAMANTE</v>
      </c>
      <c r="V349" t="str">
        <f>IFERROR(__xludf.DUMMYFUNCTION("""COMPUTED_VALUE"""),"16696867-4")</f>
        <v>16696867-4</v>
      </c>
      <c r="W349" t="str">
        <f>IFERROR(__xludf.DUMMYFUNCTION("""COMPUTED_VALUE"""),"SI")</f>
        <v>SI</v>
      </c>
      <c r="X349" t="str">
        <f>IFERROR(__xludf.DUMMYFUNCTION("""COMPUTED_VALUE"""),"CONCIENCIA ORGANIZACIONAL")</f>
        <v>CONCIENCIA ORGANIZACIONAL</v>
      </c>
      <c r="Y349" t="str">
        <f>IFERROR(__xludf.DUMMYFUNCTION("""COMPUTED_VALUE"""),"INICIATIVA")</f>
        <v>INICIATIVA</v>
      </c>
      <c r="AA349" s="38">
        <f>IFERROR(__xludf.DUMMYFUNCTION("""COMPUTED_VALUE"""),42431.0)</f>
        <v>42431</v>
      </c>
      <c r="AB349" s="38">
        <f>IFERROR(__xludf.DUMMYFUNCTION("""COMPUTED_VALUE"""),42438.0)</f>
        <v>42438</v>
      </c>
      <c r="AH349" t="str">
        <f>IFERROR(__xludf.DUMMYFUNCTION("""COMPUTED_VALUE"""),"PROCESO DE SELECCIÓN")</f>
        <v>PROCESO DE SELECCIÓN</v>
      </c>
      <c r="AI349" t="str">
        <f>IFERROR(__xludf.DUMMYFUNCTION("""COMPUTED_VALUE"""),"JORGE REYES HERRERA")</f>
        <v>JORGE REYES HERRERA</v>
      </c>
      <c r="AK349" t="str">
        <f>IFERROR(__xludf.DUMMYFUNCTION("""COMPUTED_VALUE"""),"E")</f>
        <v>E</v>
      </c>
      <c r="AL349">
        <f>IFERROR(__xludf.DUMMYFUNCTION("""COMPUTED_VALUE"""),25.0)</f>
        <v>25</v>
      </c>
      <c r="AM349">
        <f>IFERROR(__xludf.DUMMYFUNCTION("""COMPUTED_VALUE"""),2016.0)</f>
        <v>2016</v>
      </c>
    </row>
    <row r="350">
      <c r="A350">
        <f>IFERROR(__xludf.DUMMYFUNCTION("""COMPUTED_VALUE"""),9127516.0)</f>
        <v>9127516</v>
      </c>
      <c r="B350">
        <f>IFERROR(__xludf.DUMMYFUNCTION("""COMPUTED_VALUE"""),7.0)</f>
        <v>7</v>
      </c>
      <c r="D350" t="str">
        <f>IFERROR(__xludf.DUMMYFUNCTION("""COMPUTED_VALUE"""),"INGRESAR CENTRO DE COSTO A LA DERECHA")</f>
        <v>INGRESAR CENTRO DE COSTO A LA DERECHA</v>
      </c>
      <c r="E350" t="str">
        <f>IFERROR(__xludf.DUMMYFUNCTION("""COMPUTED_VALUE"""),"DPTO. DE INGENIERIA EN MINAS")</f>
        <v>DPTO. DE INGENIERIA EN MINAS</v>
      </c>
      <c r="F350" t="str">
        <f>IFERROR(__xludf.DUMMYFUNCTION("""COMPUTED_VALUE"""),"Estafeta")</f>
        <v>Estafeta</v>
      </c>
      <c r="G350" t="str">
        <f>IFERROR(__xludf.DUMMYFUNCTION("""COMPUTED_VALUE"""),"ESTAFETA")</f>
        <v>ESTAFETA</v>
      </c>
      <c r="H350">
        <f>IFERROR(__xludf.DUMMYFUNCTION("""COMPUTED_VALUE"""),23.0)</f>
        <v>23</v>
      </c>
      <c r="I350" t="str">
        <f>IFERROR(__xludf.DUMMYFUNCTION("""COMPUTED_VALUE"""),"Jornada Completa")</f>
        <v>Jornada Completa</v>
      </c>
      <c r="J350" t="str">
        <f>IFERROR(__xludf.DUMMYFUNCTION("""COMPUTED_VALUE"""),"A CONTRATA")</f>
        <v>A CONTRATA</v>
      </c>
      <c r="K350" t="str">
        <f>IFERROR(__xludf.DUMMYFUNCTION("""COMPUTED_VALUE"""),"AUXILIAR")</f>
        <v>AUXILIAR</v>
      </c>
      <c r="L350" t="str">
        <f>IFERROR(__xludf.DUMMYFUNCTION("""COMPUTED_VALUE"""),"NO")</f>
        <v>NO</v>
      </c>
      <c r="M350">
        <f>IFERROR(__xludf.DUMMYFUNCTION("""COMPUTED_VALUE"""),0.0)</f>
        <v>0</v>
      </c>
      <c r="N350" t="str">
        <f>IFERROR(__xludf.DUMMYFUNCTION("""COMPUTED_VALUE"""),"EXTERNO")</f>
        <v>EXTERNO</v>
      </c>
      <c r="O350">
        <f>IFERROR(__xludf.DUMMYFUNCTION("""COMPUTED_VALUE"""),8.0)</f>
        <v>8</v>
      </c>
      <c r="P350">
        <f>IFERROR(__xludf.DUMMYFUNCTION("""COMPUTED_VALUE"""),3.0)</f>
        <v>3</v>
      </c>
      <c r="Q350">
        <f>IFERROR(__xludf.DUMMYFUNCTION("""COMPUTED_VALUE"""),0.0)</f>
        <v>0</v>
      </c>
      <c r="R350" s="45" t="str">
        <f>IFERROR(__xludf.DUMMYFUNCTION("""COMPUTED_VALUE"""),"SELECCIONADA")</f>
        <v>SELECCIONADA</v>
      </c>
      <c r="S350" s="38">
        <f>IFERROR(__xludf.DUMMYFUNCTION("""COMPUTED_VALUE"""),42492.0)</f>
        <v>42492</v>
      </c>
      <c r="U350" t="str">
        <f>IFERROR(__xludf.DUMMYFUNCTION("""COMPUTED_VALUE"""),"ALEJANDRA OPAZO MARTINEZ")</f>
        <v>ALEJANDRA OPAZO MARTINEZ</v>
      </c>
      <c r="V350" t="str">
        <f>IFERROR(__xludf.DUMMYFUNCTION("""COMPUTED_VALUE"""),"9127516-3")</f>
        <v>9127516-3</v>
      </c>
      <c r="W350" t="str">
        <f>IFERROR(__xludf.DUMMYFUNCTION("""COMPUTED_VALUE"""),"SI")</f>
        <v>SI</v>
      </c>
      <c r="X350" t="str">
        <f>IFERROR(__xludf.DUMMYFUNCTION("""COMPUTED_VALUE"""),"COMUNICACION")</f>
        <v>COMUNICACION</v>
      </c>
      <c r="AA350" s="38">
        <f>IFERROR(__xludf.DUMMYFUNCTION("""COMPUTED_VALUE"""),42453.0)</f>
        <v>42453</v>
      </c>
      <c r="AB350" s="38">
        <f>IFERROR(__xludf.DUMMYFUNCTION("""COMPUTED_VALUE"""),42460.0)</f>
        <v>42460</v>
      </c>
      <c r="AH350" t="str">
        <f>IFERROR(__xludf.DUMMYFUNCTION("""COMPUTED_VALUE"""),"PROCESO DE SELECCIÓN")</f>
        <v>PROCESO DE SELECCIÓN</v>
      </c>
      <c r="AI350" t="str">
        <f>IFERROR(__xludf.DUMMYFUNCTION("""COMPUTED_VALUE"""),"LUCIANO LEYTON SILVA")</f>
        <v>LUCIANO LEYTON SILVA</v>
      </c>
      <c r="AK350" t="str">
        <f>IFERROR(__xludf.DUMMYFUNCTION("""COMPUTED_VALUE"""),"E")</f>
        <v>E</v>
      </c>
      <c r="AL350">
        <f>IFERROR(__xludf.DUMMYFUNCTION("""COMPUTED_VALUE"""),23.0)</f>
        <v>23</v>
      </c>
      <c r="AM350">
        <f>IFERROR(__xludf.DUMMYFUNCTION("""COMPUTED_VALUE"""),2016.0)</f>
        <v>2016</v>
      </c>
    </row>
    <row r="351">
      <c r="A351">
        <f>IFERROR(__xludf.DUMMYFUNCTION("""COMPUTED_VALUE"""),1.3092635E7)</f>
        <v>13092635</v>
      </c>
      <c r="B351">
        <f>IFERROR(__xludf.DUMMYFUNCTION("""COMPUTED_VALUE"""),8.0)</f>
        <v>8</v>
      </c>
      <c r="D351" t="str">
        <f>IFERROR(__xludf.DUMMYFUNCTION("""COMPUTED_VALUE"""),"INGRESAR CENTRO DE COSTO A LA DERECHA")</f>
        <v>INGRESAR CENTRO DE COSTO A LA DERECHA</v>
      </c>
      <c r="E351" t="str">
        <f>IFERROR(__xludf.DUMMYFUNCTION("""COMPUTED_VALUE"""),"UNIDAD DE GESTION DEL CAMPUS")</f>
        <v>UNIDAD DE GESTION DEL CAMPUS</v>
      </c>
      <c r="F351" t="str">
        <f>IFERROR(__xludf.DUMMYFUNCTION("""COMPUTED_VALUE"""),"Secretario(a) C")</f>
        <v>Secretario(a) C</v>
      </c>
      <c r="G351" t="str">
        <f>IFERROR(__xludf.DUMMYFUNCTION("""COMPUTED_VALUE"""),"SECRETARIA ADMINISTRATIVA")</f>
        <v>SECRETARIA ADMINISTRATIVA</v>
      </c>
      <c r="H351">
        <f>IFERROR(__xludf.DUMMYFUNCTION("""COMPUTED_VALUE"""),20.0)</f>
        <v>20</v>
      </c>
      <c r="I351" t="str">
        <f>IFERROR(__xludf.DUMMYFUNCTION("""COMPUTED_VALUE"""),"Jornada Completa")</f>
        <v>Jornada Completa</v>
      </c>
      <c r="J351" t="str">
        <f>IFERROR(__xludf.DUMMYFUNCTION("""COMPUTED_VALUE"""),"A CONTRATA")</f>
        <v>A CONTRATA</v>
      </c>
      <c r="K351" t="str">
        <f>IFERROR(__xludf.DUMMYFUNCTION("""COMPUTED_VALUE"""),"ADMINISTRATIVO")</f>
        <v>ADMINISTRATIVO</v>
      </c>
      <c r="L351" t="str">
        <f>IFERROR(__xludf.DUMMYFUNCTION("""COMPUTED_VALUE"""),"NO")</f>
        <v>NO</v>
      </c>
      <c r="M351">
        <f>IFERROR(__xludf.DUMMYFUNCTION("""COMPUTED_VALUE"""),0.0)</f>
        <v>0</v>
      </c>
      <c r="N351" t="str">
        <f>IFERROR(__xludf.DUMMYFUNCTION("""COMPUTED_VALUE"""),"EXTERNO")</f>
        <v>EXTERNO</v>
      </c>
      <c r="O351">
        <f>IFERROR(__xludf.DUMMYFUNCTION("""COMPUTED_VALUE"""),3.0)</f>
        <v>3</v>
      </c>
      <c r="P351">
        <f>IFERROR(__xludf.DUMMYFUNCTION("""COMPUTED_VALUE"""),3.0)</f>
        <v>3</v>
      </c>
      <c r="Q351">
        <f>IFERROR(__xludf.DUMMYFUNCTION("""COMPUTED_VALUE"""),1.0)</f>
        <v>1</v>
      </c>
      <c r="R351" s="45" t="str">
        <f>IFERROR(__xludf.DUMMYFUNCTION("""COMPUTED_VALUE"""),"SELECCIONADA")</f>
        <v>SELECCIONADA</v>
      </c>
      <c r="S351" s="38">
        <f>IFERROR(__xludf.DUMMYFUNCTION("""COMPUTED_VALUE"""),42467.0)</f>
        <v>42467</v>
      </c>
      <c r="U351" t="str">
        <f>IFERROR(__xludf.DUMMYFUNCTION("""COMPUTED_VALUE"""),"SOLEDAD SAN MARTIN AZUA")</f>
        <v>SOLEDAD SAN MARTIN AZUA</v>
      </c>
      <c r="V351" t="str">
        <f>IFERROR(__xludf.DUMMYFUNCTION("""COMPUTED_VALUE"""),"13092635-5")</f>
        <v>13092635-5</v>
      </c>
      <c r="W351" t="str">
        <f>IFERROR(__xludf.DUMMYFUNCTION("""COMPUTED_VALUE"""),"NO")</f>
        <v>NO</v>
      </c>
      <c r="AA351" s="38">
        <f>IFERROR(__xludf.DUMMYFUNCTION("""COMPUTED_VALUE"""),42431.0)</f>
        <v>42431</v>
      </c>
      <c r="AB351" s="38">
        <f>IFERROR(__xludf.DUMMYFUNCTION("""COMPUTED_VALUE"""),42438.0)</f>
        <v>42438</v>
      </c>
      <c r="AH351" t="str">
        <f>IFERROR(__xludf.DUMMYFUNCTION("""COMPUTED_VALUE"""),"PROCESO DE SELECCIÓN")</f>
        <v>PROCESO DE SELECCIÓN</v>
      </c>
      <c r="AI351" t="str">
        <f>IFERROR(__xludf.DUMMYFUNCTION("""COMPUTED_VALUE"""),"MILENA GOMEZ")</f>
        <v>MILENA GOMEZ</v>
      </c>
      <c r="AK351" t="str">
        <f>IFERROR(__xludf.DUMMYFUNCTION("""COMPUTED_VALUE"""),"E")</f>
        <v>E</v>
      </c>
      <c r="AL351">
        <f>IFERROR(__xludf.DUMMYFUNCTION("""COMPUTED_VALUE"""),22.0)</f>
        <v>22</v>
      </c>
      <c r="AM351">
        <f>IFERROR(__xludf.DUMMYFUNCTION("""COMPUTED_VALUE"""),2016.0)</f>
        <v>2016</v>
      </c>
    </row>
    <row r="352">
      <c r="A352">
        <f>IFERROR(__xludf.DUMMYFUNCTION("""COMPUTED_VALUE"""),7411329.0)</f>
        <v>7411329</v>
      </c>
      <c r="B352">
        <f>IFERROR(__xludf.DUMMYFUNCTION("""COMPUTED_VALUE"""),9.0)</f>
        <v>9</v>
      </c>
      <c r="D352" t="str">
        <f>IFERROR(__xludf.DUMMYFUNCTION("""COMPUTED_VALUE"""),"INGRESAR CENTRO DE COSTO A LA DERECHA")</f>
        <v>INGRESAR CENTRO DE COSTO A LA DERECHA</v>
      </c>
      <c r="E352" t="str">
        <f>IFERROR(__xludf.DUMMYFUNCTION("""COMPUTED_VALUE"""),"DPTO. DE CIENCIA Y TEC.DE LOS ALIM")</f>
        <v>DPTO. DE CIENCIA Y TEC.DE LOS ALIM</v>
      </c>
      <c r="F352" t="str">
        <f>IFERROR(__xludf.DUMMYFUNCTION("""COMPUTED_VALUE"""),"Secretario(a) de Apoyo Docente")</f>
        <v>Secretario(a) de Apoyo Docente</v>
      </c>
      <c r="G352" t="str">
        <f>IFERROR(__xludf.DUMMYFUNCTION("""COMPUTED_VALUE"""),"SECRETARIA DE APOYO DOCENTE")</f>
        <v>SECRETARIA DE APOYO DOCENTE</v>
      </c>
      <c r="H352">
        <f>IFERROR(__xludf.DUMMYFUNCTION("""COMPUTED_VALUE"""),17.0)</f>
        <v>17</v>
      </c>
      <c r="I352" t="str">
        <f>IFERROR(__xludf.DUMMYFUNCTION("""COMPUTED_VALUE"""),"Jornada Completa")</f>
        <v>Jornada Completa</v>
      </c>
      <c r="J352" t="str">
        <f>IFERROR(__xludf.DUMMYFUNCTION("""COMPUTED_VALUE"""),"A CONTRATA")</f>
        <v>A CONTRATA</v>
      </c>
      <c r="K352" t="str">
        <f>IFERROR(__xludf.DUMMYFUNCTION("""COMPUTED_VALUE"""),"ADMINISTRATIVO")</f>
        <v>ADMINISTRATIVO</v>
      </c>
      <c r="L352" t="str">
        <f>IFERROR(__xludf.DUMMYFUNCTION("""COMPUTED_VALUE"""),"INTERNO")</f>
        <v>INTERNO</v>
      </c>
      <c r="M352">
        <f>IFERROR(__xludf.DUMMYFUNCTION("""COMPUTED_VALUE"""),2.0)</f>
        <v>2</v>
      </c>
      <c r="N352" t="str">
        <f>IFERROR(__xludf.DUMMYFUNCTION("""COMPUTED_VALUE"""),"NO")</f>
        <v>NO</v>
      </c>
      <c r="O352">
        <f>IFERROR(__xludf.DUMMYFUNCTION("""COMPUTED_VALUE"""),0.0)</f>
        <v>0</v>
      </c>
      <c r="P352">
        <f>IFERROR(__xludf.DUMMYFUNCTION("""COMPUTED_VALUE"""),1.0)</f>
        <v>1</v>
      </c>
      <c r="Q352">
        <f>IFERROR(__xludf.DUMMYFUNCTION("""COMPUTED_VALUE"""),0.0)</f>
        <v>0</v>
      </c>
      <c r="R352" s="45" t="str">
        <f>IFERROR(__xludf.DUMMYFUNCTION("""COMPUTED_VALUE"""),"SELECCIONADA")</f>
        <v>SELECCIONADA</v>
      </c>
      <c r="S352" s="38">
        <f>IFERROR(__xludf.DUMMYFUNCTION("""COMPUTED_VALUE"""),42468.0)</f>
        <v>42468</v>
      </c>
      <c r="T352" t="str">
        <f>IFERROR(__xludf.DUMMYFUNCTION("""COMPUTED_VALUE"""),"ONATE CONTRERAS CLAUDIA ANDREA")</f>
        <v>ONATE CONTRERAS CLAUDIA ANDREA</v>
      </c>
      <c r="V352" t="str">
        <f>IFERROR(__xludf.DUMMYFUNCTION("""COMPUTED_VALUE"""),"7411329-K")</f>
        <v>7411329-K</v>
      </c>
      <c r="W352" t="str">
        <f>IFERROR(__xludf.DUMMYFUNCTION("""COMPUTED_VALUE"""),"NO")</f>
        <v>NO</v>
      </c>
      <c r="AA352" s="38">
        <f>IFERROR(__xludf.DUMMYFUNCTION("""COMPUTED_VALUE"""),42430.0)</f>
        <v>42430</v>
      </c>
      <c r="AB352" s="38">
        <f>IFERROR(__xludf.DUMMYFUNCTION("""COMPUTED_VALUE"""),42432.0)</f>
        <v>42432</v>
      </c>
      <c r="AC352">
        <f>IFERROR(__xludf.DUMMYFUNCTION("""COMPUTED_VALUE"""),20.0)</f>
        <v>20</v>
      </c>
      <c r="AD352" t="str">
        <f>IFERROR(__xludf.DUMMYFUNCTION("""COMPUTED_VALUE"""),"ADMINISTRATIVO")</f>
        <v>ADMINISTRATIVO</v>
      </c>
      <c r="AE352" t="str">
        <f>IFERROR(__xludf.DUMMYFUNCTION("""COMPUTED_VALUE"""),"ASISTENTE BIBLIOTECA")</f>
        <v>ASISTENTE BIBLIOTECA</v>
      </c>
      <c r="AF352" s="46" t="str">
        <f>IFERROR(__xludf.DUMMYFUNCTION("""COMPUTED_VALUE"""),"FACULTAD DE CIENCIAS MEDICAS")</f>
        <v>FACULTAD DE CIENCIAS MEDICAS</v>
      </c>
      <c r="AH352" t="str">
        <f>IFERROR(__xludf.DUMMYFUNCTION("""COMPUTED_VALUE"""),"PROCESO DE SELECCIÓN")</f>
        <v>PROCESO DE SELECCIÓN</v>
      </c>
      <c r="AI352" t="str">
        <f>IFERROR(__xludf.DUMMYFUNCTION("""COMPUTED_VALUE"""),"ANA ROJAS MAÑALICH")</f>
        <v>ANA ROJAS MAÑALICH</v>
      </c>
      <c r="AK352" t="str">
        <f>IFERROR(__xludf.DUMMYFUNCTION("""COMPUTED_VALUE"""),"C")</f>
        <v>C</v>
      </c>
      <c r="AL352">
        <f>IFERROR(__xludf.DUMMYFUNCTION("""COMPUTED_VALUE"""),27.0)</f>
        <v>27</v>
      </c>
      <c r="AM352">
        <f>IFERROR(__xludf.DUMMYFUNCTION("""COMPUTED_VALUE"""),2016.0)</f>
        <v>2016</v>
      </c>
    </row>
    <row r="353">
      <c r="A353">
        <f>IFERROR(__xludf.DUMMYFUNCTION("""COMPUTED_VALUE"""),1.3839647E7)</f>
        <v>13839647</v>
      </c>
      <c r="B353">
        <f>IFERROR(__xludf.DUMMYFUNCTION("""COMPUTED_VALUE"""),10.0)</f>
        <v>10</v>
      </c>
      <c r="D353" t="str">
        <f>IFERROR(__xludf.DUMMYFUNCTION("""COMPUTED_VALUE"""),"INGRESAR CENTRO DE COSTO A LA DERECHA")</f>
        <v>INGRESAR CENTRO DE COSTO A LA DERECHA</v>
      </c>
      <c r="E353" t="str">
        <f>IFERROR(__xludf.DUMMYFUNCTION("""COMPUTED_VALUE"""),"DPTO. DE INGENIERIA INFORMATICA")</f>
        <v>DPTO. DE INGENIERIA INFORMATICA</v>
      </c>
      <c r="F353" t="str">
        <f>IFERROR(__xludf.DUMMYFUNCTION("""COMPUTED_VALUE"""),"Secretario(a) de Apoyo Docente")</f>
        <v>Secretario(a) de Apoyo Docente</v>
      </c>
      <c r="G353" t="str">
        <f>IFERROR(__xludf.DUMMYFUNCTION("""COMPUTED_VALUE"""),"SECRETARIA DE APOYO DOCENTE")</f>
        <v>SECRETARIA DE APOYO DOCENTE</v>
      </c>
      <c r="H353">
        <f>IFERROR(__xludf.DUMMYFUNCTION("""COMPUTED_VALUE"""),17.0)</f>
        <v>17</v>
      </c>
      <c r="I353" t="str">
        <f>IFERROR(__xludf.DUMMYFUNCTION("""COMPUTED_VALUE"""),"Jornada Completa")</f>
        <v>Jornada Completa</v>
      </c>
      <c r="J353" t="str">
        <f>IFERROR(__xludf.DUMMYFUNCTION("""COMPUTED_VALUE"""),"A CONTRATA")</f>
        <v>A CONTRATA</v>
      </c>
      <c r="K353" t="str">
        <f>IFERROR(__xludf.DUMMYFUNCTION("""COMPUTED_VALUE"""),"ADMINISTRATIVO")</f>
        <v>ADMINISTRATIVO</v>
      </c>
      <c r="L353" t="str">
        <f>IFERROR(__xludf.DUMMYFUNCTION("""COMPUTED_VALUE"""),"INTERNO")</f>
        <v>INTERNO</v>
      </c>
      <c r="M353">
        <f>IFERROR(__xludf.DUMMYFUNCTION("""COMPUTED_VALUE"""),4.0)</f>
        <v>4</v>
      </c>
      <c r="N353" t="str">
        <f>IFERROR(__xludf.DUMMYFUNCTION("""COMPUTED_VALUE"""),"EXTERNO")</f>
        <v>EXTERNO</v>
      </c>
      <c r="O353">
        <f>IFERROR(__xludf.DUMMYFUNCTION("""COMPUTED_VALUE"""),9.0)</f>
        <v>9</v>
      </c>
      <c r="P353">
        <f>IFERROR(__xludf.DUMMYFUNCTION("""COMPUTED_VALUE"""),1.0)</f>
        <v>1</v>
      </c>
      <c r="Q353">
        <f>IFERROR(__xludf.DUMMYFUNCTION("""COMPUTED_VALUE"""),1.0)</f>
        <v>1</v>
      </c>
      <c r="R353" s="45" t="str">
        <f>IFERROR(__xludf.DUMMYFUNCTION("""COMPUTED_VALUE"""),"SELECCIONADA")</f>
        <v>SELECCIONADA</v>
      </c>
      <c r="S353" s="38">
        <f>IFERROR(__xludf.DUMMYFUNCTION("""COMPUTED_VALUE"""),42499.0)</f>
        <v>42499</v>
      </c>
      <c r="U353" t="str">
        <f>IFERROR(__xludf.DUMMYFUNCTION("""COMPUTED_VALUE"""),"GUACOLDA SILVA LUQUE")</f>
        <v>GUACOLDA SILVA LUQUE</v>
      </c>
      <c r="V353" t="str">
        <f>IFERROR(__xludf.DUMMYFUNCTION("""COMPUTED_VALUE"""),"13839647-9")</f>
        <v>13839647-9</v>
      </c>
      <c r="W353" t="str">
        <f>IFERROR(__xludf.DUMMYFUNCTION("""COMPUTED_VALUE"""),"NO")</f>
        <v>NO</v>
      </c>
      <c r="AA353" s="38">
        <f>IFERROR(__xludf.DUMMYFUNCTION("""COMPUTED_VALUE"""),42472.0)</f>
        <v>42472</v>
      </c>
      <c r="AB353" s="38">
        <f>IFERROR(__xludf.DUMMYFUNCTION("""COMPUTED_VALUE"""),42475.0)</f>
        <v>42475</v>
      </c>
      <c r="AH353" t="str">
        <f>IFERROR(__xludf.DUMMYFUNCTION("""COMPUTED_VALUE"""),"PROCESO DE SELECCIÓN")</f>
        <v>PROCESO DE SELECCIÓN</v>
      </c>
      <c r="AI353" t="str">
        <f>IFERROR(__xludf.DUMMYFUNCTION("""COMPUTED_VALUE"""),"-")</f>
        <v>-</v>
      </c>
      <c r="AK353" t="str">
        <f>IFERROR(__xludf.DUMMYFUNCTION("""COMPUTED_VALUE"""),"E")</f>
        <v>E</v>
      </c>
      <c r="AL353">
        <f>IFERROR(__xludf.DUMMYFUNCTION("""COMPUTED_VALUE"""),17.0)</f>
        <v>17</v>
      </c>
      <c r="AM353">
        <f>IFERROR(__xludf.DUMMYFUNCTION("""COMPUTED_VALUE"""),2016.0)</f>
        <v>2016</v>
      </c>
    </row>
    <row r="354">
      <c r="A354">
        <f>IFERROR(__xludf.DUMMYFUNCTION("""COMPUTED_VALUE"""),1.86719E7)</f>
        <v>18671900</v>
      </c>
      <c r="B354">
        <f>IFERROR(__xludf.DUMMYFUNCTION("""COMPUTED_VALUE"""),11.0)</f>
        <v>11</v>
      </c>
      <c r="D354" t="str">
        <f>IFERROR(__xludf.DUMMYFUNCTION("""COMPUTED_VALUE"""),"INGRESAR CENTRO DE COSTO A LA DERECHA")</f>
        <v>INGRESAR CENTRO DE COSTO A LA DERECHA</v>
      </c>
      <c r="E354" t="str">
        <f>IFERROR(__xludf.DUMMYFUNCTION("""COMPUTED_VALUE"""),"DPTO. DE DESARROLLO DE PERSONAS")</f>
        <v>DPTO. DE DESARROLLO DE PERSONAS</v>
      </c>
      <c r="F354" t="str">
        <f>IFERROR(__xludf.DUMMYFUNCTION("""COMPUTED_VALUE"""),"Administrativo(a) de Apoyo")</f>
        <v>Administrativo(a) de Apoyo</v>
      </c>
      <c r="G354" t="str">
        <f>IFERROR(__xludf.DUMMYFUNCTION("""COMPUTED_VALUE"""),"ADMINISTRATIVO DE APOYO")</f>
        <v>ADMINISTRATIVO DE APOYO</v>
      </c>
      <c r="H354">
        <f>IFERROR(__xludf.DUMMYFUNCTION("""COMPUTED_VALUE"""),20.0)</f>
        <v>20</v>
      </c>
      <c r="I354" t="str">
        <f>IFERROR(__xludf.DUMMYFUNCTION("""COMPUTED_VALUE"""),"Jornada Completa")</f>
        <v>Jornada Completa</v>
      </c>
      <c r="J354" t="str">
        <f>IFERROR(__xludf.DUMMYFUNCTION("""COMPUTED_VALUE"""),"A CONTRATA")</f>
        <v>A CONTRATA</v>
      </c>
      <c r="K354" t="str">
        <f>IFERROR(__xludf.DUMMYFUNCTION("""COMPUTED_VALUE"""),"ADMINISTRATIVO")</f>
        <v>ADMINISTRATIVO</v>
      </c>
      <c r="L354" t="str">
        <f>IFERROR(__xludf.DUMMYFUNCTION("""COMPUTED_VALUE"""),"NO")</f>
        <v>NO</v>
      </c>
      <c r="M354">
        <f>IFERROR(__xludf.DUMMYFUNCTION("""COMPUTED_VALUE"""),0.0)</f>
        <v>0</v>
      </c>
      <c r="N354" t="str">
        <f>IFERROR(__xludf.DUMMYFUNCTION("""COMPUTED_VALUE"""),"EXTERNO")</f>
        <v>EXTERNO</v>
      </c>
      <c r="O354">
        <f>IFERROR(__xludf.DUMMYFUNCTION("""COMPUTED_VALUE"""),3.0)</f>
        <v>3</v>
      </c>
      <c r="P354">
        <f>IFERROR(__xludf.DUMMYFUNCTION("""COMPUTED_VALUE"""),2.0)</f>
        <v>2</v>
      </c>
      <c r="Q354">
        <f>IFERROR(__xludf.DUMMYFUNCTION("""COMPUTED_VALUE"""),1.0)</f>
        <v>1</v>
      </c>
      <c r="R354" s="45" t="str">
        <f>IFERROR(__xludf.DUMMYFUNCTION("""COMPUTED_VALUE"""),"SELECCIONADA")</f>
        <v>SELECCIONADA</v>
      </c>
      <c r="S354" s="38">
        <f>IFERROR(__xludf.DUMMYFUNCTION("""COMPUTED_VALUE"""),42479.0)</f>
        <v>42479</v>
      </c>
      <c r="U354" t="str">
        <f>IFERROR(__xludf.DUMMYFUNCTION("""COMPUTED_VALUE"""),"TAMARA SALGADO CAYUL")</f>
        <v>TAMARA SALGADO CAYUL</v>
      </c>
      <c r="V354" t="str">
        <f>IFERROR(__xludf.DUMMYFUNCTION("""COMPUTED_VALUE"""),"18671900-K")</f>
        <v>18671900-K</v>
      </c>
      <c r="W354" t="str">
        <f>IFERROR(__xludf.DUMMYFUNCTION("""COMPUTED_VALUE"""),"NO")</f>
        <v>NO</v>
      </c>
      <c r="AA354" s="38">
        <f>IFERROR(__xludf.DUMMYFUNCTION("""COMPUTED_VALUE"""),42450.0)</f>
        <v>42450</v>
      </c>
      <c r="AB354" s="38">
        <f>IFERROR(__xludf.DUMMYFUNCTION("""COMPUTED_VALUE"""),42457.0)</f>
        <v>42457</v>
      </c>
      <c r="AH354" t="str">
        <f>IFERROR(__xludf.DUMMYFUNCTION("""COMPUTED_VALUE"""),"PROCESO DE SELECCIÓN")</f>
        <v>PROCESO DE SELECCIÓN</v>
      </c>
      <c r="AI354" t="str">
        <f>IFERROR(__xludf.DUMMYFUNCTION("""COMPUTED_VALUE"""),"CAROLINA FARAY FARAY")</f>
        <v>CAROLINA FARAY FARAY</v>
      </c>
      <c r="AK354" t="str">
        <f>IFERROR(__xludf.DUMMYFUNCTION("""COMPUTED_VALUE"""),"E")</f>
        <v>E</v>
      </c>
      <c r="AL354">
        <f>IFERROR(__xludf.DUMMYFUNCTION("""COMPUTED_VALUE"""),17.0)</f>
        <v>17</v>
      </c>
      <c r="AM354">
        <f>IFERROR(__xludf.DUMMYFUNCTION("""COMPUTED_VALUE"""),2016.0)</f>
        <v>2016</v>
      </c>
    </row>
    <row r="355">
      <c r="A355">
        <f>IFERROR(__xludf.DUMMYFUNCTION("""COMPUTED_VALUE"""),1.2005782E7)</f>
        <v>12005782</v>
      </c>
      <c r="B355">
        <f>IFERROR(__xludf.DUMMYFUNCTION("""COMPUTED_VALUE"""),12.0)</f>
        <v>12</v>
      </c>
      <c r="D355" t="str">
        <f>IFERROR(__xludf.DUMMYFUNCTION("""COMPUTED_VALUE"""),"INGRESAR CENTRO DE COSTO A LA DERECHA")</f>
        <v>INGRESAR CENTRO DE COSTO A LA DERECHA</v>
      </c>
      <c r="E355" t="str">
        <f>IFERROR(__xludf.DUMMYFUNCTION("""COMPUTED_VALUE"""),"UNIDAD DE ADM. SERV. ALIMENTARIOS")</f>
        <v>UNIDAD DE ADM. SERV. ALIMENTARIOS</v>
      </c>
      <c r="F355" t="str">
        <f>IFERROR(__xludf.DUMMYFUNCTION("""COMPUTED_VALUE"""),"Ayudante Maestro(a) de Cocina")</f>
        <v>Ayudante Maestro(a) de Cocina</v>
      </c>
      <c r="G355" t="str">
        <f>IFERROR(__xludf.DUMMYFUNCTION("""COMPUTED_VALUE"""),"AYUDANTE MAESTRO DE COCINA")</f>
        <v>AYUDANTE MAESTRO DE COCINA</v>
      </c>
      <c r="H355">
        <f>IFERROR(__xludf.DUMMYFUNCTION("""COMPUTED_VALUE"""),20.0)</f>
        <v>20</v>
      </c>
      <c r="I355" t="str">
        <f>IFERROR(__xludf.DUMMYFUNCTION("""COMPUTED_VALUE"""),"Jornada Completa")</f>
        <v>Jornada Completa</v>
      </c>
      <c r="J355" t="str">
        <f>IFERROR(__xludf.DUMMYFUNCTION("""COMPUTED_VALUE"""),"A CONTRATA")</f>
        <v>A CONTRATA</v>
      </c>
      <c r="K355" t="str">
        <f>IFERROR(__xludf.DUMMYFUNCTION("""COMPUTED_VALUE"""),"TECNICO")</f>
        <v>TECNICO</v>
      </c>
      <c r="L355" t="str">
        <f>IFERROR(__xludf.DUMMYFUNCTION("""COMPUTED_VALUE"""),"NO")</f>
        <v>NO</v>
      </c>
      <c r="M355">
        <f>IFERROR(__xludf.DUMMYFUNCTION("""COMPUTED_VALUE"""),0.0)</f>
        <v>0</v>
      </c>
      <c r="N355" t="str">
        <f>IFERROR(__xludf.DUMMYFUNCTION("""COMPUTED_VALUE"""),"EXTERNO")</f>
        <v>EXTERNO</v>
      </c>
      <c r="O355">
        <f>IFERROR(__xludf.DUMMYFUNCTION("""COMPUTED_VALUE"""),26.0)</f>
        <v>26</v>
      </c>
      <c r="P355">
        <f>IFERROR(__xludf.DUMMYFUNCTION("""COMPUTED_VALUE"""),3.0)</f>
        <v>3</v>
      </c>
      <c r="Q355">
        <f>IFERROR(__xludf.DUMMYFUNCTION("""COMPUTED_VALUE"""),4.0)</f>
        <v>4</v>
      </c>
      <c r="R355" s="45" t="str">
        <f>IFERROR(__xludf.DUMMYFUNCTION("""COMPUTED_VALUE"""),"SELECCIONADO")</f>
        <v>SELECCIONADO</v>
      </c>
      <c r="S355" s="38">
        <f>IFERROR(__xludf.DUMMYFUNCTION("""COMPUTED_VALUE"""),42507.0)</f>
        <v>42507</v>
      </c>
      <c r="U355" t="str">
        <f>IFERROR(__xludf.DUMMYFUNCTION("""COMPUTED_VALUE"""),"DOMINGO SOTO JAQUE")</f>
        <v>DOMINGO SOTO JAQUE</v>
      </c>
      <c r="V355" t="str">
        <f>IFERROR(__xludf.DUMMYFUNCTION("""COMPUTED_VALUE"""),"12005782-0")</f>
        <v>12005782-0</v>
      </c>
      <c r="W355" t="str">
        <f>IFERROR(__xludf.DUMMYFUNCTION("""COMPUTED_VALUE"""),"NO")</f>
        <v>NO</v>
      </c>
      <c r="AA355" s="38">
        <f>IFERROR(__xludf.DUMMYFUNCTION("""COMPUTED_VALUE"""),42482.0)</f>
        <v>42482</v>
      </c>
      <c r="AB355" s="38">
        <f>IFERROR(__xludf.DUMMYFUNCTION("""COMPUTED_VALUE"""),42488.0)</f>
        <v>42488</v>
      </c>
      <c r="AH355" t="str">
        <f>IFERROR(__xludf.DUMMYFUNCTION("""COMPUTED_VALUE"""),"PROCESO DE SELECCIÓN")</f>
        <v>PROCESO DE SELECCIÓN</v>
      </c>
      <c r="AI355" t="str">
        <f>IFERROR(__xludf.DUMMYFUNCTION("""COMPUTED_VALUE"""),"LUIS JIMENEZ")</f>
        <v>LUIS JIMENEZ</v>
      </c>
      <c r="AK355" t="str">
        <f>IFERROR(__xludf.DUMMYFUNCTION("""COMPUTED_VALUE"""),"E")</f>
        <v>E</v>
      </c>
      <c r="AL355">
        <f>IFERROR(__xludf.DUMMYFUNCTION("""COMPUTED_VALUE"""),14.0)</f>
        <v>14</v>
      </c>
      <c r="AM355">
        <f>IFERROR(__xludf.DUMMYFUNCTION("""COMPUTED_VALUE"""),2016.0)</f>
        <v>2016</v>
      </c>
    </row>
    <row r="356">
      <c r="A356">
        <f>IFERROR(__xludf.DUMMYFUNCTION("""COMPUTED_VALUE"""),1.1390994E7)</f>
        <v>11390994</v>
      </c>
      <c r="B356">
        <f>IFERROR(__xludf.DUMMYFUNCTION("""COMPUTED_VALUE"""),13.0)</f>
        <v>13</v>
      </c>
      <c r="D356" t="str">
        <f>IFERROR(__xludf.DUMMYFUNCTION("""COMPUTED_VALUE"""),"INGRESAR CENTRO DE COSTO A LA DERECHA")</f>
        <v>INGRESAR CENTRO DE COSTO A LA DERECHA</v>
      </c>
      <c r="E356" t="str">
        <f>IFERROR(__xludf.DUMMYFUNCTION("""COMPUTED_VALUE"""),"FACULTAD DE QUIMICA Y BIOLOGIA")</f>
        <v>FACULTAD DE QUIMICA Y BIOLOGIA</v>
      </c>
      <c r="F356" t="str">
        <f>IFERROR(__xludf.DUMMYFUNCTION("""COMPUTED_VALUE"""),"Administrativo(a) de Apoyo")</f>
        <v>Administrativo(a) de Apoyo</v>
      </c>
      <c r="G356" t="str">
        <f>IFERROR(__xludf.DUMMYFUNCTION("""COMPUTED_VALUE"""),"ADMINISTRATIVO DE APOYO")</f>
        <v>ADMINISTRATIVO DE APOYO</v>
      </c>
      <c r="H356">
        <f>IFERROR(__xludf.DUMMYFUNCTION("""COMPUTED_VALUE"""),20.0)</f>
        <v>20</v>
      </c>
      <c r="I356" t="str">
        <f>IFERROR(__xludf.DUMMYFUNCTION("""COMPUTED_VALUE"""),"Jornada Completa")</f>
        <v>Jornada Completa</v>
      </c>
      <c r="J356" t="str">
        <f>IFERROR(__xludf.DUMMYFUNCTION("""COMPUTED_VALUE"""),"A CONTRATA")</f>
        <v>A CONTRATA</v>
      </c>
      <c r="K356" t="str">
        <f>IFERROR(__xludf.DUMMYFUNCTION("""COMPUTED_VALUE"""),"ADMINISTRATIVO")</f>
        <v>ADMINISTRATIVO</v>
      </c>
      <c r="L356" t="str">
        <f>IFERROR(__xludf.DUMMYFUNCTION("""COMPUTED_VALUE"""),"INTERNO")</f>
        <v>INTERNO</v>
      </c>
      <c r="M356">
        <f>IFERROR(__xludf.DUMMYFUNCTION("""COMPUTED_VALUE"""),0.0)</f>
        <v>0</v>
      </c>
      <c r="N356" t="str">
        <f>IFERROR(__xludf.DUMMYFUNCTION("""COMPUTED_VALUE"""),"EXTERNO")</f>
        <v>EXTERNO</v>
      </c>
      <c r="O356">
        <f>IFERROR(__xludf.DUMMYFUNCTION("""COMPUTED_VALUE"""),13.0)</f>
        <v>13</v>
      </c>
      <c r="P356">
        <f>IFERROR(__xludf.DUMMYFUNCTION("""COMPUTED_VALUE"""),1.0)</f>
        <v>1</v>
      </c>
      <c r="Q356">
        <f>IFERROR(__xludf.DUMMYFUNCTION("""COMPUTED_VALUE"""),1.0)</f>
        <v>1</v>
      </c>
      <c r="R356" s="45" t="str">
        <f>IFERROR(__xludf.DUMMYFUNCTION("""COMPUTED_VALUE"""),"SELECCIONADA")</f>
        <v>SELECCIONADA</v>
      </c>
      <c r="S356" s="38">
        <f>IFERROR(__xludf.DUMMYFUNCTION("""COMPUTED_VALUE"""),42527.0)</f>
        <v>42527</v>
      </c>
      <c r="U356" t="str">
        <f>IFERROR(__xludf.DUMMYFUNCTION("""COMPUTED_VALUE"""),"LORENA IBARRA ACOSTA")</f>
        <v>LORENA IBARRA ACOSTA</v>
      </c>
      <c r="V356" t="str">
        <f>IFERROR(__xludf.DUMMYFUNCTION("""COMPUTED_VALUE"""),"11390994-3")</f>
        <v>11390994-3</v>
      </c>
      <c r="W356" t="str">
        <f>IFERROR(__xludf.DUMMYFUNCTION("""COMPUTED_VALUE"""),"SI")</f>
        <v>SI</v>
      </c>
      <c r="X356" t="str">
        <f>IFERROR(__xludf.DUMMYFUNCTION("""COMPUTED_VALUE"""),"COMUNICACION")</f>
        <v>COMUNICACION</v>
      </c>
      <c r="AA356" s="38">
        <f>IFERROR(__xludf.DUMMYFUNCTION("""COMPUTED_VALUE"""),42450.0)</f>
        <v>42450</v>
      </c>
      <c r="AB356" s="38">
        <f>IFERROR(__xludf.DUMMYFUNCTION("""COMPUTED_VALUE"""),42457.0)</f>
        <v>42457</v>
      </c>
      <c r="AH356" t="str">
        <f>IFERROR(__xludf.DUMMYFUNCTION("""COMPUTED_VALUE"""),"PROCESO DE SELECCIÓN")</f>
        <v>PROCESO DE SELECCIÓN</v>
      </c>
      <c r="AI356" t="str">
        <f>IFERROR(__xludf.DUMMYFUNCTION("""COMPUTED_VALUE"""),"ROSA LEYTON")</f>
        <v>ROSA LEYTON</v>
      </c>
      <c r="AK356" t="str">
        <f>IFERROR(__xludf.DUMMYFUNCTION("""COMPUTED_VALUE"""),"E")</f>
        <v>E</v>
      </c>
      <c r="AL356">
        <f>IFERROR(__xludf.DUMMYFUNCTION("""COMPUTED_VALUE"""),51.0)</f>
        <v>51</v>
      </c>
      <c r="AM356">
        <f>IFERROR(__xludf.DUMMYFUNCTION("""COMPUTED_VALUE"""),2016.0)</f>
        <v>2016</v>
      </c>
    </row>
    <row r="357">
      <c r="A357">
        <f>IFERROR(__xludf.DUMMYFUNCTION("""COMPUTED_VALUE"""),1.3282283E7)</f>
        <v>13282283</v>
      </c>
      <c r="B357">
        <f>IFERROR(__xludf.DUMMYFUNCTION("""COMPUTED_VALUE"""),14.0)</f>
        <v>14</v>
      </c>
      <c r="D357" t="str">
        <f>IFERROR(__xludf.DUMMYFUNCTION("""COMPUTED_VALUE"""),"INGRESAR CENTRO DE COSTO A LA DERECHA")</f>
        <v>INGRESAR CENTRO DE COSTO A LA DERECHA</v>
      </c>
      <c r="E357" t="str">
        <f>IFERROR(__xludf.DUMMYFUNCTION("""COMPUTED_VALUE"""),"UNIDAD DE GESTION DEL CAMPUS")</f>
        <v>UNIDAD DE GESTION DEL CAMPUS</v>
      </c>
      <c r="F357" t="str">
        <f>IFERROR(__xludf.DUMMYFUNCTION("""COMPUTED_VALUE"""),"Constructor(a) Civil")</f>
        <v>Constructor(a) Civil</v>
      </c>
      <c r="G357" t="str">
        <f>IFERROR(__xludf.DUMMYFUNCTION("""COMPUTED_VALUE"""),"CONSTRUCTOR CIVIL")</f>
        <v>CONSTRUCTOR CIVIL</v>
      </c>
      <c r="H357">
        <f>IFERROR(__xludf.DUMMYFUNCTION("""COMPUTED_VALUE"""),8.0)</f>
        <v>8</v>
      </c>
      <c r="I357" t="str">
        <f>IFERROR(__xludf.DUMMYFUNCTION("""COMPUTED_VALUE"""),"Jornada Completa")</f>
        <v>Jornada Completa</v>
      </c>
      <c r="J357" t="str">
        <f>IFERROR(__xludf.DUMMYFUNCTION("""COMPUTED_VALUE"""),"A CONTRATA")</f>
        <v>A CONTRATA</v>
      </c>
      <c r="K357" t="str">
        <f>IFERROR(__xludf.DUMMYFUNCTION("""COMPUTED_VALUE"""),"PROFESIONAL")</f>
        <v>PROFESIONAL</v>
      </c>
      <c r="L357" t="str">
        <f>IFERROR(__xludf.DUMMYFUNCTION("""COMPUTED_VALUE"""),"INTERNO")</f>
        <v>INTERNO</v>
      </c>
      <c r="M357">
        <f>IFERROR(__xludf.DUMMYFUNCTION("""COMPUTED_VALUE"""),0.0)</f>
        <v>0</v>
      </c>
      <c r="N357" t="str">
        <f>IFERROR(__xludf.DUMMYFUNCTION("""COMPUTED_VALUE"""),"EXTERNO")</f>
        <v>EXTERNO</v>
      </c>
      <c r="O357">
        <f>IFERROR(__xludf.DUMMYFUNCTION("""COMPUTED_VALUE"""),24.0)</f>
        <v>24</v>
      </c>
      <c r="P357">
        <f>IFERROR(__xludf.DUMMYFUNCTION("""COMPUTED_VALUE"""),2.0)</f>
        <v>2</v>
      </c>
      <c r="Q357">
        <f>IFERROR(__xludf.DUMMYFUNCTION("""COMPUTED_VALUE"""),2.0)</f>
        <v>2</v>
      </c>
      <c r="R357" s="45" t="str">
        <f>IFERROR(__xludf.DUMMYFUNCTION("""COMPUTED_VALUE"""),"SELECCIONADO")</f>
        <v>SELECCIONADO</v>
      </c>
      <c r="S357" s="38">
        <f>IFERROR(__xludf.DUMMYFUNCTION("""COMPUTED_VALUE"""),42471.0)</f>
        <v>42471</v>
      </c>
      <c r="U357" t="str">
        <f>IFERROR(__xludf.DUMMYFUNCTION("""COMPUTED_VALUE"""),"RODRIGO FARIAS GODOY")</f>
        <v>RODRIGO FARIAS GODOY</v>
      </c>
      <c r="V357" t="str">
        <f>IFERROR(__xludf.DUMMYFUNCTION("""COMPUTED_VALUE"""),"13282283-2")</f>
        <v>13282283-2</v>
      </c>
      <c r="W357" t="str">
        <f>IFERROR(__xludf.DUMMYFUNCTION("""COMPUTED_VALUE"""),"SI")</f>
        <v>SI</v>
      </c>
      <c r="X357" t="str">
        <f>IFERROR(__xludf.DUMMYFUNCTION("""COMPUTED_VALUE"""),"TRABAJO EN EQUIPO")</f>
        <v>TRABAJO EN EQUIPO</v>
      </c>
      <c r="Y357" t="str">
        <f>IFERROR(__xludf.DUMMYFUNCTION("""COMPUTED_VALUE"""),"CAPACIDAD DE PLANIFICACION Y ORGANIZACION")</f>
        <v>CAPACIDAD DE PLANIFICACION Y ORGANIZACION</v>
      </c>
      <c r="AA357" s="38">
        <f>IFERROR(__xludf.DUMMYFUNCTION("""COMPUTED_VALUE"""),42431.0)</f>
        <v>42431</v>
      </c>
      <c r="AB357" s="38">
        <f>IFERROR(__xludf.DUMMYFUNCTION("""COMPUTED_VALUE"""),42438.0)</f>
        <v>42438</v>
      </c>
      <c r="AH357" t="str">
        <f>IFERROR(__xludf.DUMMYFUNCTION("""COMPUTED_VALUE"""),"PROCESO DE SELECCIÓN")</f>
        <v>PROCESO DE SELECCIÓN</v>
      </c>
      <c r="AI357" t="str">
        <f>IFERROR(__xludf.DUMMYFUNCTION("""COMPUTED_VALUE"""),"ROBERTO MORALES OJEDA")</f>
        <v>ROBERTO MORALES OJEDA</v>
      </c>
      <c r="AK357" t="str">
        <f>IFERROR(__xludf.DUMMYFUNCTION("""COMPUTED_VALUE"""),"E")</f>
        <v>E</v>
      </c>
      <c r="AL357">
        <f>IFERROR(__xludf.DUMMYFUNCTION("""COMPUTED_VALUE"""),24.0)</f>
        <v>24</v>
      </c>
      <c r="AM357">
        <f>IFERROR(__xludf.DUMMYFUNCTION("""COMPUTED_VALUE"""),2016.0)</f>
        <v>2016</v>
      </c>
    </row>
    <row r="358">
      <c r="A358">
        <f>IFERROR(__xludf.DUMMYFUNCTION("""COMPUTED_VALUE"""),1.6067829E7)</f>
        <v>16067829</v>
      </c>
      <c r="B358">
        <f>IFERROR(__xludf.DUMMYFUNCTION("""COMPUTED_VALUE"""),15.0)</f>
        <v>15</v>
      </c>
      <c r="D358" t="str">
        <f>IFERROR(__xludf.DUMMYFUNCTION("""COMPUTED_VALUE"""),"INGRESAR CENTRO DE COSTO A LA DERECHA")</f>
        <v>INGRESAR CENTRO DE COSTO A LA DERECHA</v>
      </c>
      <c r="E358" t="str">
        <f>IFERROR(__xludf.DUMMYFUNCTION("""COMPUTED_VALUE"""),"FACULTAD DE QUIMICA Y BIOLOGIA")</f>
        <v>FACULTAD DE QUIMICA Y BIOLOGIA</v>
      </c>
      <c r="F358" t="str">
        <f>IFERROR(__xludf.DUMMYFUNCTION("""COMPUTED_VALUE"""),"Encargado(a) de Laboratorio")</f>
        <v>Encargado(a) de Laboratorio</v>
      </c>
      <c r="G358" t="str">
        <f>IFERROR(__xludf.DUMMYFUNCTION("""COMPUTED_VALUE"""),"ENCARGADO DE LABORATORIO")</f>
        <v>ENCARGADO DE LABORATORIO</v>
      </c>
      <c r="H358">
        <f>IFERROR(__xludf.DUMMYFUNCTION("""COMPUTED_VALUE"""),13.0)</f>
        <v>13</v>
      </c>
      <c r="I358" t="str">
        <f>IFERROR(__xludf.DUMMYFUNCTION("""COMPUTED_VALUE"""),"1/2 Jornada")</f>
        <v>1/2 Jornada</v>
      </c>
      <c r="J358" t="str">
        <f>IFERROR(__xludf.DUMMYFUNCTION("""COMPUTED_VALUE"""),"A CONTRATA")</f>
        <v>A CONTRATA</v>
      </c>
      <c r="K358" t="str">
        <f>IFERROR(__xludf.DUMMYFUNCTION("""COMPUTED_VALUE"""),"PROFESIONAL")</f>
        <v>PROFESIONAL</v>
      </c>
      <c r="L358" t="str">
        <f>IFERROR(__xludf.DUMMYFUNCTION("""COMPUTED_VALUE"""),"INTERNO")</f>
        <v>INTERNO</v>
      </c>
      <c r="M358">
        <f>IFERROR(__xludf.DUMMYFUNCTION("""COMPUTED_VALUE"""),0.0)</f>
        <v>0</v>
      </c>
      <c r="N358" t="str">
        <f>IFERROR(__xludf.DUMMYFUNCTION("""COMPUTED_VALUE"""),"EXTERNO")</f>
        <v>EXTERNO</v>
      </c>
      <c r="O358">
        <f>IFERROR(__xludf.DUMMYFUNCTION("""COMPUTED_VALUE"""),11.0)</f>
        <v>11</v>
      </c>
      <c r="P358">
        <f>IFERROR(__xludf.DUMMYFUNCTION("""COMPUTED_VALUE"""),2.0)</f>
        <v>2</v>
      </c>
      <c r="Q358">
        <f>IFERROR(__xludf.DUMMYFUNCTION("""COMPUTED_VALUE"""),1.0)</f>
        <v>1</v>
      </c>
      <c r="R358" s="45" t="str">
        <f>IFERROR(__xludf.DUMMYFUNCTION("""COMPUTED_VALUE"""),"SELECCIONADO")</f>
        <v>SELECCIONADO</v>
      </c>
      <c r="S358" s="38">
        <f>IFERROR(__xludf.DUMMYFUNCTION("""COMPUTED_VALUE"""),42527.0)</f>
        <v>42527</v>
      </c>
      <c r="U358" t="str">
        <f>IFERROR(__xludf.DUMMYFUNCTION("""COMPUTED_VALUE"""),"DANIEL BARROS VASQUEZ")</f>
        <v>DANIEL BARROS VASQUEZ</v>
      </c>
      <c r="V358" t="str">
        <f>IFERROR(__xludf.DUMMYFUNCTION("""COMPUTED_VALUE"""),"16067829-1")</f>
        <v>16067829-1</v>
      </c>
      <c r="W358" t="str">
        <f>IFERROR(__xludf.DUMMYFUNCTION("""COMPUTED_VALUE"""),"SI")</f>
        <v>SI</v>
      </c>
      <c r="X358" t="str">
        <f>IFERROR(__xludf.DUMMYFUNCTION("""COMPUTED_VALUE"""),"TRABAJO EN EQUIPO")</f>
        <v>TRABAJO EN EQUIPO</v>
      </c>
      <c r="AA358" s="38">
        <f>IFERROR(__xludf.DUMMYFUNCTION("""COMPUTED_VALUE"""),42444.0)</f>
        <v>42444</v>
      </c>
      <c r="AB358" s="38">
        <f>IFERROR(__xludf.DUMMYFUNCTION("""COMPUTED_VALUE"""),42451.0)</f>
        <v>42451</v>
      </c>
      <c r="AH358" t="str">
        <f>IFERROR(__xludf.DUMMYFUNCTION("""COMPUTED_VALUE"""),"PROCESO DE SELECCIÓN")</f>
        <v>PROCESO DE SELECCIÓN</v>
      </c>
      <c r="AI358" t="str">
        <f>IFERROR(__xludf.DUMMYFUNCTION("""COMPUTED_VALUE"""),"SERGIA DEL VALLE")</f>
        <v>SERGIA DEL VALLE</v>
      </c>
      <c r="AK358" t="str">
        <f>IFERROR(__xludf.DUMMYFUNCTION("""COMPUTED_VALUE"""),"P")</f>
        <v>P</v>
      </c>
      <c r="AL358">
        <f>IFERROR(__xludf.DUMMYFUNCTION("""COMPUTED_VALUE"""),55.0)</f>
        <v>55</v>
      </c>
      <c r="AM358">
        <f>IFERROR(__xludf.DUMMYFUNCTION("""COMPUTED_VALUE"""),2016.0)</f>
        <v>2016</v>
      </c>
    </row>
    <row r="359">
      <c r="A359">
        <f>IFERROR(__xludf.DUMMYFUNCTION("""COMPUTED_VALUE"""),1.5644487E7)</f>
        <v>15644487</v>
      </c>
      <c r="B359">
        <f>IFERROR(__xludf.DUMMYFUNCTION("""COMPUTED_VALUE"""),16.0)</f>
        <v>16</v>
      </c>
      <c r="D359" t="str">
        <f>IFERROR(__xludf.DUMMYFUNCTION("""COMPUTED_VALUE"""),"INGRESAR CENTRO DE COSTO A LA DERECHA")</f>
        <v>INGRESAR CENTRO DE COSTO A LA DERECHA</v>
      </c>
      <c r="E359" t="str">
        <f>IFERROR(__xludf.DUMMYFUNCTION("""COMPUTED_VALUE"""),"FACULTAD DE HUMANIDADES")</f>
        <v>FACULTAD DE HUMANIDADES</v>
      </c>
      <c r="F359" t="str">
        <f>IFERROR(__xludf.DUMMYFUNCTION("""COMPUTED_VALUE"""),"Encargado(a) de Vinculación con el Medio")</f>
        <v>Encargado(a) de Vinculación con el Medio</v>
      </c>
      <c r="G359" t="str">
        <f>IFERROR(__xludf.DUMMYFUNCTION("""COMPUTED_VALUE"""),"ENCARGADO DE VINCULACION CON EL MEDIO")</f>
        <v>ENCARGADO DE VINCULACION CON EL MEDIO</v>
      </c>
      <c r="H359">
        <f>IFERROR(__xludf.DUMMYFUNCTION("""COMPUTED_VALUE"""),13.0)</f>
        <v>13</v>
      </c>
      <c r="I359" t="str">
        <f>IFERROR(__xludf.DUMMYFUNCTION("""COMPUTED_VALUE"""),"Jornada Completa")</f>
        <v>Jornada Completa</v>
      </c>
      <c r="J359" t="str">
        <f>IFERROR(__xludf.DUMMYFUNCTION("""COMPUTED_VALUE"""),"A CONTRATA")</f>
        <v>A CONTRATA</v>
      </c>
      <c r="K359" t="str">
        <f>IFERROR(__xludf.DUMMYFUNCTION("""COMPUTED_VALUE"""),"PROFESIONAL")</f>
        <v>PROFESIONAL</v>
      </c>
      <c r="L359" t="str">
        <f>IFERROR(__xludf.DUMMYFUNCTION("""COMPUTED_VALUE"""),"INTERNO")</f>
        <v>INTERNO</v>
      </c>
      <c r="M359">
        <f>IFERROR(__xludf.DUMMYFUNCTION("""COMPUTED_VALUE"""),1.0)</f>
        <v>1</v>
      </c>
      <c r="N359" t="str">
        <f>IFERROR(__xludf.DUMMYFUNCTION("""COMPUTED_VALUE"""),"EXTERNO")</f>
        <v>EXTERNO</v>
      </c>
      <c r="O359">
        <f>IFERROR(__xludf.DUMMYFUNCTION("""COMPUTED_VALUE"""),14.0)</f>
        <v>14</v>
      </c>
      <c r="P359">
        <f>IFERROR(__xludf.DUMMYFUNCTION("""COMPUTED_VALUE"""),1.0)</f>
        <v>1</v>
      </c>
      <c r="Q359">
        <f>IFERROR(__xludf.DUMMYFUNCTION("""COMPUTED_VALUE"""),1.0)</f>
        <v>1</v>
      </c>
      <c r="R359" s="45" t="str">
        <f>IFERROR(__xludf.DUMMYFUNCTION("""COMPUTED_VALUE"""),"SELECCIONADO")</f>
        <v>SELECCIONADO</v>
      </c>
      <c r="S359" s="38">
        <f>IFERROR(__xludf.DUMMYFUNCTION("""COMPUTED_VALUE"""),42522.0)</f>
        <v>42522</v>
      </c>
      <c r="U359" t="str">
        <f>IFERROR(__xludf.DUMMYFUNCTION("""COMPUTED_VALUE"""),"FERNANDO ABARCA BACK")</f>
        <v>FERNANDO ABARCA BACK</v>
      </c>
      <c r="V359" t="str">
        <f>IFERROR(__xludf.DUMMYFUNCTION("""COMPUTED_VALUE"""),"15644487-1")</f>
        <v>15644487-1</v>
      </c>
      <c r="W359" t="str">
        <f>IFERROR(__xludf.DUMMYFUNCTION("""COMPUTED_VALUE"""),"SI")</f>
        <v>SI</v>
      </c>
      <c r="X359" t="str">
        <f>IFERROR(__xludf.DUMMYFUNCTION("""COMPUTED_VALUE"""),"CAPACIDAD DE PLANIFICACION Y ORGANIZACION")</f>
        <v>CAPACIDAD DE PLANIFICACION Y ORGANIZACION</v>
      </c>
      <c r="AA359" s="38">
        <f>IFERROR(__xludf.DUMMYFUNCTION("""COMPUTED_VALUE"""),42468.0)</f>
        <v>42468</v>
      </c>
      <c r="AB359" s="38">
        <f>IFERROR(__xludf.DUMMYFUNCTION("""COMPUTED_VALUE"""),42475.0)</f>
        <v>42475</v>
      </c>
      <c r="AH359" t="str">
        <f>IFERROR(__xludf.DUMMYFUNCTION("""COMPUTED_VALUE"""),"PROCESO DE SELECCIÓN")</f>
        <v>PROCESO DE SELECCIÓN</v>
      </c>
      <c r="AI359" t="str">
        <f>IFERROR(__xludf.DUMMYFUNCTION("""COMPUTED_VALUE"""),"ALEX ARAYA LILLO")</f>
        <v>ALEX ARAYA LILLO</v>
      </c>
      <c r="AK359" t="str">
        <f>IFERROR(__xludf.DUMMYFUNCTION("""COMPUTED_VALUE"""),"C")</f>
        <v>C</v>
      </c>
      <c r="AL359">
        <f>IFERROR(__xludf.DUMMYFUNCTION("""COMPUTED_VALUE"""),34.0)</f>
        <v>34</v>
      </c>
      <c r="AM359">
        <f>IFERROR(__xludf.DUMMYFUNCTION("""COMPUTED_VALUE"""),2016.0)</f>
        <v>2016</v>
      </c>
    </row>
    <row r="360">
      <c r="A360">
        <f>IFERROR(__xludf.DUMMYFUNCTION("""COMPUTED_VALUE"""),1.7284001E7)</f>
        <v>17284001</v>
      </c>
      <c r="B360">
        <f>IFERROR(__xludf.DUMMYFUNCTION("""COMPUTED_VALUE"""),17.0)</f>
        <v>17</v>
      </c>
      <c r="D360" t="str">
        <f>IFERROR(__xludf.DUMMYFUNCTION("""COMPUTED_VALUE"""),"INGRESAR CENTRO DE COSTO A LA DERECHA")</f>
        <v>INGRESAR CENTRO DE COSTO A LA DERECHA</v>
      </c>
      <c r="E360" t="str">
        <f>IFERROR(__xludf.DUMMYFUNCTION("""COMPUTED_VALUE"""),"RECTORIA")</f>
        <v>RECTORIA</v>
      </c>
      <c r="F360" t="str">
        <f>IFERROR(__xludf.DUMMYFUNCTION("""COMPUTED_VALUE"""),"Mayordomo(a)")</f>
        <v>Mayordomo(a)</v>
      </c>
      <c r="G360" t="str">
        <f>IFERROR(__xludf.DUMMYFUNCTION("""COMPUTED_VALUE"""),"MAYORDOMO")</f>
        <v>MAYORDOMO</v>
      </c>
      <c r="H360">
        <f>IFERROR(__xludf.DUMMYFUNCTION("""COMPUTED_VALUE"""),21.0)</f>
        <v>21</v>
      </c>
      <c r="I360" t="str">
        <f>IFERROR(__xludf.DUMMYFUNCTION("""COMPUTED_VALUE"""),"Jornada Completa")</f>
        <v>Jornada Completa</v>
      </c>
      <c r="J360" t="str">
        <f>IFERROR(__xludf.DUMMYFUNCTION("""COMPUTED_VALUE"""),"A CONTRATA")</f>
        <v>A CONTRATA</v>
      </c>
      <c r="K360" t="str">
        <f>IFERROR(__xludf.DUMMYFUNCTION("""COMPUTED_VALUE"""),"AUXILIAR")</f>
        <v>AUXILIAR</v>
      </c>
      <c r="L360" t="str">
        <f>IFERROR(__xludf.DUMMYFUNCTION("""COMPUTED_VALUE"""),"INTERNO")</f>
        <v>INTERNO</v>
      </c>
      <c r="M360">
        <f>IFERROR(__xludf.DUMMYFUNCTION("""COMPUTED_VALUE"""),1.0)</f>
        <v>1</v>
      </c>
      <c r="N360" t="str">
        <f>IFERROR(__xludf.DUMMYFUNCTION("""COMPUTED_VALUE"""),"EXTERNO")</f>
        <v>EXTERNO</v>
      </c>
      <c r="O360">
        <f>IFERROR(__xludf.DUMMYFUNCTION("""COMPUTED_VALUE"""),4.0)</f>
        <v>4</v>
      </c>
      <c r="P360">
        <f>IFERROR(__xludf.DUMMYFUNCTION("""COMPUTED_VALUE"""),2.0)</f>
        <v>2</v>
      </c>
      <c r="Q360">
        <f>IFERROR(__xludf.DUMMYFUNCTION("""COMPUTED_VALUE"""),1.0)</f>
        <v>1</v>
      </c>
      <c r="R360" s="45" t="str">
        <f>IFERROR(__xludf.DUMMYFUNCTION("""COMPUTED_VALUE"""),"SELECCIONADO")</f>
        <v>SELECCIONADO</v>
      </c>
      <c r="S360" s="38">
        <f>IFERROR(__xludf.DUMMYFUNCTION("""COMPUTED_VALUE"""),42485.0)</f>
        <v>42485</v>
      </c>
      <c r="U360" t="str">
        <f>IFERROR(__xludf.DUMMYFUNCTION("""COMPUTED_VALUE"""),"ORLANDO AMPUERO MEZA")</f>
        <v>ORLANDO AMPUERO MEZA</v>
      </c>
      <c r="V360" t="str">
        <f>IFERROR(__xludf.DUMMYFUNCTION("""COMPUTED_VALUE"""),"17284001-9")</f>
        <v>17284001-9</v>
      </c>
      <c r="W360" t="str">
        <f>IFERROR(__xludf.DUMMYFUNCTION("""COMPUTED_VALUE"""),"NO")</f>
        <v>NO</v>
      </c>
      <c r="AA360" s="38">
        <f>IFERROR(__xludf.DUMMYFUNCTION("""COMPUTED_VALUE"""),42461.0)</f>
        <v>42461</v>
      </c>
      <c r="AB360" s="38">
        <f>IFERROR(__xludf.DUMMYFUNCTION("""COMPUTED_VALUE"""),42466.0)</f>
        <v>42466</v>
      </c>
      <c r="AH360" t="str">
        <f>IFERROR(__xludf.DUMMYFUNCTION("""COMPUTED_VALUE"""),"PROCESO DE SELECCIÓN")</f>
        <v>PROCESO DE SELECCIÓN</v>
      </c>
      <c r="AI360" t="str">
        <f>IFERROR(__xludf.DUMMYFUNCTION("""COMPUTED_VALUE"""),"FRANCISCO MILLAR SANCHEZ")</f>
        <v>FRANCISCO MILLAR SANCHEZ</v>
      </c>
      <c r="AK360" t="str">
        <f>IFERROR(__xludf.DUMMYFUNCTION("""COMPUTED_VALUE"""),"E")</f>
        <v>E</v>
      </c>
      <c r="AL360">
        <f>IFERROR(__xludf.DUMMYFUNCTION("""COMPUTED_VALUE"""),14.0)</f>
        <v>14</v>
      </c>
      <c r="AM360">
        <f>IFERROR(__xludf.DUMMYFUNCTION("""COMPUTED_VALUE"""),2016.0)</f>
        <v>2016</v>
      </c>
    </row>
    <row r="361">
      <c r="A361">
        <f>IFERROR(__xludf.DUMMYFUNCTION("""COMPUTED_VALUE"""),1.264096E7)</f>
        <v>12640960</v>
      </c>
      <c r="B361">
        <f>IFERROR(__xludf.DUMMYFUNCTION("""COMPUTED_VALUE"""),18.0)</f>
        <v>18</v>
      </c>
      <c r="D361" t="str">
        <f>IFERROR(__xludf.DUMMYFUNCTION("""COMPUTED_VALUE"""),"INGRESAR CENTRO DE COSTO A LA DERECHA")</f>
        <v>INGRESAR CENTRO DE COSTO A LA DERECHA</v>
      </c>
      <c r="E361" t="str">
        <f>IFERROR(__xludf.DUMMYFUNCTION("""COMPUTED_VALUE"""),"DPTO. DE LINGUISTICA Y LITERATURA")</f>
        <v>DPTO. DE LINGUISTICA Y LITERATURA</v>
      </c>
      <c r="F361" t="str">
        <f>IFERROR(__xludf.DUMMYFUNCTION("""COMPUTED_VALUE"""),"Secretario(a) de Apoyo Docente")</f>
        <v>Secretario(a) de Apoyo Docente</v>
      </c>
      <c r="G361" t="str">
        <f>IFERROR(__xludf.DUMMYFUNCTION("""COMPUTED_VALUE"""),"SECRETARIA DE APOYO DOCENTE")</f>
        <v>SECRETARIA DE APOYO DOCENTE</v>
      </c>
      <c r="H361">
        <f>IFERROR(__xludf.DUMMYFUNCTION("""COMPUTED_VALUE"""),17.0)</f>
        <v>17</v>
      </c>
      <c r="I361" t="str">
        <f>IFERROR(__xludf.DUMMYFUNCTION("""COMPUTED_VALUE"""),"Jornada Completa")</f>
        <v>Jornada Completa</v>
      </c>
      <c r="J361" t="str">
        <f>IFERROR(__xludf.DUMMYFUNCTION("""COMPUTED_VALUE"""),"A CONTRATA")</f>
        <v>A CONTRATA</v>
      </c>
      <c r="K361" t="str">
        <f>IFERROR(__xludf.DUMMYFUNCTION("""COMPUTED_VALUE"""),"ADMINISTRATIVO")</f>
        <v>ADMINISTRATIVO</v>
      </c>
      <c r="L361" t="str">
        <f>IFERROR(__xludf.DUMMYFUNCTION("""COMPUTED_VALUE"""),"INTERNO")</f>
        <v>INTERNO</v>
      </c>
      <c r="M361">
        <f>IFERROR(__xludf.DUMMYFUNCTION("""COMPUTED_VALUE"""),0.0)</f>
        <v>0</v>
      </c>
      <c r="N361" t="str">
        <f>IFERROR(__xludf.DUMMYFUNCTION("""COMPUTED_VALUE"""),"EXTERNO")</f>
        <v>EXTERNO</v>
      </c>
      <c r="O361">
        <f>IFERROR(__xludf.DUMMYFUNCTION("""COMPUTED_VALUE"""),13.0)</f>
        <v>13</v>
      </c>
      <c r="P361">
        <f>IFERROR(__xludf.DUMMYFUNCTION("""COMPUTED_VALUE"""),3.0)</f>
        <v>3</v>
      </c>
      <c r="Q361">
        <f>IFERROR(__xludf.DUMMYFUNCTION("""COMPUTED_VALUE"""),1.0)</f>
        <v>1</v>
      </c>
      <c r="R361" s="45" t="str">
        <f>IFERROR(__xludf.DUMMYFUNCTION("""COMPUTED_VALUE"""),"SELECCIONADA")</f>
        <v>SELECCIONADA</v>
      </c>
      <c r="S361" s="38">
        <f>IFERROR(__xludf.DUMMYFUNCTION("""COMPUTED_VALUE"""),42522.0)</f>
        <v>42522</v>
      </c>
      <c r="U361" t="str">
        <f>IFERROR(__xludf.DUMMYFUNCTION("""COMPUTED_VALUE"""),"CECILIA SEPULVEDA SEPULVEDA")</f>
        <v>CECILIA SEPULVEDA SEPULVEDA</v>
      </c>
      <c r="V361" t="str">
        <f>IFERROR(__xludf.DUMMYFUNCTION("""COMPUTED_VALUE"""),"12640960-5")</f>
        <v>12640960-5</v>
      </c>
      <c r="W361" t="str">
        <f>IFERROR(__xludf.DUMMYFUNCTION("""COMPUTED_VALUE"""),"NO")</f>
        <v>NO</v>
      </c>
      <c r="AA361" s="38">
        <f>IFERROR(__xludf.DUMMYFUNCTION("""COMPUTED_VALUE"""),42507.0)</f>
        <v>42507</v>
      </c>
      <c r="AB361" s="38">
        <f>IFERROR(__xludf.DUMMYFUNCTION("""COMPUTED_VALUE"""),42513.0)</f>
        <v>42513</v>
      </c>
      <c r="AH361" t="str">
        <f>IFERROR(__xludf.DUMMYFUNCTION("""COMPUTED_VALUE"""),"PROCESO DE SELECCIÓN")</f>
        <v>PROCESO DE SELECCIÓN</v>
      </c>
      <c r="AI361" t="str">
        <f>IFERROR(__xludf.DUMMYFUNCTION("""COMPUTED_VALUE"""),"SUGEY VISCARRA REBOLLEDO")</f>
        <v>SUGEY VISCARRA REBOLLEDO</v>
      </c>
      <c r="AK361" t="str">
        <f>IFERROR(__xludf.DUMMYFUNCTION("""COMPUTED_VALUE"""),"E")</f>
        <v>E</v>
      </c>
      <c r="AL361">
        <f>IFERROR(__xludf.DUMMYFUNCTION("""COMPUTED_VALUE"""),8.0)</f>
        <v>8</v>
      </c>
      <c r="AM361">
        <f>IFERROR(__xludf.DUMMYFUNCTION("""COMPUTED_VALUE"""),2016.0)</f>
        <v>2016</v>
      </c>
    </row>
    <row r="362">
      <c r="A362">
        <f>IFERROR(__xludf.DUMMYFUNCTION("""COMPUTED_VALUE"""),1.8082414E7)</f>
        <v>18082414</v>
      </c>
      <c r="B362">
        <f>IFERROR(__xludf.DUMMYFUNCTION("""COMPUTED_VALUE"""),19.0)</f>
        <v>19</v>
      </c>
      <c r="D362" t="str">
        <f>IFERROR(__xludf.DUMMYFUNCTION("""COMPUTED_VALUE"""),"INGRESAR CENTRO DE COSTO A LA DERECHA")</f>
        <v>INGRESAR CENTRO DE COSTO A LA DERECHA</v>
      </c>
      <c r="E362" t="str">
        <f>IFERROR(__xludf.DUMMYFUNCTION("""COMPUTED_VALUE"""),"FACULTAD DE ADMINIST Y ECONOMI")</f>
        <v>FACULTAD DE ADMINIST Y ECONOMI</v>
      </c>
      <c r="F362" t="str">
        <f>IFERROR(__xludf.DUMMYFUNCTION("""COMPUTED_VALUE"""),"Secretario(a) B")</f>
        <v>Secretario(a) B</v>
      </c>
      <c r="G362" t="str">
        <f>IFERROR(__xludf.DUMMYFUNCTION("""COMPUTED_VALUE"""),"SECRETARIA DE CENTRO")</f>
        <v>SECRETARIA DE CENTRO</v>
      </c>
      <c r="H362">
        <f>IFERROR(__xludf.DUMMYFUNCTION("""COMPUTED_VALUE"""),17.0)</f>
        <v>17</v>
      </c>
      <c r="I362" t="str">
        <f>IFERROR(__xludf.DUMMYFUNCTION("""COMPUTED_VALUE"""),"Jornada Completa")</f>
        <v>Jornada Completa</v>
      </c>
      <c r="J362" t="str">
        <f>IFERROR(__xludf.DUMMYFUNCTION("""COMPUTED_VALUE"""),"A CONTRATA")</f>
        <v>A CONTRATA</v>
      </c>
      <c r="K362" t="str">
        <f>IFERROR(__xludf.DUMMYFUNCTION("""COMPUTED_VALUE"""),"ADMINISTRATIVO")</f>
        <v>ADMINISTRATIVO</v>
      </c>
      <c r="L362" t="str">
        <f>IFERROR(__xludf.DUMMYFUNCTION("""COMPUTED_VALUE"""),"INTERNO")</f>
        <v>INTERNO</v>
      </c>
      <c r="M362">
        <f>IFERROR(__xludf.DUMMYFUNCTION("""COMPUTED_VALUE"""),0.0)</f>
        <v>0</v>
      </c>
      <c r="N362" t="str">
        <f>IFERROR(__xludf.DUMMYFUNCTION("""COMPUTED_VALUE"""),"EXTERNO")</f>
        <v>EXTERNO</v>
      </c>
      <c r="O362">
        <f>IFERROR(__xludf.DUMMYFUNCTION("""COMPUTED_VALUE"""),34.0)</f>
        <v>34</v>
      </c>
      <c r="P362">
        <f>IFERROR(__xludf.DUMMYFUNCTION("""COMPUTED_VALUE"""),1.0)</f>
        <v>1</v>
      </c>
      <c r="Q362">
        <f>IFERROR(__xludf.DUMMYFUNCTION("""COMPUTED_VALUE"""),3.0)</f>
        <v>3</v>
      </c>
      <c r="R362" s="45" t="str">
        <f>IFERROR(__xludf.DUMMYFUNCTION("""COMPUTED_VALUE"""),"SELECCIONADA")</f>
        <v>SELECCIONADA</v>
      </c>
      <c r="S362" s="38">
        <f>IFERROR(__xludf.DUMMYFUNCTION("""COMPUTED_VALUE"""),42515.0)</f>
        <v>42515</v>
      </c>
      <c r="U362" t="str">
        <f>IFERROR(__xludf.DUMMYFUNCTION("""COMPUTED_VALUE"""),"LESLIE MERIÑO MERIÑO")</f>
        <v>LESLIE MERIÑO MERIÑO</v>
      </c>
      <c r="V362" t="str">
        <f>IFERROR(__xludf.DUMMYFUNCTION("""COMPUTED_VALUE"""),"18082414-6")</f>
        <v>18082414-6</v>
      </c>
      <c r="W362" t="str">
        <f>IFERROR(__xludf.DUMMYFUNCTION("""COMPUTED_VALUE"""),"NO")</f>
        <v>NO</v>
      </c>
      <c r="AA362" s="38">
        <f>IFERROR(__xludf.DUMMYFUNCTION("""COMPUTED_VALUE"""),42492.0)</f>
        <v>42492</v>
      </c>
      <c r="AB362" s="38">
        <f>IFERROR(__xludf.DUMMYFUNCTION("""COMPUTED_VALUE"""),42496.0)</f>
        <v>42496</v>
      </c>
      <c r="AH362" t="str">
        <f>IFERROR(__xludf.DUMMYFUNCTION("""COMPUTED_VALUE"""),"PROCESO DE SELECCIÓN")</f>
        <v>PROCESO DE SELECCIÓN</v>
      </c>
      <c r="AI362" t="str">
        <f>IFERROR(__xludf.DUMMYFUNCTION("""COMPUTED_VALUE"""),"AUTORIZADO 2015")</f>
        <v>AUTORIZADO 2015</v>
      </c>
      <c r="AK362" t="str">
        <f>IFERROR(__xludf.DUMMYFUNCTION("""COMPUTED_VALUE"""),"E")</f>
        <v>E</v>
      </c>
      <c r="AL362">
        <f>IFERROR(__xludf.DUMMYFUNCTION("""COMPUTED_VALUE"""),14.0)</f>
        <v>14</v>
      </c>
      <c r="AM362">
        <f>IFERROR(__xludf.DUMMYFUNCTION("""COMPUTED_VALUE"""),2016.0)</f>
        <v>2016</v>
      </c>
    </row>
    <row r="363">
      <c r="A363">
        <f>IFERROR(__xludf.DUMMYFUNCTION("""COMPUTED_VALUE"""),1.5327094E7)</f>
        <v>15327094</v>
      </c>
      <c r="B363">
        <f>IFERROR(__xludf.DUMMYFUNCTION("""COMPUTED_VALUE"""),20.0)</f>
        <v>20</v>
      </c>
      <c r="D363" t="str">
        <f>IFERROR(__xludf.DUMMYFUNCTION("""COMPUTED_VALUE"""),"INGRESAR CENTRO DE COSTO A LA DERECHA")</f>
        <v>INGRESAR CENTRO DE COSTO A LA DERECHA</v>
      </c>
      <c r="E363" t="str">
        <f>IFERROR(__xludf.DUMMYFUNCTION("""COMPUTED_VALUE"""),"UNIDAD DE BIBLIOTECAS")</f>
        <v>UNIDAD DE BIBLIOTECAS</v>
      </c>
      <c r="F363" t="str">
        <f>IFERROR(__xludf.DUMMYFUNCTION("""COMPUTED_VALUE"""),"Técnico(a) de Biblioteca")</f>
        <v>Técnico(a) de Biblioteca</v>
      </c>
      <c r="G363" t="str">
        <f>IFERROR(__xludf.DUMMYFUNCTION("""COMPUTED_VALUE"""),"TECNICO DE BIBLIOTECA")</f>
        <v>TECNICO DE BIBLIOTECA</v>
      </c>
      <c r="H363">
        <f>IFERROR(__xludf.DUMMYFUNCTION("""COMPUTED_VALUE"""),18.0)</f>
        <v>18</v>
      </c>
      <c r="I363" t="str">
        <f>IFERROR(__xludf.DUMMYFUNCTION("""COMPUTED_VALUE"""),"Jornada Completa")</f>
        <v>Jornada Completa</v>
      </c>
      <c r="J363" t="str">
        <f>IFERROR(__xludf.DUMMYFUNCTION("""COMPUTED_VALUE"""),"A CONTRATA")</f>
        <v>A CONTRATA</v>
      </c>
      <c r="K363" t="str">
        <f>IFERROR(__xludf.DUMMYFUNCTION("""COMPUTED_VALUE"""),"TECNICO")</f>
        <v>TECNICO</v>
      </c>
      <c r="L363" t="str">
        <f>IFERROR(__xludf.DUMMYFUNCTION("""COMPUTED_VALUE"""),"INTERNO")</f>
        <v>INTERNO</v>
      </c>
      <c r="M363">
        <f>IFERROR(__xludf.DUMMYFUNCTION("""COMPUTED_VALUE"""),0.0)</f>
        <v>0</v>
      </c>
      <c r="N363" t="str">
        <f>IFERROR(__xludf.DUMMYFUNCTION("""COMPUTED_VALUE"""),"EXTERNO")</f>
        <v>EXTERNO</v>
      </c>
      <c r="O363">
        <f>IFERROR(__xludf.DUMMYFUNCTION("""COMPUTED_VALUE"""),3.0)</f>
        <v>3</v>
      </c>
      <c r="P363">
        <f>IFERROR(__xludf.DUMMYFUNCTION("""COMPUTED_VALUE"""),1.0)</f>
        <v>1</v>
      </c>
      <c r="Q363">
        <f>IFERROR(__xludf.DUMMYFUNCTION("""COMPUTED_VALUE"""),1.0)</f>
        <v>1</v>
      </c>
      <c r="R363" s="45" t="str">
        <f>IFERROR(__xludf.DUMMYFUNCTION("""COMPUTED_VALUE"""),"SELECCIONADA")</f>
        <v>SELECCIONADA</v>
      </c>
      <c r="S363" s="38">
        <f>IFERROR(__xludf.DUMMYFUNCTION("""COMPUTED_VALUE"""),42520.0)</f>
        <v>42520</v>
      </c>
      <c r="U363" t="str">
        <f>IFERROR(__xludf.DUMMYFUNCTION("""COMPUTED_VALUE"""),"CINTHIA UNDURRAGA IBACETA")</f>
        <v>CINTHIA UNDURRAGA IBACETA</v>
      </c>
      <c r="V363" t="str">
        <f>IFERROR(__xludf.DUMMYFUNCTION("""COMPUTED_VALUE"""),"15327094-5")</f>
        <v>15327094-5</v>
      </c>
      <c r="W363" t="str">
        <f>IFERROR(__xludf.DUMMYFUNCTION("""COMPUTED_VALUE"""),"NO")</f>
        <v>NO</v>
      </c>
      <c r="AA363" s="38">
        <f>IFERROR(__xludf.DUMMYFUNCTION("""COMPUTED_VALUE"""),42437.0)</f>
        <v>42437</v>
      </c>
      <c r="AB363" s="38">
        <f>IFERROR(__xludf.DUMMYFUNCTION("""COMPUTED_VALUE"""),42444.0)</f>
        <v>42444</v>
      </c>
      <c r="AH363" t="str">
        <f>IFERROR(__xludf.DUMMYFUNCTION("""COMPUTED_VALUE"""),"PROCESO DE SELECCIÓN")</f>
        <v>PROCESO DE SELECCIÓN</v>
      </c>
      <c r="AI363" t="str">
        <f>IFERROR(__xludf.DUMMYFUNCTION("""COMPUTED_VALUE"""),"AUTORIZADO 2015")</f>
        <v>AUTORIZADO 2015</v>
      </c>
      <c r="AK363" t="str">
        <f>IFERROR(__xludf.DUMMYFUNCTION("""COMPUTED_VALUE"""),"E")</f>
        <v>E</v>
      </c>
      <c r="AL363">
        <f>IFERROR(__xludf.DUMMYFUNCTION("""COMPUTED_VALUE"""),55.0)</f>
        <v>55</v>
      </c>
      <c r="AM363">
        <f>IFERROR(__xludf.DUMMYFUNCTION("""COMPUTED_VALUE"""),2016.0)</f>
        <v>2016</v>
      </c>
    </row>
    <row r="364">
      <c r="A364">
        <f>IFERROR(__xludf.DUMMYFUNCTION("""COMPUTED_VALUE"""),1.703166E7)</f>
        <v>17031660</v>
      </c>
      <c r="B364">
        <f>IFERROR(__xludf.DUMMYFUNCTION("""COMPUTED_VALUE"""),21.0)</f>
        <v>21</v>
      </c>
      <c r="D364" t="str">
        <f>IFERROR(__xludf.DUMMYFUNCTION("""COMPUTED_VALUE"""),"INGRESAR CENTRO DE COSTO A LA DERECHA")</f>
        <v>INGRESAR CENTRO DE COSTO A LA DERECHA</v>
      </c>
      <c r="E364" t="str">
        <f>IFERROR(__xludf.DUMMYFUNCTION("""COMPUTED_VALUE"""),"FACULTAD DE QUIMICA Y BIOLOGIA")</f>
        <v>FACULTAD DE QUIMICA Y BIOLOGIA</v>
      </c>
      <c r="F364" t="str">
        <f>IFERROR(__xludf.DUMMYFUNCTION("""COMPUTED_VALUE"""),"Técnico(a) de Laboratorio")</f>
        <v>Técnico(a) de Laboratorio</v>
      </c>
      <c r="G364" t="str">
        <f>IFERROR(__xludf.DUMMYFUNCTION("""COMPUTED_VALUE"""),"TECNICO DE LABORATORIO")</f>
        <v>TECNICO DE LABORATORIO</v>
      </c>
      <c r="H364">
        <f>IFERROR(__xludf.DUMMYFUNCTION("""COMPUTED_VALUE"""),17.0)</f>
        <v>17</v>
      </c>
      <c r="I364" t="str">
        <f>IFERROR(__xludf.DUMMYFUNCTION("""COMPUTED_VALUE"""),"1/2 Jornada")</f>
        <v>1/2 Jornada</v>
      </c>
      <c r="J364" t="str">
        <f>IFERROR(__xludf.DUMMYFUNCTION("""COMPUTED_VALUE"""),"A CONTRATA")</f>
        <v>A CONTRATA</v>
      </c>
      <c r="K364" t="str">
        <f>IFERROR(__xludf.DUMMYFUNCTION("""COMPUTED_VALUE"""),"TECNICO")</f>
        <v>TECNICO</v>
      </c>
      <c r="L364" t="str">
        <f>IFERROR(__xludf.DUMMYFUNCTION("""COMPUTED_VALUE"""),"INTERNO")</f>
        <v>INTERNO</v>
      </c>
      <c r="M364">
        <f>IFERROR(__xludf.DUMMYFUNCTION("""COMPUTED_VALUE"""),0.0)</f>
        <v>0</v>
      </c>
      <c r="N364" t="str">
        <f>IFERROR(__xludf.DUMMYFUNCTION("""COMPUTED_VALUE"""),"EXTERNO")</f>
        <v>EXTERNO</v>
      </c>
      <c r="O364">
        <f>IFERROR(__xludf.DUMMYFUNCTION("""COMPUTED_VALUE"""),4.0)</f>
        <v>4</v>
      </c>
      <c r="P364">
        <f>IFERROR(__xludf.DUMMYFUNCTION("""COMPUTED_VALUE"""),1.0)</f>
        <v>1</v>
      </c>
      <c r="Q364">
        <f>IFERROR(__xludf.DUMMYFUNCTION("""COMPUTED_VALUE"""),1.0)</f>
        <v>1</v>
      </c>
      <c r="R364" s="45" t="str">
        <f>IFERROR(__xludf.DUMMYFUNCTION("""COMPUTED_VALUE"""),"SELECCIONADO")</f>
        <v>SELECCIONADO</v>
      </c>
      <c r="S364" s="38">
        <f>IFERROR(__xludf.DUMMYFUNCTION("""COMPUTED_VALUE"""),42527.0)</f>
        <v>42527</v>
      </c>
      <c r="U364" t="str">
        <f>IFERROR(__xludf.DUMMYFUNCTION("""COMPUTED_VALUE"""),"SEBASTIAN DEL CANTO ORTEGA")</f>
        <v>SEBASTIAN DEL CANTO ORTEGA</v>
      </c>
      <c r="V364" t="str">
        <f>IFERROR(__xludf.DUMMYFUNCTION("""COMPUTED_VALUE"""),"17031660-6")</f>
        <v>17031660-6</v>
      </c>
      <c r="W364" t="str">
        <f>IFERROR(__xludf.DUMMYFUNCTION("""COMPUTED_VALUE"""),"SI")</f>
        <v>SI</v>
      </c>
      <c r="X364" t="str">
        <f>IFERROR(__xludf.DUMMYFUNCTION("""COMPUTED_VALUE"""),"CAPACIDAD DE PLANIFICACION Y ORGANIZACION")</f>
        <v>CAPACIDAD DE PLANIFICACION Y ORGANIZACION</v>
      </c>
      <c r="AA364" s="38">
        <f>IFERROR(__xludf.DUMMYFUNCTION("""COMPUTED_VALUE"""),42444.0)</f>
        <v>42444</v>
      </c>
      <c r="AB364" s="38">
        <f>IFERROR(__xludf.DUMMYFUNCTION("""COMPUTED_VALUE"""),42451.0)</f>
        <v>42451</v>
      </c>
      <c r="AH364" t="str">
        <f>IFERROR(__xludf.DUMMYFUNCTION("""COMPUTED_VALUE"""),"PROCESO DE SELECCIÓN")</f>
        <v>PROCESO DE SELECCIÓN</v>
      </c>
      <c r="AI364" t="str">
        <f>IFERROR(__xludf.DUMMYFUNCTION("""COMPUTED_VALUE"""),"JOCELYN VALENZUELA MELLA")</f>
        <v>JOCELYN VALENZUELA MELLA</v>
      </c>
      <c r="AK364" t="str">
        <f>IFERROR(__xludf.DUMMYFUNCTION("""COMPUTED_VALUE"""),"E")</f>
        <v>E</v>
      </c>
      <c r="AL364">
        <f>IFERROR(__xludf.DUMMYFUNCTION("""COMPUTED_VALUE"""),55.0)</f>
        <v>55</v>
      </c>
      <c r="AM364">
        <f>IFERROR(__xludf.DUMMYFUNCTION("""COMPUTED_VALUE"""),2016.0)</f>
        <v>2016</v>
      </c>
    </row>
    <row r="365">
      <c r="A365">
        <f>IFERROR(__xludf.DUMMYFUNCTION("""COMPUTED_VALUE"""),1.3207216E7)</f>
        <v>13207216</v>
      </c>
      <c r="B365">
        <f>IFERROR(__xludf.DUMMYFUNCTION("""COMPUTED_VALUE"""),22.0)</f>
        <v>22</v>
      </c>
      <c r="D365" t="str">
        <f>IFERROR(__xludf.DUMMYFUNCTION("""COMPUTED_VALUE"""),"INGRESAR CENTRO DE COSTO A LA DERECHA")</f>
        <v>INGRESAR CENTRO DE COSTO A LA DERECHA</v>
      </c>
      <c r="E365" t="str">
        <f>IFERROR(__xludf.DUMMYFUNCTION("""COMPUTED_VALUE"""),"FACULTAD DE HUMANIDADES")</f>
        <v>FACULTAD DE HUMANIDADES</v>
      </c>
      <c r="F365" t="str">
        <f>IFERROR(__xludf.DUMMYFUNCTION("""COMPUTED_VALUE"""),"Secretario(a) C")</f>
        <v>Secretario(a) C</v>
      </c>
      <c r="G365" t="str">
        <f>IFERROR(__xludf.DUMMYFUNCTION("""COMPUTED_VALUE"""),"SECRETARIA ADMINISTRATIVA")</f>
        <v>SECRETARIA ADMINISTRATIVA</v>
      </c>
      <c r="H365">
        <f>IFERROR(__xludf.DUMMYFUNCTION("""COMPUTED_VALUE"""),20.0)</f>
        <v>20</v>
      </c>
      <c r="I365" t="str">
        <f>IFERROR(__xludf.DUMMYFUNCTION("""COMPUTED_VALUE"""),"Jornada Completa")</f>
        <v>Jornada Completa</v>
      </c>
      <c r="J365" t="str">
        <f>IFERROR(__xludf.DUMMYFUNCTION("""COMPUTED_VALUE"""),"A CONTRATA")</f>
        <v>A CONTRATA</v>
      </c>
      <c r="K365" t="str">
        <f>IFERROR(__xludf.DUMMYFUNCTION("""COMPUTED_VALUE"""),"ADMINISTRATIVO")</f>
        <v>ADMINISTRATIVO</v>
      </c>
      <c r="L365" t="str">
        <f>IFERROR(__xludf.DUMMYFUNCTION("""COMPUTED_VALUE"""),"INTERNO")</f>
        <v>INTERNO</v>
      </c>
      <c r="M365">
        <f>IFERROR(__xludf.DUMMYFUNCTION("""COMPUTED_VALUE"""),0.0)</f>
        <v>0</v>
      </c>
      <c r="N365" t="str">
        <f>IFERROR(__xludf.DUMMYFUNCTION("""COMPUTED_VALUE"""),"EXTERNO")</f>
        <v>EXTERNO</v>
      </c>
      <c r="O365">
        <f>IFERROR(__xludf.DUMMYFUNCTION("""COMPUTED_VALUE"""),11.0)</f>
        <v>11</v>
      </c>
      <c r="P365">
        <f>IFERROR(__xludf.DUMMYFUNCTION("""COMPUTED_VALUE"""),1.0)</f>
        <v>1</v>
      </c>
      <c r="Q365">
        <f>IFERROR(__xludf.DUMMYFUNCTION("""COMPUTED_VALUE"""),1.0)</f>
        <v>1</v>
      </c>
      <c r="R365" s="45" t="str">
        <f>IFERROR(__xludf.DUMMYFUNCTION("""COMPUTED_VALUE"""),"SELECCIONADA")</f>
        <v>SELECCIONADA</v>
      </c>
      <c r="S365" s="38">
        <f>IFERROR(__xludf.DUMMYFUNCTION("""COMPUTED_VALUE"""),42552.0)</f>
        <v>42552</v>
      </c>
      <c r="U365" t="str">
        <f>IFERROR(__xludf.DUMMYFUNCTION("""COMPUTED_VALUE"""),"SOLEDAD VELOSO GARCIA")</f>
        <v>SOLEDAD VELOSO GARCIA</v>
      </c>
      <c r="V365" t="str">
        <f>IFERROR(__xludf.DUMMYFUNCTION("""COMPUTED_VALUE"""),"13207216-7")</f>
        <v>13207216-7</v>
      </c>
      <c r="W365" t="str">
        <f>IFERROR(__xludf.DUMMYFUNCTION("""COMPUTED_VALUE"""),"NO")</f>
        <v>NO</v>
      </c>
      <c r="AA365" s="38">
        <f>IFERROR(__xludf.DUMMYFUNCTION("""COMPUTED_VALUE"""),42482.0)</f>
        <v>42482</v>
      </c>
      <c r="AB365" s="38">
        <f>IFERROR(__xludf.DUMMYFUNCTION("""COMPUTED_VALUE"""),42489.0)</f>
        <v>42489</v>
      </c>
      <c r="AH365" t="str">
        <f>IFERROR(__xludf.DUMMYFUNCTION("""COMPUTED_VALUE"""),"PROCESO DE SELECCIÓN")</f>
        <v>PROCESO DE SELECCIÓN</v>
      </c>
      <c r="AI365" t="str">
        <f>IFERROR(__xludf.DUMMYFUNCTION("""COMPUTED_VALUE"""),"PABLO ZOLEZZI LABRA")</f>
        <v>PABLO ZOLEZZI LABRA</v>
      </c>
      <c r="AK365" t="str">
        <f>IFERROR(__xludf.DUMMYFUNCTION("""COMPUTED_VALUE"""),"E")</f>
        <v>E</v>
      </c>
      <c r="AL365">
        <f>IFERROR(__xludf.DUMMYFUNCTION("""COMPUTED_VALUE"""),46.0)</f>
        <v>46</v>
      </c>
      <c r="AM365">
        <f>IFERROR(__xludf.DUMMYFUNCTION("""COMPUTED_VALUE"""),2016.0)</f>
        <v>2016</v>
      </c>
    </row>
    <row r="366">
      <c r="A366">
        <f>IFERROR(__xludf.DUMMYFUNCTION("""COMPUTED_VALUE"""),1.695384E7)</f>
        <v>16953840</v>
      </c>
      <c r="B366">
        <f>IFERROR(__xludf.DUMMYFUNCTION("""COMPUTED_VALUE"""),23.0)</f>
        <v>23</v>
      </c>
      <c r="D366" t="str">
        <f>IFERROR(__xludf.DUMMYFUNCTION("""COMPUTED_VALUE"""),"INGRESAR CENTRO DE COSTO A LA DERECHA")</f>
        <v>INGRESAR CENTRO DE COSTO A LA DERECHA</v>
      </c>
      <c r="E366" t="str">
        <f>IFERROR(__xludf.DUMMYFUNCTION("""COMPUTED_VALUE"""),"UNIDAD DE BIBLIOTECAS")</f>
        <v>UNIDAD DE BIBLIOTECAS</v>
      </c>
      <c r="F366" t="str">
        <f>IFERROR(__xludf.DUMMYFUNCTION("""COMPUTED_VALUE"""),"Bibliotecario(a)")</f>
        <v>Bibliotecario(a)</v>
      </c>
      <c r="G366" t="str">
        <f>IFERROR(__xludf.DUMMYFUNCTION("""COMPUTED_VALUE"""),"BIBLIOTECARIO")</f>
        <v>BIBLIOTECARIO</v>
      </c>
      <c r="H366">
        <f>IFERROR(__xludf.DUMMYFUNCTION("""COMPUTED_VALUE"""),14.0)</f>
        <v>14</v>
      </c>
      <c r="I366" t="str">
        <f>IFERROR(__xludf.DUMMYFUNCTION("""COMPUTED_VALUE"""),"Jornada Completa")</f>
        <v>Jornada Completa</v>
      </c>
      <c r="J366" t="str">
        <f>IFERROR(__xludf.DUMMYFUNCTION("""COMPUTED_VALUE"""),"A CONTRATA")</f>
        <v>A CONTRATA</v>
      </c>
      <c r="K366" t="str">
        <f>IFERROR(__xludf.DUMMYFUNCTION("""COMPUTED_VALUE"""),"PROFESIONAL")</f>
        <v>PROFESIONAL</v>
      </c>
      <c r="L366" t="str">
        <f>IFERROR(__xludf.DUMMYFUNCTION("""COMPUTED_VALUE"""),"INTERNO")</f>
        <v>INTERNO</v>
      </c>
      <c r="M366">
        <f>IFERROR(__xludf.DUMMYFUNCTION("""COMPUTED_VALUE"""),0.0)</f>
        <v>0</v>
      </c>
      <c r="N366" t="str">
        <f>IFERROR(__xludf.DUMMYFUNCTION("""COMPUTED_VALUE"""),"EXTERNO")</f>
        <v>EXTERNO</v>
      </c>
      <c r="O366">
        <f>IFERROR(__xludf.DUMMYFUNCTION("""COMPUTED_VALUE"""),2.0)</f>
        <v>2</v>
      </c>
      <c r="P366">
        <f>IFERROR(__xludf.DUMMYFUNCTION("""COMPUTED_VALUE"""),1.0)</f>
        <v>1</v>
      </c>
      <c r="Q366">
        <f>IFERROR(__xludf.DUMMYFUNCTION("""COMPUTED_VALUE"""),1.0)</f>
        <v>1</v>
      </c>
      <c r="R366" s="45" t="str">
        <f>IFERROR(__xludf.DUMMYFUNCTION("""COMPUTED_VALUE"""),"SELECCIONADA")</f>
        <v>SELECCIONADA</v>
      </c>
      <c r="S366" s="38">
        <f>IFERROR(__xludf.DUMMYFUNCTION("""COMPUTED_VALUE"""),42522.0)</f>
        <v>42522</v>
      </c>
      <c r="U366" t="str">
        <f>IFERROR(__xludf.DUMMYFUNCTION("""COMPUTED_VALUE"""),"OLENKHA CEPEDA BRITO")</f>
        <v>OLENKHA CEPEDA BRITO</v>
      </c>
      <c r="V366" t="str">
        <f>IFERROR(__xludf.DUMMYFUNCTION("""COMPUTED_VALUE"""),"16953840-9")</f>
        <v>16953840-9</v>
      </c>
      <c r="W366" t="str">
        <f>IFERROR(__xludf.DUMMYFUNCTION("""COMPUTED_VALUE"""),"NO")</f>
        <v>NO</v>
      </c>
      <c r="AA366" s="38">
        <f>IFERROR(__xludf.DUMMYFUNCTION("""COMPUTED_VALUE"""),42510.0)</f>
        <v>42510</v>
      </c>
      <c r="AB366" s="38">
        <f>IFERROR(__xludf.DUMMYFUNCTION("""COMPUTED_VALUE"""),42514.0)</f>
        <v>42514</v>
      </c>
      <c r="AH366" t="str">
        <f>IFERROR(__xludf.DUMMYFUNCTION("""COMPUTED_VALUE"""),"PROCESO DE SELECCIÓN")</f>
        <v>PROCESO DE SELECCIÓN</v>
      </c>
      <c r="AI366" t="str">
        <f>IFERROR(__xludf.DUMMYFUNCTION("""COMPUTED_VALUE"""),"LUCIO LOPEZ IÑIQUEZ")</f>
        <v>LUCIO LOPEZ IÑIQUEZ</v>
      </c>
      <c r="AK366" t="str">
        <f>IFERROR(__xludf.DUMMYFUNCTION("""COMPUTED_VALUE"""),"E")</f>
        <v>E</v>
      </c>
      <c r="AL366">
        <f>IFERROR(__xludf.DUMMYFUNCTION("""COMPUTED_VALUE"""),7.0)</f>
        <v>7</v>
      </c>
      <c r="AM366">
        <f>IFERROR(__xludf.DUMMYFUNCTION("""COMPUTED_VALUE"""),2016.0)</f>
        <v>2016</v>
      </c>
    </row>
    <row r="367">
      <c r="A367">
        <f>IFERROR(__xludf.DUMMYFUNCTION("""COMPUTED_VALUE"""),1.8050994E7)</f>
        <v>18050994</v>
      </c>
      <c r="B367">
        <f>IFERROR(__xludf.DUMMYFUNCTION("""COMPUTED_VALUE"""),24.0)</f>
        <v>24</v>
      </c>
      <c r="D367" t="str">
        <f>IFERROR(__xludf.DUMMYFUNCTION("""COMPUTED_VALUE"""),"INGRESAR CENTRO DE COSTO A LA DERECHA")</f>
        <v>INGRESAR CENTRO DE COSTO A LA DERECHA</v>
      </c>
      <c r="E367" t="str">
        <f>IFERROR(__xludf.DUMMYFUNCTION("""COMPUTED_VALUE"""),"DPTO. DE INGENIERIA QUIMICA")</f>
        <v>DPTO. DE INGENIERIA QUIMICA</v>
      </c>
      <c r="F367" t="str">
        <f>IFERROR(__xludf.DUMMYFUNCTION("""COMPUTED_VALUE"""),"Mayordomo(a)")</f>
        <v>Mayordomo(a)</v>
      </c>
      <c r="G367" t="str">
        <f>IFERROR(__xludf.DUMMYFUNCTION("""COMPUTED_VALUE"""),"MAYORDOMO")</f>
        <v>MAYORDOMO</v>
      </c>
      <c r="H367">
        <f>IFERROR(__xludf.DUMMYFUNCTION("""COMPUTED_VALUE"""),21.0)</f>
        <v>21</v>
      </c>
      <c r="I367" t="str">
        <f>IFERROR(__xludf.DUMMYFUNCTION("""COMPUTED_VALUE"""),"Jornada Completa")</f>
        <v>Jornada Completa</v>
      </c>
      <c r="J367" t="str">
        <f>IFERROR(__xludf.DUMMYFUNCTION("""COMPUTED_VALUE"""),"A CONTRATA")</f>
        <v>A CONTRATA</v>
      </c>
      <c r="K367" t="str">
        <f>IFERROR(__xludf.DUMMYFUNCTION("""COMPUTED_VALUE"""),"AUXILIAR")</f>
        <v>AUXILIAR</v>
      </c>
      <c r="L367" t="str">
        <f>IFERROR(__xludf.DUMMYFUNCTION("""COMPUTED_VALUE"""),"INTERNO")</f>
        <v>INTERNO</v>
      </c>
      <c r="M367">
        <f>IFERROR(__xludf.DUMMYFUNCTION("""COMPUTED_VALUE"""),1.0)</f>
        <v>1</v>
      </c>
      <c r="N367" t="str">
        <f>IFERROR(__xludf.DUMMYFUNCTION("""COMPUTED_VALUE"""),"EXTERNO")</f>
        <v>EXTERNO</v>
      </c>
      <c r="O367">
        <f>IFERROR(__xludf.DUMMYFUNCTION("""COMPUTED_VALUE"""),6.0)</f>
        <v>6</v>
      </c>
      <c r="P367">
        <f>IFERROR(__xludf.DUMMYFUNCTION("""COMPUTED_VALUE"""),2.0)</f>
        <v>2</v>
      </c>
      <c r="Q367">
        <f>IFERROR(__xludf.DUMMYFUNCTION("""COMPUTED_VALUE"""),1.0)</f>
        <v>1</v>
      </c>
      <c r="R367" s="45" t="str">
        <f>IFERROR(__xludf.DUMMYFUNCTION("""COMPUTED_VALUE"""),"SELECCIONADO")</f>
        <v>SELECCIONADO</v>
      </c>
      <c r="S367" s="38">
        <f>IFERROR(__xludf.DUMMYFUNCTION("""COMPUTED_VALUE"""),42555.0)</f>
        <v>42555</v>
      </c>
      <c r="U367" t="str">
        <f>IFERROR(__xludf.DUMMYFUNCTION("""COMPUTED_VALUE"""),"MARCO VALDEBENITO PINILLA")</f>
        <v>MARCO VALDEBENITO PINILLA</v>
      </c>
      <c r="V367" t="str">
        <f>IFERROR(__xludf.DUMMYFUNCTION("""COMPUTED_VALUE"""),"18050994-1")</f>
        <v>18050994-1</v>
      </c>
      <c r="W367" t="str">
        <f>IFERROR(__xludf.DUMMYFUNCTION("""COMPUTED_VALUE"""),"NO")</f>
        <v>NO</v>
      </c>
      <c r="AA367" s="38">
        <f>IFERROR(__xludf.DUMMYFUNCTION("""COMPUTED_VALUE"""),42527.0)</f>
        <v>42527</v>
      </c>
      <c r="AB367" s="38">
        <f>IFERROR(__xludf.DUMMYFUNCTION("""COMPUTED_VALUE"""),42530.0)</f>
        <v>42530</v>
      </c>
      <c r="AH367" t="str">
        <f>IFERROR(__xludf.DUMMYFUNCTION("""COMPUTED_VALUE"""),"PROCESO DE SELECCIÓN")</f>
        <v>PROCESO DE SELECCIÓN</v>
      </c>
      <c r="AI367" t="str">
        <f>IFERROR(__xludf.DUMMYFUNCTION("""COMPUTED_VALUE"""),"LUIS CIFUENTES SANCHEZ")</f>
        <v>LUIS CIFUENTES SANCHEZ</v>
      </c>
      <c r="AK367" t="str">
        <f>IFERROR(__xludf.DUMMYFUNCTION("""COMPUTED_VALUE"""),"E")</f>
        <v>E</v>
      </c>
      <c r="AL367">
        <f>IFERROR(__xludf.DUMMYFUNCTION("""COMPUTED_VALUE"""),18.0)</f>
        <v>18</v>
      </c>
      <c r="AM367">
        <f>IFERROR(__xludf.DUMMYFUNCTION("""COMPUTED_VALUE"""),2016.0)</f>
        <v>2016</v>
      </c>
    </row>
    <row r="368">
      <c r="A368">
        <f>IFERROR(__xludf.DUMMYFUNCTION("""COMPUTED_VALUE"""),1.7030357E7)</f>
        <v>17030357</v>
      </c>
      <c r="B368">
        <f>IFERROR(__xludf.DUMMYFUNCTION("""COMPUTED_VALUE"""),25.0)</f>
        <v>25</v>
      </c>
      <c r="D368" t="str">
        <f>IFERROR(__xludf.DUMMYFUNCTION("""COMPUTED_VALUE"""),"INGRESAR CENTRO DE COSTO A LA DERECHA")</f>
        <v>INGRESAR CENTRO DE COSTO A LA DERECHA</v>
      </c>
      <c r="E368" t="str">
        <f>IFERROR(__xludf.DUMMYFUNCTION("""COMPUTED_VALUE"""),"FACULTAD DE HUMANIDADES")</f>
        <v>FACULTAD DE HUMANIDADES</v>
      </c>
      <c r="F368" t="str">
        <f>IFERROR(__xludf.DUMMYFUNCTION("""COMPUTED_VALUE"""),"Analista de Gestión I")</f>
        <v>Analista de Gestión I</v>
      </c>
      <c r="G368" t="str">
        <f>IFERROR(__xludf.DUMMYFUNCTION("""COMPUTED_VALUE"""),"ANALISTA I")</f>
        <v>ANALISTA I</v>
      </c>
      <c r="H368">
        <f>IFERROR(__xludf.DUMMYFUNCTION("""COMPUTED_VALUE"""),10.0)</f>
        <v>10</v>
      </c>
      <c r="I368" t="str">
        <f>IFERROR(__xludf.DUMMYFUNCTION("""COMPUTED_VALUE"""),"Jornada Completa")</f>
        <v>Jornada Completa</v>
      </c>
      <c r="J368" t="str">
        <f>IFERROR(__xludf.DUMMYFUNCTION("""COMPUTED_VALUE"""),"A CONTRATA")</f>
        <v>A CONTRATA</v>
      </c>
      <c r="K368" t="str">
        <f>IFERROR(__xludf.DUMMYFUNCTION("""COMPUTED_VALUE"""),"PROFESIONAL")</f>
        <v>PROFESIONAL</v>
      </c>
      <c r="L368" t="str">
        <f>IFERROR(__xludf.DUMMYFUNCTION("""COMPUTED_VALUE"""),"INTERNO")</f>
        <v>INTERNO</v>
      </c>
      <c r="M368">
        <f>IFERROR(__xludf.DUMMYFUNCTION("""COMPUTED_VALUE"""),6.0)</f>
        <v>6</v>
      </c>
      <c r="N368" t="str">
        <f>IFERROR(__xludf.DUMMYFUNCTION("""COMPUTED_VALUE"""),"EXTERNO")</f>
        <v>EXTERNO</v>
      </c>
      <c r="O368">
        <f>IFERROR(__xludf.DUMMYFUNCTION("""COMPUTED_VALUE"""),15.0)</f>
        <v>15</v>
      </c>
      <c r="P368">
        <f>IFERROR(__xludf.DUMMYFUNCTION("""COMPUTED_VALUE"""),2.0)</f>
        <v>2</v>
      </c>
      <c r="Q368">
        <f>IFERROR(__xludf.DUMMYFUNCTION("""COMPUTED_VALUE"""),1.0)</f>
        <v>1</v>
      </c>
      <c r="R368" s="45" t="str">
        <f>IFERROR(__xludf.DUMMYFUNCTION("""COMPUTED_VALUE"""),"SELECCIONADO")</f>
        <v>SELECCIONADO</v>
      </c>
      <c r="S368" s="38">
        <f>IFERROR(__xludf.DUMMYFUNCTION("""COMPUTED_VALUE"""),42543.0)</f>
        <v>42543</v>
      </c>
      <c r="U368" t="str">
        <f>IFERROR(__xludf.DUMMYFUNCTION("""COMPUTED_VALUE"""),"TAKURI TAPIA MUÑOZ")</f>
        <v>TAKURI TAPIA MUÑOZ</v>
      </c>
      <c r="V368" t="str">
        <f>IFERROR(__xludf.DUMMYFUNCTION("""COMPUTED_VALUE"""),"17030357-1")</f>
        <v>17030357-1</v>
      </c>
      <c r="W368" t="str">
        <f>IFERROR(__xludf.DUMMYFUNCTION("""COMPUTED_VALUE"""),"NO")</f>
        <v>NO</v>
      </c>
      <c r="AA368" s="38">
        <f>IFERROR(__xludf.DUMMYFUNCTION("""COMPUTED_VALUE"""),42466.0)</f>
        <v>42466</v>
      </c>
      <c r="AB368" s="38">
        <f>IFERROR(__xludf.DUMMYFUNCTION("""COMPUTED_VALUE"""),42473.0)</f>
        <v>42473</v>
      </c>
      <c r="AH368" t="str">
        <f>IFERROR(__xludf.DUMMYFUNCTION("""COMPUTED_VALUE"""),"PROCESO DE SELECCIÓN")</f>
        <v>PROCESO DE SELECCIÓN</v>
      </c>
      <c r="AI368" t="str">
        <f>IFERROR(__xludf.DUMMYFUNCTION("""COMPUTED_VALUE"""),"HECTOR RIOS JARA")</f>
        <v>HECTOR RIOS JARA</v>
      </c>
      <c r="AK368" t="str">
        <f>IFERROR(__xludf.DUMMYFUNCTION("""COMPUTED_VALUE"""),"P")</f>
        <v>P</v>
      </c>
      <c r="AL368">
        <f>IFERROR(__xludf.DUMMYFUNCTION("""COMPUTED_VALUE"""),51.0)</f>
        <v>51</v>
      </c>
      <c r="AM368">
        <f>IFERROR(__xludf.DUMMYFUNCTION("""COMPUTED_VALUE"""),2016.0)</f>
        <v>2016</v>
      </c>
    </row>
    <row r="369">
      <c r="A369">
        <f>IFERROR(__xludf.DUMMYFUNCTION("""COMPUTED_VALUE"""),1.2506937E7)</f>
        <v>12506937</v>
      </c>
      <c r="B369">
        <f>IFERROR(__xludf.DUMMYFUNCTION("""COMPUTED_VALUE"""),26.0)</f>
        <v>26</v>
      </c>
      <c r="D369" t="str">
        <f>IFERROR(__xludf.DUMMYFUNCTION("""COMPUTED_VALUE"""),"INGRESAR CENTRO DE COSTO A LA DERECHA")</f>
        <v>INGRESAR CENTRO DE COSTO A LA DERECHA</v>
      </c>
      <c r="E369" t="str">
        <f>IFERROR(__xludf.DUMMYFUNCTION("""COMPUTED_VALUE"""),"FACULTAD DE HUMANIDADES")</f>
        <v>FACULTAD DE HUMANIDADES</v>
      </c>
      <c r="F369" t="str">
        <f>IFERROR(__xludf.DUMMYFUNCTION("""COMPUTED_VALUE"""),"Estafeta")</f>
        <v>Estafeta</v>
      </c>
      <c r="G369" t="str">
        <f>IFERROR(__xludf.DUMMYFUNCTION("""COMPUTED_VALUE"""),"ESTAFETA")</f>
        <v>ESTAFETA</v>
      </c>
      <c r="H369">
        <f>IFERROR(__xludf.DUMMYFUNCTION("""COMPUTED_VALUE"""),23.0)</f>
        <v>23</v>
      </c>
      <c r="I369" t="str">
        <f>IFERROR(__xludf.DUMMYFUNCTION("""COMPUTED_VALUE"""),"Jornada Completa")</f>
        <v>Jornada Completa</v>
      </c>
      <c r="J369" t="str">
        <f>IFERROR(__xludf.DUMMYFUNCTION("""COMPUTED_VALUE"""),"A CONTRATA")</f>
        <v>A CONTRATA</v>
      </c>
      <c r="K369" t="str">
        <f>IFERROR(__xludf.DUMMYFUNCTION("""COMPUTED_VALUE"""),"AUXILIAR")</f>
        <v>AUXILIAR</v>
      </c>
      <c r="L369" t="str">
        <f>IFERROR(__xludf.DUMMYFUNCTION("""COMPUTED_VALUE"""),"INTERNO")</f>
        <v>INTERNO</v>
      </c>
      <c r="M369">
        <f>IFERROR(__xludf.DUMMYFUNCTION("""COMPUTED_VALUE"""),0.0)</f>
        <v>0</v>
      </c>
      <c r="N369" t="str">
        <f>IFERROR(__xludf.DUMMYFUNCTION("""COMPUTED_VALUE"""),"EXTERNO")</f>
        <v>EXTERNO</v>
      </c>
      <c r="O369">
        <f>IFERROR(__xludf.DUMMYFUNCTION("""COMPUTED_VALUE"""),13.0)</f>
        <v>13</v>
      </c>
      <c r="P369">
        <f>IFERROR(__xludf.DUMMYFUNCTION("""COMPUTED_VALUE"""),1.0)</f>
        <v>1</v>
      </c>
      <c r="Q369">
        <f>IFERROR(__xludf.DUMMYFUNCTION("""COMPUTED_VALUE"""),1.0)</f>
        <v>1</v>
      </c>
      <c r="R369" s="45" t="str">
        <f>IFERROR(__xludf.DUMMYFUNCTION("""COMPUTED_VALUE"""),"SELECCIONADO")</f>
        <v>SELECCIONADO</v>
      </c>
      <c r="S369" s="38">
        <f>IFERROR(__xludf.DUMMYFUNCTION("""COMPUTED_VALUE"""),42544.0)</f>
        <v>42544</v>
      </c>
      <c r="U369" t="str">
        <f>IFERROR(__xludf.DUMMYFUNCTION("""COMPUTED_VALUE"""),"OSCAR FIGUEROA SAN MARTIN")</f>
        <v>OSCAR FIGUEROA SAN MARTIN</v>
      </c>
      <c r="V369" t="str">
        <f>IFERROR(__xludf.DUMMYFUNCTION("""COMPUTED_VALUE"""),"12506937-1")</f>
        <v>12506937-1</v>
      </c>
      <c r="W369" t="str">
        <f>IFERROR(__xludf.DUMMYFUNCTION("""COMPUTED_VALUE"""),"NO")</f>
        <v>NO</v>
      </c>
      <c r="AA369" s="38">
        <f>IFERROR(__xludf.DUMMYFUNCTION("""COMPUTED_VALUE"""),42482.0)</f>
        <v>42482</v>
      </c>
      <c r="AB369" s="38">
        <f>IFERROR(__xludf.DUMMYFUNCTION("""COMPUTED_VALUE"""),42489.0)</f>
        <v>42489</v>
      </c>
      <c r="AH369" t="str">
        <f>IFERROR(__xludf.DUMMYFUNCTION("""COMPUTED_VALUE"""),"PROCESO DE SELECCIÓN")</f>
        <v>PROCESO DE SELECCIÓN</v>
      </c>
      <c r="AI369" t="str">
        <f>IFERROR(__xludf.DUMMYFUNCTION("""COMPUTED_VALUE"""),"JULIAN PARDO CARRION")</f>
        <v>JULIAN PARDO CARRION</v>
      </c>
      <c r="AK369" t="str">
        <f>IFERROR(__xludf.DUMMYFUNCTION("""COMPUTED_VALUE"""),"E")</f>
        <v>E</v>
      </c>
      <c r="AL369">
        <f>IFERROR(__xludf.DUMMYFUNCTION("""COMPUTED_VALUE"""),40.0)</f>
        <v>40</v>
      </c>
      <c r="AM369">
        <f>IFERROR(__xludf.DUMMYFUNCTION("""COMPUTED_VALUE"""),2016.0)</f>
        <v>2016</v>
      </c>
    </row>
    <row r="370">
      <c r="A370">
        <f>IFERROR(__xludf.DUMMYFUNCTION("""COMPUTED_VALUE"""),1.5916447E7)</f>
        <v>15916447</v>
      </c>
      <c r="B370">
        <f>IFERROR(__xludf.DUMMYFUNCTION("""COMPUTED_VALUE"""),27.0)</f>
        <v>27</v>
      </c>
      <c r="D370" t="str">
        <f>IFERROR(__xludf.DUMMYFUNCTION("""COMPUTED_VALUE"""),"INGRESAR CENTRO DE COSTO A LA DERECHA")</f>
        <v>INGRESAR CENTRO DE COSTO A LA DERECHA</v>
      </c>
      <c r="E370" t="str">
        <f>IFERROR(__xludf.DUMMYFUNCTION("""COMPUTED_VALUE"""),"UNIDAD DE PROMOCION DE LA SALUD")</f>
        <v>UNIDAD DE PROMOCION DE LA SALUD</v>
      </c>
      <c r="F370" t="str">
        <f>IFERROR(__xludf.DUMMYFUNCTION("""COMPUTED_VALUE"""),"Psicólogo(a)")</f>
        <v>Psicólogo(a)</v>
      </c>
      <c r="G370" t="str">
        <f>IFERROR(__xludf.DUMMYFUNCTION("""COMPUTED_VALUE"""),"PSICOLOGO_CLINICO")</f>
        <v>PSICOLOGO_CLINICO</v>
      </c>
      <c r="H370">
        <f>IFERROR(__xludf.DUMMYFUNCTION("""COMPUTED_VALUE"""),13.0)</f>
        <v>13</v>
      </c>
      <c r="I370" t="str">
        <f>IFERROR(__xludf.DUMMYFUNCTION("""COMPUTED_VALUE"""),"Jornada Completa")</f>
        <v>Jornada Completa</v>
      </c>
      <c r="J370" t="str">
        <f>IFERROR(__xludf.DUMMYFUNCTION("""COMPUTED_VALUE"""),"A CONTRATA")</f>
        <v>A CONTRATA</v>
      </c>
      <c r="K370" t="str">
        <f>IFERROR(__xludf.DUMMYFUNCTION("""COMPUTED_VALUE"""),"PROFESIONAL")</f>
        <v>PROFESIONAL</v>
      </c>
      <c r="L370" t="str">
        <f>IFERROR(__xludf.DUMMYFUNCTION("""COMPUTED_VALUE"""),"INTERNO")</f>
        <v>INTERNO</v>
      </c>
      <c r="M370">
        <f>IFERROR(__xludf.DUMMYFUNCTION("""COMPUTED_VALUE"""),1.0)</f>
        <v>1</v>
      </c>
      <c r="N370" t="str">
        <f>IFERROR(__xludf.DUMMYFUNCTION("""COMPUTED_VALUE"""),"EXTERNO")</f>
        <v>EXTERNO</v>
      </c>
      <c r="O370">
        <f>IFERROR(__xludf.DUMMYFUNCTION("""COMPUTED_VALUE"""),34.0)</f>
        <v>34</v>
      </c>
      <c r="P370">
        <f>IFERROR(__xludf.DUMMYFUNCTION("""COMPUTED_VALUE"""),1.0)</f>
        <v>1</v>
      </c>
      <c r="Q370">
        <f>IFERROR(__xludf.DUMMYFUNCTION("""COMPUTED_VALUE"""),2.0)</f>
        <v>2</v>
      </c>
      <c r="R370" s="45" t="str">
        <f>IFERROR(__xludf.DUMMYFUNCTION("""COMPUTED_VALUE"""),"SELECCIONADA")</f>
        <v>SELECCIONADA</v>
      </c>
      <c r="S370" s="38">
        <f>IFERROR(__xludf.DUMMYFUNCTION("""COMPUTED_VALUE"""),42541.0)</f>
        <v>42541</v>
      </c>
      <c r="U370" t="str">
        <f>IFERROR(__xludf.DUMMYFUNCTION("""COMPUTED_VALUE"""),"LEYLA CHAJTUR ZAMUDIO")</f>
        <v>LEYLA CHAJTUR ZAMUDIO</v>
      </c>
      <c r="V370" t="str">
        <f>IFERROR(__xludf.DUMMYFUNCTION("""COMPUTED_VALUE"""),"15916447-0")</f>
        <v>15916447-0</v>
      </c>
      <c r="W370" t="str">
        <f>IFERROR(__xludf.DUMMYFUNCTION("""COMPUTED_VALUE"""),"NO")</f>
        <v>NO</v>
      </c>
      <c r="AA370" s="38">
        <f>IFERROR(__xludf.DUMMYFUNCTION("""COMPUTED_VALUE"""),42500.0)</f>
        <v>42500</v>
      </c>
      <c r="AB370" s="38">
        <f>IFERROR(__xludf.DUMMYFUNCTION("""COMPUTED_VALUE"""),42507.0)</f>
        <v>42507</v>
      </c>
      <c r="AH370" t="str">
        <f>IFERROR(__xludf.DUMMYFUNCTION("""COMPUTED_VALUE"""),"PROCESO DE SELECCIÓN")</f>
        <v>PROCESO DE SELECCIÓN</v>
      </c>
      <c r="AI370" t="str">
        <f>IFERROR(__xludf.DUMMYFUNCTION("""COMPUTED_VALUE"""),"MARIO CASTILLO MANZANO")</f>
        <v>MARIO CASTILLO MANZANO</v>
      </c>
      <c r="AK370" t="str">
        <f>IFERROR(__xludf.DUMMYFUNCTION("""COMPUTED_VALUE"""),"E")</f>
        <v>E</v>
      </c>
      <c r="AL370">
        <f>IFERROR(__xludf.DUMMYFUNCTION("""COMPUTED_VALUE"""),25.0)</f>
        <v>25</v>
      </c>
      <c r="AM370">
        <f>IFERROR(__xludf.DUMMYFUNCTION("""COMPUTED_VALUE"""),2016.0)</f>
        <v>2016</v>
      </c>
    </row>
    <row r="371">
      <c r="A371">
        <f>IFERROR(__xludf.DUMMYFUNCTION("""COMPUTED_VALUE"""),1.2234367E7)</f>
        <v>12234367</v>
      </c>
      <c r="B371">
        <f>IFERROR(__xludf.DUMMYFUNCTION("""COMPUTED_VALUE"""),28.0)</f>
        <v>28</v>
      </c>
      <c r="D371" t="str">
        <f>IFERROR(__xludf.DUMMYFUNCTION("""COMPUTED_VALUE"""),"INGRESAR CENTRO DE COSTO A LA DERECHA")</f>
        <v>INGRESAR CENTRO DE COSTO A LA DERECHA</v>
      </c>
      <c r="E371" t="str">
        <f>IFERROR(__xludf.DUMMYFUNCTION("""COMPUTED_VALUE"""),"FACULTAD TECNOLOGICA")</f>
        <v>FACULTAD TECNOLOGICA</v>
      </c>
      <c r="F371" t="str">
        <f>IFERROR(__xludf.DUMMYFUNCTION("""COMPUTED_VALUE"""),"Bibliotecario(a)")</f>
        <v>Bibliotecario(a)</v>
      </c>
      <c r="G371" t="str">
        <f>IFERROR(__xludf.DUMMYFUNCTION("""COMPUTED_VALUE"""),"BIBLIOTECARIO")</f>
        <v>BIBLIOTECARIO</v>
      </c>
      <c r="H371">
        <f>IFERROR(__xludf.DUMMYFUNCTION("""COMPUTED_VALUE"""),14.0)</f>
        <v>14</v>
      </c>
      <c r="I371" t="str">
        <f>IFERROR(__xludf.DUMMYFUNCTION("""COMPUTED_VALUE"""),"Jornada Completa")</f>
        <v>Jornada Completa</v>
      </c>
      <c r="J371" t="str">
        <f>IFERROR(__xludf.DUMMYFUNCTION("""COMPUTED_VALUE"""),"A CONTRATA")</f>
        <v>A CONTRATA</v>
      </c>
      <c r="K371" t="str">
        <f>IFERROR(__xludf.DUMMYFUNCTION("""COMPUTED_VALUE"""),"PROFESIONAL")</f>
        <v>PROFESIONAL</v>
      </c>
      <c r="L371" t="str">
        <f>IFERROR(__xludf.DUMMYFUNCTION("""COMPUTED_VALUE"""),"INTERNO")</f>
        <v>INTERNO</v>
      </c>
      <c r="M371">
        <f>IFERROR(__xludf.DUMMYFUNCTION("""COMPUTED_VALUE"""),0.0)</f>
        <v>0</v>
      </c>
      <c r="N371" t="str">
        <f>IFERROR(__xludf.DUMMYFUNCTION("""COMPUTED_VALUE"""),"EXTERNO")</f>
        <v>EXTERNO</v>
      </c>
      <c r="O371">
        <f>IFERROR(__xludf.DUMMYFUNCTION("""COMPUTED_VALUE"""),20.0)</f>
        <v>20</v>
      </c>
      <c r="P371">
        <f>IFERROR(__xludf.DUMMYFUNCTION("""COMPUTED_VALUE"""),2.0)</f>
        <v>2</v>
      </c>
      <c r="Q371">
        <f>IFERROR(__xludf.DUMMYFUNCTION("""COMPUTED_VALUE"""),1.0)</f>
        <v>1</v>
      </c>
      <c r="R371" s="45" t="str">
        <f>IFERROR(__xludf.DUMMYFUNCTION("""COMPUTED_VALUE"""),"SELECCIONADA")</f>
        <v>SELECCIONADA</v>
      </c>
      <c r="S371" s="38">
        <f>IFERROR(__xludf.DUMMYFUNCTION("""COMPUTED_VALUE"""),42527.0)</f>
        <v>42527</v>
      </c>
      <c r="U371" t="str">
        <f>IFERROR(__xludf.DUMMYFUNCTION("""COMPUTED_VALUE"""),"VERONICA RAMIREZ ARRUE")</f>
        <v>VERONICA RAMIREZ ARRUE</v>
      </c>
      <c r="V371" t="str">
        <f>IFERROR(__xludf.DUMMYFUNCTION("""COMPUTED_VALUE"""),"12234367-7")</f>
        <v>12234367-7</v>
      </c>
      <c r="W371" t="str">
        <f>IFERROR(__xludf.DUMMYFUNCTION("""COMPUTED_VALUE"""),"SI")</f>
        <v>SI</v>
      </c>
      <c r="X371" t="str">
        <f>IFERROR(__xludf.DUMMYFUNCTION("""COMPUTED_VALUE"""),"TRABAJO EN EQUIPO")</f>
        <v>TRABAJO EN EQUIPO</v>
      </c>
      <c r="AA371" s="38">
        <f>IFERROR(__xludf.DUMMYFUNCTION("""COMPUTED_VALUE"""),42437.0)</f>
        <v>42437</v>
      </c>
      <c r="AB371" s="38">
        <f>IFERROR(__xludf.DUMMYFUNCTION("""COMPUTED_VALUE"""),42444.0)</f>
        <v>42444</v>
      </c>
      <c r="AH371" t="str">
        <f>IFERROR(__xludf.DUMMYFUNCTION("""COMPUTED_VALUE"""),"PROCESO DE SELECCIÓN")</f>
        <v>PROCESO DE SELECCIÓN</v>
      </c>
      <c r="AI371" t="str">
        <f>IFERROR(__xludf.DUMMYFUNCTION("""COMPUTED_VALUE"""),"AUTORIZADO 2015")</f>
        <v>AUTORIZADO 2015</v>
      </c>
      <c r="AK371" t="str">
        <f>IFERROR(__xludf.DUMMYFUNCTION("""COMPUTED_VALUE"""),"E")</f>
        <v>E</v>
      </c>
      <c r="AL371">
        <f>IFERROR(__xludf.DUMMYFUNCTION("""COMPUTED_VALUE"""),60.0)</f>
        <v>60</v>
      </c>
      <c r="AM371">
        <f>IFERROR(__xludf.DUMMYFUNCTION("""COMPUTED_VALUE"""),2016.0)</f>
        <v>2016</v>
      </c>
    </row>
    <row r="372">
      <c r="A372">
        <f>IFERROR(__xludf.DUMMYFUNCTION("""COMPUTED_VALUE"""),1.7051053E7)</f>
        <v>17051053</v>
      </c>
      <c r="B372">
        <f>IFERROR(__xludf.DUMMYFUNCTION("""COMPUTED_VALUE"""),29.0)</f>
        <v>29</v>
      </c>
      <c r="D372" t="str">
        <f>IFERROR(__xludf.DUMMYFUNCTION("""COMPUTED_VALUE"""),"INGRESAR CENTRO DE COSTO A LA DERECHA")</f>
        <v>INGRESAR CENTRO DE COSTO A LA DERECHA</v>
      </c>
      <c r="E372" t="str">
        <f>IFERROR(__xludf.DUMMYFUNCTION("""COMPUTED_VALUE"""),"DPTO. DE EDUCACION")</f>
        <v>DPTO. DE EDUCACION</v>
      </c>
      <c r="F372" t="str">
        <f>IFERROR(__xludf.DUMMYFUNCTION("""COMPUTED_VALUE"""),"Mayordomo(a)")</f>
        <v>Mayordomo(a)</v>
      </c>
      <c r="G372" t="str">
        <f>IFERROR(__xludf.DUMMYFUNCTION("""COMPUTED_VALUE"""),"MAYORDOMO")</f>
        <v>MAYORDOMO</v>
      </c>
      <c r="H372">
        <f>IFERROR(__xludf.DUMMYFUNCTION("""COMPUTED_VALUE"""),21.0)</f>
        <v>21</v>
      </c>
      <c r="I372" t="str">
        <f>IFERROR(__xludf.DUMMYFUNCTION("""COMPUTED_VALUE"""),"3/4 Jornada")</f>
        <v>3/4 Jornada</v>
      </c>
      <c r="J372" t="str">
        <f>IFERROR(__xludf.DUMMYFUNCTION("""COMPUTED_VALUE"""),"A CONTRATA")</f>
        <v>A CONTRATA</v>
      </c>
      <c r="K372" t="str">
        <f>IFERROR(__xludf.DUMMYFUNCTION("""COMPUTED_VALUE"""),"AUXILIAR")</f>
        <v>AUXILIAR</v>
      </c>
      <c r="L372" t="str">
        <f>IFERROR(__xludf.DUMMYFUNCTION("""COMPUTED_VALUE"""),"INTERNO")</f>
        <v>INTERNO</v>
      </c>
      <c r="M372">
        <f>IFERROR(__xludf.DUMMYFUNCTION("""COMPUTED_VALUE"""),0.0)</f>
        <v>0</v>
      </c>
      <c r="N372" t="str">
        <f>IFERROR(__xludf.DUMMYFUNCTION("""COMPUTED_VALUE"""),"EXTERNO")</f>
        <v>EXTERNO</v>
      </c>
      <c r="O372">
        <f>IFERROR(__xludf.DUMMYFUNCTION("""COMPUTED_VALUE"""),2.0)</f>
        <v>2</v>
      </c>
      <c r="P372">
        <f>IFERROR(__xludf.DUMMYFUNCTION("""COMPUTED_VALUE"""),1.0)</f>
        <v>1</v>
      </c>
      <c r="Q372">
        <f>IFERROR(__xludf.DUMMYFUNCTION("""COMPUTED_VALUE"""),2.0)</f>
        <v>2</v>
      </c>
      <c r="R372" s="45" t="str">
        <f>IFERROR(__xludf.DUMMYFUNCTION("""COMPUTED_VALUE"""),"SELECCIONADO")</f>
        <v>SELECCIONADO</v>
      </c>
      <c r="S372" s="38">
        <f>IFERROR(__xludf.DUMMYFUNCTION("""COMPUTED_VALUE"""),42552.0)</f>
        <v>42552</v>
      </c>
      <c r="U372" t="str">
        <f>IFERROR(__xludf.DUMMYFUNCTION("""COMPUTED_VALUE"""),"CRISTIAN LEIVA MALDONADO")</f>
        <v>CRISTIAN LEIVA MALDONADO</v>
      </c>
      <c r="V372" t="str">
        <f>IFERROR(__xludf.DUMMYFUNCTION("""COMPUTED_VALUE"""),"17051053-4")</f>
        <v>17051053-4</v>
      </c>
      <c r="W372" t="str">
        <f>IFERROR(__xludf.DUMMYFUNCTION("""COMPUTED_VALUE"""),"NO")</f>
        <v>NO</v>
      </c>
      <c r="AA372" s="38">
        <f>IFERROR(__xludf.DUMMYFUNCTION("""COMPUTED_VALUE"""),42468.0)</f>
        <v>42468</v>
      </c>
      <c r="AB372" s="38">
        <f>IFERROR(__xludf.DUMMYFUNCTION("""COMPUTED_VALUE"""),42475.0)</f>
        <v>42475</v>
      </c>
      <c r="AH372" t="str">
        <f>IFERROR(__xludf.DUMMYFUNCTION("""COMPUTED_VALUE"""),"PROCESO DE SELECCIÓN")</f>
        <v>PROCESO DE SELECCIÓN</v>
      </c>
      <c r="AI372" t="str">
        <f>IFERROR(__xludf.DUMMYFUNCTION("""COMPUTED_VALUE"""),"ERNESTO CID MELO")</f>
        <v>ERNESTO CID MELO</v>
      </c>
      <c r="AK372" t="str">
        <f>IFERROR(__xludf.DUMMYFUNCTION("""COMPUTED_VALUE"""),"E")</f>
        <v>E</v>
      </c>
      <c r="AL372">
        <f>IFERROR(__xludf.DUMMYFUNCTION("""COMPUTED_VALUE"""),56.0)</f>
        <v>56</v>
      </c>
      <c r="AM372">
        <f>IFERROR(__xludf.DUMMYFUNCTION("""COMPUTED_VALUE"""),2016.0)</f>
        <v>2016</v>
      </c>
    </row>
    <row r="373">
      <c r="A373">
        <f>IFERROR(__xludf.DUMMYFUNCTION("""COMPUTED_VALUE"""),7987386.0)</f>
        <v>7987386</v>
      </c>
      <c r="B373">
        <f>IFERROR(__xludf.DUMMYFUNCTION("""COMPUTED_VALUE"""),30.0)</f>
        <v>30</v>
      </c>
      <c r="D373" t="str">
        <f>IFERROR(__xludf.DUMMYFUNCTION("""COMPUTED_VALUE"""),"INGRESAR CENTRO DE COSTO A LA DERECHA")</f>
        <v>INGRESAR CENTRO DE COSTO A LA DERECHA</v>
      </c>
      <c r="E373" t="str">
        <f>IFERROR(__xludf.DUMMYFUNCTION("""COMPUTED_VALUE"""),"DPTO. DE TECNOLOGIAS INDUSTRIALES")</f>
        <v>DPTO. DE TECNOLOGIAS INDUSTRIALES</v>
      </c>
      <c r="F373" t="str">
        <f>IFERROR(__xludf.DUMMYFUNCTION("""COMPUTED_VALUE"""),"Secretario(a) de Apoyo Docente")</f>
        <v>Secretario(a) de Apoyo Docente</v>
      </c>
      <c r="G373" t="str">
        <f>IFERROR(__xludf.DUMMYFUNCTION("""COMPUTED_VALUE"""),"SECRETARIA DE APOYO DOCENTE")</f>
        <v>SECRETARIA DE APOYO DOCENTE</v>
      </c>
      <c r="H373">
        <f>IFERROR(__xludf.DUMMYFUNCTION("""COMPUTED_VALUE"""),17.0)</f>
        <v>17</v>
      </c>
      <c r="I373" t="str">
        <f>IFERROR(__xludf.DUMMYFUNCTION("""COMPUTED_VALUE"""),"Jornada Completa")</f>
        <v>Jornada Completa</v>
      </c>
      <c r="J373" t="str">
        <f>IFERROR(__xludf.DUMMYFUNCTION("""COMPUTED_VALUE"""),"A CONTRATA")</f>
        <v>A CONTRATA</v>
      </c>
      <c r="K373" t="str">
        <f>IFERROR(__xludf.DUMMYFUNCTION("""COMPUTED_VALUE"""),"ADMINISTRATIVO")</f>
        <v>ADMINISTRATIVO</v>
      </c>
      <c r="L373" t="str">
        <f>IFERROR(__xludf.DUMMYFUNCTION("""COMPUTED_VALUE"""),"INTERNO")</f>
        <v>INTERNO</v>
      </c>
      <c r="M373">
        <f>IFERROR(__xludf.DUMMYFUNCTION("""COMPUTED_VALUE"""),2.0)</f>
        <v>2</v>
      </c>
      <c r="N373" t="str">
        <f>IFERROR(__xludf.DUMMYFUNCTION("""COMPUTED_VALUE"""),"EXTERNO")</f>
        <v>EXTERNO</v>
      </c>
      <c r="O373">
        <f>IFERROR(__xludf.DUMMYFUNCTION("""COMPUTED_VALUE"""),10.0)</f>
        <v>10</v>
      </c>
      <c r="P373">
        <f>IFERROR(__xludf.DUMMYFUNCTION("""COMPUTED_VALUE"""),5.0)</f>
        <v>5</v>
      </c>
      <c r="Q373">
        <f>IFERROR(__xludf.DUMMYFUNCTION("""COMPUTED_VALUE"""),1.0)</f>
        <v>1</v>
      </c>
      <c r="R373" s="45" t="str">
        <f>IFERROR(__xludf.DUMMYFUNCTION("""COMPUTED_VALUE"""),"SELECCIONADA")</f>
        <v>SELECCIONADA</v>
      </c>
      <c r="S373" s="38">
        <f>IFERROR(__xludf.DUMMYFUNCTION("""COMPUTED_VALUE"""),42555.0)</f>
        <v>42555</v>
      </c>
      <c r="U373" t="str">
        <f>IFERROR(__xludf.DUMMYFUNCTION("""COMPUTED_VALUE"""),"GLORIA GONZALEZ HERNANDEZ")</f>
        <v>GLORIA GONZALEZ HERNANDEZ</v>
      </c>
      <c r="V373" t="str">
        <f>IFERROR(__xludf.DUMMYFUNCTION("""COMPUTED_VALUE"""),"7987386-1")</f>
        <v>7987386-1</v>
      </c>
      <c r="W373" t="str">
        <f>IFERROR(__xludf.DUMMYFUNCTION("""COMPUTED_VALUE"""),"NO")</f>
        <v>NO</v>
      </c>
      <c r="AA373" s="38">
        <f>IFERROR(__xludf.DUMMYFUNCTION("""COMPUTED_VALUE"""),42527.0)</f>
        <v>42527</v>
      </c>
      <c r="AB373" s="38">
        <f>IFERROR(__xludf.DUMMYFUNCTION("""COMPUTED_VALUE"""),42531.0)</f>
        <v>42531</v>
      </c>
      <c r="AH373" t="str">
        <f>IFERROR(__xludf.DUMMYFUNCTION("""COMPUTED_VALUE"""),"PROCESO DE SELECCIÓN")</f>
        <v>PROCESO DE SELECCIÓN</v>
      </c>
      <c r="AI373" t="str">
        <f>IFERROR(__xludf.DUMMYFUNCTION("""COMPUTED_VALUE"""),"AUTORIZADO 2015")</f>
        <v>AUTORIZADO 2015</v>
      </c>
      <c r="AK373" t="str">
        <f>IFERROR(__xludf.DUMMYFUNCTION("""COMPUTED_VALUE"""),"E")</f>
        <v>E</v>
      </c>
      <c r="AL373">
        <f>IFERROR(__xludf.DUMMYFUNCTION("""COMPUTED_VALUE"""),17.0)</f>
        <v>17</v>
      </c>
      <c r="AM373">
        <f>IFERROR(__xludf.DUMMYFUNCTION("""COMPUTED_VALUE"""),2016.0)</f>
        <v>2016</v>
      </c>
    </row>
    <row r="374">
      <c r="A374">
        <f>IFERROR(__xludf.DUMMYFUNCTION("""COMPUTED_VALUE"""),1.3924244E7)</f>
        <v>13924244</v>
      </c>
      <c r="B374">
        <f>IFERROR(__xludf.DUMMYFUNCTION("""COMPUTED_VALUE"""),31.0)</f>
        <v>31</v>
      </c>
      <c r="D374" t="str">
        <f>IFERROR(__xludf.DUMMYFUNCTION("""COMPUTED_VALUE"""),"INGRESAR CENTRO DE COSTO A LA DERECHA")</f>
        <v>INGRESAR CENTRO DE COSTO A LA DERECHA</v>
      </c>
      <c r="E374" t="str">
        <f>IFERROR(__xludf.DUMMYFUNCTION("""COMPUTED_VALUE"""),"VR. ACADEMICA")</f>
        <v>VR. ACADEMICA</v>
      </c>
      <c r="F374" t="str">
        <f>IFERROR(__xludf.DUMMYFUNCTION("""COMPUTED_VALUE"""),"Jefe(a) de Área")</f>
        <v>Jefe(a) de Área</v>
      </c>
      <c r="G374" t="str">
        <f>IFERROR(__xludf.DUMMYFUNCTION("""COMPUTED_VALUE"""),"JEFE DE AREA")</f>
        <v>JEFE DE AREA</v>
      </c>
      <c r="H374">
        <f>IFERROR(__xludf.DUMMYFUNCTION("""COMPUTED_VALUE"""),6.0)</f>
        <v>6</v>
      </c>
      <c r="I374" t="str">
        <f>IFERROR(__xludf.DUMMYFUNCTION("""COMPUTED_VALUE"""),"Jornada Completa")</f>
        <v>Jornada Completa</v>
      </c>
      <c r="J374" t="str">
        <f>IFERROR(__xludf.DUMMYFUNCTION("""COMPUTED_VALUE"""),"A CONTRATA")</f>
        <v>A CONTRATA</v>
      </c>
      <c r="K374" t="str">
        <f>IFERROR(__xludf.DUMMYFUNCTION("""COMPUTED_VALUE"""),"PROFESIONAL")</f>
        <v>PROFESIONAL</v>
      </c>
      <c r="L374" t="str">
        <f>IFERROR(__xludf.DUMMYFUNCTION("""COMPUTED_VALUE"""),"NO")</f>
        <v>NO</v>
      </c>
      <c r="M374">
        <f>IFERROR(__xludf.DUMMYFUNCTION("""COMPUTED_VALUE"""),0.0)</f>
        <v>0</v>
      </c>
      <c r="N374" t="str">
        <f>IFERROR(__xludf.DUMMYFUNCTION("""COMPUTED_VALUE"""),"NO")</f>
        <v>NO</v>
      </c>
      <c r="O374">
        <f>IFERROR(__xludf.DUMMYFUNCTION("""COMPUTED_VALUE"""),0.0)</f>
        <v>0</v>
      </c>
      <c r="P374">
        <f>IFERROR(__xludf.DUMMYFUNCTION("""COMPUTED_VALUE"""),1.0)</f>
        <v>1</v>
      </c>
      <c r="Q374">
        <f>IFERROR(__xludf.DUMMYFUNCTION("""COMPUTED_VALUE"""),0.0)</f>
        <v>0</v>
      </c>
      <c r="R374" s="45" t="str">
        <f>IFERROR(__xludf.DUMMYFUNCTION("""COMPUTED_VALUE"""),"SELECCIONADA")</f>
        <v>SELECCIONADA</v>
      </c>
      <c r="S374" s="38">
        <f>IFERROR(__xludf.DUMMYFUNCTION("""COMPUTED_VALUE"""),42430.0)</f>
        <v>42430</v>
      </c>
      <c r="U374" t="str">
        <f>IFERROR(__xludf.DUMMYFUNCTION("""COMPUTED_VALUE"""),"BEATRIZ DEL PILAR RAHMER PAVEZ")</f>
        <v>BEATRIZ DEL PILAR RAHMER PAVEZ</v>
      </c>
      <c r="V374" t="str">
        <f>IFERROR(__xludf.DUMMYFUNCTION("""COMPUTED_VALUE"""),"13924244-0")</f>
        <v>13924244-0</v>
      </c>
      <c r="W374" t="str">
        <f>IFERROR(__xludf.DUMMYFUNCTION("""COMPUTED_VALUE"""),"NO")</f>
        <v>NO</v>
      </c>
      <c r="AH374" t="str">
        <f>IFERROR(__xludf.DUMMYFUNCTION("""COMPUTED_VALUE"""),"REGULARIZACIÓN CONTRACTUAL")</f>
        <v>REGULARIZACIÓN CONTRACTUAL</v>
      </c>
      <c r="AI374" t="str">
        <f>IFERROR(__xludf.DUMMYFUNCTION("""COMPUTED_VALUE"""),"-")</f>
        <v>-</v>
      </c>
      <c r="AM374">
        <f>IFERROR(__xludf.DUMMYFUNCTION("""COMPUTED_VALUE"""),2016.0)</f>
        <v>2016</v>
      </c>
    </row>
    <row r="375">
      <c r="A375">
        <f>IFERROR(__xludf.DUMMYFUNCTION("""COMPUTED_VALUE"""),1.4091964E7)</f>
        <v>14091964</v>
      </c>
      <c r="B375">
        <f>IFERROR(__xludf.DUMMYFUNCTION("""COMPUTED_VALUE"""),32.0)</f>
        <v>32</v>
      </c>
      <c r="D375" t="str">
        <f>IFERROR(__xludf.DUMMYFUNCTION("""COMPUTED_VALUE"""),"INGRESAR CENTRO DE COSTO A LA DERECHA")</f>
        <v>INGRESAR CENTRO DE COSTO A LA DERECHA</v>
      </c>
      <c r="E375" t="str">
        <f>IFERROR(__xludf.DUMMYFUNCTION("""COMPUTED_VALUE"""),"VR. DE INVEST. DESARR E INNOVACION")</f>
        <v>VR. DE INVEST. DESARR E INNOVACION</v>
      </c>
      <c r="F375" t="str">
        <f>IFERROR(__xludf.DUMMYFUNCTION("""COMPUTED_VALUE"""),"Secretario(a) B")</f>
        <v>Secretario(a) B</v>
      </c>
      <c r="G375" t="str">
        <f>IFERROR(__xludf.DUMMYFUNCTION("""COMPUTED_VALUE"""),"SECRETARIA(O) B")</f>
        <v>SECRETARIA(O) B</v>
      </c>
      <c r="H375">
        <f>IFERROR(__xludf.DUMMYFUNCTION("""COMPUTED_VALUE"""),17.0)</f>
        <v>17</v>
      </c>
      <c r="I375" t="str">
        <f>IFERROR(__xludf.DUMMYFUNCTION("""COMPUTED_VALUE"""),"Jornada Completa")</f>
        <v>Jornada Completa</v>
      </c>
      <c r="J375" t="str">
        <f>IFERROR(__xludf.DUMMYFUNCTION("""COMPUTED_VALUE"""),"A CONTRATA")</f>
        <v>A CONTRATA</v>
      </c>
      <c r="K375" t="str">
        <f>IFERROR(__xludf.DUMMYFUNCTION("""COMPUTED_VALUE"""),"ADMINISTRATIVO")</f>
        <v>ADMINISTRATIVO</v>
      </c>
      <c r="L375" t="str">
        <f>IFERROR(__xludf.DUMMYFUNCTION("""COMPUTED_VALUE"""),"NO")</f>
        <v>NO</v>
      </c>
      <c r="M375">
        <f>IFERROR(__xludf.DUMMYFUNCTION("""COMPUTED_VALUE"""),0.0)</f>
        <v>0</v>
      </c>
      <c r="N375" t="str">
        <f>IFERROR(__xludf.DUMMYFUNCTION("""COMPUTED_VALUE"""),"NO")</f>
        <v>NO</v>
      </c>
      <c r="O375">
        <f>IFERROR(__xludf.DUMMYFUNCTION("""COMPUTED_VALUE"""),0.0)</f>
        <v>0</v>
      </c>
      <c r="P375">
        <f>IFERROR(__xludf.DUMMYFUNCTION("""COMPUTED_VALUE"""),1.0)</f>
        <v>1</v>
      </c>
      <c r="Q375">
        <f>IFERROR(__xludf.DUMMYFUNCTION("""COMPUTED_VALUE"""),0.0)</f>
        <v>0</v>
      </c>
      <c r="R375" s="45" t="str">
        <f>IFERROR(__xludf.DUMMYFUNCTION("""COMPUTED_VALUE"""),"SELECCIONADA")</f>
        <v>SELECCIONADA</v>
      </c>
      <c r="S375" s="38">
        <f>IFERROR(__xludf.DUMMYFUNCTION("""COMPUTED_VALUE"""),42370.0)</f>
        <v>42370</v>
      </c>
      <c r="U375" t="str">
        <f>IFERROR(__xludf.DUMMYFUNCTION("""COMPUTED_VALUE"""),"KATHERINE ELIZABETH PAZ SANCHEZ")</f>
        <v>KATHERINE ELIZABETH PAZ SANCHEZ</v>
      </c>
      <c r="V375" t="str">
        <f>IFERROR(__xludf.DUMMYFUNCTION("""COMPUTED_VALUE"""),"14091964-0")</f>
        <v>14091964-0</v>
      </c>
      <c r="W375" t="str">
        <f>IFERROR(__xludf.DUMMYFUNCTION("""COMPUTED_VALUE"""),"SI")</f>
        <v>SI</v>
      </c>
      <c r="X375" t="str">
        <f>IFERROR(__xludf.DUMMYFUNCTION("""COMPUTED_VALUE"""),"TRABAJO EN EQUIPO")</f>
        <v>TRABAJO EN EQUIPO</v>
      </c>
      <c r="AH375" t="str">
        <f>IFERROR(__xludf.DUMMYFUNCTION("""COMPUTED_VALUE"""),"REGULARIZACIÓN CONTRACTUAL")</f>
        <v>REGULARIZACIÓN CONTRACTUAL</v>
      </c>
      <c r="AI375" t="str">
        <f>IFERROR(__xludf.DUMMYFUNCTION("""COMPUTED_VALUE"""),"-")</f>
        <v>-</v>
      </c>
      <c r="AM375">
        <f>IFERROR(__xludf.DUMMYFUNCTION("""COMPUTED_VALUE"""),2016.0)</f>
        <v>2016</v>
      </c>
    </row>
    <row r="376">
      <c r="A376">
        <f>IFERROR(__xludf.DUMMYFUNCTION("""COMPUTED_VALUE"""),1.8079595E7)</f>
        <v>18079595</v>
      </c>
      <c r="B376">
        <f>IFERROR(__xludf.DUMMYFUNCTION("""COMPUTED_VALUE"""),33.0)</f>
        <v>33</v>
      </c>
      <c r="D376" t="str">
        <f>IFERROR(__xludf.DUMMYFUNCTION("""COMPUTED_VALUE"""),"INGRESAR CENTRO DE COSTO A LA DERECHA")</f>
        <v>INGRESAR CENTRO DE COSTO A LA DERECHA</v>
      </c>
      <c r="E376" t="str">
        <f>IFERROR(__xludf.DUMMYFUNCTION("""COMPUTED_VALUE"""),"VR. DE INVEST. DESARR E INNOVACION")</f>
        <v>VR. DE INVEST. DESARR E INNOVACION</v>
      </c>
      <c r="F376" t="str">
        <f>IFERROR(__xludf.DUMMYFUNCTION("""COMPUTED_VALUE"""),"Administrativo(a) de Compras")</f>
        <v>Administrativo(a) de Compras</v>
      </c>
      <c r="G376" t="str">
        <f>IFERROR(__xludf.DUMMYFUNCTION("""COMPUTED_VALUE"""),"ADMINISTRATIVO DE COMPRAS")</f>
        <v>ADMINISTRATIVO DE COMPRAS</v>
      </c>
      <c r="H376">
        <f>IFERROR(__xludf.DUMMYFUNCTION("""COMPUTED_VALUE"""),17.0)</f>
        <v>17</v>
      </c>
      <c r="I376" t="str">
        <f>IFERROR(__xludf.DUMMYFUNCTION("""COMPUTED_VALUE"""),"Jornada Completa")</f>
        <v>Jornada Completa</v>
      </c>
      <c r="J376" t="str">
        <f>IFERROR(__xludf.DUMMYFUNCTION("""COMPUTED_VALUE"""),"A CONTRATA")</f>
        <v>A CONTRATA</v>
      </c>
      <c r="K376" t="str">
        <f>IFERROR(__xludf.DUMMYFUNCTION("""COMPUTED_VALUE"""),"ADMINISTRATIVO")</f>
        <v>ADMINISTRATIVO</v>
      </c>
      <c r="L376" t="str">
        <f>IFERROR(__xludf.DUMMYFUNCTION("""COMPUTED_VALUE"""),"NO")</f>
        <v>NO</v>
      </c>
      <c r="M376">
        <f>IFERROR(__xludf.DUMMYFUNCTION("""COMPUTED_VALUE"""),0.0)</f>
        <v>0</v>
      </c>
      <c r="N376" t="str">
        <f>IFERROR(__xludf.DUMMYFUNCTION("""COMPUTED_VALUE"""),"NO")</f>
        <v>NO</v>
      </c>
      <c r="O376">
        <f>IFERROR(__xludf.DUMMYFUNCTION("""COMPUTED_VALUE"""),0.0)</f>
        <v>0</v>
      </c>
      <c r="P376">
        <f>IFERROR(__xludf.DUMMYFUNCTION("""COMPUTED_VALUE"""),1.0)</f>
        <v>1</v>
      </c>
      <c r="Q376">
        <f>IFERROR(__xludf.DUMMYFUNCTION("""COMPUTED_VALUE"""),0.0)</f>
        <v>0</v>
      </c>
      <c r="R376" s="45" t="str">
        <f>IFERROR(__xludf.DUMMYFUNCTION("""COMPUTED_VALUE"""),"SELECCIONADA")</f>
        <v>SELECCIONADA</v>
      </c>
      <c r="S376" s="38">
        <f>IFERROR(__xludf.DUMMYFUNCTION("""COMPUTED_VALUE"""),42370.0)</f>
        <v>42370</v>
      </c>
      <c r="U376" t="str">
        <f>IFERROR(__xludf.DUMMYFUNCTION("""COMPUTED_VALUE"""),"VERONICA ELENA OLGUIN FERNANDEZ")</f>
        <v>VERONICA ELENA OLGUIN FERNANDEZ</v>
      </c>
      <c r="V376" t="str">
        <f>IFERROR(__xludf.DUMMYFUNCTION("""COMPUTED_VALUE"""),"18079595-2")</f>
        <v>18079595-2</v>
      </c>
      <c r="W376" t="str">
        <f>IFERROR(__xludf.DUMMYFUNCTION("""COMPUTED_VALUE"""),"SI")</f>
        <v>SI</v>
      </c>
      <c r="X376" t="str">
        <f>IFERROR(__xludf.DUMMYFUNCTION("""COMPUTED_VALUE"""),"TRABAJO EN EQUIPO")</f>
        <v>TRABAJO EN EQUIPO</v>
      </c>
      <c r="AH376" t="str">
        <f>IFERROR(__xludf.DUMMYFUNCTION("""COMPUTED_VALUE"""),"REGULARIZACIÓN CONTRACTUAL")</f>
        <v>REGULARIZACIÓN CONTRACTUAL</v>
      </c>
      <c r="AI376" t="str">
        <f>IFERROR(__xludf.DUMMYFUNCTION("""COMPUTED_VALUE"""),"-")</f>
        <v>-</v>
      </c>
      <c r="AM376">
        <f>IFERROR(__xludf.DUMMYFUNCTION("""COMPUTED_VALUE"""),2016.0)</f>
        <v>2016</v>
      </c>
    </row>
    <row r="377">
      <c r="A377">
        <f>IFERROR(__xludf.DUMMYFUNCTION("""COMPUTED_VALUE"""),1.7633977E7)</f>
        <v>17633977</v>
      </c>
      <c r="B377">
        <f>IFERROR(__xludf.DUMMYFUNCTION("""COMPUTED_VALUE"""),34.0)</f>
        <v>34</v>
      </c>
      <c r="D377" t="str">
        <f>IFERROR(__xludf.DUMMYFUNCTION("""COMPUTED_VALUE"""),"INGRESAR CENTRO DE COSTO A LA DERECHA")</f>
        <v>INGRESAR CENTRO DE COSTO A LA DERECHA</v>
      </c>
      <c r="E377" t="str">
        <f>IFERROR(__xludf.DUMMYFUNCTION("""COMPUTED_VALUE"""),"DPTO. DE FINANZAS Y TESORERIA")</f>
        <v>DPTO. DE FINANZAS Y TESORERIA</v>
      </c>
      <c r="F377" t="str">
        <f>IFERROR(__xludf.DUMMYFUNCTION("""COMPUTED_VALUE"""),"Analista Contable II")</f>
        <v>Analista Contable II</v>
      </c>
      <c r="G377" t="str">
        <f>IFERROR(__xludf.DUMMYFUNCTION("""COMPUTED_VALUE"""),"ANALISTA CONTABLE II")</f>
        <v>ANALISTA CONTABLE II</v>
      </c>
      <c r="H377">
        <f>IFERROR(__xludf.DUMMYFUNCTION("""COMPUTED_VALUE"""),13.0)</f>
        <v>13</v>
      </c>
      <c r="I377" t="str">
        <f>IFERROR(__xludf.DUMMYFUNCTION("""COMPUTED_VALUE"""),"Jornada Completa")</f>
        <v>Jornada Completa</v>
      </c>
      <c r="J377" t="str">
        <f>IFERROR(__xludf.DUMMYFUNCTION("""COMPUTED_VALUE"""),"A CONTRATA")</f>
        <v>A CONTRATA</v>
      </c>
      <c r="K377" t="str">
        <f>IFERROR(__xludf.DUMMYFUNCTION("""COMPUTED_VALUE"""),"PROFESIONAL")</f>
        <v>PROFESIONAL</v>
      </c>
      <c r="L377" t="str">
        <f>IFERROR(__xludf.DUMMYFUNCTION("""COMPUTED_VALUE"""),"NO")</f>
        <v>NO</v>
      </c>
      <c r="M377">
        <f>IFERROR(__xludf.DUMMYFUNCTION("""COMPUTED_VALUE"""),0.0)</f>
        <v>0</v>
      </c>
      <c r="N377" t="str">
        <f>IFERROR(__xludf.DUMMYFUNCTION("""COMPUTED_VALUE"""),"NO")</f>
        <v>NO</v>
      </c>
      <c r="O377">
        <f>IFERROR(__xludf.DUMMYFUNCTION("""COMPUTED_VALUE"""),0.0)</f>
        <v>0</v>
      </c>
      <c r="P377">
        <f>IFERROR(__xludf.DUMMYFUNCTION("""COMPUTED_VALUE"""),1.0)</f>
        <v>1</v>
      </c>
      <c r="Q377">
        <f>IFERROR(__xludf.DUMMYFUNCTION("""COMPUTED_VALUE"""),0.0)</f>
        <v>0</v>
      </c>
      <c r="R377" s="45" t="str">
        <f>IFERROR(__xludf.DUMMYFUNCTION("""COMPUTED_VALUE"""),"SELECCIONADA")</f>
        <v>SELECCIONADA</v>
      </c>
      <c r="S377" s="38">
        <f>IFERROR(__xludf.DUMMYFUNCTION("""COMPUTED_VALUE"""),42370.0)</f>
        <v>42370</v>
      </c>
      <c r="U377" t="str">
        <f>IFERROR(__xludf.DUMMYFUNCTION("""COMPUTED_VALUE"""),"DANIELA CONSTANZA GUERRA GALVEZ")</f>
        <v>DANIELA CONSTANZA GUERRA GALVEZ</v>
      </c>
      <c r="V377" t="str">
        <f>IFERROR(__xludf.DUMMYFUNCTION("""COMPUTED_VALUE"""),"17633977-2")</f>
        <v>17633977-2</v>
      </c>
      <c r="W377" t="str">
        <f>IFERROR(__xludf.DUMMYFUNCTION("""COMPUTED_VALUE"""),"NO")</f>
        <v>NO</v>
      </c>
      <c r="AH377" t="str">
        <f>IFERROR(__xludf.DUMMYFUNCTION("""COMPUTED_VALUE"""),"REGULARIZACIÓN CONTRACTUAL")</f>
        <v>REGULARIZACIÓN CONTRACTUAL</v>
      </c>
      <c r="AI377" t="str">
        <f>IFERROR(__xludf.DUMMYFUNCTION("""COMPUTED_VALUE"""),"-")</f>
        <v>-</v>
      </c>
      <c r="AM377">
        <f>IFERROR(__xludf.DUMMYFUNCTION("""COMPUTED_VALUE"""),2016.0)</f>
        <v>2016</v>
      </c>
    </row>
    <row r="378">
      <c r="A378">
        <f>IFERROR(__xludf.DUMMYFUNCTION("""COMPUTED_VALUE"""),1.8702008E7)</f>
        <v>18702008</v>
      </c>
      <c r="B378">
        <f>IFERROR(__xludf.DUMMYFUNCTION("""COMPUTED_VALUE"""),35.0)</f>
        <v>35</v>
      </c>
      <c r="D378" t="str">
        <f>IFERROR(__xludf.DUMMYFUNCTION("""COMPUTED_VALUE"""),"INGRESAR CENTRO DE COSTO A LA DERECHA")</f>
        <v>INGRESAR CENTRO DE COSTO A LA DERECHA</v>
      </c>
      <c r="E378" t="str">
        <f>IFERROR(__xludf.DUMMYFUNCTION("""COMPUTED_VALUE"""),"DPTO. DE FINANZAS Y TESORERIA")</f>
        <v>DPTO. DE FINANZAS Y TESORERIA</v>
      </c>
      <c r="F378" t="str">
        <f>IFERROR(__xludf.DUMMYFUNCTION("""COMPUTED_VALUE"""),"Administrativo(a) Contable")</f>
        <v>Administrativo(a) Contable</v>
      </c>
      <c r="G378" t="str">
        <f>IFERROR(__xludf.DUMMYFUNCTION("""COMPUTED_VALUE"""),"ADMINISTRATIVO CONTABLE")</f>
        <v>ADMINISTRATIVO CONTABLE</v>
      </c>
      <c r="H378">
        <f>IFERROR(__xludf.DUMMYFUNCTION("""COMPUTED_VALUE"""),17.0)</f>
        <v>17</v>
      </c>
      <c r="I378" t="str">
        <f>IFERROR(__xludf.DUMMYFUNCTION("""COMPUTED_VALUE"""),"Jornada Completa")</f>
        <v>Jornada Completa</v>
      </c>
      <c r="J378" t="str">
        <f>IFERROR(__xludf.DUMMYFUNCTION("""COMPUTED_VALUE"""),"A CONTRATA")</f>
        <v>A CONTRATA</v>
      </c>
      <c r="K378" t="str">
        <f>IFERROR(__xludf.DUMMYFUNCTION("""COMPUTED_VALUE"""),"ADMINISTRATIVO")</f>
        <v>ADMINISTRATIVO</v>
      </c>
      <c r="L378" t="str">
        <f>IFERROR(__xludf.DUMMYFUNCTION("""COMPUTED_VALUE"""),"NO")</f>
        <v>NO</v>
      </c>
      <c r="M378">
        <f>IFERROR(__xludf.DUMMYFUNCTION("""COMPUTED_VALUE"""),0.0)</f>
        <v>0</v>
      </c>
      <c r="N378" t="str">
        <f>IFERROR(__xludf.DUMMYFUNCTION("""COMPUTED_VALUE"""),"NO")</f>
        <v>NO</v>
      </c>
      <c r="O378">
        <f>IFERROR(__xludf.DUMMYFUNCTION("""COMPUTED_VALUE"""),0.0)</f>
        <v>0</v>
      </c>
      <c r="P378">
        <f>IFERROR(__xludf.DUMMYFUNCTION("""COMPUTED_VALUE"""),1.0)</f>
        <v>1</v>
      </c>
      <c r="Q378">
        <f>IFERROR(__xludf.DUMMYFUNCTION("""COMPUTED_VALUE"""),0.0)</f>
        <v>0</v>
      </c>
      <c r="R378" s="45" t="str">
        <f>IFERROR(__xludf.DUMMYFUNCTION("""COMPUTED_VALUE"""),"SELECCIONADA")</f>
        <v>SELECCIONADA</v>
      </c>
      <c r="S378" s="38">
        <f>IFERROR(__xludf.DUMMYFUNCTION("""COMPUTED_VALUE"""),42370.0)</f>
        <v>42370</v>
      </c>
      <c r="U378" t="str">
        <f>IFERROR(__xludf.DUMMYFUNCTION("""COMPUTED_VALUE"""),"GISSELLA ANDREA GOMEZ ALFARO")</f>
        <v>GISSELLA ANDREA GOMEZ ALFARO</v>
      </c>
      <c r="V378" t="str">
        <f>IFERROR(__xludf.DUMMYFUNCTION("""COMPUTED_VALUE"""),"18702008-5")</f>
        <v>18702008-5</v>
      </c>
      <c r="W378" t="str">
        <f>IFERROR(__xludf.DUMMYFUNCTION("""COMPUTED_VALUE"""),"SI")</f>
        <v>SI</v>
      </c>
      <c r="X378" t="str">
        <f>IFERROR(__xludf.DUMMYFUNCTION("""COMPUTED_VALUE"""),"TRABAJO EN EQUIPO")</f>
        <v>TRABAJO EN EQUIPO</v>
      </c>
      <c r="AH378" t="str">
        <f>IFERROR(__xludf.DUMMYFUNCTION("""COMPUTED_VALUE"""),"REGULARIZACIÓN CONTRACTUAL")</f>
        <v>REGULARIZACIÓN CONTRACTUAL</v>
      </c>
      <c r="AI378" t="str">
        <f>IFERROR(__xludf.DUMMYFUNCTION("""COMPUTED_VALUE"""),"-")</f>
        <v>-</v>
      </c>
      <c r="AM378">
        <f>IFERROR(__xludf.DUMMYFUNCTION("""COMPUTED_VALUE"""),2016.0)</f>
        <v>2016</v>
      </c>
    </row>
    <row r="379">
      <c r="A379">
        <f>IFERROR(__xludf.DUMMYFUNCTION("""COMPUTED_VALUE"""),8739132.0)</f>
        <v>8739132</v>
      </c>
      <c r="B379">
        <f>IFERROR(__xludf.DUMMYFUNCTION("""COMPUTED_VALUE"""),36.0)</f>
        <v>36</v>
      </c>
      <c r="D379" t="str">
        <f>IFERROR(__xludf.DUMMYFUNCTION("""COMPUTED_VALUE"""),"INGRESAR CENTRO DE COSTO A LA DERECHA")</f>
        <v>INGRESAR CENTRO DE COSTO A LA DERECHA</v>
      </c>
      <c r="E379" t="str">
        <f>IFERROR(__xludf.DUMMYFUNCTION("""COMPUTED_VALUE"""),"PRORRECTORIA")</f>
        <v>PRORRECTORIA</v>
      </c>
      <c r="F379" t="str">
        <f>IFERROR(__xludf.DUMMYFUNCTION("""COMPUTED_VALUE"""),"Abogado(a) Control de Contratos")</f>
        <v>Abogado(a) Control de Contratos</v>
      </c>
      <c r="G379" t="str">
        <f>IFERROR(__xludf.DUMMYFUNCTION("""COMPUTED_VALUE"""),"ABOGADO")</f>
        <v>ABOGADO</v>
      </c>
      <c r="H379">
        <f>IFERROR(__xludf.DUMMYFUNCTION("""COMPUTED_VALUE"""),6.0)</f>
        <v>6</v>
      </c>
      <c r="I379" t="str">
        <f>IFERROR(__xludf.DUMMYFUNCTION("""COMPUTED_VALUE"""),"Jornada Completa")</f>
        <v>Jornada Completa</v>
      </c>
      <c r="J379" t="str">
        <f>IFERROR(__xludf.DUMMYFUNCTION("""COMPUTED_VALUE"""),"A CONTRATA")</f>
        <v>A CONTRATA</v>
      </c>
      <c r="K379" t="str">
        <f>IFERROR(__xludf.DUMMYFUNCTION("""COMPUTED_VALUE"""),"PROFESIONAL")</f>
        <v>PROFESIONAL</v>
      </c>
      <c r="L379" t="str">
        <f>IFERROR(__xludf.DUMMYFUNCTION("""COMPUTED_VALUE"""),"NO")</f>
        <v>NO</v>
      </c>
      <c r="M379">
        <f>IFERROR(__xludf.DUMMYFUNCTION("""COMPUTED_VALUE"""),0.0)</f>
        <v>0</v>
      </c>
      <c r="N379" t="str">
        <f>IFERROR(__xludf.DUMMYFUNCTION("""COMPUTED_VALUE"""),"NO")</f>
        <v>NO</v>
      </c>
      <c r="O379">
        <f>IFERROR(__xludf.DUMMYFUNCTION("""COMPUTED_VALUE"""),0.0)</f>
        <v>0</v>
      </c>
      <c r="P379">
        <f>IFERROR(__xludf.DUMMYFUNCTION("""COMPUTED_VALUE"""),1.0)</f>
        <v>1</v>
      </c>
      <c r="Q379">
        <f>IFERROR(__xludf.DUMMYFUNCTION("""COMPUTED_VALUE"""),0.0)</f>
        <v>0</v>
      </c>
      <c r="R379" s="45" t="str">
        <f>IFERROR(__xludf.DUMMYFUNCTION("""COMPUTED_VALUE"""),"SELECCIONADA")</f>
        <v>SELECCIONADA</v>
      </c>
      <c r="S379" s="38">
        <f>IFERROR(__xludf.DUMMYFUNCTION("""COMPUTED_VALUE"""),42445.0)</f>
        <v>42445</v>
      </c>
      <c r="U379" t="str">
        <f>IFERROR(__xludf.DUMMYFUNCTION("""COMPUTED_VALUE"""),"FRANCISCA CATALINA GARCIA SOTO")</f>
        <v>FRANCISCA CATALINA GARCIA SOTO</v>
      </c>
      <c r="V379" t="str">
        <f>IFERROR(__xludf.DUMMYFUNCTION("""COMPUTED_VALUE"""),"8739132-9")</f>
        <v>8739132-9</v>
      </c>
      <c r="W379" t="str">
        <f>IFERROR(__xludf.DUMMYFUNCTION("""COMPUTED_VALUE"""),"NO")</f>
        <v>NO</v>
      </c>
      <c r="AH379" t="str">
        <f>IFERROR(__xludf.DUMMYFUNCTION("""COMPUTED_VALUE"""),"REGULARIZACIÓN CONTRACTUAL")</f>
        <v>REGULARIZACIÓN CONTRACTUAL</v>
      </c>
      <c r="AI379" t="str">
        <f>IFERROR(__xludf.DUMMYFUNCTION("""COMPUTED_VALUE"""),"-")</f>
        <v>-</v>
      </c>
      <c r="AM379">
        <f>IFERROR(__xludf.DUMMYFUNCTION("""COMPUTED_VALUE"""),2016.0)</f>
        <v>2016</v>
      </c>
    </row>
    <row r="380">
      <c r="A380">
        <f>IFERROR(__xludf.DUMMYFUNCTION("""COMPUTED_VALUE"""),1.3992685E7)</f>
        <v>13992685</v>
      </c>
      <c r="B380">
        <f>IFERROR(__xludf.DUMMYFUNCTION("""COMPUTED_VALUE"""),37.0)</f>
        <v>37</v>
      </c>
      <c r="D380" t="str">
        <f>IFERROR(__xludf.DUMMYFUNCTION("""COMPUTED_VALUE"""),"INGRESAR CENTRO DE COSTO A LA DERECHA")</f>
        <v>INGRESAR CENTRO DE COSTO A LA DERECHA</v>
      </c>
      <c r="E380" t="str">
        <f>IFERROR(__xludf.DUMMYFUNCTION("""COMPUTED_VALUE"""),"VR. ACADEMICA")</f>
        <v>VR. ACADEMICA</v>
      </c>
      <c r="F380" t="str">
        <f>IFERROR(__xludf.DUMMYFUNCTION("""COMPUTED_VALUE"""),"Analista de Proyectos I")</f>
        <v>Analista de Proyectos I</v>
      </c>
      <c r="G380" t="str">
        <f>IFERROR(__xludf.DUMMYFUNCTION("""COMPUTED_VALUE"""),"ANALISTA DE PROYECTOS I")</f>
        <v>ANALISTA DE PROYECTOS I</v>
      </c>
      <c r="H380">
        <f>IFERROR(__xludf.DUMMYFUNCTION("""COMPUTED_VALUE"""),8.0)</f>
        <v>8</v>
      </c>
      <c r="I380" t="str">
        <f>IFERROR(__xludf.DUMMYFUNCTION("""COMPUTED_VALUE"""),"Jornada Completa")</f>
        <v>Jornada Completa</v>
      </c>
      <c r="J380" t="str">
        <f>IFERROR(__xludf.DUMMYFUNCTION("""COMPUTED_VALUE"""),"A CONTRATA")</f>
        <v>A CONTRATA</v>
      </c>
      <c r="K380" t="str">
        <f>IFERROR(__xludf.DUMMYFUNCTION("""COMPUTED_VALUE"""),"PROFESIONAL")</f>
        <v>PROFESIONAL</v>
      </c>
      <c r="L380" t="str">
        <f>IFERROR(__xludf.DUMMYFUNCTION("""COMPUTED_VALUE"""),"NO")</f>
        <v>NO</v>
      </c>
      <c r="M380">
        <f>IFERROR(__xludf.DUMMYFUNCTION("""COMPUTED_VALUE"""),0.0)</f>
        <v>0</v>
      </c>
      <c r="N380" t="str">
        <f>IFERROR(__xludf.DUMMYFUNCTION("""COMPUTED_VALUE"""),"NO")</f>
        <v>NO</v>
      </c>
      <c r="O380">
        <f>IFERROR(__xludf.DUMMYFUNCTION("""COMPUTED_VALUE"""),0.0)</f>
        <v>0</v>
      </c>
      <c r="P380">
        <f>IFERROR(__xludf.DUMMYFUNCTION("""COMPUTED_VALUE"""),1.0)</f>
        <v>1</v>
      </c>
      <c r="Q380">
        <f>IFERROR(__xludf.DUMMYFUNCTION("""COMPUTED_VALUE"""),0.0)</f>
        <v>0</v>
      </c>
      <c r="R380" s="45" t="str">
        <f>IFERROR(__xludf.DUMMYFUNCTION("""COMPUTED_VALUE"""),"SELECCIONADA")</f>
        <v>SELECCIONADA</v>
      </c>
      <c r="S380" s="38">
        <f>IFERROR(__xludf.DUMMYFUNCTION("""COMPUTED_VALUE"""),42370.0)</f>
        <v>42370</v>
      </c>
      <c r="U380" t="str">
        <f>IFERROR(__xludf.DUMMYFUNCTION("""COMPUTED_VALUE"""),"JESSENIA DEL CARMEN FUENTES ASPEE")</f>
        <v>JESSENIA DEL CARMEN FUENTES ASPEE</v>
      </c>
      <c r="V380" t="str">
        <f>IFERROR(__xludf.DUMMYFUNCTION("""COMPUTED_VALUE"""),"13992685-4")</f>
        <v>13992685-4</v>
      </c>
      <c r="W380" t="str">
        <f>IFERROR(__xludf.DUMMYFUNCTION("""COMPUTED_VALUE"""),"NO")</f>
        <v>NO</v>
      </c>
      <c r="AH380" t="str">
        <f>IFERROR(__xludf.DUMMYFUNCTION("""COMPUTED_VALUE"""),"REGULARIZACIÓN CONTRACTUAL")</f>
        <v>REGULARIZACIÓN CONTRACTUAL</v>
      </c>
      <c r="AI380" t="str">
        <f>IFERROR(__xludf.DUMMYFUNCTION("""COMPUTED_VALUE"""),"-")</f>
        <v>-</v>
      </c>
      <c r="AM380">
        <f>IFERROR(__xludf.DUMMYFUNCTION("""COMPUTED_VALUE"""),2016.0)</f>
        <v>2016</v>
      </c>
    </row>
    <row r="381">
      <c r="A381">
        <f>IFERROR(__xludf.DUMMYFUNCTION("""COMPUTED_VALUE"""),1.7730421E7)</f>
        <v>17730421</v>
      </c>
      <c r="B381">
        <f>IFERROR(__xludf.DUMMYFUNCTION("""COMPUTED_VALUE"""),38.0)</f>
        <v>38</v>
      </c>
      <c r="D381" t="str">
        <f>IFERROR(__xludf.DUMMYFUNCTION("""COMPUTED_VALUE"""),"INGRESAR CENTRO DE COSTO A LA DERECHA")</f>
        <v>INGRESAR CENTRO DE COSTO A LA DERECHA</v>
      </c>
      <c r="E381" t="str">
        <f>IFERROR(__xludf.DUMMYFUNCTION("""COMPUTED_VALUE"""),"VR. DE INVEST. DESARR E INNOVACION")</f>
        <v>VR. DE INVEST. DESARR E INNOVACION</v>
      </c>
      <c r="F381" t="str">
        <f>IFERROR(__xludf.DUMMYFUNCTION("""COMPUTED_VALUE"""),"Administrativo(a) de Apoyo")</f>
        <v>Administrativo(a) de Apoyo</v>
      </c>
      <c r="G381" t="str">
        <f>IFERROR(__xludf.DUMMYFUNCTION("""COMPUTED_VALUE"""),"ADMINISTRATIVO DE APOYO")</f>
        <v>ADMINISTRATIVO DE APOYO</v>
      </c>
      <c r="H381">
        <f>IFERROR(__xludf.DUMMYFUNCTION("""COMPUTED_VALUE"""),20.0)</f>
        <v>20</v>
      </c>
      <c r="I381" t="str">
        <f>IFERROR(__xludf.DUMMYFUNCTION("""COMPUTED_VALUE"""),"Jornada Completa")</f>
        <v>Jornada Completa</v>
      </c>
      <c r="J381" t="str">
        <f>IFERROR(__xludf.DUMMYFUNCTION("""COMPUTED_VALUE"""),"A CONTRATA")</f>
        <v>A CONTRATA</v>
      </c>
      <c r="K381" t="str">
        <f>IFERROR(__xludf.DUMMYFUNCTION("""COMPUTED_VALUE"""),"ADMINISTRATIVO")</f>
        <v>ADMINISTRATIVO</v>
      </c>
      <c r="L381" t="str">
        <f>IFERROR(__xludf.DUMMYFUNCTION("""COMPUTED_VALUE"""),"NO")</f>
        <v>NO</v>
      </c>
      <c r="M381">
        <f>IFERROR(__xludf.DUMMYFUNCTION("""COMPUTED_VALUE"""),0.0)</f>
        <v>0</v>
      </c>
      <c r="N381" t="str">
        <f>IFERROR(__xludf.DUMMYFUNCTION("""COMPUTED_VALUE"""),"NO")</f>
        <v>NO</v>
      </c>
      <c r="O381">
        <f>IFERROR(__xludf.DUMMYFUNCTION("""COMPUTED_VALUE"""),0.0)</f>
        <v>0</v>
      </c>
      <c r="P381">
        <f>IFERROR(__xludf.DUMMYFUNCTION("""COMPUTED_VALUE"""),1.0)</f>
        <v>1</v>
      </c>
      <c r="Q381">
        <f>IFERROR(__xludf.DUMMYFUNCTION("""COMPUTED_VALUE"""),0.0)</f>
        <v>0</v>
      </c>
      <c r="R381" s="45" t="str">
        <f>IFERROR(__xludf.DUMMYFUNCTION("""COMPUTED_VALUE"""),"SELECCIONADA")</f>
        <v>SELECCIONADA</v>
      </c>
      <c r="S381" s="38">
        <f>IFERROR(__xludf.DUMMYFUNCTION("""COMPUTED_VALUE"""),42370.0)</f>
        <v>42370</v>
      </c>
      <c r="U381" t="str">
        <f>IFERROR(__xludf.DUMMYFUNCTION("""COMPUTED_VALUE"""),"MAYRA DANIELA CHAVEZ HORMAZABAL")</f>
        <v>MAYRA DANIELA CHAVEZ HORMAZABAL</v>
      </c>
      <c r="V381" t="str">
        <f>IFERROR(__xludf.DUMMYFUNCTION("""COMPUTED_VALUE"""),"17730421-2")</f>
        <v>17730421-2</v>
      </c>
      <c r="W381" t="str">
        <f>IFERROR(__xludf.DUMMYFUNCTION("""COMPUTED_VALUE"""),"SI")</f>
        <v>SI</v>
      </c>
      <c r="X381" t="str">
        <f>IFERROR(__xludf.DUMMYFUNCTION("""COMPUTED_VALUE"""),"COMUNICACION")</f>
        <v>COMUNICACION</v>
      </c>
      <c r="AH381" t="str">
        <f>IFERROR(__xludf.DUMMYFUNCTION("""COMPUTED_VALUE"""),"REGULARIZACIÓN CONTRACTUAL")</f>
        <v>REGULARIZACIÓN CONTRACTUAL</v>
      </c>
      <c r="AI381" t="str">
        <f>IFERROR(__xludf.DUMMYFUNCTION("""COMPUTED_VALUE"""),"-")</f>
        <v>-</v>
      </c>
      <c r="AM381">
        <f>IFERROR(__xludf.DUMMYFUNCTION("""COMPUTED_VALUE"""),2016.0)</f>
        <v>2016</v>
      </c>
    </row>
    <row r="382">
      <c r="A382">
        <f>IFERROR(__xludf.DUMMYFUNCTION("""COMPUTED_VALUE"""),1.2655092E7)</f>
        <v>12655092</v>
      </c>
      <c r="B382">
        <f>IFERROR(__xludf.DUMMYFUNCTION("""COMPUTED_VALUE"""),39.0)</f>
        <v>39</v>
      </c>
      <c r="D382" t="str">
        <f>IFERROR(__xludf.DUMMYFUNCTION("""COMPUTED_VALUE"""),"INGRESAR CENTRO DE COSTO A LA DERECHA")</f>
        <v>INGRESAR CENTRO DE COSTO A LA DERECHA</v>
      </c>
      <c r="E382" t="str">
        <f>IFERROR(__xludf.DUMMYFUNCTION("""COMPUTED_VALUE"""),"VR. DE INVEST. DESARR E INNOVACION")</f>
        <v>VR. DE INVEST. DESARR E INNOVACION</v>
      </c>
      <c r="F382" t="str">
        <f>IFERROR(__xludf.DUMMYFUNCTION("""COMPUTED_VALUE"""),"Administrativo(a) Contable")</f>
        <v>Administrativo(a) Contable</v>
      </c>
      <c r="G382" t="str">
        <f>IFERROR(__xludf.DUMMYFUNCTION("""COMPUTED_VALUE"""),"ADMINISTRATIVO CONTABLE")</f>
        <v>ADMINISTRATIVO CONTABLE</v>
      </c>
      <c r="H382">
        <f>IFERROR(__xludf.DUMMYFUNCTION("""COMPUTED_VALUE"""),16.0)</f>
        <v>16</v>
      </c>
      <c r="I382" t="str">
        <f>IFERROR(__xludf.DUMMYFUNCTION("""COMPUTED_VALUE"""),"Jornada Completa")</f>
        <v>Jornada Completa</v>
      </c>
      <c r="J382" t="str">
        <f>IFERROR(__xludf.DUMMYFUNCTION("""COMPUTED_VALUE"""),"A CONTRATA")</f>
        <v>A CONTRATA</v>
      </c>
      <c r="K382" t="str">
        <f>IFERROR(__xludf.DUMMYFUNCTION("""COMPUTED_VALUE"""),"ADMINISTRATIVO")</f>
        <v>ADMINISTRATIVO</v>
      </c>
      <c r="L382" t="str">
        <f>IFERROR(__xludf.DUMMYFUNCTION("""COMPUTED_VALUE"""),"NO")</f>
        <v>NO</v>
      </c>
      <c r="M382">
        <f>IFERROR(__xludf.DUMMYFUNCTION("""COMPUTED_VALUE"""),0.0)</f>
        <v>0</v>
      </c>
      <c r="N382" t="str">
        <f>IFERROR(__xludf.DUMMYFUNCTION("""COMPUTED_VALUE"""),"NO")</f>
        <v>NO</v>
      </c>
      <c r="O382">
        <f>IFERROR(__xludf.DUMMYFUNCTION("""COMPUTED_VALUE"""),0.0)</f>
        <v>0</v>
      </c>
      <c r="P382">
        <f>IFERROR(__xludf.DUMMYFUNCTION("""COMPUTED_VALUE"""),1.0)</f>
        <v>1</v>
      </c>
      <c r="Q382">
        <f>IFERROR(__xludf.DUMMYFUNCTION("""COMPUTED_VALUE"""),0.0)</f>
        <v>0</v>
      </c>
      <c r="R382" s="45" t="str">
        <f>IFERROR(__xludf.DUMMYFUNCTION("""COMPUTED_VALUE"""),"SELECCIONADA")</f>
        <v>SELECCIONADA</v>
      </c>
      <c r="S382" s="38">
        <f>IFERROR(__xludf.DUMMYFUNCTION("""COMPUTED_VALUE"""),42370.0)</f>
        <v>42370</v>
      </c>
      <c r="U382" t="str">
        <f>IFERROR(__xludf.DUMMYFUNCTION("""COMPUTED_VALUE"""),"CLAUDIA BEJARES BAHAMONDES")</f>
        <v>CLAUDIA BEJARES BAHAMONDES</v>
      </c>
      <c r="V382" t="str">
        <f>IFERROR(__xludf.DUMMYFUNCTION("""COMPUTED_VALUE"""),"12655092-8")</f>
        <v>12655092-8</v>
      </c>
      <c r="W382" t="str">
        <f>IFERROR(__xludf.DUMMYFUNCTION("""COMPUTED_VALUE"""),"NO")</f>
        <v>NO</v>
      </c>
      <c r="AH382" t="str">
        <f>IFERROR(__xludf.DUMMYFUNCTION("""COMPUTED_VALUE"""),"REGULARIZACIÓN CONTRACTUAL")</f>
        <v>REGULARIZACIÓN CONTRACTUAL</v>
      </c>
      <c r="AI382" t="str">
        <f>IFERROR(__xludf.DUMMYFUNCTION("""COMPUTED_VALUE"""),"-")</f>
        <v>-</v>
      </c>
      <c r="AM382">
        <f>IFERROR(__xludf.DUMMYFUNCTION("""COMPUTED_VALUE"""),2016.0)</f>
        <v>2016</v>
      </c>
    </row>
    <row r="383">
      <c r="A383">
        <f>IFERROR(__xludf.DUMMYFUNCTION("""COMPUTED_VALUE"""),1.3336696E7)</f>
        <v>13336696</v>
      </c>
      <c r="B383">
        <f>IFERROR(__xludf.DUMMYFUNCTION("""COMPUTED_VALUE"""),40.0)</f>
        <v>40</v>
      </c>
      <c r="D383" t="str">
        <f>IFERROR(__xludf.DUMMYFUNCTION("""COMPUTED_VALUE"""),"INGRESAR CENTRO DE COSTO A LA DERECHA")</f>
        <v>INGRESAR CENTRO DE COSTO A LA DERECHA</v>
      </c>
      <c r="E383" t="str">
        <f>IFERROR(__xludf.DUMMYFUNCTION("""COMPUTED_VALUE"""),"DPTO. DE COMUNICACIONES")</f>
        <v>DPTO. DE COMUNICACIONES</v>
      </c>
      <c r="F383" t="str">
        <f>IFERROR(__xludf.DUMMYFUNCTION("""COMPUTED_VALUE"""),"Radio Controlador(a)")</f>
        <v>Radio Controlador(a)</v>
      </c>
      <c r="G383" t="str">
        <f>IFERROR(__xludf.DUMMYFUNCTION("""COMPUTED_VALUE"""),"RADIO CONTROLADOR")</f>
        <v>RADIO CONTROLADOR</v>
      </c>
      <c r="H383">
        <f>IFERROR(__xludf.DUMMYFUNCTION("""COMPUTED_VALUE"""),15.0)</f>
        <v>15</v>
      </c>
      <c r="I383" t="str">
        <f>IFERROR(__xludf.DUMMYFUNCTION("""COMPUTED_VALUE"""),"Jornada Completa")</f>
        <v>Jornada Completa</v>
      </c>
      <c r="J383" t="str">
        <f>IFERROR(__xludf.DUMMYFUNCTION("""COMPUTED_VALUE"""),"A CONTRATA")</f>
        <v>A CONTRATA</v>
      </c>
      <c r="K383" t="str">
        <f>IFERROR(__xludf.DUMMYFUNCTION("""COMPUTED_VALUE"""),"TECNICO")</f>
        <v>TECNICO</v>
      </c>
      <c r="L383" t="str">
        <f>IFERROR(__xludf.DUMMYFUNCTION("""COMPUTED_VALUE"""),"NO")</f>
        <v>NO</v>
      </c>
      <c r="M383">
        <f>IFERROR(__xludf.DUMMYFUNCTION("""COMPUTED_VALUE"""),0.0)</f>
        <v>0</v>
      </c>
      <c r="N383" t="str">
        <f>IFERROR(__xludf.DUMMYFUNCTION("""COMPUTED_VALUE"""),"NO")</f>
        <v>NO</v>
      </c>
      <c r="O383">
        <f>IFERROR(__xludf.DUMMYFUNCTION("""COMPUTED_VALUE"""),0.0)</f>
        <v>0</v>
      </c>
      <c r="P383">
        <f>IFERROR(__xludf.DUMMYFUNCTION("""COMPUTED_VALUE"""),1.0)</f>
        <v>1</v>
      </c>
      <c r="Q383">
        <f>IFERROR(__xludf.DUMMYFUNCTION("""COMPUTED_VALUE"""),0.0)</f>
        <v>0</v>
      </c>
      <c r="R383" s="45" t="str">
        <f>IFERROR(__xludf.DUMMYFUNCTION("""COMPUTED_VALUE"""),"SELECCIONADO")</f>
        <v>SELECCIONADO</v>
      </c>
      <c r="S383" s="38">
        <f>IFERROR(__xludf.DUMMYFUNCTION("""COMPUTED_VALUE"""),42552.0)</f>
        <v>42552</v>
      </c>
      <c r="U383" t="str">
        <f>IFERROR(__xludf.DUMMYFUNCTION("""COMPUTED_VALUE"""),"ALDO MIRANDA PORRAS")</f>
        <v>ALDO MIRANDA PORRAS</v>
      </c>
      <c r="V383" t="str">
        <f>IFERROR(__xludf.DUMMYFUNCTION("""COMPUTED_VALUE"""),"13336696-2")</f>
        <v>13336696-2</v>
      </c>
      <c r="W383" t="str">
        <f>IFERROR(__xludf.DUMMYFUNCTION("""COMPUTED_VALUE"""),"NO")</f>
        <v>NO</v>
      </c>
      <c r="AH383" t="str">
        <f>IFERROR(__xludf.DUMMYFUNCTION("""COMPUTED_VALUE"""),"REGULARIZACIÓN CONTRACTUAL")</f>
        <v>REGULARIZACIÓN CONTRACTUAL</v>
      </c>
      <c r="AI383" t="str">
        <f>IFERROR(__xludf.DUMMYFUNCTION("""COMPUTED_VALUE"""),"-")</f>
        <v>-</v>
      </c>
      <c r="AM383">
        <f>IFERROR(__xludf.DUMMYFUNCTION("""COMPUTED_VALUE"""),2016.0)</f>
        <v>2016</v>
      </c>
    </row>
    <row r="384">
      <c r="A384">
        <f>IFERROR(__xludf.DUMMYFUNCTION("""COMPUTED_VALUE"""),1.8060136E7)</f>
        <v>18060136</v>
      </c>
      <c r="B384">
        <f>IFERROR(__xludf.DUMMYFUNCTION("""COMPUTED_VALUE"""),41.0)</f>
        <v>41</v>
      </c>
      <c r="D384" t="str">
        <f>IFERROR(__xludf.DUMMYFUNCTION("""COMPUTED_VALUE"""),"INGRESAR CENTRO DE COSTO A LA DERECHA")</f>
        <v>INGRESAR CENTRO DE COSTO A LA DERECHA</v>
      </c>
      <c r="E384" t="str">
        <f>IFERROR(__xludf.DUMMYFUNCTION("""COMPUTED_VALUE"""),"DPTO. DE FINANZAS Y TESORERIA")</f>
        <v>DPTO. DE FINANZAS Y TESORERIA</v>
      </c>
      <c r="F384" t="str">
        <f>IFERROR(__xludf.DUMMYFUNCTION("""COMPUTED_VALUE"""),"Analista de Gestión II")</f>
        <v>Analista de Gestión II</v>
      </c>
      <c r="G384" t="str">
        <f>IFERROR(__xludf.DUMMYFUNCTION("""COMPUTED_VALUE"""),"ANALISTA DE GESTION II")</f>
        <v>ANALISTA DE GESTION II</v>
      </c>
      <c r="H384">
        <f>IFERROR(__xludf.DUMMYFUNCTION("""COMPUTED_VALUE"""),13.0)</f>
        <v>13</v>
      </c>
      <c r="I384" t="str">
        <f>IFERROR(__xludf.DUMMYFUNCTION("""COMPUTED_VALUE"""),"Jornada Completa")</f>
        <v>Jornada Completa</v>
      </c>
      <c r="J384" t="str">
        <f>IFERROR(__xludf.DUMMYFUNCTION("""COMPUTED_VALUE"""),"A CONTRATA")</f>
        <v>A CONTRATA</v>
      </c>
      <c r="K384" t="str">
        <f>IFERROR(__xludf.DUMMYFUNCTION("""COMPUTED_VALUE"""),"PROFESIONAL")</f>
        <v>PROFESIONAL</v>
      </c>
      <c r="L384" t="str">
        <f>IFERROR(__xludf.DUMMYFUNCTION("""COMPUTED_VALUE"""),"NO")</f>
        <v>NO</v>
      </c>
      <c r="M384">
        <f>IFERROR(__xludf.DUMMYFUNCTION("""COMPUTED_VALUE"""),0.0)</f>
        <v>0</v>
      </c>
      <c r="N384" t="str">
        <f>IFERROR(__xludf.DUMMYFUNCTION("""COMPUTED_VALUE"""),"NO")</f>
        <v>NO</v>
      </c>
      <c r="O384">
        <f>IFERROR(__xludf.DUMMYFUNCTION("""COMPUTED_VALUE"""),0.0)</f>
        <v>0</v>
      </c>
      <c r="P384">
        <f>IFERROR(__xludf.DUMMYFUNCTION("""COMPUTED_VALUE"""),1.0)</f>
        <v>1</v>
      </c>
      <c r="Q384">
        <f>IFERROR(__xludf.DUMMYFUNCTION("""COMPUTED_VALUE"""),0.0)</f>
        <v>0</v>
      </c>
      <c r="R384" s="45" t="str">
        <f>IFERROR(__xludf.DUMMYFUNCTION("""COMPUTED_VALUE"""),"SELECCIONADA")</f>
        <v>SELECCIONADA</v>
      </c>
      <c r="S384" s="38">
        <f>IFERROR(__xludf.DUMMYFUNCTION("""COMPUTED_VALUE"""),42552.0)</f>
        <v>42552</v>
      </c>
      <c r="U384" t="str">
        <f>IFERROR(__xludf.DUMMYFUNCTION("""COMPUTED_VALUE"""),"SILVIA MULLER GOMEZ")</f>
        <v>SILVIA MULLER GOMEZ</v>
      </c>
      <c r="V384" t="str">
        <f>IFERROR(__xludf.DUMMYFUNCTION("""COMPUTED_VALUE"""),"18060136-8")</f>
        <v>18060136-8</v>
      </c>
      <c r="W384" t="str">
        <f>IFERROR(__xludf.DUMMYFUNCTION("""COMPUTED_VALUE"""),"NO")</f>
        <v>NO</v>
      </c>
      <c r="AH384" t="str">
        <f>IFERROR(__xludf.DUMMYFUNCTION("""COMPUTED_VALUE"""),"REGULARIZACIÓN CONTRACTUAL")</f>
        <v>REGULARIZACIÓN CONTRACTUAL</v>
      </c>
      <c r="AI384" t="str">
        <f>IFERROR(__xludf.DUMMYFUNCTION("""COMPUTED_VALUE"""),"-")</f>
        <v>-</v>
      </c>
      <c r="AM384">
        <f>IFERROR(__xludf.DUMMYFUNCTION("""COMPUTED_VALUE"""),2016.0)</f>
        <v>2016</v>
      </c>
    </row>
    <row r="385">
      <c r="A385">
        <f>IFERROR(__xludf.DUMMYFUNCTION("""COMPUTED_VALUE"""),1.8121889E7)</f>
        <v>18121889</v>
      </c>
      <c r="B385">
        <f>IFERROR(__xludf.DUMMYFUNCTION("""COMPUTED_VALUE"""),42.0)</f>
        <v>42</v>
      </c>
      <c r="D385" t="str">
        <f>IFERROR(__xludf.DUMMYFUNCTION("""COMPUTED_VALUE"""),"INGRESAR CENTRO DE COSTO A LA DERECHA")</f>
        <v>INGRESAR CENTRO DE COSTO A LA DERECHA</v>
      </c>
      <c r="E385" t="str">
        <f>IFERROR(__xludf.DUMMYFUNCTION("""COMPUTED_VALUE"""),"UNIDAD DE GESTION DEL CAMPUS")</f>
        <v>UNIDAD DE GESTION DEL CAMPUS</v>
      </c>
      <c r="F385" t="str">
        <f>IFERROR(__xludf.DUMMYFUNCTION("""COMPUTED_VALUE"""),"Analista de Planificación y Análisis")</f>
        <v>Analista de Planificación y Análisis</v>
      </c>
      <c r="G385" t="str">
        <f>IFERROR(__xludf.DUMMYFUNCTION("""COMPUTED_VALUE"""),"ANALISTA DE PLANIFICACION Y ANALISIS")</f>
        <v>ANALISTA DE PLANIFICACION Y ANALISIS</v>
      </c>
      <c r="H385">
        <f>IFERROR(__xludf.DUMMYFUNCTION("""COMPUTED_VALUE"""),13.0)</f>
        <v>13</v>
      </c>
      <c r="I385" t="str">
        <f>IFERROR(__xludf.DUMMYFUNCTION("""COMPUTED_VALUE"""),"Jornada Completa")</f>
        <v>Jornada Completa</v>
      </c>
      <c r="J385" t="str">
        <f>IFERROR(__xludf.DUMMYFUNCTION("""COMPUTED_VALUE"""),"A CONTRATA")</f>
        <v>A CONTRATA</v>
      </c>
      <c r="K385" t="str">
        <f>IFERROR(__xludf.DUMMYFUNCTION("""COMPUTED_VALUE"""),"PROFESIONAL")</f>
        <v>PROFESIONAL</v>
      </c>
      <c r="L385" t="str">
        <f>IFERROR(__xludf.DUMMYFUNCTION("""COMPUTED_VALUE"""),"NO")</f>
        <v>NO</v>
      </c>
      <c r="M385">
        <f>IFERROR(__xludf.DUMMYFUNCTION("""COMPUTED_VALUE"""),0.0)</f>
        <v>0</v>
      </c>
      <c r="N385" t="str">
        <f>IFERROR(__xludf.DUMMYFUNCTION("""COMPUTED_VALUE"""),"NO")</f>
        <v>NO</v>
      </c>
      <c r="O385">
        <f>IFERROR(__xludf.DUMMYFUNCTION("""COMPUTED_VALUE"""),0.0)</f>
        <v>0</v>
      </c>
      <c r="P385">
        <f>IFERROR(__xludf.DUMMYFUNCTION("""COMPUTED_VALUE"""),1.0)</f>
        <v>1</v>
      </c>
      <c r="Q385">
        <f>IFERROR(__xludf.DUMMYFUNCTION("""COMPUTED_VALUE"""),0.0)</f>
        <v>0</v>
      </c>
      <c r="R385" s="45" t="str">
        <f>IFERROR(__xludf.DUMMYFUNCTION("""COMPUTED_VALUE"""),"SELECCIONADO")</f>
        <v>SELECCIONADO</v>
      </c>
      <c r="S385" s="38">
        <f>IFERROR(__xludf.DUMMYFUNCTION("""COMPUTED_VALUE"""),42552.0)</f>
        <v>42552</v>
      </c>
      <c r="U385" t="str">
        <f>IFERROR(__xludf.DUMMYFUNCTION("""COMPUTED_VALUE"""),"BRYAN GUERRERO COFRE")</f>
        <v>BRYAN GUERRERO COFRE</v>
      </c>
      <c r="V385" t="str">
        <f>IFERROR(__xludf.DUMMYFUNCTION("""COMPUTED_VALUE"""),"18121889-4")</f>
        <v>18121889-4</v>
      </c>
      <c r="W385" t="str">
        <f>IFERROR(__xludf.DUMMYFUNCTION("""COMPUTED_VALUE"""),"NO")</f>
        <v>NO</v>
      </c>
      <c r="AH385" t="str">
        <f>IFERROR(__xludf.DUMMYFUNCTION("""COMPUTED_VALUE"""),"REGULARIZACIÓN CONTRACTUAL")</f>
        <v>REGULARIZACIÓN CONTRACTUAL</v>
      </c>
      <c r="AI385" t="str">
        <f>IFERROR(__xludf.DUMMYFUNCTION("""COMPUTED_VALUE"""),"-")</f>
        <v>-</v>
      </c>
      <c r="AM385">
        <f>IFERROR(__xludf.DUMMYFUNCTION("""COMPUTED_VALUE"""),2016.0)</f>
        <v>2016</v>
      </c>
    </row>
    <row r="386">
      <c r="A386">
        <f>IFERROR(__xludf.DUMMYFUNCTION("""COMPUTED_VALUE"""),1.7376319E7)</f>
        <v>17376319</v>
      </c>
      <c r="B386">
        <f>IFERROR(__xludf.DUMMYFUNCTION("""COMPUTED_VALUE"""),43.0)</f>
        <v>43</v>
      </c>
      <c r="D386" t="str">
        <f>IFERROR(__xludf.DUMMYFUNCTION("""COMPUTED_VALUE"""),"INGRESAR CENTRO DE COSTO A LA DERECHA")</f>
        <v>INGRESAR CENTRO DE COSTO A LA DERECHA</v>
      </c>
      <c r="E386" t="str">
        <f>IFERROR(__xludf.DUMMYFUNCTION("""COMPUTED_VALUE"""),"ESCUELA DE MEDICINA")</f>
        <v>ESCUELA DE MEDICINA</v>
      </c>
      <c r="F386" t="str">
        <f>IFERROR(__xludf.DUMMYFUNCTION("""COMPUTED_VALUE"""),"Asistente de Laboratorio")</f>
        <v>Asistente de Laboratorio</v>
      </c>
      <c r="G386" t="str">
        <f>IFERROR(__xludf.DUMMYFUNCTION("""COMPUTED_VALUE"""),"ASISTENTE DE LABORATORIO")</f>
        <v>ASISTENTE DE LABORATORIO</v>
      </c>
      <c r="H386">
        <f>IFERROR(__xludf.DUMMYFUNCTION("""COMPUTED_VALUE"""),20.0)</f>
        <v>20</v>
      </c>
      <c r="I386" t="str">
        <f>IFERROR(__xludf.DUMMYFUNCTION("""COMPUTED_VALUE"""),"Jornada Completa")</f>
        <v>Jornada Completa</v>
      </c>
      <c r="J386" t="str">
        <f>IFERROR(__xludf.DUMMYFUNCTION("""COMPUTED_VALUE"""),"A CONTRATA")</f>
        <v>A CONTRATA</v>
      </c>
      <c r="K386" t="str">
        <f>IFERROR(__xludf.DUMMYFUNCTION("""COMPUTED_VALUE"""),"TECNICO")</f>
        <v>TECNICO</v>
      </c>
      <c r="L386" t="str">
        <f>IFERROR(__xludf.DUMMYFUNCTION("""COMPUTED_VALUE"""),"INTERNO")</f>
        <v>INTERNO</v>
      </c>
      <c r="M386">
        <f>IFERROR(__xludf.DUMMYFUNCTION("""COMPUTED_VALUE"""),0.0)</f>
        <v>0</v>
      </c>
      <c r="N386" t="str">
        <f>IFERROR(__xludf.DUMMYFUNCTION("""COMPUTED_VALUE"""),"EXTERNO")</f>
        <v>EXTERNO</v>
      </c>
      <c r="O386">
        <f>IFERROR(__xludf.DUMMYFUNCTION("""COMPUTED_VALUE"""),12.0)</f>
        <v>12</v>
      </c>
      <c r="P386">
        <f>IFERROR(__xludf.DUMMYFUNCTION("""COMPUTED_VALUE"""),2.0)</f>
        <v>2</v>
      </c>
      <c r="Q386">
        <f>IFERROR(__xludf.DUMMYFUNCTION("""COMPUTED_VALUE"""),2.0)</f>
        <v>2</v>
      </c>
      <c r="R386" s="45" t="str">
        <f>IFERROR(__xludf.DUMMYFUNCTION("""COMPUTED_VALUE"""),"SELECCIONADA")</f>
        <v>SELECCIONADA</v>
      </c>
      <c r="S386" s="38">
        <f>IFERROR(__xludf.DUMMYFUNCTION("""COMPUTED_VALUE"""),42569.0)</f>
        <v>42569</v>
      </c>
      <c r="U386" t="str">
        <f>IFERROR(__xludf.DUMMYFUNCTION("""COMPUTED_VALUE"""),"CAROLINA HANDSCHUH ABARCA")</f>
        <v>CAROLINA HANDSCHUH ABARCA</v>
      </c>
      <c r="V386" t="str">
        <f>IFERROR(__xludf.DUMMYFUNCTION("""COMPUTED_VALUE"""),"17376319-0")</f>
        <v>17376319-0</v>
      </c>
      <c r="W386" t="str">
        <f>IFERROR(__xludf.DUMMYFUNCTION("""COMPUTED_VALUE"""),"NO")</f>
        <v>NO</v>
      </c>
      <c r="AA386" s="38">
        <f>IFERROR(__xludf.DUMMYFUNCTION("""COMPUTED_VALUE"""),42509.0)</f>
        <v>42509</v>
      </c>
      <c r="AB386" s="38">
        <f>IFERROR(__xludf.DUMMYFUNCTION("""COMPUTED_VALUE"""),42516.0)</f>
        <v>42516</v>
      </c>
      <c r="AH386" t="str">
        <f>IFERROR(__xludf.DUMMYFUNCTION("""COMPUTED_VALUE"""),"PROCESO DE SELECCIÓN")</f>
        <v>PROCESO DE SELECCIÓN</v>
      </c>
      <c r="AI386" t="str">
        <f>IFERROR(__xludf.DUMMYFUNCTION("""COMPUTED_VALUE"""),"WASHINGTON DURAN")</f>
        <v>WASHINGTON DURAN</v>
      </c>
      <c r="AK386" t="str">
        <f>IFERROR(__xludf.DUMMYFUNCTION("""COMPUTED_VALUE"""),"E")</f>
        <v>E</v>
      </c>
      <c r="AL386">
        <f>IFERROR(__xludf.DUMMYFUNCTION("""COMPUTED_VALUE"""),38.0)</f>
        <v>38</v>
      </c>
      <c r="AM386">
        <f>IFERROR(__xludf.DUMMYFUNCTION("""COMPUTED_VALUE"""),2016.0)</f>
        <v>2016</v>
      </c>
    </row>
    <row r="387">
      <c r="A387">
        <f>IFERROR(__xludf.DUMMYFUNCTION("""COMPUTED_VALUE"""),1.3925927E7)</f>
        <v>13925927</v>
      </c>
      <c r="B387">
        <f>IFERROR(__xludf.DUMMYFUNCTION("""COMPUTED_VALUE"""),44.0)</f>
        <v>44</v>
      </c>
      <c r="D387" t="str">
        <f>IFERROR(__xludf.DUMMYFUNCTION("""COMPUTED_VALUE"""),"INGRESAR CENTRO DE COSTO A LA DERECHA")</f>
        <v>INGRESAR CENTRO DE COSTO A LA DERECHA</v>
      </c>
      <c r="E387" t="str">
        <f>IFERROR(__xludf.DUMMYFUNCTION("""COMPUTED_VALUE"""),"VR. DE VINCULACION CON EL MEDIO")</f>
        <v>VR. DE VINCULACION CON EL MEDIO</v>
      </c>
      <c r="F387" t="str">
        <f>IFERROR(__xludf.DUMMYFUNCTION("""COMPUTED_VALUE"""),"Profesional de Extensión")</f>
        <v>Profesional de Extensión</v>
      </c>
      <c r="G387" t="str">
        <f>IFERROR(__xludf.DUMMYFUNCTION("""COMPUTED_VALUE"""),"DIRECTOR CORO")</f>
        <v>DIRECTOR CORO</v>
      </c>
      <c r="H387">
        <f>IFERROR(__xludf.DUMMYFUNCTION("""COMPUTED_VALUE"""),13.0)</f>
        <v>13</v>
      </c>
      <c r="I387" t="str">
        <f>IFERROR(__xludf.DUMMYFUNCTION("""COMPUTED_VALUE"""),"Jornada Completa")</f>
        <v>Jornada Completa</v>
      </c>
      <c r="J387" t="str">
        <f>IFERROR(__xludf.DUMMYFUNCTION("""COMPUTED_VALUE"""),"A CONTRATA")</f>
        <v>A CONTRATA</v>
      </c>
      <c r="K387" t="str">
        <f>IFERROR(__xludf.DUMMYFUNCTION("""COMPUTED_VALUE"""),"PROFESIONAL")</f>
        <v>PROFESIONAL</v>
      </c>
      <c r="L387" t="str">
        <f>IFERROR(__xludf.DUMMYFUNCTION("""COMPUTED_VALUE"""),"INTERNO")</f>
        <v>INTERNO</v>
      </c>
      <c r="M387">
        <f>IFERROR(__xludf.DUMMYFUNCTION("""COMPUTED_VALUE"""),0.0)</f>
        <v>0</v>
      </c>
      <c r="N387" t="str">
        <f>IFERROR(__xludf.DUMMYFUNCTION("""COMPUTED_VALUE"""),"EXTERNO")</f>
        <v>EXTERNO</v>
      </c>
      <c r="O387">
        <f>IFERROR(__xludf.DUMMYFUNCTION("""COMPUTED_VALUE"""),6.0)</f>
        <v>6</v>
      </c>
      <c r="P387">
        <f>IFERROR(__xludf.DUMMYFUNCTION("""COMPUTED_VALUE"""),1.0)</f>
        <v>1</v>
      </c>
      <c r="Q387">
        <f>IFERROR(__xludf.DUMMYFUNCTION("""COMPUTED_VALUE"""),1.0)</f>
        <v>1</v>
      </c>
      <c r="R387" s="45" t="str">
        <f>IFERROR(__xludf.DUMMYFUNCTION("""COMPUTED_VALUE"""),"SELECCIONADO")</f>
        <v>SELECCIONADO</v>
      </c>
      <c r="S387" s="38">
        <f>IFERROR(__xludf.DUMMYFUNCTION("""COMPUTED_VALUE"""),42555.0)</f>
        <v>42555</v>
      </c>
      <c r="U387" t="str">
        <f>IFERROR(__xludf.DUMMYFUNCTION("""COMPUTED_VALUE"""),"ANDRES BAHAMONDES GONZALEZ")</f>
        <v>ANDRES BAHAMONDES GONZALEZ</v>
      </c>
      <c r="V387" t="str">
        <f>IFERROR(__xludf.DUMMYFUNCTION("""COMPUTED_VALUE"""),"13925927-0")</f>
        <v>13925927-0</v>
      </c>
      <c r="W387" t="str">
        <f>IFERROR(__xludf.DUMMYFUNCTION("""COMPUTED_VALUE"""),"NO")</f>
        <v>NO</v>
      </c>
      <c r="AA387" s="38">
        <f>IFERROR(__xludf.DUMMYFUNCTION("""COMPUTED_VALUE"""),42500.0)</f>
        <v>42500</v>
      </c>
      <c r="AB387" s="38">
        <f>IFERROR(__xludf.DUMMYFUNCTION("""COMPUTED_VALUE"""),42507.0)</f>
        <v>42507</v>
      </c>
      <c r="AH387" t="str">
        <f>IFERROR(__xludf.DUMMYFUNCTION("""COMPUTED_VALUE"""),"PROCESO DE SELECCIÓN")</f>
        <v>PROCESO DE SELECCIÓN</v>
      </c>
      <c r="AI387" t="str">
        <f>IFERROR(__xludf.DUMMYFUNCTION("""COMPUTED_VALUE"""),"SANTIAGO MARIN ACUÑA")</f>
        <v>SANTIAGO MARIN ACUÑA</v>
      </c>
      <c r="AK387" t="str">
        <f>IFERROR(__xludf.DUMMYFUNCTION("""COMPUTED_VALUE"""),"P")</f>
        <v>P</v>
      </c>
      <c r="AL387">
        <f>IFERROR(__xludf.DUMMYFUNCTION("""COMPUTED_VALUE"""),35.0)</f>
        <v>35</v>
      </c>
      <c r="AM387">
        <f>IFERROR(__xludf.DUMMYFUNCTION("""COMPUTED_VALUE"""),2016.0)</f>
        <v>2016</v>
      </c>
    </row>
    <row r="388">
      <c r="A388">
        <f>IFERROR(__xludf.DUMMYFUNCTION("""COMPUTED_VALUE"""),1.7412257E7)</f>
        <v>17412257</v>
      </c>
      <c r="B388">
        <f>IFERROR(__xludf.DUMMYFUNCTION("""COMPUTED_VALUE"""),45.0)</f>
        <v>45</v>
      </c>
      <c r="D388" t="str">
        <f>IFERROR(__xludf.DUMMYFUNCTION("""COMPUTED_VALUE"""),"INGRESAR CENTRO DE COSTO A LA DERECHA")</f>
        <v>INGRESAR CENTRO DE COSTO A LA DERECHA</v>
      </c>
      <c r="E388" t="str">
        <f>IFERROR(__xludf.DUMMYFUNCTION("""COMPUTED_VALUE"""),"UNIDAD DE ATENCION DE SALUD")</f>
        <v>UNIDAD DE ATENCION DE SALUD</v>
      </c>
      <c r="F388" t="str">
        <f>IFERROR(__xludf.DUMMYFUNCTION("""COMPUTED_VALUE"""),"Médicos(as) y Dentistas")</f>
        <v>Médicos(as) y Dentistas</v>
      </c>
      <c r="G388" t="str">
        <f>IFERROR(__xludf.DUMMYFUNCTION("""COMPUTED_VALUE"""),"CIRUJANO DENTISTA")</f>
        <v>CIRUJANO DENTISTA</v>
      </c>
      <c r="I388" t="str">
        <f>IFERROR(__xludf.DUMMYFUNCTION("""COMPUTED_VALUE"""),"1/4 Jornada")</f>
        <v>1/4 Jornada</v>
      </c>
      <c r="J388" t="str">
        <f>IFERROR(__xludf.DUMMYFUNCTION("""COMPUTED_VALUE"""),"A CONTRATA")</f>
        <v>A CONTRATA</v>
      </c>
      <c r="K388" t="str">
        <f>IFERROR(__xludf.DUMMYFUNCTION("""COMPUTED_VALUE"""),"PROFESIONAL")</f>
        <v>PROFESIONAL</v>
      </c>
      <c r="L388" t="str">
        <f>IFERROR(__xludf.DUMMYFUNCTION("""COMPUTED_VALUE"""),"NO")</f>
        <v>NO</v>
      </c>
      <c r="M388">
        <f>IFERROR(__xludf.DUMMYFUNCTION("""COMPUTED_VALUE"""),0.0)</f>
        <v>0</v>
      </c>
      <c r="N388" t="str">
        <f>IFERROR(__xludf.DUMMYFUNCTION("""COMPUTED_VALUE"""),"EXTERNO")</f>
        <v>EXTERNO</v>
      </c>
      <c r="O388">
        <f>IFERROR(__xludf.DUMMYFUNCTION("""COMPUTED_VALUE"""),15.0)</f>
        <v>15</v>
      </c>
      <c r="P388">
        <f>IFERROR(__xludf.DUMMYFUNCTION("""COMPUTED_VALUE"""),3.0)</f>
        <v>3</v>
      </c>
      <c r="Q388">
        <f>IFERROR(__xludf.DUMMYFUNCTION("""COMPUTED_VALUE"""),1.0)</f>
        <v>1</v>
      </c>
      <c r="R388" s="45" t="str">
        <f>IFERROR(__xludf.DUMMYFUNCTION("""COMPUTED_VALUE"""),"SELECCIONADA")</f>
        <v>SELECCIONADA</v>
      </c>
      <c r="S388" s="38">
        <f>IFERROR(__xludf.DUMMYFUNCTION("""COMPUTED_VALUE"""),42552.0)</f>
        <v>42552</v>
      </c>
      <c r="U388" t="str">
        <f>IFERROR(__xludf.DUMMYFUNCTION("""COMPUTED_VALUE"""),"KATHERINE VALENZUELA BRAVO")</f>
        <v>KATHERINE VALENZUELA BRAVO</v>
      </c>
      <c r="V388" t="str">
        <f>IFERROR(__xludf.DUMMYFUNCTION("""COMPUTED_VALUE"""),"17412257-1")</f>
        <v>17412257-1</v>
      </c>
      <c r="W388" t="str">
        <f>IFERROR(__xludf.DUMMYFUNCTION("""COMPUTED_VALUE"""),"NO")</f>
        <v>NO</v>
      </c>
      <c r="AA388" s="38">
        <f>IFERROR(__xludf.DUMMYFUNCTION("""COMPUTED_VALUE"""),42493.0)</f>
        <v>42493</v>
      </c>
      <c r="AB388" s="38">
        <f>IFERROR(__xludf.DUMMYFUNCTION("""COMPUTED_VALUE"""),42503.0)</f>
        <v>42503</v>
      </c>
      <c r="AH388" t="str">
        <f>IFERROR(__xludf.DUMMYFUNCTION("""COMPUTED_VALUE"""),"PROCESO DE SELECCIÓN")</f>
        <v>PROCESO DE SELECCIÓN</v>
      </c>
      <c r="AI388" t="str">
        <f>IFERROR(__xludf.DUMMYFUNCTION("""COMPUTED_VALUE"""),"PAULINA HENRIQUEZ GALLARDO")</f>
        <v>PAULINA HENRIQUEZ GALLARDO</v>
      </c>
      <c r="AK388" t="str">
        <f>IFERROR(__xludf.DUMMYFUNCTION("""COMPUTED_VALUE"""),"E")</f>
        <v>E</v>
      </c>
      <c r="AL388">
        <f>IFERROR(__xludf.DUMMYFUNCTION("""COMPUTED_VALUE"""),36.0)</f>
        <v>36</v>
      </c>
      <c r="AM388">
        <f>IFERROR(__xludf.DUMMYFUNCTION("""COMPUTED_VALUE"""),2016.0)</f>
        <v>2016</v>
      </c>
    </row>
    <row r="389">
      <c r="A389">
        <f>IFERROR(__xludf.DUMMYFUNCTION("""COMPUTED_VALUE"""),1.3656668E7)</f>
        <v>13656668</v>
      </c>
      <c r="B389">
        <f>IFERROR(__xludf.DUMMYFUNCTION("""COMPUTED_VALUE"""),46.0)</f>
        <v>46</v>
      </c>
      <c r="D389" t="str">
        <f>IFERROR(__xludf.DUMMYFUNCTION("""COMPUTED_VALUE"""),"INGRESAR CENTRO DE COSTO A LA DERECHA")</f>
        <v>INGRESAR CENTRO DE COSTO A LA DERECHA</v>
      </c>
      <c r="E389" t="str">
        <f>IFERROR(__xludf.DUMMYFUNCTION("""COMPUTED_VALUE"""),"ESCUELA DE MEDICINA")</f>
        <v>ESCUELA DE MEDICINA</v>
      </c>
      <c r="F389" t="str">
        <f>IFERROR(__xludf.DUMMYFUNCTION("""COMPUTED_VALUE"""),"Secretario(a) de Apoyo Docente")</f>
        <v>Secretario(a) de Apoyo Docente</v>
      </c>
      <c r="G389" t="str">
        <f>IFERROR(__xludf.DUMMYFUNCTION("""COMPUTED_VALUE"""),"SECRETARIA DE APOYO DOCENTE")</f>
        <v>SECRETARIA DE APOYO DOCENTE</v>
      </c>
      <c r="H389">
        <f>IFERROR(__xludf.DUMMYFUNCTION("""COMPUTED_VALUE"""),17.0)</f>
        <v>17</v>
      </c>
      <c r="I389" t="str">
        <f>IFERROR(__xludf.DUMMYFUNCTION("""COMPUTED_VALUE"""),"Jornada Completa")</f>
        <v>Jornada Completa</v>
      </c>
      <c r="J389" t="str">
        <f>IFERROR(__xludf.DUMMYFUNCTION("""COMPUTED_VALUE"""),"A CONTRATA")</f>
        <v>A CONTRATA</v>
      </c>
      <c r="K389" t="str">
        <f>IFERROR(__xludf.DUMMYFUNCTION("""COMPUTED_VALUE"""),"ADMINISTRATIVO")</f>
        <v>ADMINISTRATIVO</v>
      </c>
      <c r="L389" t="str">
        <f>IFERROR(__xludf.DUMMYFUNCTION("""COMPUTED_VALUE"""),"INTERNO")</f>
        <v>INTERNO</v>
      </c>
      <c r="M389">
        <f>IFERROR(__xludf.DUMMYFUNCTION("""COMPUTED_VALUE"""),1.0)</f>
        <v>1</v>
      </c>
      <c r="N389" t="str">
        <f>IFERROR(__xludf.DUMMYFUNCTION("""COMPUTED_VALUE"""),"NO")</f>
        <v>NO</v>
      </c>
      <c r="O389">
        <f>IFERROR(__xludf.DUMMYFUNCTION("""COMPUTED_VALUE"""),0.0)</f>
        <v>0</v>
      </c>
      <c r="P389">
        <f>IFERROR(__xludf.DUMMYFUNCTION("""COMPUTED_VALUE"""),1.0)</f>
        <v>1</v>
      </c>
      <c r="Q389">
        <f>IFERROR(__xludf.DUMMYFUNCTION("""COMPUTED_VALUE"""),0.0)</f>
        <v>0</v>
      </c>
      <c r="R389" s="45" t="str">
        <f>IFERROR(__xludf.DUMMYFUNCTION("""COMPUTED_VALUE"""),"SELECCIONADA")</f>
        <v>SELECCIONADA</v>
      </c>
      <c r="S389" s="38">
        <f>IFERROR(__xludf.DUMMYFUNCTION("""COMPUTED_VALUE"""),42557.0)</f>
        <v>42557</v>
      </c>
      <c r="T389" t="str">
        <f>IFERROR(__xludf.DUMMYFUNCTION("""COMPUTED_VALUE"""),"ARNAIZ PEREZ MARIA DEL CARMEN")</f>
        <v>ARNAIZ PEREZ MARIA DEL CARMEN</v>
      </c>
      <c r="V389" t="str">
        <f>IFERROR(__xludf.DUMMYFUNCTION("""COMPUTED_VALUE"""),"13656668-7")</f>
        <v>13656668-7</v>
      </c>
      <c r="W389" t="str">
        <f>IFERROR(__xludf.DUMMYFUNCTION("""COMPUTED_VALUE"""),"NO")</f>
        <v>NO</v>
      </c>
      <c r="AA389" s="38">
        <f>IFERROR(__xludf.DUMMYFUNCTION("""COMPUTED_VALUE"""),42517.0)</f>
        <v>42517</v>
      </c>
      <c r="AB389" s="38">
        <f>IFERROR(__xludf.DUMMYFUNCTION("""COMPUTED_VALUE"""),42521.0)</f>
        <v>42521</v>
      </c>
      <c r="AH389" t="str">
        <f>IFERROR(__xludf.DUMMYFUNCTION("""COMPUTED_VALUE"""),"PROCESO DE SELECCIÓN")</f>
        <v>PROCESO DE SELECCIÓN</v>
      </c>
      <c r="AI389" t="str">
        <f>IFERROR(__xludf.DUMMYFUNCTION("""COMPUTED_VALUE""")," AUTORIZADO 2015")</f>
        <v> AUTORIZADO 2015</v>
      </c>
      <c r="AK389" t="str">
        <f>IFERROR(__xludf.DUMMYFUNCTION("""COMPUTED_VALUE"""),"P")</f>
        <v>P</v>
      </c>
      <c r="AL389">
        <f>IFERROR(__xludf.DUMMYFUNCTION("""COMPUTED_VALUE"""),27.0)</f>
        <v>27</v>
      </c>
      <c r="AM389">
        <f>IFERROR(__xludf.DUMMYFUNCTION("""COMPUTED_VALUE"""),2016.0)</f>
        <v>2016</v>
      </c>
    </row>
    <row r="390">
      <c r="A390">
        <f>IFERROR(__xludf.DUMMYFUNCTION("""COMPUTED_VALUE"""),1.7767326E7)</f>
        <v>17767326</v>
      </c>
      <c r="B390">
        <f>IFERROR(__xludf.DUMMYFUNCTION("""COMPUTED_VALUE"""),47.0)</f>
        <v>47</v>
      </c>
      <c r="D390" t="str">
        <f>IFERROR(__xludf.DUMMYFUNCTION("""COMPUTED_VALUE"""),"INGRESAR CENTRO DE COSTO A LA DERECHA")</f>
        <v>INGRESAR CENTRO DE COSTO A LA DERECHA</v>
      </c>
      <c r="E390" t="str">
        <f>IFERROR(__xludf.DUMMYFUNCTION("""COMPUTED_VALUE"""),"PROGRAMA BACHILLERATO")</f>
        <v>PROGRAMA BACHILLERATO</v>
      </c>
      <c r="F390" t="str">
        <f>IFERROR(__xludf.DUMMYFUNCTION("""COMPUTED_VALUE"""),"Secretario(a) de Apoyo Docente")</f>
        <v>Secretario(a) de Apoyo Docente</v>
      </c>
      <c r="G390" t="str">
        <f>IFERROR(__xludf.DUMMYFUNCTION("""COMPUTED_VALUE"""),"SECRETARIA DE APOYO DOCENTE")</f>
        <v>SECRETARIA DE APOYO DOCENTE</v>
      </c>
      <c r="H390">
        <f>IFERROR(__xludf.DUMMYFUNCTION("""COMPUTED_VALUE"""),17.0)</f>
        <v>17</v>
      </c>
      <c r="I390" t="str">
        <f>IFERROR(__xludf.DUMMYFUNCTION("""COMPUTED_VALUE"""),"Jornada Completa")</f>
        <v>Jornada Completa</v>
      </c>
      <c r="J390" t="str">
        <f>IFERROR(__xludf.DUMMYFUNCTION("""COMPUTED_VALUE"""),"A CONTRATA")</f>
        <v>A CONTRATA</v>
      </c>
      <c r="K390" t="str">
        <f>IFERROR(__xludf.DUMMYFUNCTION("""COMPUTED_VALUE"""),"ADMINISTRATIVO")</f>
        <v>ADMINISTRATIVO</v>
      </c>
      <c r="L390" t="str">
        <f>IFERROR(__xludf.DUMMYFUNCTION("""COMPUTED_VALUE"""),"INTERNO")</f>
        <v>INTERNO</v>
      </c>
      <c r="M390">
        <f>IFERROR(__xludf.DUMMYFUNCTION("""COMPUTED_VALUE"""),3.0)</f>
        <v>3</v>
      </c>
      <c r="N390" t="str">
        <f>IFERROR(__xludf.DUMMYFUNCTION("""COMPUTED_VALUE"""),"NO")</f>
        <v>NO</v>
      </c>
      <c r="O390">
        <f>IFERROR(__xludf.DUMMYFUNCTION("""COMPUTED_VALUE"""),0.0)</f>
        <v>0</v>
      </c>
      <c r="P390">
        <f>IFERROR(__xludf.DUMMYFUNCTION("""COMPUTED_VALUE"""),1.0)</f>
        <v>1</v>
      </c>
      <c r="Q390">
        <f>IFERROR(__xludf.DUMMYFUNCTION("""COMPUTED_VALUE"""),0.0)</f>
        <v>0</v>
      </c>
      <c r="R390" s="45" t="str">
        <f>IFERROR(__xludf.DUMMYFUNCTION("""COMPUTED_VALUE"""),"SELECCIONADA")</f>
        <v>SELECCIONADA</v>
      </c>
      <c r="S390" s="38">
        <f>IFERROR(__xludf.DUMMYFUNCTION("""COMPUTED_VALUE"""),42520.0)</f>
        <v>42520</v>
      </c>
      <c r="T390" t="str">
        <f>IFERROR(__xludf.DUMMYFUNCTION("""COMPUTED_VALUE"""),"VISCARRA REBOLLEDO SUGEY NICOLE")</f>
        <v>VISCARRA REBOLLEDO SUGEY NICOLE</v>
      </c>
      <c r="V390" t="str">
        <f>IFERROR(__xludf.DUMMYFUNCTION("""COMPUTED_VALUE"""),"17767326-9")</f>
        <v>17767326-9</v>
      </c>
      <c r="W390" t="str">
        <f>IFERROR(__xludf.DUMMYFUNCTION("""COMPUTED_VALUE"""),"NO")</f>
        <v>NO</v>
      </c>
      <c r="AA390" s="38">
        <f>IFERROR(__xludf.DUMMYFUNCTION("""COMPUTED_VALUE"""),42468.0)</f>
        <v>42468</v>
      </c>
      <c r="AB390" s="38">
        <f>IFERROR(__xludf.DUMMYFUNCTION("""COMPUTED_VALUE"""),42472.0)</f>
        <v>42472</v>
      </c>
      <c r="AH390" t="str">
        <f>IFERROR(__xludf.DUMMYFUNCTION("""COMPUTED_VALUE"""),"PROCESO DE SELECCIÓN")</f>
        <v>PROCESO DE SELECCIÓN</v>
      </c>
      <c r="AI390" t="str">
        <f>IFERROR(__xludf.DUMMYFUNCTION("""COMPUTED_VALUE"""),"CRISTIAN PILQUIMAN ARANDA")</f>
        <v>CRISTIAN PILQUIMAN ARANDA</v>
      </c>
      <c r="AK390" t="str">
        <f>IFERROR(__xludf.DUMMYFUNCTION("""COMPUTED_VALUE"""),"P")</f>
        <v>P</v>
      </c>
      <c r="AL390">
        <f>IFERROR(__xludf.DUMMYFUNCTION("""COMPUTED_VALUE"""),35.0)</f>
        <v>35</v>
      </c>
      <c r="AM390">
        <f>IFERROR(__xludf.DUMMYFUNCTION("""COMPUTED_VALUE"""),2016.0)</f>
        <v>2016</v>
      </c>
    </row>
    <row r="391">
      <c r="A391">
        <f>IFERROR(__xludf.DUMMYFUNCTION("""COMPUTED_VALUE"""),1.5314535E7)</f>
        <v>15314535</v>
      </c>
      <c r="B391">
        <f>IFERROR(__xludf.DUMMYFUNCTION("""COMPUTED_VALUE"""),48.0)</f>
        <v>48</v>
      </c>
      <c r="D391" t="str">
        <f>IFERROR(__xludf.DUMMYFUNCTION("""COMPUTED_VALUE"""),"INGRESAR CENTRO DE COSTO A LA DERECHA")</f>
        <v>INGRESAR CENTRO DE COSTO A LA DERECHA</v>
      </c>
      <c r="E391" t="str">
        <f>IFERROR(__xludf.DUMMYFUNCTION("""COMPUTED_VALUE"""),"FACULTAD DE QUIMICA Y BIOLOGIA")</f>
        <v>FACULTAD DE QUIMICA Y BIOLOGIA</v>
      </c>
      <c r="F391" t="str">
        <f>IFERROR(__xludf.DUMMYFUNCTION("""COMPUTED_VALUE"""),"Encargado(a) de Laboratorio")</f>
        <v>Encargado(a) de Laboratorio</v>
      </c>
      <c r="G391" t="str">
        <f>IFERROR(__xludf.DUMMYFUNCTION("""COMPUTED_VALUE"""),"ENCARGADO DE LABORATORIO")</f>
        <v>ENCARGADO DE LABORATORIO</v>
      </c>
      <c r="H391">
        <f>IFERROR(__xludf.DUMMYFUNCTION("""COMPUTED_VALUE"""),12.0)</f>
        <v>12</v>
      </c>
      <c r="I391" t="str">
        <f>IFERROR(__xludf.DUMMYFUNCTION("""COMPUTED_VALUE"""),"Jornada Completa")</f>
        <v>Jornada Completa</v>
      </c>
      <c r="J391" t="str">
        <f>IFERROR(__xludf.DUMMYFUNCTION("""COMPUTED_VALUE"""),"A CONTRATA")</f>
        <v>A CONTRATA</v>
      </c>
      <c r="K391" t="str">
        <f>IFERROR(__xludf.DUMMYFUNCTION("""COMPUTED_VALUE"""),"PROFESIONAL")</f>
        <v>PROFESIONAL</v>
      </c>
      <c r="L391" t="str">
        <f>IFERROR(__xludf.DUMMYFUNCTION("""COMPUTED_VALUE"""),"INTERNO")</f>
        <v>INTERNO</v>
      </c>
      <c r="M391">
        <f>IFERROR(__xludf.DUMMYFUNCTION("""COMPUTED_VALUE"""),1.0)</f>
        <v>1</v>
      </c>
      <c r="N391" t="str">
        <f>IFERROR(__xludf.DUMMYFUNCTION("""COMPUTED_VALUE"""),"NO")</f>
        <v>NO</v>
      </c>
      <c r="O391">
        <f>IFERROR(__xludf.DUMMYFUNCTION("""COMPUTED_VALUE"""),0.0)</f>
        <v>0</v>
      </c>
      <c r="P391">
        <f>IFERROR(__xludf.DUMMYFUNCTION("""COMPUTED_VALUE"""),1.0)</f>
        <v>1</v>
      </c>
      <c r="Q391">
        <f>IFERROR(__xludf.DUMMYFUNCTION("""COMPUTED_VALUE"""),0.0)</f>
        <v>0</v>
      </c>
      <c r="R391" s="45" t="str">
        <f>IFERROR(__xludf.DUMMYFUNCTION("""COMPUTED_VALUE"""),"SELECCIONADA")</f>
        <v>SELECCIONADA</v>
      </c>
      <c r="S391" s="38">
        <f>IFERROR(__xludf.DUMMYFUNCTION("""COMPUTED_VALUE"""),42555.0)</f>
        <v>42555</v>
      </c>
      <c r="T391" t="str">
        <f>IFERROR(__xludf.DUMMYFUNCTION("""COMPUTED_VALUE"""),"SANTANDER MEYER ROCIO DEL PILAR")</f>
        <v>SANTANDER MEYER ROCIO DEL PILAR</v>
      </c>
      <c r="V391" t="str">
        <f>IFERROR(__xludf.DUMMYFUNCTION("""COMPUTED_VALUE"""),"15314535-0")</f>
        <v>15314535-0</v>
      </c>
      <c r="W391" t="str">
        <f>IFERROR(__xludf.DUMMYFUNCTION("""COMPUTED_VALUE"""),"NO")</f>
        <v>NO</v>
      </c>
      <c r="AA391" s="38">
        <f>IFERROR(__xludf.DUMMYFUNCTION("""COMPUTED_VALUE"""),42500.0)</f>
        <v>42500</v>
      </c>
      <c r="AB391" s="38">
        <f>IFERROR(__xludf.DUMMYFUNCTION("""COMPUTED_VALUE"""),42502.0)</f>
        <v>42502</v>
      </c>
      <c r="AH391" t="str">
        <f>IFERROR(__xludf.DUMMYFUNCTION("""COMPUTED_VALUE"""),"PROCESO DE SELECCIÓN")</f>
        <v>PROCESO DE SELECCIÓN</v>
      </c>
      <c r="AI391" t="str">
        <f>IFERROR(__xludf.DUMMYFUNCTION("""COMPUTED_VALUE"""),"AUTORIZADO 2015")</f>
        <v>AUTORIZADO 2015</v>
      </c>
      <c r="AK391" t="str">
        <f>IFERROR(__xludf.DUMMYFUNCTION("""COMPUTED_VALUE"""),"P")</f>
        <v>P</v>
      </c>
      <c r="AL391">
        <f>IFERROR(__xludf.DUMMYFUNCTION("""COMPUTED_VALUE"""),38.0)</f>
        <v>38</v>
      </c>
      <c r="AM391">
        <f>IFERROR(__xludf.DUMMYFUNCTION("""COMPUTED_VALUE"""),2016.0)</f>
        <v>2016</v>
      </c>
    </row>
    <row r="392">
      <c r="A392">
        <f>IFERROR(__xludf.DUMMYFUNCTION("""COMPUTED_VALUE"""),1.6075522E7)</f>
        <v>16075522</v>
      </c>
      <c r="B392">
        <f>IFERROR(__xludf.DUMMYFUNCTION("""COMPUTED_VALUE"""),49.0)</f>
        <v>49</v>
      </c>
      <c r="D392" t="str">
        <f>IFERROR(__xludf.DUMMYFUNCTION("""COMPUTED_VALUE"""),"INGRESAR CENTRO DE COSTO A LA DERECHA")</f>
        <v>INGRESAR CENTRO DE COSTO A LA DERECHA</v>
      </c>
      <c r="E392" t="str">
        <f>IFERROR(__xludf.DUMMYFUNCTION("""COMPUTED_VALUE"""),"UNIDAD DE GESTION DEL CAMPUS")</f>
        <v>UNIDAD DE GESTION DEL CAMPUS</v>
      </c>
      <c r="F392" t="str">
        <f>IFERROR(__xludf.DUMMYFUNCTION("""COMPUTED_VALUE"""),"Médico(a) Veterinario(a)")</f>
        <v>Médico(a) Veterinario(a)</v>
      </c>
      <c r="G392" t="str">
        <f>IFERROR(__xludf.DUMMYFUNCTION("""COMPUTED_VALUE"""),"MEDICO VETERINARIO")</f>
        <v>MEDICO VETERINARIO</v>
      </c>
      <c r="H392">
        <f>IFERROR(__xludf.DUMMYFUNCTION("""COMPUTED_VALUE"""),13.0)</f>
        <v>13</v>
      </c>
      <c r="I392" t="str">
        <f>IFERROR(__xludf.DUMMYFUNCTION("""COMPUTED_VALUE"""),"Jornada Completa")</f>
        <v>Jornada Completa</v>
      </c>
      <c r="J392" t="str">
        <f>IFERROR(__xludf.DUMMYFUNCTION("""COMPUTED_VALUE"""),"A CONTRATA")</f>
        <v>A CONTRATA</v>
      </c>
      <c r="K392" t="str">
        <f>IFERROR(__xludf.DUMMYFUNCTION("""COMPUTED_VALUE"""),"PROFESIONAL")</f>
        <v>PROFESIONAL</v>
      </c>
      <c r="L392" t="str">
        <f>IFERROR(__xludf.DUMMYFUNCTION("""COMPUTED_VALUE"""),"NO")</f>
        <v>NO</v>
      </c>
      <c r="M392">
        <f>IFERROR(__xludf.DUMMYFUNCTION("""COMPUTED_VALUE"""),0.0)</f>
        <v>0</v>
      </c>
      <c r="N392" t="str">
        <f>IFERROR(__xludf.DUMMYFUNCTION("""COMPUTED_VALUE"""),"EXTERNO")</f>
        <v>EXTERNO</v>
      </c>
      <c r="O392">
        <f>IFERROR(__xludf.DUMMYFUNCTION("""COMPUTED_VALUE"""),17.0)</f>
        <v>17</v>
      </c>
      <c r="P392">
        <f>IFERROR(__xludf.DUMMYFUNCTION("""COMPUTED_VALUE"""),2.0)</f>
        <v>2</v>
      </c>
      <c r="Q392">
        <f>IFERROR(__xludf.DUMMYFUNCTION("""COMPUTED_VALUE"""),1.0)</f>
        <v>1</v>
      </c>
      <c r="R392" s="45" t="str">
        <f>IFERROR(__xludf.DUMMYFUNCTION("""COMPUTED_VALUE"""),"SELECCIONADA")</f>
        <v>SELECCIONADA</v>
      </c>
      <c r="S392" s="38">
        <f>IFERROR(__xludf.DUMMYFUNCTION("""COMPUTED_VALUE"""),42569.0)</f>
        <v>42569</v>
      </c>
      <c r="U392" t="str">
        <f>IFERROR(__xludf.DUMMYFUNCTION("""COMPUTED_VALUE"""),"PAULA BRAVO ARREDONDO")</f>
        <v>PAULA BRAVO ARREDONDO</v>
      </c>
      <c r="V392" t="str">
        <f>IFERROR(__xludf.DUMMYFUNCTION("""COMPUTED_VALUE"""),"16075522-9")</f>
        <v>16075522-9</v>
      </c>
      <c r="W392" t="str">
        <f>IFERROR(__xludf.DUMMYFUNCTION("""COMPUTED_VALUE"""),"NO")</f>
        <v>NO</v>
      </c>
      <c r="AA392" s="38">
        <f>IFERROR(__xludf.DUMMYFUNCTION("""COMPUTED_VALUE"""),42527.0)</f>
        <v>42527</v>
      </c>
      <c r="AB392" s="38">
        <f>IFERROR(__xludf.DUMMYFUNCTION("""COMPUTED_VALUE"""),42534.0)</f>
        <v>42534</v>
      </c>
      <c r="AH392" t="str">
        <f>IFERROR(__xludf.DUMMYFUNCTION("""COMPUTED_VALUE"""),"PROCESO DE SELECCIÓN")</f>
        <v>PROCESO DE SELECCIÓN</v>
      </c>
      <c r="AI392" t="str">
        <f>IFERROR(__xludf.DUMMYFUNCTION("""COMPUTED_VALUE"""),"AUTORIZADO 2015")</f>
        <v>AUTORIZADO 2015</v>
      </c>
      <c r="AK392" t="str">
        <f>IFERROR(__xludf.DUMMYFUNCTION("""COMPUTED_VALUE"""),"E")</f>
        <v>E</v>
      </c>
      <c r="AL392">
        <f>IFERROR(__xludf.DUMMYFUNCTION("""COMPUTED_VALUE"""),26.0)</f>
        <v>26</v>
      </c>
      <c r="AM392">
        <f>IFERROR(__xludf.DUMMYFUNCTION("""COMPUTED_VALUE"""),2016.0)</f>
        <v>2016</v>
      </c>
    </row>
    <row r="393">
      <c r="A393">
        <f>IFERROR(__xludf.DUMMYFUNCTION("""COMPUTED_VALUE"""),1.8251296E7)</f>
        <v>18251296</v>
      </c>
      <c r="B393">
        <f>IFERROR(__xludf.DUMMYFUNCTION("""COMPUTED_VALUE"""),50.0)</f>
        <v>50</v>
      </c>
      <c r="D393" t="str">
        <f>IFERROR(__xludf.DUMMYFUNCTION("""COMPUTED_VALUE"""),"INGRESAR CENTRO DE COSTO A LA DERECHA")</f>
        <v>INGRESAR CENTRO DE COSTO A LA DERECHA</v>
      </c>
      <c r="E393" t="str">
        <f>IFERROR(__xludf.DUMMYFUNCTION("""COMPUTED_VALUE"""),"UNIDAD DE GESTION DEL CAMPUS")</f>
        <v>UNIDAD DE GESTION DEL CAMPUS</v>
      </c>
      <c r="F393" t="str">
        <f>IFERROR(__xludf.DUMMYFUNCTION("""COMPUTED_VALUE"""),"Analista de Gestión II")</f>
        <v>Analista de Gestión II</v>
      </c>
      <c r="G393" t="str">
        <f>IFERROR(__xludf.DUMMYFUNCTION("""COMPUTED_VALUE"""),"ANALISTA II")</f>
        <v>ANALISTA II</v>
      </c>
      <c r="H393">
        <f>IFERROR(__xludf.DUMMYFUNCTION("""COMPUTED_VALUE"""),13.0)</f>
        <v>13</v>
      </c>
      <c r="I393" t="str">
        <f>IFERROR(__xludf.DUMMYFUNCTION("""COMPUTED_VALUE"""),"Jornada Completa")</f>
        <v>Jornada Completa</v>
      </c>
      <c r="J393" t="str">
        <f>IFERROR(__xludf.DUMMYFUNCTION("""COMPUTED_VALUE"""),"A CONTRATA")</f>
        <v>A CONTRATA</v>
      </c>
      <c r="K393" t="str">
        <f>IFERROR(__xludf.DUMMYFUNCTION("""COMPUTED_VALUE"""),"PROFESIONAL")</f>
        <v>PROFESIONAL</v>
      </c>
      <c r="L393" t="str">
        <f>IFERROR(__xludf.DUMMYFUNCTION("""COMPUTED_VALUE"""),"INTERNO")</f>
        <v>INTERNO</v>
      </c>
      <c r="M393">
        <f>IFERROR(__xludf.DUMMYFUNCTION("""COMPUTED_VALUE"""),5.0)</f>
        <v>5</v>
      </c>
      <c r="N393" t="str">
        <f>IFERROR(__xludf.DUMMYFUNCTION("""COMPUTED_VALUE"""),"NO")</f>
        <v>NO</v>
      </c>
      <c r="O393">
        <f>IFERROR(__xludf.DUMMYFUNCTION("""COMPUTED_VALUE"""),0.0)</f>
        <v>0</v>
      </c>
      <c r="P393">
        <f>IFERROR(__xludf.DUMMYFUNCTION("""COMPUTED_VALUE"""),1.0)</f>
        <v>1</v>
      </c>
      <c r="Q393">
        <f>IFERROR(__xludf.DUMMYFUNCTION("""COMPUTED_VALUE"""),0.0)</f>
        <v>0</v>
      </c>
      <c r="R393" s="45" t="str">
        <f>IFERROR(__xludf.DUMMYFUNCTION("""COMPUTED_VALUE"""),"SELECCIONADA")</f>
        <v>SELECCIONADA</v>
      </c>
      <c r="S393" s="38">
        <f>IFERROR(__xludf.DUMMYFUNCTION("""COMPUTED_VALUE"""),42569.0)</f>
        <v>42569</v>
      </c>
      <c r="T393" t="str">
        <f>IFERROR(__xludf.DUMMYFUNCTION("""COMPUTED_VALUE"""),"DIAZ BERTOLI GABRIELA PAOLA")</f>
        <v>DIAZ BERTOLI GABRIELA PAOLA</v>
      </c>
      <c r="V393" t="str">
        <f>IFERROR(__xludf.DUMMYFUNCTION("""COMPUTED_VALUE"""),"18251296-5")</f>
        <v>18251296-5</v>
      </c>
      <c r="W393" t="str">
        <f>IFERROR(__xludf.DUMMYFUNCTION("""COMPUTED_VALUE"""),"SI")</f>
        <v>SI</v>
      </c>
      <c r="X393" t="str">
        <f>IFERROR(__xludf.DUMMYFUNCTION("""COMPUTED_VALUE"""),"CAPACIDAD DE PLANIFICACION Y ORGANIZACION")</f>
        <v>CAPACIDAD DE PLANIFICACION Y ORGANIZACION</v>
      </c>
      <c r="AA393" s="38">
        <f>IFERROR(__xludf.DUMMYFUNCTION("""COMPUTED_VALUE"""),42543.0)</f>
        <v>42543</v>
      </c>
      <c r="AB393" s="38">
        <f>IFERROR(__xludf.DUMMYFUNCTION("""COMPUTED_VALUE"""),42550.0)</f>
        <v>42550</v>
      </c>
      <c r="AH393" t="str">
        <f>IFERROR(__xludf.DUMMYFUNCTION("""COMPUTED_VALUE"""),"PROCESO DE SELECCIÓN")</f>
        <v>PROCESO DE SELECCIÓN</v>
      </c>
      <c r="AI393" t="str">
        <f>IFERROR(__xludf.DUMMYFUNCTION("""COMPUTED_VALUE"""),"AUTORIZADO 2016")</f>
        <v>AUTORIZADO 2016</v>
      </c>
      <c r="AK393" t="str">
        <f>IFERROR(__xludf.DUMMYFUNCTION("""COMPUTED_VALUE"""),"P")</f>
        <v>P</v>
      </c>
      <c r="AL393">
        <f>IFERROR(__xludf.DUMMYFUNCTION("""COMPUTED_VALUE"""),14.0)</f>
        <v>14</v>
      </c>
      <c r="AM393">
        <f>IFERROR(__xludf.DUMMYFUNCTION("""COMPUTED_VALUE"""),2016.0)</f>
        <v>2016</v>
      </c>
    </row>
    <row r="394">
      <c r="A394">
        <f>IFERROR(__xludf.DUMMYFUNCTION("""COMPUTED_VALUE"""),1.0405955E7)</f>
        <v>10405955</v>
      </c>
      <c r="B394">
        <f>IFERROR(__xludf.DUMMYFUNCTION("""COMPUTED_VALUE"""),51.0)</f>
        <v>51</v>
      </c>
      <c r="D394" t="str">
        <f>IFERROR(__xludf.DUMMYFUNCTION("""COMPUTED_VALUE"""),"INGRESAR CENTRO DE COSTO A LA DERECHA")</f>
        <v>INGRESAR CENTRO DE COSTO A LA DERECHA</v>
      </c>
      <c r="E394" t="str">
        <f>IFERROR(__xludf.DUMMYFUNCTION("""COMPUTED_VALUE"""),"FACULTAD DE QUIMICA Y BIOLOGIA")</f>
        <v>FACULTAD DE QUIMICA Y BIOLOGIA</v>
      </c>
      <c r="F394" t="str">
        <f>IFERROR(__xludf.DUMMYFUNCTION("""COMPUTED_VALUE"""),"Mayordomo(a)")</f>
        <v>Mayordomo(a)</v>
      </c>
      <c r="G394" t="str">
        <f>IFERROR(__xludf.DUMMYFUNCTION("""COMPUTED_VALUE"""),"MAYORDOMO")</f>
        <v>MAYORDOMO</v>
      </c>
      <c r="H394">
        <f>IFERROR(__xludf.DUMMYFUNCTION("""COMPUTED_VALUE"""),21.0)</f>
        <v>21</v>
      </c>
      <c r="I394" t="str">
        <f>IFERROR(__xludf.DUMMYFUNCTION("""COMPUTED_VALUE"""),"Jornada Completa")</f>
        <v>Jornada Completa</v>
      </c>
      <c r="J394" t="str">
        <f>IFERROR(__xludf.DUMMYFUNCTION("""COMPUTED_VALUE"""),"A CONTRATA")</f>
        <v>A CONTRATA</v>
      </c>
      <c r="K394" t="str">
        <f>IFERROR(__xludf.DUMMYFUNCTION("""COMPUTED_VALUE"""),"AUXILIAR")</f>
        <v>AUXILIAR</v>
      </c>
      <c r="L394" t="str">
        <f>IFERROR(__xludf.DUMMYFUNCTION("""COMPUTED_VALUE"""),"NO")</f>
        <v>NO</v>
      </c>
      <c r="M394">
        <f>IFERROR(__xludf.DUMMYFUNCTION("""COMPUTED_VALUE"""),0.0)</f>
        <v>0</v>
      </c>
      <c r="N394" t="str">
        <f>IFERROR(__xludf.DUMMYFUNCTION("""COMPUTED_VALUE"""),"EXTERNO")</f>
        <v>EXTERNO</v>
      </c>
      <c r="O394">
        <f>IFERROR(__xludf.DUMMYFUNCTION("""COMPUTED_VALUE"""),5.0)</f>
        <v>5</v>
      </c>
      <c r="P394">
        <f>IFERROR(__xludf.DUMMYFUNCTION("""COMPUTED_VALUE"""),1.0)</f>
        <v>1</v>
      </c>
      <c r="Q394">
        <f>IFERROR(__xludf.DUMMYFUNCTION("""COMPUTED_VALUE"""),2.0)</f>
        <v>2</v>
      </c>
      <c r="R394" s="45" t="str">
        <f>IFERROR(__xludf.DUMMYFUNCTION("""COMPUTED_VALUE"""),"SELECCIONADO")</f>
        <v>SELECCIONADO</v>
      </c>
      <c r="S394" s="38">
        <f>IFERROR(__xludf.DUMMYFUNCTION("""COMPUTED_VALUE"""),42506.0)</f>
        <v>42506</v>
      </c>
      <c r="U394" t="str">
        <f>IFERROR(__xludf.DUMMYFUNCTION("""COMPUTED_VALUE"""),"JOSE TOLEDO VERA")</f>
        <v>JOSE TOLEDO VERA</v>
      </c>
      <c r="V394" t="str">
        <f>IFERROR(__xludf.DUMMYFUNCTION("""COMPUTED_VALUE"""),"10405955-4")</f>
        <v>10405955-4</v>
      </c>
      <c r="W394" t="str">
        <f>IFERROR(__xludf.DUMMYFUNCTION("""COMPUTED_VALUE"""),"NO")</f>
        <v>NO</v>
      </c>
      <c r="AA394" s="38">
        <f>IFERROR(__xludf.DUMMYFUNCTION("""COMPUTED_VALUE"""),42499.0)</f>
        <v>42499</v>
      </c>
      <c r="AB394" s="38">
        <f>IFERROR(__xludf.DUMMYFUNCTION("""COMPUTED_VALUE"""),42501.0)</f>
        <v>42501</v>
      </c>
      <c r="AH394" t="str">
        <f>IFERROR(__xludf.DUMMYFUNCTION("""COMPUTED_VALUE"""),"PROCESO DE SELECCIÓN")</f>
        <v>PROCESO DE SELECCIÓN</v>
      </c>
      <c r="AI394" t="str">
        <f>IFERROR(__xludf.DUMMYFUNCTION("""COMPUTED_VALUE"""),"AUTORIZADO 2013 - 2016")</f>
        <v>AUTORIZADO 2013 - 2016</v>
      </c>
      <c r="AK394" t="str">
        <f>IFERROR(__xludf.DUMMYFUNCTION("""COMPUTED_VALUE"""),"P")</f>
        <v>P</v>
      </c>
      <c r="AL394">
        <f>IFERROR(__xludf.DUMMYFUNCTION("""COMPUTED_VALUE"""),4.0)</f>
        <v>4</v>
      </c>
      <c r="AM394">
        <f>IFERROR(__xludf.DUMMYFUNCTION("""COMPUTED_VALUE"""),2016.0)</f>
        <v>2016</v>
      </c>
    </row>
    <row r="395">
      <c r="A395">
        <f>IFERROR(__xludf.DUMMYFUNCTION("""COMPUTED_VALUE"""),1.9088083E7)</f>
        <v>19088083</v>
      </c>
      <c r="B395">
        <f>IFERROR(__xludf.DUMMYFUNCTION("""COMPUTED_VALUE"""),52.0)</f>
        <v>52</v>
      </c>
      <c r="D395" t="str">
        <f>IFERROR(__xludf.DUMMYFUNCTION("""COMPUTED_VALUE"""),"INGRESAR CENTRO DE COSTO A LA DERECHA")</f>
        <v>INGRESAR CENTRO DE COSTO A LA DERECHA</v>
      </c>
      <c r="E395" t="str">
        <f>IFERROR(__xludf.DUMMYFUNCTION("""COMPUTED_VALUE"""),"DPTO. DE DEPORTES")</f>
        <v>DPTO. DE DEPORTES</v>
      </c>
      <c r="F395" t="str">
        <f>IFERROR(__xludf.DUMMYFUNCTION("""COMPUTED_VALUE"""),"Auxiliar de Servicios")</f>
        <v>Auxiliar de Servicios</v>
      </c>
      <c r="G395" t="str">
        <f>IFERROR(__xludf.DUMMYFUNCTION("""COMPUTED_VALUE"""),"AUXILIAR DE SERVICIOS")</f>
        <v>AUXILIAR DE SERVICIOS</v>
      </c>
      <c r="H395">
        <f>IFERROR(__xludf.DUMMYFUNCTION("""COMPUTED_VALUE"""),23.0)</f>
        <v>23</v>
      </c>
      <c r="I395" t="str">
        <f>IFERROR(__xludf.DUMMYFUNCTION("""COMPUTED_VALUE"""),"Jornada Completa")</f>
        <v>Jornada Completa</v>
      </c>
      <c r="J395" t="str">
        <f>IFERROR(__xludf.DUMMYFUNCTION("""COMPUTED_VALUE"""),"A CONTRATA")</f>
        <v>A CONTRATA</v>
      </c>
      <c r="K395" t="str">
        <f>IFERROR(__xludf.DUMMYFUNCTION("""COMPUTED_VALUE"""),"AUXILIAR")</f>
        <v>AUXILIAR</v>
      </c>
      <c r="L395" t="str">
        <f>IFERROR(__xludf.DUMMYFUNCTION("""COMPUTED_VALUE"""),"INTERNO")</f>
        <v>INTERNO</v>
      </c>
      <c r="M395">
        <f>IFERROR(__xludf.DUMMYFUNCTION("""COMPUTED_VALUE"""),0.0)</f>
        <v>0</v>
      </c>
      <c r="N395" t="str">
        <f>IFERROR(__xludf.DUMMYFUNCTION("""COMPUTED_VALUE"""),"EXTERNO")</f>
        <v>EXTERNO</v>
      </c>
      <c r="O395">
        <f>IFERROR(__xludf.DUMMYFUNCTION("""COMPUTED_VALUE"""),5.0)</f>
        <v>5</v>
      </c>
      <c r="P395">
        <f>IFERROR(__xludf.DUMMYFUNCTION("""COMPUTED_VALUE"""),2.0)</f>
        <v>2</v>
      </c>
      <c r="Q395">
        <f>IFERROR(__xludf.DUMMYFUNCTION("""COMPUTED_VALUE"""),1.0)</f>
        <v>1</v>
      </c>
      <c r="R395" s="45" t="str">
        <f>IFERROR(__xludf.DUMMYFUNCTION("""COMPUTED_VALUE"""),"SELECCIONADO")</f>
        <v>SELECCIONADO</v>
      </c>
      <c r="S395" s="38">
        <f>IFERROR(__xludf.DUMMYFUNCTION("""COMPUTED_VALUE"""),42527.0)</f>
        <v>42527</v>
      </c>
      <c r="U395" t="str">
        <f>IFERROR(__xludf.DUMMYFUNCTION("""COMPUTED_VALUE"""),"LUIS PALMA AEDO")</f>
        <v>LUIS PALMA AEDO</v>
      </c>
      <c r="V395" t="str">
        <f>IFERROR(__xludf.DUMMYFUNCTION("""COMPUTED_VALUE"""),"19088083-4")</f>
        <v>19088083-4</v>
      </c>
      <c r="W395" t="str">
        <f>IFERROR(__xludf.DUMMYFUNCTION("""COMPUTED_VALUE"""),"SI")</f>
        <v>SI</v>
      </c>
      <c r="X395" t="str">
        <f>IFERROR(__xludf.DUMMYFUNCTION("""COMPUTED_VALUE"""),"TRABAJO EN EQUIPO")</f>
        <v>TRABAJO EN EQUIPO</v>
      </c>
      <c r="AA395" s="38">
        <f>IFERROR(__xludf.DUMMYFUNCTION("""COMPUTED_VALUE"""),42482.0)</f>
        <v>42482</v>
      </c>
      <c r="AB395" s="38">
        <f>IFERROR(__xludf.DUMMYFUNCTION("""COMPUTED_VALUE"""),42489.0)</f>
        <v>42489</v>
      </c>
      <c r="AH395" t="str">
        <f>IFERROR(__xludf.DUMMYFUNCTION("""COMPUTED_VALUE"""),"PROCESO DE SELECCIÓN")</f>
        <v>PROCESO DE SELECCIÓN</v>
      </c>
      <c r="AI395" t="str">
        <f>IFERROR(__xludf.DUMMYFUNCTION("""COMPUTED_VALUE"""),"JAIME SILVA MONTENEGRO")</f>
        <v>JAIME SILVA MONTENEGRO</v>
      </c>
      <c r="AK395" t="str">
        <f>IFERROR(__xludf.DUMMYFUNCTION("""COMPUTED_VALUE"""),"P")</f>
        <v>P</v>
      </c>
      <c r="AL395">
        <f>IFERROR(__xludf.DUMMYFUNCTION("""COMPUTED_VALUE"""),27.0)</f>
        <v>27</v>
      </c>
      <c r="AM395">
        <f>IFERROR(__xludf.DUMMYFUNCTION("""COMPUTED_VALUE"""),2016.0)</f>
        <v>2016</v>
      </c>
    </row>
    <row r="396">
      <c r="A396">
        <f>IFERROR(__xludf.DUMMYFUNCTION("""COMPUTED_VALUE"""),1.6041081E7)</f>
        <v>16041081</v>
      </c>
      <c r="B396">
        <f>IFERROR(__xludf.DUMMYFUNCTION("""COMPUTED_VALUE"""),53.0)</f>
        <v>53</v>
      </c>
      <c r="D396" t="str">
        <f>IFERROR(__xludf.DUMMYFUNCTION("""COMPUTED_VALUE"""),"INGRESAR CENTRO DE COSTO A LA DERECHA")</f>
        <v>INGRESAR CENTRO DE COSTO A LA DERECHA</v>
      </c>
      <c r="E396" t="str">
        <f>IFERROR(__xludf.DUMMYFUNCTION("""COMPUTED_VALUE"""),"VR. DE INVEST. DESARR E INNOVACION")</f>
        <v>VR. DE INVEST. DESARR E INNOVACION</v>
      </c>
      <c r="F396" t="str">
        <f>IFERROR(__xludf.DUMMYFUNCTION("""COMPUTED_VALUE"""),"Jefe(a) de Sección")</f>
        <v>Jefe(a) de Sección</v>
      </c>
      <c r="G396" t="str">
        <f>IFERROR(__xludf.DUMMYFUNCTION("""COMPUTED_VALUE"""),"JEFE DE SECCION EDIFICIO EDUARDO MORALES SANTOS")</f>
        <v>JEFE DE SECCION EDIFICIO EDUARDO MORALES SANTOS</v>
      </c>
      <c r="H396">
        <f>IFERROR(__xludf.DUMMYFUNCTION("""COMPUTED_VALUE"""),10.0)</f>
        <v>10</v>
      </c>
      <c r="I396" t="str">
        <f>IFERROR(__xludf.DUMMYFUNCTION("""COMPUTED_VALUE"""),"Jornada Completa")</f>
        <v>Jornada Completa</v>
      </c>
      <c r="J396" t="str">
        <f>IFERROR(__xludf.DUMMYFUNCTION("""COMPUTED_VALUE"""),"A CONTRATA")</f>
        <v>A CONTRATA</v>
      </c>
      <c r="K396" t="str">
        <f>IFERROR(__xludf.DUMMYFUNCTION("""COMPUTED_VALUE"""),"PROFESIONAL")</f>
        <v>PROFESIONAL</v>
      </c>
      <c r="L396" t="str">
        <f>IFERROR(__xludf.DUMMYFUNCTION("""COMPUTED_VALUE"""),"INTERNO")</f>
        <v>INTERNO</v>
      </c>
      <c r="M396">
        <f>IFERROR(__xludf.DUMMYFUNCTION("""COMPUTED_VALUE"""),0.0)</f>
        <v>0</v>
      </c>
      <c r="N396" t="str">
        <f>IFERROR(__xludf.DUMMYFUNCTION("""COMPUTED_VALUE"""),"EXTERNO")</f>
        <v>EXTERNO</v>
      </c>
      <c r="O396">
        <f>IFERROR(__xludf.DUMMYFUNCTION("""COMPUTED_VALUE"""),7.0)</f>
        <v>7</v>
      </c>
      <c r="P396">
        <f>IFERROR(__xludf.DUMMYFUNCTION("""COMPUTED_VALUE"""),2.0)</f>
        <v>2</v>
      </c>
      <c r="Q396">
        <f>IFERROR(__xludf.DUMMYFUNCTION("""COMPUTED_VALUE"""),1.0)</f>
        <v>1</v>
      </c>
      <c r="R396" s="45" t="str">
        <f>IFERROR(__xludf.DUMMYFUNCTION("""COMPUTED_VALUE"""),"SELECCIONADO")</f>
        <v>SELECCIONADO</v>
      </c>
      <c r="S396" s="38">
        <f>IFERROR(__xludf.DUMMYFUNCTION("""COMPUTED_VALUE"""),42564.0)</f>
        <v>42564</v>
      </c>
      <c r="U396" t="str">
        <f>IFERROR(__xludf.DUMMYFUNCTION("""COMPUTED_VALUE"""),"HECTOR JAQUE PINTO")</f>
        <v>HECTOR JAQUE PINTO</v>
      </c>
      <c r="V396" t="str">
        <f>IFERROR(__xludf.DUMMYFUNCTION("""COMPUTED_VALUE"""),"16041081-7")</f>
        <v>16041081-7</v>
      </c>
      <c r="W396" t="str">
        <f>IFERROR(__xludf.DUMMYFUNCTION("""COMPUTED_VALUE"""),"SI")</f>
        <v>SI</v>
      </c>
      <c r="X396" t="str">
        <f>IFERROR(__xludf.DUMMYFUNCTION("""COMPUTED_VALUE"""),"TRABAJO EN EQUIPO")</f>
        <v>TRABAJO EN EQUIPO</v>
      </c>
      <c r="AA396" s="38">
        <f>IFERROR(__xludf.DUMMYFUNCTION("""COMPUTED_VALUE"""),42510.0)</f>
        <v>42510</v>
      </c>
      <c r="AB396" s="38">
        <f>IFERROR(__xludf.DUMMYFUNCTION("""COMPUTED_VALUE"""),42517.0)</f>
        <v>42517</v>
      </c>
      <c r="AH396" t="str">
        <f>IFERROR(__xludf.DUMMYFUNCTION("""COMPUTED_VALUE"""),"PROCESO DE SELECCIÓN")</f>
        <v>PROCESO DE SELECCIÓN</v>
      </c>
      <c r="AI396" t="str">
        <f>IFERROR(__xludf.DUMMYFUNCTION("""COMPUTED_VALUE"""),"AUTORIZADO 2016")</f>
        <v>AUTORIZADO 2016</v>
      </c>
      <c r="AK396" t="str">
        <f>IFERROR(__xludf.DUMMYFUNCTION("""COMPUTED_VALUE"""),"E")</f>
        <v>E</v>
      </c>
      <c r="AL396">
        <f>IFERROR(__xludf.DUMMYFUNCTION("""COMPUTED_VALUE"""),34.0)</f>
        <v>34</v>
      </c>
      <c r="AM396">
        <f>IFERROR(__xludf.DUMMYFUNCTION("""COMPUTED_VALUE"""),2016.0)</f>
        <v>2016</v>
      </c>
    </row>
    <row r="397">
      <c r="A397">
        <f>IFERROR(__xludf.DUMMYFUNCTION("""COMPUTED_VALUE"""),1.7051027E7)</f>
        <v>17051027</v>
      </c>
      <c r="B397">
        <f>IFERROR(__xludf.DUMMYFUNCTION("""COMPUTED_VALUE"""),54.0)</f>
        <v>54</v>
      </c>
      <c r="D397" t="str">
        <f>IFERROR(__xludf.DUMMYFUNCTION("""COMPUTED_VALUE"""),"INGRESAR CENTRO DE COSTO A LA DERECHA")</f>
        <v>INGRESAR CENTRO DE COSTO A LA DERECHA</v>
      </c>
      <c r="E397" t="str">
        <f>IFERROR(__xludf.DUMMYFUNCTION("""COMPUTED_VALUE"""),"DPTO. DE MAT. Y CS. DE LA COMP.")</f>
        <v>DPTO. DE MAT. Y CS. DE LA COMP.</v>
      </c>
      <c r="F397" t="str">
        <f>IFERROR(__xludf.DUMMYFUNCTION("""COMPUTED_VALUE"""),"Técnico(a) de Biblioteca")</f>
        <v>Técnico(a) de Biblioteca</v>
      </c>
      <c r="G397" t="str">
        <f>IFERROR(__xludf.DUMMYFUNCTION("""COMPUTED_VALUE"""),"TECNICO DE BIBLIOTECA")</f>
        <v>TECNICO DE BIBLIOTECA</v>
      </c>
      <c r="H397">
        <f>IFERROR(__xludf.DUMMYFUNCTION("""COMPUTED_VALUE"""),18.0)</f>
        <v>18</v>
      </c>
      <c r="I397" t="str">
        <f>IFERROR(__xludf.DUMMYFUNCTION("""COMPUTED_VALUE"""),"Jornada Completa")</f>
        <v>Jornada Completa</v>
      </c>
      <c r="J397" t="str">
        <f>IFERROR(__xludf.DUMMYFUNCTION("""COMPUTED_VALUE"""),"A CONTRATA")</f>
        <v>A CONTRATA</v>
      </c>
      <c r="K397" t="str">
        <f>IFERROR(__xludf.DUMMYFUNCTION("""COMPUTED_VALUE"""),"TECNICO")</f>
        <v>TECNICO</v>
      </c>
      <c r="L397" t="str">
        <f>IFERROR(__xludf.DUMMYFUNCTION("""COMPUTED_VALUE"""),"INTERNO")</f>
        <v>INTERNO</v>
      </c>
      <c r="M397">
        <f>IFERROR(__xludf.DUMMYFUNCTION("""COMPUTED_VALUE"""),0.0)</f>
        <v>0</v>
      </c>
      <c r="N397" t="str">
        <f>IFERROR(__xludf.DUMMYFUNCTION("""COMPUTED_VALUE"""),"EXTERNO")</f>
        <v>EXTERNO</v>
      </c>
      <c r="O397">
        <f>IFERROR(__xludf.DUMMYFUNCTION("""COMPUTED_VALUE"""),11.0)</f>
        <v>11</v>
      </c>
      <c r="P397">
        <f>IFERROR(__xludf.DUMMYFUNCTION("""COMPUTED_VALUE"""),5.0)</f>
        <v>5</v>
      </c>
      <c r="Q397">
        <f>IFERROR(__xludf.DUMMYFUNCTION("""COMPUTED_VALUE"""),4.0)</f>
        <v>4</v>
      </c>
      <c r="R397" s="45" t="str">
        <f>IFERROR(__xludf.DUMMYFUNCTION("""COMPUTED_VALUE"""),"SELECCIONADO")</f>
        <v>SELECCIONADO</v>
      </c>
      <c r="S397" s="38">
        <f>IFERROR(__xludf.DUMMYFUNCTION("""COMPUTED_VALUE"""),42565.0)</f>
        <v>42565</v>
      </c>
      <c r="U397" t="str">
        <f>IFERROR(__xludf.DUMMYFUNCTION("""COMPUTED_VALUE"""),"JUAN LUNA MAGUIDA")</f>
        <v>JUAN LUNA MAGUIDA</v>
      </c>
      <c r="V397" t="str">
        <f>IFERROR(__xludf.DUMMYFUNCTION("""COMPUTED_VALUE"""),"17051027-5")</f>
        <v>17051027-5</v>
      </c>
      <c r="W397" t="str">
        <f>IFERROR(__xludf.DUMMYFUNCTION("""COMPUTED_VALUE"""),"NO")</f>
        <v>NO</v>
      </c>
      <c r="AA397" s="38">
        <f>IFERROR(__xludf.DUMMYFUNCTION("""COMPUTED_VALUE"""),42551.0)</f>
        <v>42551</v>
      </c>
      <c r="AB397" s="38">
        <f>IFERROR(__xludf.DUMMYFUNCTION("""COMPUTED_VALUE"""),42556.0)</f>
        <v>42556</v>
      </c>
      <c r="AH397" t="str">
        <f>IFERROR(__xludf.DUMMYFUNCTION("""COMPUTED_VALUE"""),"PROCESO DE SELECCIÓN")</f>
        <v>PROCESO DE SELECCIÓN</v>
      </c>
      <c r="AI397" t="str">
        <f>IFERROR(__xludf.DUMMYFUNCTION("""COMPUTED_VALUE"""),"AUTORIZADO 2015")</f>
        <v>AUTORIZADO 2015</v>
      </c>
      <c r="AK397" t="str">
        <f>IFERROR(__xludf.DUMMYFUNCTION("""COMPUTED_VALUE"""),"E")</f>
        <v>E</v>
      </c>
      <c r="AL397">
        <f>IFERROR(__xludf.DUMMYFUNCTION("""COMPUTED_VALUE"""),8.0)</f>
        <v>8</v>
      </c>
      <c r="AM397">
        <f>IFERROR(__xludf.DUMMYFUNCTION("""COMPUTED_VALUE"""),2016.0)</f>
        <v>2016</v>
      </c>
    </row>
    <row r="398">
      <c r="A398">
        <f>IFERROR(__xludf.DUMMYFUNCTION("""COMPUTED_VALUE"""),9976220.0)</f>
        <v>9976220</v>
      </c>
      <c r="B398">
        <f>IFERROR(__xludf.DUMMYFUNCTION("""COMPUTED_VALUE"""),55.0)</f>
        <v>55</v>
      </c>
      <c r="D398" t="str">
        <f>IFERROR(__xludf.DUMMYFUNCTION("""COMPUTED_VALUE"""),"INGRESAR CENTRO DE COSTO A LA DERECHA")</f>
        <v>INGRESAR CENTRO DE COSTO A LA DERECHA</v>
      </c>
      <c r="E398" t="str">
        <f>IFERROR(__xludf.DUMMYFUNCTION("""COMPUTED_VALUE"""),"DPTO. DE RECURSOS HUMANOS")</f>
        <v>DPTO. DE RECURSOS HUMANOS</v>
      </c>
      <c r="F398" t="str">
        <f>IFERROR(__xludf.DUMMYFUNCTION("""COMPUTED_VALUE"""),"Estafeta")</f>
        <v>Estafeta</v>
      </c>
      <c r="G398" t="str">
        <f>IFERROR(__xludf.DUMMYFUNCTION("""COMPUTED_VALUE"""),"ESTAFETA")</f>
        <v>ESTAFETA</v>
      </c>
      <c r="H398">
        <f>IFERROR(__xludf.DUMMYFUNCTION("""COMPUTED_VALUE"""),23.0)</f>
        <v>23</v>
      </c>
      <c r="I398" t="str">
        <f>IFERROR(__xludf.DUMMYFUNCTION("""COMPUTED_VALUE"""),"Jornada Completa")</f>
        <v>Jornada Completa</v>
      </c>
      <c r="J398" t="str">
        <f>IFERROR(__xludf.DUMMYFUNCTION("""COMPUTED_VALUE"""),"A CONTRATA")</f>
        <v>A CONTRATA</v>
      </c>
      <c r="K398" t="str">
        <f>IFERROR(__xludf.DUMMYFUNCTION("""COMPUTED_VALUE"""),"AUXILIAR")</f>
        <v>AUXILIAR</v>
      </c>
      <c r="L398" t="str">
        <f>IFERROR(__xludf.DUMMYFUNCTION("""COMPUTED_VALUE"""),"INTERNO")</f>
        <v>INTERNO</v>
      </c>
      <c r="M398">
        <f>IFERROR(__xludf.DUMMYFUNCTION("""COMPUTED_VALUE"""),1.0)</f>
        <v>1</v>
      </c>
      <c r="N398" t="str">
        <f>IFERROR(__xludf.DUMMYFUNCTION("""COMPUTED_VALUE"""),"EXTERNO")</f>
        <v>EXTERNO</v>
      </c>
      <c r="O398">
        <f>IFERROR(__xludf.DUMMYFUNCTION("""COMPUTED_VALUE"""),15.0)</f>
        <v>15</v>
      </c>
      <c r="P398">
        <f>IFERROR(__xludf.DUMMYFUNCTION("""COMPUTED_VALUE"""),2.0)</f>
        <v>2</v>
      </c>
      <c r="Q398">
        <f>IFERROR(__xludf.DUMMYFUNCTION("""COMPUTED_VALUE"""),1.0)</f>
        <v>1</v>
      </c>
      <c r="R398" s="45" t="str">
        <f>IFERROR(__xludf.DUMMYFUNCTION("""COMPUTED_VALUE"""),"SELECCIONADA")</f>
        <v>SELECCIONADA</v>
      </c>
      <c r="S398" s="38">
        <f>IFERROR(__xludf.DUMMYFUNCTION("""COMPUTED_VALUE"""),42541.0)</f>
        <v>42541</v>
      </c>
      <c r="U398" t="str">
        <f>IFERROR(__xludf.DUMMYFUNCTION("""COMPUTED_VALUE"""),"MARIA HINOJOSA CONTRERAS")</f>
        <v>MARIA HINOJOSA CONTRERAS</v>
      </c>
      <c r="V398" t="str">
        <f>IFERROR(__xludf.DUMMYFUNCTION("""COMPUTED_VALUE"""),"9976220-9")</f>
        <v>9976220-9</v>
      </c>
      <c r="W398" t="str">
        <f>IFERROR(__xludf.DUMMYFUNCTION("""COMPUTED_VALUE"""),"NO")</f>
        <v>NO</v>
      </c>
      <c r="AA398" s="38">
        <f>IFERROR(__xludf.DUMMYFUNCTION("""COMPUTED_VALUE"""),42488.0)</f>
        <v>42488</v>
      </c>
      <c r="AB398" s="38">
        <f>IFERROR(__xludf.DUMMYFUNCTION("""COMPUTED_VALUE"""),42495.0)</f>
        <v>42495</v>
      </c>
      <c r="AH398" t="str">
        <f>IFERROR(__xludf.DUMMYFUNCTION("""COMPUTED_VALUE"""),"PROCESO DE SELECCIÓN")</f>
        <v>PROCESO DE SELECCIÓN</v>
      </c>
      <c r="AI398" t="str">
        <f>IFERROR(__xludf.DUMMYFUNCTION("""COMPUTED_VALUE"""),"GEORGE RIQUELME")</f>
        <v>GEORGE RIQUELME</v>
      </c>
      <c r="AK398" t="str">
        <f>IFERROR(__xludf.DUMMYFUNCTION("""COMPUTED_VALUE"""),"E")</f>
        <v>E</v>
      </c>
      <c r="AL398">
        <f>IFERROR(__xludf.DUMMYFUNCTION("""COMPUTED_VALUE"""),33.0)</f>
        <v>33</v>
      </c>
      <c r="AM398">
        <f>IFERROR(__xludf.DUMMYFUNCTION("""COMPUTED_VALUE"""),2016.0)</f>
        <v>2016</v>
      </c>
    </row>
    <row r="399">
      <c r="A399">
        <f>IFERROR(__xludf.DUMMYFUNCTION("""COMPUTED_VALUE"""),1.6734688E7)</f>
        <v>16734688</v>
      </c>
      <c r="B399">
        <f>IFERROR(__xludf.DUMMYFUNCTION("""COMPUTED_VALUE"""),56.0)</f>
        <v>56</v>
      </c>
      <c r="D399" t="str">
        <f>IFERROR(__xludf.DUMMYFUNCTION("""COMPUTED_VALUE"""),"INGRESAR CENTRO DE COSTO A LA DERECHA")</f>
        <v>INGRESAR CENTRO DE COSTO A LA DERECHA</v>
      </c>
      <c r="E399" t="str">
        <f>IFERROR(__xludf.DUMMYFUNCTION("""COMPUTED_VALUE"""),"UNIDAD DE ATENCION DE SALUD")</f>
        <v>UNIDAD DE ATENCION DE SALUD</v>
      </c>
      <c r="F399" t="str">
        <f>IFERROR(__xludf.DUMMYFUNCTION("""COMPUTED_VALUE"""),"Auxiliar de Enfermería")</f>
        <v>Auxiliar de Enfermería</v>
      </c>
      <c r="G399" t="str">
        <f>IFERROR(__xludf.DUMMYFUNCTION("""COMPUTED_VALUE"""),"AUXILIAR DE ENFERMERIA")</f>
        <v>AUXILIAR DE ENFERMERIA</v>
      </c>
      <c r="H399">
        <f>IFERROR(__xludf.DUMMYFUNCTION("""COMPUTED_VALUE"""),17.0)</f>
        <v>17</v>
      </c>
      <c r="I399" t="str">
        <f>IFERROR(__xludf.DUMMYFUNCTION("""COMPUTED_VALUE"""),"Jornada Completa")</f>
        <v>Jornada Completa</v>
      </c>
      <c r="J399" t="str">
        <f>IFERROR(__xludf.DUMMYFUNCTION("""COMPUTED_VALUE"""),"A CONTRATA")</f>
        <v>A CONTRATA</v>
      </c>
      <c r="K399" t="str">
        <f>IFERROR(__xludf.DUMMYFUNCTION("""COMPUTED_VALUE"""),"TECNICO")</f>
        <v>TECNICO</v>
      </c>
      <c r="L399" t="str">
        <f>IFERROR(__xludf.DUMMYFUNCTION("""COMPUTED_VALUE"""),"INTERNO")</f>
        <v>INTERNO</v>
      </c>
      <c r="M399">
        <f>IFERROR(__xludf.DUMMYFUNCTION("""COMPUTED_VALUE"""),0.0)</f>
        <v>0</v>
      </c>
      <c r="N399" t="str">
        <f>IFERROR(__xludf.DUMMYFUNCTION("""COMPUTED_VALUE"""),"EXTERNO")</f>
        <v>EXTERNO</v>
      </c>
      <c r="O399">
        <f>IFERROR(__xludf.DUMMYFUNCTION("""COMPUTED_VALUE"""),9.0)</f>
        <v>9</v>
      </c>
      <c r="P399">
        <f>IFERROR(__xludf.DUMMYFUNCTION("""COMPUTED_VALUE"""),2.0)</f>
        <v>2</v>
      </c>
      <c r="Q399">
        <f>IFERROR(__xludf.DUMMYFUNCTION("""COMPUTED_VALUE"""),1.0)</f>
        <v>1</v>
      </c>
      <c r="R399" s="45" t="str">
        <f>IFERROR(__xludf.DUMMYFUNCTION("""COMPUTED_VALUE"""),"SELECCIONADA")</f>
        <v>SELECCIONADA</v>
      </c>
      <c r="S399" s="38">
        <f>IFERROR(__xludf.DUMMYFUNCTION("""COMPUTED_VALUE"""),42506.0)</f>
        <v>42506</v>
      </c>
      <c r="U399" t="str">
        <f>IFERROR(__xludf.DUMMYFUNCTION("""COMPUTED_VALUE"""),"DANIELA SAN MARTIN SALAZAR")</f>
        <v>DANIELA SAN MARTIN SALAZAR</v>
      </c>
      <c r="V399" t="str">
        <f>IFERROR(__xludf.DUMMYFUNCTION("""COMPUTED_VALUE"""),"16734688-K")</f>
        <v>16734688-K</v>
      </c>
      <c r="W399" t="str">
        <f>IFERROR(__xludf.DUMMYFUNCTION("""COMPUTED_VALUE"""),"NO")</f>
        <v>NO</v>
      </c>
      <c r="AA399" s="38">
        <f>IFERROR(__xludf.DUMMYFUNCTION("""COMPUTED_VALUE"""),42457.0)</f>
        <v>42457</v>
      </c>
      <c r="AB399" s="38">
        <f>IFERROR(__xludf.DUMMYFUNCTION("""COMPUTED_VALUE"""),42464.0)</f>
        <v>42464</v>
      </c>
      <c r="AH399" t="str">
        <f>IFERROR(__xludf.DUMMYFUNCTION("""COMPUTED_VALUE"""),"PROCESO DE SELECCIÓN")</f>
        <v>PROCESO DE SELECCIÓN</v>
      </c>
      <c r="AI399" t="str">
        <f>IFERROR(__xludf.DUMMYFUNCTION("""COMPUTED_VALUE"""),"VERONICA LAGOS LAGOS")</f>
        <v>VERONICA LAGOS LAGOS</v>
      </c>
      <c r="AK399" t="str">
        <f>IFERROR(__xludf.DUMMYFUNCTION("""COMPUTED_VALUE"""),"E")</f>
        <v>E</v>
      </c>
      <c r="AL399">
        <f>IFERROR(__xludf.DUMMYFUNCTION("""COMPUTED_VALUE"""),31.0)</f>
        <v>31</v>
      </c>
      <c r="AM399">
        <f>IFERROR(__xludf.DUMMYFUNCTION("""COMPUTED_VALUE"""),2016.0)</f>
        <v>2016</v>
      </c>
    </row>
    <row r="400">
      <c r="A400">
        <f>IFERROR(__xludf.DUMMYFUNCTION("""COMPUTED_VALUE"""),1.3082118E7)</f>
        <v>13082118</v>
      </c>
      <c r="B400">
        <f>IFERROR(__xludf.DUMMYFUNCTION("""COMPUTED_VALUE"""),57.0)</f>
        <v>57</v>
      </c>
      <c r="D400" t="str">
        <f>IFERROR(__xludf.DUMMYFUNCTION("""COMPUTED_VALUE"""),"INGRESAR CENTRO DE COSTO A LA DERECHA")</f>
        <v>INGRESAR CENTRO DE COSTO A LA DERECHA</v>
      </c>
      <c r="E400" t="str">
        <f>IFERROR(__xludf.DUMMYFUNCTION("""COMPUTED_VALUE"""),"UNIDAD DE DESARR. PROYECTOS TECN.")</f>
        <v>UNIDAD DE DESARR. PROYECTOS TECN.</v>
      </c>
      <c r="F400" t="str">
        <f>IFERROR(__xludf.DUMMYFUNCTION("""COMPUTED_VALUE"""),"Secretario(a) C")</f>
        <v>Secretario(a) C</v>
      </c>
      <c r="G400" t="str">
        <f>IFERROR(__xludf.DUMMYFUNCTION("""COMPUTED_VALUE"""),"SECRETARIA ADMINISTRATIVA")</f>
        <v>SECRETARIA ADMINISTRATIVA</v>
      </c>
      <c r="H400">
        <f>IFERROR(__xludf.DUMMYFUNCTION("""COMPUTED_VALUE"""),20.0)</f>
        <v>20</v>
      </c>
      <c r="I400" t="str">
        <f>IFERROR(__xludf.DUMMYFUNCTION("""COMPUTED_VALUE"""),"Jornada Completa")</f>
        <v>Jornada Completa</v>
      </c>
      <c r="J400" t="str">
        <f>IFERROR(__xludf.DUMMYFUNCTION("""COMPUTED_VALUE"""),"A CONTRATA")</f>
        <v>A CONTRATA</v>
      </c>
      <c r="K400" t="str">
        <f>IFERROR(__xludf.DUMMYFUNCTION("""COMPUTED_VALUE"""),"ADMINISTRATIVO")</f>
        <v>ADMINISTRATIVO</v>
      </c>
      <c r="L400" t="str">
        <f>IFERROR(__xludf.DUMMYFUNCTION("""COMPUTED_VALUE"""),"INTERNO")</f>
        <v>INTERNO</v>
      </c>
      <c r="M400">
        <f>IFERROR(__xludf.DUMMYFUNCTION("""COMPUTED_VALUE"""),0.0)</f>
        <v>0</v>
      </c>
      <c r="N400" t="str">
        <f>IFERROR(__xludf.DUMMYFUNCTION("""COMPUTED_VALUE"""),"EXTERNO")</f>
        <v>EXTERNO</v>
      </c>
      <c r="O400">
        <f>IFERROR(__xludf.DUMMYFUNCTION("""COMPUTED_VALUE"""),13.0)</f>
        <v>13</v>
      </c>
      <c r="P400">
        <f>IFERROR(__xludf.DUMMYFUNCTION("""COMPUTED_VALUE"""),1.0)</f>
        <v>1</v>
      </c>
      <c r="Q400">
        <f>IFERROR(__xludf.DUMMYFUNCTION("""COMPUTED_VALUE"""),1.0)</f>
        <v>1</v>
      </c>
      <c r="R400" s="45" t="str">
        <f>IFERROR(__xludf.DUMMYFUNCTION("""COMPUTED_VALUE"""),"SELECCIONADA")</f>
        <v>SELECCIONADA</v>
      </c>
      <c r="S400" s="38">
        <f>IFERROR(__xludf.DUMMYFUNCTION("""COMPUTED_VALUE"""),42569.0)</f>
        <v>42569</v>
      </c>
      <c r="U400" t="str">
        <f>IFERROR(__xludf.DUMMYFUNCTION("""COMPUTED_VALUE"""),"VIOLETA ABARCA QUIROZ")</f>
        <v>VIOLETA ABARCA QUIROZ</v>
      </c>
      <c r="V400" t="str">
        <f>IFERROR(__xludf.DUMMYFUNCTION("""COMPUTED_VALUE"""),"13082118-9")</f>
        <v>13082118-9</v>
      </c>
      <c r="W400" t="str">
        <f>IFERROR(__xludf.DUMMYFUNCTION("""COMPUTED_VALUE"""),"NO")</f>
        <v>NO</v>
      </c>
      <c r="AA400" s="38">
        <f>IFERROR(__xludf.DUMMYFUNCTION("""COMPUTED_VALUE"""),42510.0)</f>
        <v>42510</v>
      </c>
      <c r="AB400" s="38">
        <f>IFERROR(__xludf.DUMMYFUNCTION("""COMPUTED_VALUE"""),42517.0)</f>
        <v>42517</v>
      </c>
      <c r="AH400" t="str">
        <f>IFERROR(__xludf.DUMMYFUNCTION("""COMPUTED_VALUE"""),"PROCESO DE SELECCIÓN")</f>
        <v>PROCESO DE SELECCIÓN</v>
      </c>
      <c r="AI400" t="str">
        <f>IFERROR(__xludf.DUMMYFUNCTION("""COMPUTED_VALUE"""),"AUTORIZADO 2016")</f>
        <v>AUTORIZADO 2016</v>
      </c>
      <c r="AK400" t="str">
        <f>IFERROR(__xludf.DUMMYFUNCTION("""COMPUTED_VALUE"""),"E")</f>
        <v>E</v>
      </c>
      <c r="AL400">
        <f>IFERROR(__xludf.DUMMYFUNCTION("""COMPUTED_VALUE"""),37.0)</f>
        <v>37</v>
      </c>
      <c r="AM400">
        <f>IFERROR(__xludf.DUMMYFUNCTION("""COMPUTED_VALUE"""),2016.0)</f>
        <v>2016</v>
      </c>
    </row>
    <row r="401">
      <c r="A401">
        <f>IFERROR(__xludf.DUMMYFUNCTION("""COMPUTED_VALUE"""),1.7305149E7)</f>
        <v>17305149</v>
      </c>
      <c r="B401">
        <f>IFERROR(__xludf.DUMMYFUNCTION("""COMPUTED_VALUE"""),58.0)</f>
        <v>58</v>
      </c>
      <c r="D401" t="str">
        <f>IFERROR(__xludf.DUMMYFUNCTION("""COMPUTED_VALUE"""),"INGRESAR CENTRO DE COSTO A LA DERECHA")</f>
        <v>INGRESAR CENTRO DE COSTO A LA DERECHA</v>
      </c>
      <c r="E401" t="str">
        <f>IFERROR(__xludf.DUMMYFUNCTION("""COMPUTED_VALUE"""),"ESCUELA DE PSICOLOGIA")</f>
        <v>ESCUELA DE PSICOLOGIA</v>
      </c>
      <c r="F401" t="str">
        <f>IFERROR(__xludf.DUMMYFUNCTION("""COMPUTED_VALUE"""),"Auxiliar de Servicios")</f>
        <v>Auxiliar de Servicios</v>
      </c>
      <c r="G401" t="str">
        <f>IFERROR(__xludf.DUMMYFUNCTION("""COMPUTED_VALUE"""),"AUXILIAR DE SERVICIOS")</f>
        <v>AUXILIAR DE SERVICIOS</v>
      </c>
      <c r="H401">
        <f>IFERROR(__xludf.DUMMYFUNCTION("""COMPUTED_VALUE"""),23.0)</f>
        <v>23</v>
      </c>
      <c r="I401" t="str">
        <f>IFERROR(__xludf.DUMMYFUNCTION("""COMPUTED_VALUE"""),"Jornada Completa")</f>
        <v>Jornada Completa</v>
      </c>
      <c r="J401" t="str">
        <f>IFERROR(__xludf.DUMMYFUNCTION("""COMPUTED_VALUE"""),"A CONTRATA")</f>
        <v>A CONTRATA</v>
      </c>
      <c r="K401" t="str">
        <f>IFERROR(__xludf.DUMMYFUNCTION("""COMPUTED_VALUE"""),"AUXILIAR")</f>
        <v>AUXILIAR</v>
      </c>
      <c r="L401" t="str">
        <f>IFERROR(__xludf.DUMMYFUNCTION("""COMPUTED_VALUE"""),"INTERNO")</f>
        <v>INTERNO</v>
      </c>
      <c r="M401">
        <f>IFERROR(__xludf.DUMMYFUNCTION("""COMPUTED_VALUE"""),0.0)</f>
        <v>0</v>
      </c>
      <c r="N401" t="str">
        <f>IFERROR(__xludf.DUMMYFUNCTION("""COMPUTED_VALUE"""),"EXTERNO")</f>
        <v>EXTERNO</v>
      </c>
      <c r="O401">
        <f>IFERROR(__xludf.DUMMYFUNCTION("""COMPUTED_VALUE"""),6.0)</f>
        <v>6</v>
      </c>
      <c r="P401">
        <f>IFERROR(__xludf.DUMMYFUNCTION("""COMPUTED_VALUE"""),2.0)</f>
        <v>2</v>
      </c>
      <c r="Q401">
        <f>IFERROR(__xludf.DUMMYFUNCTION("""COMPUTED_VALUE"""),2.0)</f>
        <v>2</v>
      </c>
      <c r="R401" s="45" t="str">
        <f>IFERROR(__xludf.DUMMYFUNCTION("""COMPUTED_VALUE"""),"SELECCIONADA")</f>
        <v>SELECCIONADA</v>
      </c>
      <c r="S401" s="38">
        <f>IFERROR(__xludf.DUMMYFUNCTION("""COMPUTED_VALUE"""),42552.0)</f>
        <v>42552</v>
      </c>
      <c r="U401" t="str">
        <f>IFERROR(__xludf.DUMMYFUNCTION("""COMPUTED_VALUE"""),"DANIELA TRONCOSO CID")</f>
        <v>DANIELA TRONCOSO CID</v>
      </c>
      <c r="V401" t="str">
        <f>IFERROR(__xludf.DUMMYFUNCTION("""COMPUTED_VALUE"""),"17305149-2")</f>
        <v>17305149-2</v>
      </c>
      <c r="W401" t="str">
        <f>IFERROR(__xludf.DUMMYFUNCTION("""COMPUTED_VALUE"""),"SI")</f>
        <v>SI</v>
      </c>
      <c r="X401" t="str">
        <f>IFERROR(__xludf.DUMMYFUNCTION("""COMPUTED_VALUE"""),"COMUNICACION")</f>
        <v>COMUNICACION</v>
      </c>
      <c r="AA401" s="38">
        <f>IFERROR(__xludf.DUMMYFUNCTION("""COMPUTED_VALUE"""),42466.0)</f>
        <v>42466</v>
      </c>
      <c r="AB401" s="38">
        <f>IFERROR(__xludf.DUMMYFUNCTION("""COMPUTED_VALUE"""),42473.0)</f>
        <v>42473</v>
      </c>
      <c r="AH401" t="str">
        <f>IFERROR(__xludf.DUMMYFUNCTION("""COMPUTED_VALUE"""),"PROCESO DE SELECCIÓN")</f>
        <v>PROCESO DE SELECCIÓN</v>
      </c>
      <c r="AI401" t="str">
        <f>IFERROR(__xludf.DUMMYFUNCTION("""COMPUTED_VALUE"""),"AUTORIZADO 2015")</f>
        <v>AUTORIZADO 2015</v>
      </c>
      <c r="AK401" t="str">
        <f>IFERROR(__xludf.DUMMYFUNCTION("""COMPUTED_VALUE"""),"P")</f>
        <v>P</v>
      </c>
      <c r="AL401">
        <f>IFERROR(__xludf.DUMMYFUNCTION("""COMPUTED_VALUE"""),58.0)</f>
        <v>58</v>
      </c>
      <c r="AM401">
        <f>IFERROR(__xludf.DUMMYFUNCTION("""COMPUTED_VALUE"""),2016.0)</f>
        <v>2016</v>
      </c>
    </row>
    <row r="402">
      <c r="A402">
        <f>IFERROR(__xludf.DUMMYFUNCTION("""COMPUTED_VALUE"""),1.0629652E7)</f>
        <v>10629652</v>
      </c>
      <c r="B402">
        <f>IFERROR(__xludf.DUMMYFUNCTION("""COMPUTED_VALUE"""),59.0)</f>
        <v>59</v>
      </c>
      <c r="D402" t="str">
        <f>IFERROR(__xludf.DUMMYFUNCTION("""COMPUTED_VALUE"""),"INGRESAR CENTRO DE COSTO A LA DERECHA")</f>
        <v>INGRESAR CENTRO DE COSTO A LA DERECHA</v>
      </c>
      <c r="E402" t="str">
        <f>IFERROR(__xludf.DUMMYFUNCTION("""COMPUTED_VALUE"""),"FACULTAD DE INGENIERIA")</f>
        <v>FACULTAD DE INGENIERIA</v>
      </c>
      <c r="F402" t="str">
        <f>IFERROR(__xludf.DUMMYFUNCTION("""COMPUTED_VALUE"""),"Administrativo(a) de Apoyo")</f>
        <v>Administrativo(a) de Apoyo</v>
      </c>
      <c r="G402" t="str">
        <f>IFERROR(__xludf.DUMMYFUNCTION("""COMPUTED_VALUE"""),"ADMINISTRATIVO DE APOYO")</f>
        <v>ADMINISTRATIVO DE APOYO</v>
      </c>
      <c r="H402">
        <f>IFERROR(__xludf.DUMMYFUNCTION("""COMPUTED_VALUE"""),20.0)</f>
        <v>20</v>
      </c>
      <c r="I402" t="str">
        <f>IFERROR(__xludf.DUMMYFUNCTION("""COMPUTED_VALUE"""),"Jornada Completa")</f>
        <v>Jornada Completa</v>
      </c>
      <c r="J402" t="str">
        <f>IFERROR(__xludf.DUMMYFUNCTION("""COMPUTED_VALUE"""),"A CONTRATA")</f>
        <v>A CONTRATA</v>
      </c>
      <c r="K402" t="str">
        <f>IFERROR(__xludf.DUMMYFUNCTION("""COMPUTED_VALUE"""),"ADMINISTRATIVO")</f>
        <v>ADMINISTRATIVO</v>
      </c>
      <c r="L402" t="str">
        <f>IFERROR(__xludf.DUMMYFUNCTION("""COMPUTED_VALUE"""),"INTERNO")</f>
        <v>INTERNO</v>
      </c>
      <c r="M402">
        <f>IFERROR(__xludf.DUMMYFUNCTION("""COMPUTED_VALUE"""),1.0)</f>
        <v>1</v>
      </c>
      <c r="N402" t="str">
        <f>IFERROR(__xludf.DUMMYFUNCTION("""COMPUTED_VALUE"""),"EXTERNO")</f>
        <v>EXTERNO</v>
      </c>
      <c r="O402">
        <f>IFERROR(__xludf.DUMMYFUNCTION("""COMPUTED_VALUE"""),10.0)</f>
        <v>10</v>
      </c>
      <c r="P402">
        <f>IFERROR(__xludf.DUMMYFUNCTION("""COMPUTED_VALUE"""),1.0)</f>
        <v>1</v>
      </c>
      <c r="Q402">
        <f>IFERROR(__xludf.DUMMYFUNCTION("""COMPUTED_VALUE"""),1.0)</f>
        <v>1</v>
      </c>
      <c r="R402" s="45" t="str">
        <f>IFERROR(__xludf.DUMMYFUNCTION("""COMPUTED_VALUE"""),"SELECCIONADA")</f>
        <v>SELECCIONADA</v>
      </c>
      <c r="S402" s="38">
        <f>IFERROR(__xludf.DUMMYFUNCTION("""COMPUTED_VALUE"""),42576.0)</f>
        <v>42576</v>
      </c>
      <c r="U402" t="str">
        <f>IFERROR(__xludf.DUMMYFUNCTION("""COMPUTED_VALUE"""),"CECILIA ROJAS VILCHES")</f>
        <v>CECILIA ROJAS VILCHES</v>
      </c>
      <c r="V402" t="str">
        <f>IFERROR(__xludf.DUMMYFUNCTION("""COMPUTED_VALUE"""),"10629652-9")</f>
        <v>10629652-9</v>
      </c>
      <c r="W402" t="str">
        <f>IFERROR(__xludf.DUMMYFUNCTION("""COMPUTED_VALUE"""),"SI")</f>
        <v>SI</v>
      </c>
      <c r="X402" t="str">
        <f>IFERROR(__xludf.DUMMYFUNCTION("""COMPUTED_VALUE"""),"COMUNICACION")</f>
        <v>COMUNICACION</v>
      </c>
      <c r="AA402" s="38">
        <f>IFERROR(__xludf.DUMMYFUNCTION("""COMPUTED_VALUE"""),42509.0)</f>
        <v>42509</v>
      </c>
      <c r="AB402" s="38">
        <f>IFERROR(__xludf.DUMMYFUNCTION("""COMPUTED_VALUE"""),42516.0)</f>
        <v>42516</v>
      </c>
      <c r="AH402" t="str">
        <f>IFERROR(__xludf.DUMMYFUNCTION("""COMPUTED_VALUE"""),"PROCESO DE SELECCIÓN")</f>
        <v>PROCESO DE SELECCIÓN</v>
      </c>
      <c r="AI402" t="str">
        <f>IFERROR(__xludf.DUMMYFUNCTION("""COMPUTED_VALUE"""),"RAUL PARDO LEIVA")</f>
        <v>RAUL PARDO LEIVA</v>
      </c>
      <c r="AK402" t="str">
        <f>IFERROR(__xludf.DUMMYFUNCTION("""COMPUTED_VALUE"""),"P")</f>
        <v>P</v>
      </c>
      <c r="AL402">
        <f>IFERROR(__xludf.DUMMYFUNCTION("""COMPUTED_VALUE"""),43.0)</f>
        <v>43</v>
      </c>
      <c r="AM402">
        <f>IFERROR(__xludf.DUMMYFUNCTION("""COMPUTED_VALUE"""),2016.0)</f>
        <v>2016</v>
      </c>
    </row>
    <row r="403">
      <c r="A403">
        <f>IFERROR(__xludf.DUMMYFUNCTION("""COMPUTED_VALUE"""),1.5563432E7)</f>
        <v>15563432</v>
      </c>
      <c r="B403">
        <f>IFERROR(__xludf.DUMMYFUNCTION("""COMPUTED_VALUE"""),60.0)</f>
        <v>60</v>
      </c>
      <c r="D403" t="str">
        <f>IFERROR(__xludf.DUMMYFUNCTION("""COMPUTED_VALUE"""),"INGRESAR CENTRO DE COSTO A LA DERECHA")</f>
        <v>INGRESAR CENTRO DE COSTO A LA DERECHA</v>
      </c>
      <c r="E403" t="str">
        <f>IFERROR(__xludf.DUMMYFUNCTION("""COMPUTED_VALUE"""),"DPTO. DE FINANZAS Y TESORERIA")</f>
        <v>DPTO. DE FINANZAS Y TESORERIA</v>
      </c>
      <c r="F403" t="str">
        <f>IFERROR(__xludf.DUMMYFUNCTION("""COMPUTED_VALUE"""),"Técnico(a) Contable")</f>
        <v>Técnico(a) Contable</v>
      </c>
      <c r="G403" t="str">
        <f>IFERROR(__xludf.DUMMYFUNCTION("""COMPUTED_VALUE"""),"TECNICO CONTABLE")</f>
        <v>TECNICO CONTABLE</v>
      </c>
      <c r="H403">
        <f>IFERROR(__xludf.DUMMYFUNCTION("""COMPUTED_VALUE"""),14.0)</f>
        <v>14</v>
      </c>
      <c r="I403" t="str">
        <f>IFERROR(__xludf.DUMMYFUNCTION("""COMPUTED_VALUE"""),"Jornada Completa")</f>
        <v>Jornada Completa</v>
      </c>
      <c r="J403" t="str">
        <f>IFERROR(__xludf.DUMMYFUNCTION("""COMPUTED_VALUE"""),"A CONTRATA")</f>
        <v>A CONTRATA</v>
      </c>
      <c r="K403" t="str">
        <f>IFERROR(__xludf.DUMMYFUNCTION("""COMPUTED_VALUE"""),"TECNICO")</f>
        <v>TECNICO</v>
      </c>
      <c r="L403" t="str">
        <f>IFERROR(__xludf.DUMMYFUNCTION("""COMPUTED_VALUE"""),"INTERNO")</f>
        <v>INTERNO</v>
      </c>
      <c r="M403">
        <f>IFERROR(__xludf.DUMMYFUNCTION("""COMPUTED_VALUE"""),1.0)</f>
        <v>1</v>
      </c>
      <c r="N403" t="str">
        <f>IFERROR(__xludf.DUMMYFUNCTION("""COMPUTED_VALUE"""),"NO")</f>
        <v>NO</v>
      </c>
      <c r="O403">
        <f>IFERROR(__xludf.DUMMYFUNCTION("""COMPUTED_VALUE"""),0.0)</f>
        <v>0</v>
      </c>
      <c r="P403">
        <f>IFERROR(__xludf.DUMMYFUNCTION("""COMPUTED_VALUE"""),1.0)</f>
        <v>1</v>
      </c>
      <c r="Q403">
        <f>IFERROR(__xludf.DUMMYFUNCTION("""COMPUTED_VALUE"""),0.0)</f>
        <v>0</v>
      </c>
      <c r="R403" s="45" t="str">
        <f>IFERROR(__xludf.DUMMYFUNCTION("""COMPUTED_VALUE"""),"SELECCIONADA")</f>
        <v>SELECCIONADA</v>
      </c>
      <c r="S403" s="38">
        <f>IFERROR(__xludf.DUMMYFUNCTION("""COMPUTED_VALUE"""),42585.0)</f>
        <v>42585</v>
      </c>
      <c r="T403" t="str">
        <f>IFERROR(__xludf.DUMMYFUNCTION("""COMPUTED_VALUE"""),"ALARCON MORA ELIZABETH MARGOT")</f>
        <v>ALARCON MORA ELIZABETH MARGOT</v>
      </c>
      <c r="V403" t="str">
        <f>IFERROR(__xludf.DUMMYFUNCTION("""COMPUTED_VALUE"""),"15563432-4")</f>
        <v>15563432-4</v>
      </c>
      <c r="W403" t="str">
        <f>IFERROR(__xludf.DUMMYFUNCTION("""COMPUTED_VALUE"""),"NO")</f>
        <v>NO</v>
      </c>
      <c r="AA403" s="38">
        <f>IFERROR(__xludf.DUMMYFUNCTION("""COMPUTED_VALUE"""),42558.0)</f>
        <v>42558</v>
      </c>
      <c r="AB403" s="38">
        <f>IFERROR(__xludf.DUMMYFUNCTION("""COMPUTED_VALUE"""),42565.0)</f>
        <v>42565</v>
      </c>
      <c r="AH403" t="str">
        <f>IFERROR(__xludf.DUMMYFUNCTION("""COMPUTED_VALUE"""),"PROCESO DE SELECCIÓN")</f>
        <v>PROCESO DE SELECCIÓN</v>
      </c>
      <c r="AI403" t="str">
        <f>IFERROR(__xludf.DUMMYFUNCTION("""COMPUTED_VALUE"""),"LUZ MIRANDA NAVARRETE")</f>
        <v>LUZ MIRANDA NAVARRETE</v>
      </c>
      <c r="AK403" t="str">
        <f>IFERROR(__xludf.DUMMYFUNCTION("""COMPUTED_VALUE"""),"P")</f>
        <v>P</v>
      </c>
      <c r="AL403">
        <f>IFERROR(__xludf.DUMMYFUNCTION("""COMPUTED_VALUE"""),15.0)</f>
        <v>15</v>
      </c>
      <c r="AM403">
        <f>IFERROR(__xludf.DUMMYFUNCTION("""COMPUTED_VALUE"""),2016.0)</f>
        <v>2016</v>
      </c>
    </row>
    <row r="404">
      <c r="A404">
        <f>IFERROR(__xludf.DUMMYFUNCTION("""COMPUTED_VALUE"""),1.9482281E7)</f>
        <v>19482281</v>
      </c>
      <c r="B404">
        <f>IFERROR(__xludf.DUMMYFUNCTION("""COMPUTED_VALUE"""),61.0)</f>
        <v>61</v>
      </c>
      <c r="D404" t="str">
        <f>IFERROR(__xludf.DUMMYFUNCTION("""COMPUTED_VALUE"""),"INGRESAR CENTRO DE COSTO A LA DERECHA")</f>
        <v>INGRESAR CENTRO DE COSTO A LA DERECHA</v>
      </c>
      <c r="E404" t="str">
        <f>IFERROR(__xludf.DUMMYFUNCTION("""COMPUTED_VALUE"""),"DPTO. DE RECURSOS HUMANOS")</f>
        <v>DPTO. DE RECURSOS HUMANOS</v>
      </c>
      <c r="F404" t="str">
        <f>IFERROR(__xludf.DUMMYFUNCTION("""COMPUTED_VALUE"""),"Abogado(a) Control de Contratos")</f>
        <v>Abogado(a) Control de Contratos</v>
      </c>
      <c r="G404" t="str">
        <f>IFERROR(__xludf.DUMMYFUNCTION("""COMPUTED_VALUE"""),"ADMINISTRATIVO DE APOYO")</f>
        <v>ADMINISTRATIVO DE APOYO</v>
      </c>
      <c r="H404">
        <f>IFERROR(__xludf.DUMMYFUNCTION("""COMPUTED_VALUE"""),20.0)</f>
        <v>20</v>
      </c>
      <c r="I404" t="str">
        <f>IFERROR(__xludf.DUMMYFUNCTION("""COMPUTED_VALUE"""),"Jornada Completa")</f>
        <v>Jornada Completa</v>
      </c>
      <c r="J404" t="str">
        <f>IFERROR(__xludf.DUMMYFUNCTION("""COMPUTED_VALUE"""),"A CONTRATA")</f>
        <v>A CONTRATA</v>
      </c>
      <c r="K404" t="str">
        <f>IFERROR(__xludf.DUMMYFUNCTION("""COMPUTED_VALUE"""),"ADMINISTRATIVO")</f>
        <v>ADMINISTRATIVO</v>
      </c>
      <c r="L404" t="str">
        <f>IFERROR(__xludf.DUMMYFUNCTION("""COMPUTED_VALUE"""),"INTERNO")</f>
        <v>INTERNO</v>
      </c>
      <c r="M404">
        <f>IFERROR(__xludf.DUMMYFUNCTION("""COMPUTED_VALUE"""),0.0)</f>
        <v>0</v>
      </c>
      <c r="N404" t="str">
        <f>IFERROR(__xludf.DUMMYFUNCTION("""COMPUTED_VALUE"""),"EXTERNO")</f>
        <v>EXTERNO</v>
      </c>
      <c r="O404">
        <f>IFERROR(__xludf.DUMMYFUNCTION("""COMPUTED_VALUE"""),7.0)</f>
        <v>7</v>
      </c>
      <c r="P404">
        <f>IFERROR(__xludf.DUMMYFUNCTION("""COMPUTED_VALUE"""),3.0)</f>
        <v>3</v>
      </c>
      <c r="Q404">
        <f>IFERROR(__xludf.DUMMYFUNCTION("""COMPUTED_VALUE"""),1.0)</f>
        <v>1</v>
      </c>
      <c r="R404" s="45" t="str">
        <f>IFERROR(__xludf.DUMMYFUNCTION("""COMPUTED_VALUE"""),"SELECCIONADA")</f>
        <v>SELECCIONADA</v>
      </c>
      <c r="S404" s="38">
        <f>IFERROR(__xludf.DUMMYFUNCTION("""COMPUTED_VALUE"""),42598.0)</f>
        <v>42598</v>
      </c>
      <c r="U404" t="str">
        <f>IFERROR(__xludf.DUMMYFUNCTION("""COMPUTED_VALUE"""),"BARBARA OLIVARES DIAZ")</f>
        <v>BARBARA OLIVARES DIAZ</v>
      </c>
      <c r="V404" t="str">
        <f>IFERROR(__xludf.DUMMYFUNCTION("""COMPUTED_VALUE"""),"19482281-2")</f>
        <v>19482281-2</v>
      </c>
      <c r="W404" t="str">
        <f>IFERROR(__xludf.DUMMYFUNCTION("""COMPUTED_VALUE"""),"NO")</f>
        <v>NO</v>
      </c>
      <c r="AA404" s="38">
        <f>IFERROR(__xludf.DUMMYFUNCTION("""COMPUTED_VALUE"""),42559.0)</f>
        <v>42559</v>
      </c>
      <c r="AB404" s="38">
        <f>IFERROR(__xludf.DUMMYFUNCTION("""COMPUTED_VALUE"""),42566.0)</f>
        <v>42566</v>
      </c>
      <c r="AH404" t="str">
        <f>IFERROR(__xludf.DUMMYFUNCTION("""COMPUTED_VALUE"""),"PROCESO DE SELECCIÓN")</f>
        <v>PROCESO DE SELECCIÓN</v>
      </c>
      <c r="AI404" t="str">
        <f>IFERROR(__xludf.DUMMYFUNCTION("""COMPUTED_VALUE"""),"AUTORIZADO 2016")</f>
        <v>AUTORIZADO 2016</v>
      </c>
      <c r="AK404" t="str">
        <f>IFERROR(__xludf.DUMMYFUNCTION("""COMPUTED_VALUE"""),"E")</f>
        <v>E</v>
      </c>
      <c r="AL404">
        <f>IFERROR(__xludf.DUMMYFUNCTION("""COMPUTED_VALUE"""),23.0)</f>
        <v>23</v>
      </c>
      <c r="AM404">
        <f>IFERROR(__xludf.DUMMYFUNCTION("""COMPUTED_VALUE"""),2016.0)</f>
        <v>2016</v>
      </c>
    </row>
    <row r="405">
      <c r="A405">
        <f>IFERROR(__xludf.DUMMYFUNCTION("""COMPUTED_VALUE"""),1.728677E7)</f>
        <v>17286770</v>
      </c>
      <c r="B405">
        <f>IFERROR(__xludf.DUMMYFUNCTION("""COMPUTED_VALUE"""),62.0)</f>
        <v>62</v>
      </c>
      <c r="D405" t="str">
        <f>IFERROR(__xludf.DUMMYFUNCTION("""COMPUTED_VALUE"""),"INGRESAR CENTRO DE COSTO A LA DERECHA")</f>
        <v>INGRESAR CENTRO DE COSTO A LA DERECHA</v>
      </c>
      <c r="E405" t="str">
        <f>IFERROR(__xludf.DUMMYFUNCTION("""COMPUTED_VALUE"""),"ESCUELA DE PSICOLOGIA")</f>
        <v>ESCUELA DE PSICOLOGIA</v>
      </c>
      <c r="F405" t="str">
        <f>IFERROR(__xludf.DUMMYFUNCTION("""COMPUTED_VALUE"""),"Secretario(a) C")</f>
        <v>Secretario(a) C</v>
      </c>
      <c r="G405" t="str">
        <f>IFERROR(__xludf.DUMMYFUNCTION("""COMPUTED_VALUE"""),"SECRETARIA ADMINISTRATIVA")</f>
        <v>SECRETARIA ADMINISTRATIVA</v>
      </c>
      <c r="H405">
        <f>IFERROR(__xludf.DUMMYFUNCTION("""COMPUTED_VALUE"""),20.0)</f>
        <v>20</v>
      </c>
      <c r="I405" t="str">
        <f>IFERROR(__xludf.DUMMYFUNCTION("""COMPUTED_VALUE"""),"Jornada Completa")</f>
        <v>Jornada Completa</v>
      </c>
      <c r="J405" t="str">
        <f>IFERROR(__xludf.DUMMYFUNCTION("""COMPUTED_VALUE"""),"A CONTRATA")</f>
        <v>A CONTRATA</v>
      </c>
      <c r="K405" t="str">
        <f>IFERROR(__xludf.DUMMYFUNCTION("""COMPUTED_VALUE"""),"ADMINISTRATIVO")</f>
        <v>ADMINISTRATIVO</v>
      </c>
      <c r="L405" t="str">
        <f>IFERROR(__xludf.DUMMYFUNCTION("""COMPUTED_VALUE"""),"INTERNO")</f>
        <v>INTERNO</v>
      </c>
      <c r="M405">
        <f>IFERROR(__xludf.DUMMYFUNCTION("""COMPUTED_VALUE"""),0.0)</f>
        <v>0</v>
      </c>
      <c r="N405" t="str">
        <f>IFERROR(__xludf.DUMMYFUNCTION("""COMPUTED_VALUE"""),"EXTERNO")</f>
        <v>EXTERNO</v>
      </c>
      <c r="O405">
        <f>IFERROR(__xludf.DUMMYFUNCTION("""COMPUTED_VALUE"""),24.0)</f>
        <v>24</v>
      </c>
      <c r="P405">
        <f>IFERROR(__xludf.DUMMYFUNCTION("""COMPUTED_VALUE"""),1.0)</f>
        <v>1</v>
      </c>
      <c r="Q405">
        <f>IFERROR(__xludf.DUMMYFUNCTION("""COMPUTED_VALUE"""),4.0)</f>
        <v>4</v>
      </c>
      <c r="R405" s="45" t="str">
        <f>IFERROR(__xludf.DUMMYFUNCTION("""COMPUTED_VALUE"""),"SELECCIONADA")</f>
        <v>SELECCIONADA</v>
      </c>
      <c r="S405" s="38">
        <f>IFERROR(__xludf.DUMMYFUNCTION("""COMPUTED_VALUE"""),42576.0)</f>
        <v>42576</v>
      </c>
      <c r="U405" t="str">
        <f>IFERROR(__xludf.DUMMYFUNCTION("""COMPUTED_VALUE"""),"SILVANA VILLAR SANDOVAL")</f>
        <v>SILVANA VILLAR SANDOVAL</v>
      </c>
      <c r="V405" t="str">
        <f>IFERROR(__xludf.DUMMYFUNCTION("""COMPUTED_VALUE"""),"17286770-7")</f>
        <v>17286770-7</v>
      </c>
      <c r="W405" t="str">
        <f>IFERROR(__xludf.DUMMYFUNCTION("""COMPUTED_VALUE"""),"SI")</f>
        <v>SI</v>
      </c>
      <c r="X405" t="str">
        <f>IFERROR(__xludf.DUMMYFUNCTION("""COMPUTED_VALUE"""),"CAPACIDAD DE PLANIFICACION Y ORGANIZACION")</f>
        <v>CAPACIDAD DE PLANIFICACION Y ORGANIZACION</v>
      </c>
      <c r="AA405" s="38">
        <f>IFERROR(__xludf.DUMMYFUNCTION("""COMPUTED_VALUE"""),42531.0)</f>
        <v>42531</v>
      </c>
      <c r="AB405" s="38">
        <f>IFERROR(__xludf.DUMMYFUNCTION("""COMPUTED_VALUE"""),42536.0)</f>
        <v>42536</v>
      </c>
      <c r="AH405" t="str">
        <f>IFERROR(__xludf.DUMMYFUNCTION("""COMPUTED_VALUE"""),"PROCESO DE SELECCIÓN")</f>
        <v>PROCESO DE SELECCIÓN</v>
      </c>
      <c r="AI405" t="str">
        <f>IFERROR(__xludf.DUMMYFUNCTION("""COMPUTED_VALUE"""),"AUTORIZADO 2015")</f>
        <v>AUTORIZADO 2015</v>
      </c>
      <c r="AK405" t="str">
        <f>IFERROR(__xludf.DUMMYFUNCTION("""COMPUTED_VALUE"""),"E")</f>
        <v>E</v>
      </c>
      <c r="AL405">
        <f>IFERROR(__xludf.DUMMYFUNCTION("""COMPUTED_VALUE"""),29.0)</f>
        <v>29</v>
      </c>
      <c r="AM405">
        <f>IFERROR(__xludf.DUMMYFUNCTION("""COMPUTED_VALUE"""),2016.0)</f>
        <v>2016</v>
      </c>
    </row>
    <row r="406">
      <c r="A406">
        <f>IFERROR(__xludf.DUMMYFUNCTION("""COMPUTED_VALUE"""),1.4534753E7)</f>
        <v>14534753</v>
      </c>
      <c r="B406">
        <f>IFERROR(__xludf.DUMMYFUNCTION("""COMPUTED_VALUE"""),63.0)</f>
        <v>63</v>
      </c>
      <c r="D406" t="str">
        <f>IFERROR(__xludf.DUMMYFUNCTION("""COMPUTED_VALUE"""),"INGRESAR CENTRO DE COSTO A LA DERECHA")</f>
        <v>INGRESAR CENTRO DE COSTO A LA DERECHA</v>
      </c>
      <c r="E406" t="str">
        <f>IFERROR(__xludf.DUMMYFUNCTION("""COMPUTED_VALUE"""),"DPTO. DE RECURSOS HUMANOS")</f>
        <v>DPTO. DE RECURSOS HUMANOS</v>
      </c>
      <c r="F406" t="str">
        <f>IFERROR(__xludf.DUMMYFUNCTION("""COMPUTED_VALUE"""),"Secretario(a) B")</f>
        <v>Secretario(a) B</v>
      </c>
      <c r="G406" t="str">
        <f>IFERROR(__xludf.DUMMYFUNCTION("""COMPUTED_VALUE"""),"SECRETARIA DE UNIDAD ")</f>
        <v>SECRETARIA DE UNIDAD </v>
      </c>
      <c r="H406">
        <f>IFERROR(__xludf.DUMMYFUNCTION("""COMPUTED_VALUE"""),17.0)</f>
        <v>17</v>
      </c>
      <c r="I406" t="str">
        <f>IFERROR(__xludf.DUMMYFUNCTION("""COMPUTED_VALUE"""),"Jornada Completa")</f>
        <v>Jornada Completa</v>
      </c>
      <c r="J406" t="str">
        <f>IFERROR(__xludf.DUMMYFUNCTION("""COMPUTED_VALUE"""),"A CONTRATA")</f>
        <v>A CONTRATA</v>
      </c>
      <c r="K406" t="str">
        <f>IFERROR(__xludf.DUMMYFUNCTION("""COMPUTED_VALUE"""),"ADMINISTRATIVO")</f>
        <v>ADMINISTRATIVO</v>
      </c>
      <c r="L406" t="str">
        <f>IFERROR(__xludf.DUMMYFUNCTION("""COMPUTED_VALUE"""),"INTERNO")</f>
        <v>INTERNO</v>
      </c>
      <c r="M406">
        <f>IFERROR(__xludf.DUMMYFUNCTION("""COMPUTED_VALUE"""),1.0)</f>
        <v>1</v>
      </c>
      <c r="N406" t="str">
        <f>IFERROR(__xludf.DUMMYFUNCTION("""COMPUTED_VALUE"""),"EXTERNO")</f>
        <v>EXTERNO</v>
      </c>
      <c r="O406">
        <f>IFERROR(__xludf.DUMMYFUNCTION("""COMPUTED_VALUE"""),9.0)</f>
        <v>9</v>
      </c>
      <c r="P406">
        <f>IFERROR(__xludf.DUMMYFUNCTION("""COMPUTED_VALUE"""),1.0)</f>
        <v>1</v>
      </c>
      <c r="Q406">
        <f>IFERROR(__xludf.DUMMYFUNCTION("""COMPUTED_VALUE"""),1.0)</f>
        <v>1</v>
      </c>
      <c r="R406" s="45" t="str">
        <f>IFERROR(__xludf.DUMMYFUNCTION("""COMPUTED_VALUE"""),"SELECCIONADA")</f>
        <v>SELECCIONADA</v>
      </c>
      <c r="S406" s="38">
        <f>IFERROR(__xludf.DUMMYFUNCTION("""COMPUTED_VALUE"""),42604.0)</f>
        <v>42604</v>
      </c>
      <c r="U406" t="str">
        <f>IFERROR(__xludf.DUMMYFUNCTION("""COMPUTED_VALUE"""),"VERONICA CANTELLANO MARTINEZ")</f>
        <v>VERONICA CANTELLANO MARTINEZ</v>
      </c>
      <c r="V406" t="str">
        <f>IFERROR(__xludf.DUMMYFUNCTION("""COMPUTED_VALUE"""),"14534753-K")</f>
        <v>14534753-K</v>
      </c>
      <c r="W406" t="str">
        <f>IFERROR(__xludf.DUMMYFUNCTION("""COMPUTED_VALUE"""),"NO")</f>
        <v>NO</v>
      </c>
      <c r="AA406" s="38">
        <f>IFERROR(__xludf.DUMMYFUNCTION("""COMPUTED_VALUE"""),42572.0)</f>
        <v>42572</v>
      </c>
      <c r="AB406" s="38">
        <f>IFERROR(__xludf.DUMMYFUNCTION("""COMPUTED_VALUE"""),42579.0)</f>
        <v>42579</v>
      </c>
      <c r="AH406" t="str">
        <f>IFERROR(__xludf.DUMMYFUNCTION("""COMPUTED_VALUE"""),"PROCESO DE SELECCIÓN")</f>
        <v>PROCESO DE SELECCIÓN</v>
      </c>
      <c r="AI406" t="str">
        <f>IFERROR(__xludf.DUMMYFUNCTION("""COMPUTED_VALUE"""),"AUTORIZADO 2016")</f>
        <v>AUTORIZADO 2016</v>
      </c>
      <c r="AK406" t="str">
        <f>IFERROR(__xludf.DUMMYFUNCTION("""COMPUTED_VALUE"""),"E")</f>
        <v>E</v>
      </c>
      <c r="AL406">
        <f>IFERROR(__xludf.DUMMYFUNCTION("""COMPUTED_VALUE"""),18.0)</f>
        <v>18</v>
      </c>
      <c r="AM406">
        <f>IFERROR(__xludf.DUMMYFUNCTION("""COMPUTED_VALUE"""),2016.0)</f>
        <v>2016</v>
      </c>
    </row>
    <row r="407">
      <c r="A407">
        <f>IFERROR(__xludf.DUMMYFUNCTION("""COMPUTED_VALUE"""),8121793.0)</f>
        <v>8121793</v>
      </c>
      <c r="B407">
        <f>IFERROR(__xludf.DUMMYFUNCTION("""COMPUTED_VALUE"""),64.0)</f>
        <v>64</v>
      </c>
      <c r="D407" t="str">
        <f>IFERROR(__xludf.DUMMYFUNCTION("""COMPUTED_VALUE"""),"INGRESAR CENTRO DE COSTO A LA DERECHA")</f>
        <v>INGRESAR CENTRO DE COSTO A LA DERECHA</v>
      </c>
      <c r="E407" t="str">
        <f>IFERROR(__xludf.DUMMYFUNCTION("""COMPUTED_VALUE"""),"UNIDAD DE ATENCION DE SALUD")</f>
        <v>UNIDAD DE ATENCION DE SALUD</v>
      </c>
      <c r="F407" t="str">
        <f>IFERROR(__xludf.DUMMYFUNCTION("""COMPUTED_VALUE"""),"Cajero(a) A 1º categoria")</f>
        <v>Cajero(a) A 1º categoria</v>
      </c>
      <c r="G407" t="str">
        <f>IFERROR(__xludf.DUMMYFUNCTION("""COMPUTED_VALUE"""),"CAJERO A_ 1CATEG")</f>
        <v>CAJERO A_ 1CATEG</v>
      </c>
      <c r="H407">
        <f>IFERROR(__xludf.DUMMYFUNCTION("""COMPUTED_VALUE"""),17.0)</f>
        <v>17</v>
      </c>
      <c r="I407" t="str">
        <f>IFERROR(__xludf.DUMMYFUNCTION("""COMPUTED_VALUE"""),"Jornada Completa")</f>
        <v>Jornada Completa</v>
      </c>
      <c r="J407" t="str">
        <f>IFERROR(__xludf.DUMMYFUNCTION("""COMPUTED_VALUE"""),"A CONTRATA")</f>
        <v>A CONTRATA</v>
      </c>
      <c r="K407" t="str">
        <f>IFERROR(__xludf.DUMMYFUNCTION("""COMPUTED_VALUE"""),"TECNICO")</f>
        <v>TECNICO</v>
      </c>
      <c r="L407" t="str">
        <f>IFERROR(__xludf.DUMMYFUNCTION("""COMPUTED_VALUE"""),"NO")</f>
        <v>NO</v>
      </c>
      <c r="M407">
        <f>IFERROR(__xludf.DUMMYFUNCTION("""COMPUTED_VALUE"""),0.0)</f>
        <v>0</v>
      </c>
      <c r="N407" t="str">
        <f>IFERROR(__xludf.DUMMYFUNCTION("""COMPUTED_VALUE"""),"EXTERNO")</f>
        <v>EXTERNO</v>
      </c>
      <c r="O407">
        <f>IFERROR(__xludf.DUMMYFUNCTION("""COMPUTED_VALUE"""),5.0)</f>
        <v>5</v>
      </c>
      <c r="P407">
        <f>IFERROR(__xludf.DUMMYFUNCTION("""COMPUTED_VALUE"""),2.0)</f>
        <v>2</v>
      </c>
      <c r="Q407">
        <f>IFERROR(__xludf.DUMMYFUNCTION("""COMPUTED_VALUE"""),1.0)</f>
        <v>1</v>
      </c>
      <c r="R407" s="45" t="str">
        <f>IFERROR(__xludf.DUMMYFUNCTION("""COMPUTED_VALUE"""),"SELECCIONADA")</f>
        <v>SELECCIONADA</v>
      </c>
      <c r="S407" s="38">
        <f>IFERROR(__xludf.DUMMYFUNCTION("""COMPUTED_VALUE"""),42593.0)</f>
        <v>42593</v>
      </c>
      <c r="U407" t="str">
        <f>IFERROR(__xludf.DUMMYFUNCTION("""COMPUTED_VALUE"""),"GLORIA DAVIS MARIN")</f>
        <v>GLORIA DAVIS MARIN</v>
      </c>
      <c r="V407" t="str">
        <f>IFERROR(__xludf.DUMMYFUNCTION("""COMPUTED_VALUE"""),"8121793-9")</f>
        <v>8121793-9</v>
      </c>
      <c r="W407" t="str">
        <f>IFERROR(__xludf.DUMMYFUNCTION("""COMPUTED_VALUE"""),"NO")</f>
        <v>NO</v>
      </c>
      <c r="AA407" s="38">
        <f>IFERROR(__xludf.DUMMYFUNCTION("""COMPUTED_VALUE"""),42578.0)</f>
        <v>42578</v>
      </c>
      <c r="AB407" s="38">
        <f>IFERROR(__xludf.DUMMYFUNCTION("""COMPUTED_VALUE"""),42583.0)</f>
        <v>42583</v>
      </c>
      <c r="AH407" t="str">
        <f>IFERROR(__xludf.DUMMYFUNCTION("""COMPUTED_VALUE"""),"PROCESO DE SELECCIÓN")</f>
        <v>PROCESO DE SELECCIÓN</v>
      </c>
      <c r="AI407" t="str">
        <f>IFERROR(__xludf.DUMMYFUNCTION("""COMPUTED_VALUE"""),"NORA OLIVARES TAPIA")</f>
        <v>NORA OLIVARES TAPIA</v>
      </c>
      <c r="AK407" t="str">
        <f>IFERROR(__xludf.DUMMYFUNCTION("""COMPUTED_VALUE"""),"E")</f>
        <v>E</v>
      </c>
      <c r="AL407">
        <f>IFERROR(__xludf.DUMMYFUNCTION("""COMPUTED_VALUE"""),9.0)</f>
        <v>9</v>
      </c>
      <c r="AM407">
        <f>IFERROR(__xludf.DUMMYFUNCTION("""COMPUTED_VALUE"""),2016.0)</f>
        <v>2016</v>
      </c>
    </row>
    <row r="408">
      <c r="A408">
        <f>IFERROR(__xludf.DUMMYFUNCTION("""COMPUTED_VALUE"""),1.5476569E7)</f>
        <v>15476569</v>
      </c>
      <c r="B408">
        <f>IFERROR(__xludf.DUMMYFUNCTION("""COMPUTED_VALUE"""),65.0)</f>
        <v>65</v>
      </c>
      <c r="D408" t="str">
        <f>IFERROR(__xludf.DUMMYFUNCTION("""COMPUTED_VALUE"""),"INGRESAR CENTRO DE COSTO A LA DERECHA")</f>
        <v>INGRESAR CENTRO DE COSTO A LA DERECHA</v>
      </c>
      <c r="E408" t="str">
        <f>IFERROR(__xludf.DUMMYFUNCTION("""COMPUTED_VALUE"""),"UNIDAD DE GESTION DEL CAMPUS")</f>
        <v>UNIDAD DE GESTION DEL CAMPUS</v>
      </c>
      <c r="F408" t="str">
        <f>IFERROR(__xludf.DUMMYFUNCTION("""COMPUTED_VALUE"""),"Técnico(a) de Bodega")</f>
        <v>Técnico(a) de Bodega</v>
      </c>
      <c r="G408" t="str">
        <f>IFERROR(__xludf.DUMMYFUNCTION("""COMPUTED_VALUE"""),"TECNICO DE BODEGA")</f>
        <v>TECNICO DE BODEGA</v>
      </c>
      <c r="H408">
        <f>IFERROR(__xludf.DUMMYFUNCTION("""COMPUTED_VALUE"""),17.0)</f>
        <v>17</v>
      </c>
      <c r="I408" t="str">
        <f>IFERROR(__xludf.DUMMYFUNCTION("""COMPUTED_VALUE"""),"Jornada Completa")</f>
        <v>Jornada Completa</v>
      </c>
      <c r="J408" t="str">
        <f>IFERROR(__xludf.DUMMYFUNCTION("""COMPUTED_VALUE"""),"A CONTRATA")</f>
        <v>A CONTRATA</v>
      </c>
      <c r="K408" t="str">
        <f>IFERROR(__xludf.DUMMYFUNCTION("""COMPUTED_VALUE"""),"TECNICO")</f>
        <v>TECNICO</v>
      </c>
      <c r="L408" t="str">
        <f>IFERROR(__xludf.DUMMYFUNCTION("""COMPUTED_VALUE"""),"NO")</f>
        <v>NO</v>
      </c>
      <c r="M408">
        <f>IFERROR(__xludf.DUMMYFUNCTION("""COMPUTED_VALUE"""),0.0)</f>
        <v>0</v>
      </c>
      <c r="N408" t="str">
        <f>IFERROR(__xludf.DUMMYFUNCTION("""COMPUTED_VALUE"""),"EXTERNO")</f>
        <v>EXTERNO</v>
      </c>
      <c r="O408">
        <f>IFERROR(__xludf.DUMMYFUNCTION("""COMPUTED_VALUE"""),12.0)</f>
        <v>12</v>
      </c>
      <c r="P408">
        <f>IFERROR(__xludf.DUMMYFUNCTION("""COMPUTED_VALUE"""),1.0)</f>
        <v>1</v>
      </c>
      <c r="Q408">
        <f>IFERROR(__xludf.DUMMYFUNCTION("""COMPUTED_VALUE"""),2.0)</f>
        <v>2</v>
      </c>
      <c r="R408" s="45" t="str">
        <f>IFERROR(__xludf.DUMMYFUNCTION("""COMPUTED_VALUE"""),"SELECCIONADO")</f>
        <v>SELECCIONADO</v>
      </c>
      <c r="S408" s="38">
        <f>IFERROR(__xludf.DUMMYFUNCTION("""COMPUTED_VALUE"""),42611.0)</f>
        <v>42611</v>
      </c>
      <c r="U408" t="str">
        <f>IFERROR(__xludf.DUMMYFUNCTION("""COMPUTED_VALUE"""),"CLAUDIO REED ROMO")</f>
        <v>CLAUDIO REED ROMO</v>
      </c>
      <c r="V408" t="str">
        <f>IFERROR(__xludf.DUMMYFUNCTION("""COMPUTED_VALUE"""),"15476569-7")</f>
        <v>15476569-7</v>
      </c>
      <c r="W408" t="str">
        <f>IFERROR(__xludf.DUMMYFUNCTION("""COMPUTED_VALUE"""),"NO")</f>
        <v>NO</v>
      </c>
      <c r="AA408" s="38">
        <f>IFERROR(__xludf.DUMMYFUNCTION("""COMPUTED_VALUE"""),42570.0)</f>
        <v>42570</v>
      </c>
      <c r="AB408" s="38">
        <f>IFERROR(__xludf.DUMMYFUNCTION("""COMPUTED_VALUE"""),42577.0)</f>
        <v>42577</v>
      </c>
      <c r="AH408" t="str">
        <f>IFERROR(__xludf.DUMMYFUNCTION("""COMPUTED_VALUE"""),"PROCESO DE SELECCIÓN")</f>
        <v>PROCESO DE SELECCIÓN</v>
      </c>
      <c r="AI408" t="str">
        <f>IFERROR(__xludf.DUMMYFUNCTION("""COMPUTED_VALUE"""),"JULIO SEGURA RAMIREZ")</f>
        <v>JULIO SEGURA RAMIREZ</v>
      </c>
      <c r="AK408" t="str">
        <f>IFERROR(__xludf.DUMMYFUNCTION("""COMPUTED_VALUE"""),"E")</f>
        <v>E</v>
      </c>
      <c r="AL408">
        <f>IFERROR(__xludf.DUMMYFUNCTION("""COMPUTED_VALUE"""),25.0)</f>
        <v>25</v>
      </c>
      <c r="AM408">
        <f>IFERROR(__xludf.DUMMYFUNCTION("""COMPUTED_VALUE"""),2016.0)</f>
        <v>2016</v>
      </c>
    </row>
    <row r="409">
      <c r="A409">
        <f>IFERROR(__xludf.DUMMYFUNCTION("""COMPUTED_VALUE"""),1.6675958E7)</f>
        <v>16675958</v>
      </c>
      <c r="B409">
        <f>IFERROR(__xludf.DUMMYFUNCTION("""COMPUTED_VALUE"""),66.0)</f>
        <v>66</v>
      </c>
      <c r="D409" t="str">
        <f>IFERROR(__xludf.DUMMYFUNCTION("""COMPUTED_VALUE"""),"INGRESAR CENTRO DE COSTO A LA DERECHA")</f>
        <v>INGRESAR CENTRO DE COSTO A LA DERECHA</v>
      </c>
      <c r="E409" t="str">
        <f>IFERROR(__xludf.DUMMYFUNCTION("""COMPUTED_VALUE"""),"UNIDAD DE GESTION DEL CAMPUS")</f>
        <v>UNIDAD DE GESTION DEL CAMPUS</v>
      </c>
      <c r="F409" t="str">
        <f>IFERROR(__xludf.DUMMYFUNCTION("""COMPUTED_VALUE"""),"Operador(a) de Caldera")</f>
        <v>Operador(a) de Caldera</v>
      </c>
      <c r="G409" t="str">
        <f>IFERROR(__xludf.DUMMYFUNCTION("""COMPUTED_VALUE"""),"OPERADOR DE CALDERA")</f>
        <v>OPERADOR DE CALDERA</v>
      </c>
      <c r="H409">
        <f>IFERROR(__xludf.DUMMYFUNCTION("""COMPUTED_VALUE"""),17.0)</f>
        <v>17</v>
      </c>
      <c r="I409" t="str">
        <f>IFERROR(__xludf.DUMMYFUNCTION("""COMPUTED_VALUE"""),"Jornada Completa")</f>
        <v>Jornada Completa</v>
      </c>
      <c r="J409" t="str">
        <f>IFERROR(__xludf.DUMMYFUNCTION("""COMPUTED_VALUE"""),"A CONTRATA")</f>
        <v>A CONTRATA</v>
      </c>
      <c r="K409" t="str">
        <f>IFERROR(__xludf.DUMMYFUNCTION("""COMPUTED_VALUE"""),"TECNICO")</f>
        <v>TECNICO</v>
      </c>
      <c r="L409" t="str">
        <f>IFERROR(__xludf.DUMMYFUNCTION("""COMPUTED_VALUE"""),"INTERNO")</f>
        <v>INTERNO</v>
      </c>
      <c r="M409">
        <f>IFERROR(__xludf.DUMMYFUNCTION("""COMPUTED_VALUE"""),0.0)</f>
        <v>0</v>
      </c>
      <c r="N409" t="str">
        <f>IFERROR(__xludf.DUMMYFUNCTION("""COMPUTED_VALUE"""),"EXTERNO")</f>
        <v>EXTERNO</v>
      </c>
      <c r="O409">
        <f>IFERROR(__xludf.DUMMYFUNCTION("""COMPUTED_VALUE"""),3.0)</f>
        <v>3</v>
      </c>
      <c r="P409">
        <f>IFERROR(__xludf.DUMMYFUNCTION("""COMPUTED_VALUE"""),1.0)</f>
        <v>1</v>
      </c>
      <c r="Q409">
        <f>IFERROR(__xludf.DUMMYFUNCTION("""COMPUTED_VALUE"""),3.0)</f>
        <v>3</v>
      </c>
      <c r="R409" s="45" t="str">
        <f>IFERROR(__xludf.DUMMYFUNCTION("""COMPUTED_VALUE"""),"SELECCIONADO")</f>
        <v>SELECCIONADO</v>
      </c>
      <c r="S409" s="38">
        <f>IFERROR(__xludf.DUMMYFUNCTION("""COMPUTED_VALUE"""),42611.0)</f>
        <v>42611</v>
      </c>
      <c r="U409" t="str">
        <f>IFERROR(__xludf.DUMMYFUNCTION("""COMPUTED_VALUE"""),"NELSON CID DONOSO")</f>
        <v>NELSON CID DONOSO</v>
      </c>
      <c r="V409" t="str">
        <f>IFERROR(__xludf.DUMMYFUNCTION("""COMPUTED_VALUE"""),"16675958-7")</f>
        <v>16675958-7</v>
      </c>
      <c r="W409" t="str">
        <f>IFERROR(__xludf.DUMMYFUNCTION("""COMPUTED_VALUE"""),"NO")</f>
        <v>NO</v>
      </c>
      <c r="AA409" s="38">
        <f>IFERROR(__xludf.DUMMYFUNCTION("""COMPUTED_VALUE"""),42559.0)</f>
        <v>42559</v>
      </c>
      <c r="AB409" s="38">
        <f>IFERROR(__xludf.DUMMYFUNCTION("""COMPUTED_VALUE"""),42566.0)</f>
        <v>42566</v>
      </c>
      <c r="AH409" t="str">
        <f>IFERROR(__xludf.DUMMYFUNCTION("""COMPUTED_VALUE"""),"PROCESO DE SELECCIÓN")</f>
        <v>PROCESO DE SELECCIÓN</v>
      </c>
      <c r="AI409" t="str">
        <f>IFERROR(__xludf.DUMMYFUNCTION("""COMPUTED_VALUE"""),"ERICK RAMIREZ ALMARZA")</f>
        <v>ERICK RAMIREZ ALMARZA</v>
      </c>
      <c r="AK409" t="str">
        <f>IFERROR(__xludf.DUMMYFUNCTION("""COMPUTED_VALUE"""),"E")</f>
        <v>E</v>
      </c>
      <c r="AL409">
        <f>IFERROR(__xludf.DUMMYFUNCTION("""COMPUTED_VALUE"""),32.0)</f>
        <v>32</v>
      </c>
      <c r="AM409">
        <f>IFERROR(__xludf.DUMMYFUNCTION("""COMPUTED_VALUE"""),2016.0)</f>
        <v>2016</v>
      </c>
    </row>
    <row r="410">
      <c r="A410">
        <f>IFERROR(__xludf.DUMMYFUNCTION("""COMPUTED_VALUE"""),1.5045222E7)</f>
        <v>15045222</v>
      </c>
      <c r="B410">
        <f>IFERROR(__xludf.DUMMYFUNCTION("""COMPUTED_VALUE"""),67.0)</f>
        <v>67</v>
      </c>
      <c r="D410" t="str">
        <f>IFERROR(__xludf.DUMMYFUNCTION("""COMPUTED_VALUE"""),"INGRESAR CENTRO DE COSTO A LA DERECHA")</f>
        <v>INGRESAR CENTRO DE COSTO A LA DERECHA</v>
      </c>
      <c r="E410" t="str">
        <f>IFERROR(__xludf.DUMMYFUNCTION("""COMPUTED_VALUE"""),"SECRETARIA GENERAL")</f>
        <v>SECRETARIA GENERAL</v>
      </c>
      <c r="F410" t="str">
        <f>IFERROR(__xludf.DUMMYFUNCTION("""COMPUTED_VALUE"""),"Administrativo(a) de Apoyo")</f>
        <v>Administrativo(a) de Apoyo</v>
      </c>
      <c r="G410" t="str">
        <f>IFERROR(__xludf.DUMMYFUNCTION("""COMPUTED_VALUE"""),"ADMINISTRATIVO DE APOYO")</f>
        <v>ADMINISTRATIVO DE APOYO</v>
      </c>
      <c r="H410">
        <f>IFERROR(__xludf.DUMMYFUNCTION("""COMPUTED_VALUE"""),20.0)</f>
        <v>20</v>
      </c>
      <c r="I410" t="str">
        <f>IFERROR(__xludf.DUMMYFUNCTION("""COMPUTED_VALUE"""),"Jornada Completa")</f>
        <v>Jornada Completa</v>
      </c>
      <c r="J410" t="str">
        <f>IFERROR(__xludf.DUMMYFUNCTION("""COMPUTED_VALUE"""),"A CONTRATA")</f>
        <v>A CONTRATA</v>
      </c>
      <c r="K410" t="str">
        <f>IFERROR(__xludf.DUMMYFUNCTION("""COMPUTED_VALUE"""),"ADMINISTRATIVO")</f>
        <v>ADMINISTRATIVO</v>
      </c>
      <c r="L410" t="str">
        <f>IFERROR(__xludf.DUMMYFUNCTION("""COMPUTED_VALUE"""),"INTERNO")</f>
        <v>INTERNO</v>
      </c>
      <c r="M410">
        <f>IFERROR(__xludf.DUMMYFUNCTION("""COMPUTED_VALUE"""),0.0)</f>
        <v>0</v>
      </c>
      <c r="N410" t="str">
        <f>IFERROR(__xludf.DUMMYFUNCTION("""COMPUTED_VALUE"""),"EXTERNO")</f>
        <v>EXTERNO</v>
      </c>
      <c r="O410">
        <f>IFERROR(__xludf.DUMMYFUNCTION("""COMPUTED_VALUE"""),16.0)</f>
        <v>16</v>
      </c>
      <c r="P410">
        <f>IFERROR(__xludf.DUMMYFUNCTION("""COMPUTED_VALUE"""),2.0)</f>
        <v>2</v>
      </c>
      <c r="Q410">
        <f>IFERROR(__xludf.DUMMYFUNCTION("""COMPUTED_VALUE"""),2.0)</f>
        <v>2</v>
      </c>
      <c r="R410" s="45" t="str">
        <f>IFERROR(__xludf.DUMMYFUNCTION("""COMPUTED_VALUE"""),"SELECCIONADA")</f>
        <v>SELECCIONADA</v>
      </c>
      <c r="S410" s="38">
        <f>IFERROR(__xludf.DUMMYFUNCTION("""COMPUTED_VALUE"""),42515.0)</f>
        <v>42515</v>
      </c>
      <c r="U410" t="str">
        <f>IFERROR(__xludf.DUMMYFUNCTION("""COMPUTED_VALUE"""),"FERNANDA ARAYA VERGARA")</f>
        <v>FERNANDA ARAYA VERGARA</v>
      </c>
      <c r="V410" t="str">
        <f>IFERROR(__xludf.DUMMYFUNCTION("""COMPUTED_VALUE"""),"15045222-8")</f>
        <v>15045222-8</v>
      </c>
      <c r="W410" t="str">
        <f>IFERROR(__xludf.DUMMYFUNCTION("""COMPUTED_VALUE"""),"NO")</f>
        <v>NO</v>
      </c>
      <c r="AA410" s="38">
        <f>IFERROR(__xludf.DUMMYFUNCTION("""COMPUTED_VALUE"""),42453.0)</f>
        <v>42453</v>
      </c>
      <c r="AB410" s="38">
        <f>IFERROR(__xludf.DUMMYFUNCTION("""COMPUTED_VALUE"""),42460.0)</f>
        <v>42460</v>
      </c>
      <c r="AH410" t="str">
        <f>IFERROR(__xludf.DUMMYFUNCTION("""COMPUTED_VALUE"""),"PROCESO DE SELECCIÓN")</f>
        <v>PROCESO DE SELECCIÓN</v>
      </c>
      <c r="AI410" t="str">
        <f>IFERROR(__xludf.DUMMYFUNCTION("""COMPUTED_VALUE"""),"AUTORIZADO 2015")</f>
        <v>AUTORIZADO 2015</v>
      </c>
      <c r="AK410" t="str">
        <f>IFERROR(__xludf.DUMMYFUNCTION("""COMPUTED_VALUE"""),"E")</f>
        <v>E</v>
      </c>
      <c r="AL410">
        <f>IFERROR(__xludf.DUMMYFUNCTION("""COMPUTED_VALUE"""),40.0)</f>
        <v>40</v>
      </c>
      <c r="AM410">
        <f>IFERROR(__xludf.DUMMYFUNCTION("""COMPUTED_VALUE"""),2016.0)</f>
        <v>2016</v>
      </c>
    </row>
    <row r="411">
      <c r="A411">
        <f>IFERROR(__xludf.DUMMYFUNCTION("""COMPUTED_VALUE"""),7683909.0)</f>
        <v>7683909</v>
      </c>
      <c r="B411">
        <f>IFERROR(__xludf.DUMMYFUNCTION("""COMPUTED_VALUE"""),68.0)</f>
        <v>68</v>
      </c>
      <c r="D411" t="str">
        <f>IFERROR(__xludf.DUMMYFUNCTION("""COMPUTED_VALUE"""),"INGRESAR CENTRO DE COSTO A LA DERECHA")</f>
        <v>INGRESAR CENTRO DE COSTO A LA DERECHA</v>
      </c>
      <c r="E411" t="str">
        <f>IFERROR(__xludf.DUMMYFUNCTION("""COMPUTED_VALUE"""),"DPTO. DE FISICA")</f>
        <v>DPTO. DE FISICA</v>
      </c>
      <c r="F411" t="str">
        <f>IFERROR(__xludf.DUMMYFUNCTION("""COMPUTED_VALUE"""),"Administrativo(a) Especializado")</f>
        <v>Administrativo(a) Especializado</v>
      </c>
      <c r="G411" t="str">
        <f>IFERROR(__xludf.DUMMYFUNCTION("""COMPUTED_VALUE"""),"ADMINISTRATIVO ESPECIALIZADO")</f>
        <v>ADMINISTRATIVO ESPECIALIZADO</v>
      </c>
      <c r="H411">
        <f>IFERROR(__xludf.DUMMYFUNCTION("""COMPUTED_VALUE"""),17.0)</f>
        <v>17</v>
      </c>
      <c r="I411" t="str">
        <f>IFERROR(__xludf.DUMMYFUNCTION("""COMPUTED_VALUE"""),"Jornada Completa")</f>
        <v>Jornada Completa</v>
      </c>
      <c r="J411" t="str">
        <f>IFERROR(__xludf.DUMMYFUNCTION("""COMPUTED_VALUE"""),"A CONTRATA")</f>
        <v>A CONTRATA</v>
      </c>
      <c r="K411" t="str">
        <f>IFERROR(__xludf.DUMMYFUNCTION("""COMPUTED_VALUE"""),"ADMINISTRATIVO")</f>
        <v>ADMINISTRATIVO</v>
      </c>
      <c r="L411" t="str">
        <f>IFERROR(__xludf.DUMMYFUNCTION("""COMPUTED_VALUE"""),"INTERNO")</f>
        <v>INTERNO</v>
      </c>
      <c r="M411">
        <f>IFERROR(__xludf.DUMMYFUNCTION("""COMPUTED_VALUE"""),7.0)</f>
        <v>7</v>
      </c>
      <c r="N411" t="str">
        <f>IFERROR(__xludf.DUMMYFUNCTION("""COMPUTED_VALUE"""),"EXTERNO")</f>
        <v>EXTERNO</v>
      </c>
      <c r="O411">
        <f>IFERROR(__xludf.DUMMYFUNCTION("""COMPUTED_VALUE"""),14.0)</f>
        <v>14</v>
      </c>
      <c r="P411">
        <f>IFERROR(__xludf.DUMMYFUNCTION("""COMPUTED_VALUE"""),2.0)</f>
        <v>2</v>
      </c>
      <c r="Q411">
        <f>IFERROR(__xludf.DUMMYFUNCTION("""COMPUTED_VALUE"""),2.0)</f>
        <v>2</v>
      </c>
      <c r="R411" s="45" t="str">
        <f>IFERROR(__xludf.DUMMYFUNCTION("""COMPUTED_VALUE"""),"SELECCIONADA")</f>
        <v>SELECCIONADA</v>
      </c>
      <c r="S411" s="38">
        <f>IFERROR(__xludf.DUMMYFUNCTION("""COMPUTED_VALUE"""),42541.0)</f>
        <v>42541</v>
      </c>
      <c r="U411" t="str">
        <f>IFERROR(__xludf.DUMMYFUNCTION("""COMPUTED_VALUE"""),"ERIKA INOSTROZA SEPULVEDA")</f>
        <v>ERIKA INOSTROZA SEPULVEDA</v>
      </c>
      <c r="V411" t="str">
        <f>IFERROR(__xludf.DUMMYFUNCTION("""COMPUTED_VALUE"""),"7683909-3")</f>
        <v>7683909-3</v>
      </c>
      <c r="W411" t="str">
        <f>IFERROR(__xludf.DUMMYFUNCTION("""COMPUTED_VALUE"""),"NO")</f>
        <v>NO</v>
      </c>
      <c r="AA411" s="38">
        <f>IFERROR(__xludf.DUMMYFUNCTION("""COMPUTED_VALUE"""),42439.0)</f>
        <v>42439</v>
      </c>
      <c r="AB411" s="38">
        <f>IFERROR(__xludf.DUMMYFUNCTION("""COMPUTED_VALUE"""),42446.0)</f>
        <v>42446</v>
      </c>
      <c r="AH411" t="str">
        <f>IFERROR(__xludf.DUMMYFUNCTION("""COMPUTED_VALUE"""),"PROCESO DE SELECCIÓN")</f>
        <v>PROCESO DE SELECCIÓN</v>
      </c>
      <c r="AI411" t="str">
        <f>IFERROR(__xludf.DUMMYFUNCTION("""COMPUTED_VALUE"""),"EMILINA BRONTE")</f>
        <v>EMILINA BRONTE</v>
      </c>
      <c r="AK411" t="str">
        <f>IFERROR(__xludf.DUMMYFUNCTION("""COMPUTED_VALUE"""),"P")</f>
        <v>P</v>
      </c>
      <c r="AL411">
        <f>IFERROR(__xludf.DUMMYFUNCTION("""COMPUTED_VALUE"""),68.0)</f>
        <v>68</v>
      </c>
      <c r="AM411">
        <f>IFERROR(__xludf.DUMMYFUNCTION("""COMPUTED_VALUE"""),2016.0)</f>
        <v>2016</v>
      </c>
    </row>
    <row r="412">
      <c r="A412">
        <f>IFERROR(__xludf.DUMMYFUNCTION("""COMPUTED_VALUE"""),1.4197589E7)</f>
        <v>14197589</v>
      </c>
      <c r="B412">
        <f>IFERROR(__xludf.DUMMYFUNCTION("""COMPUTED_VALUE"""),69.0)</f>
        <v>69</v>
      </c>
      <c r="D412" t="str">
        <f>IFERROR(__xludf.DUMMYFUNCTION("""COMPUTED_VALUE"""),"INGRESAR CENTRO DE COSTO A LA DERECHA")</f>
        <v>INGRESAR CENTRO DE COSTO A LA DERECHA</v>
      </c>
      <c r="E412" t="str">
        <f>IFERROR(__xludf.DUMMYFUNCTION("""COMPUTED_VALUE"""),"DPTO. DE FISICA")</f>
        <v>DPTO. DE FISICA</v>
      </c>
      <c r="F412" t="str">
        <f>IFERROR(__xludf.DUMMYFUNCTION("""COMPUTED_VALUE"""),"Asistente de Laboratorio")</f>
        <v>Asistente de Laboratorio</v>
      </c>
      <c r="G412" t="str">
        <f>IFERROR(__xludf.DUMMYFUNCTION("""COMPUTED_VALUE"""),"ASISTENTE DE LABORATORIO")</f>
        <v>ASISTENTE DE LABORATORIO</v>
      </c>
      <c r="H412">
        <f>IFERROR(__xludf.DUMMYFUNCTION("""COMPUTED_VALUE"""),20.0)</f>
        <v>20</v>
      </c>
      <c r="I412" t="str">
        <f>IFERROR(__xludf.DUMMYFUNCTION("""COMPUTED_VALUE"""),"Jornada Completa")</f>
        <v>Jornada Completa</v>
      </c>
      <c r="J412" t="str">
        <f>IFERROR(__xludf.DUMMYFUNCTION("""COMPUTED_VALUE"""),"A CONTRATA")</f>
        <v>A CONTRATA</v>
      </c>
      <c r="K412" t="str">
        <f>IFERROR(__xludf.DUMMYFUNCTION("""COMPUTED_VALUE"""),"TECNICO")</f>
        <v>TECNICO</v>
      </c>
      <c r="L412" t="str">
        <f>IFERROR(__xludf.DUMMYFUNCTION("""COMPUTED_VALUE"""),"INTERNO")</f>
        <v>INTERNO</v>
      </c>
      <c r="M412">
        <f>IFERROR(__xludf.DUMMYFUNCTION("""COMPUTED_VALUE"""),0.0)</f>
        <v>0</v>
      </c>
      <c r="N412" t="str">
        <f>IFERROR(__xludf.DUMMYFUNCTION("""COMPUTED_VALUE"""),"EXTERNO")</f>
        <v>EXTERNO</v>
      </c>
      <c r="O412">
        <f>IFERROR(__xludf.DUMMYFUNCTION("""COMPUTED_VALUE"""),13.0)</f>
        <v>13</v>
      </c>
      <c r="P412">
        <f>IFERROR(__xludf.DUMMYFUNCTION("""COMPUTED_VALUE"""),2.0)</f>
        <v>2</v>
      </c>
      <c r="Q412">
        <f>IFERROR(__xludf.DUMMYFUNCTION("""COMPUTED_VALUE"""),3.0)</f>
        <v>3</v>
      </c>
      <c r="R412" s="45" t="str">
        <f>IFERROR(__xludf.DUMMYFUNCTION("""COMPUTED_VALUE"""),"SELECCIONADA")</f>
        <v>SELECCIONADA</v>
      </c>
      <c r="S412" s="38">
        <f>IFERROR(__xludf.DUMMYFUNCTION("""COMPUTED_VALUE"""),42614.0)</f>
        <v>42614</v>
      </c>
      <c r="U412" t="str">
        <f>IFERROR(__xludf.DUMMYFUNCTION("""COMPUTED_VALUE"""),"NATALIA GONZALEZ SANTANDER")</f>
        <v>NATALIA GONZALEZ SANTANDER</v>
      </c>
      <c r="V412" t="str">
        <f>IFERROR(__xludf.DUMMYFUNCTION("""COMPUTED_VALUE"""),"14197589-7")</f>
        <v>14197589-7</v>
      </c>
      <c r="W412" t="str">
        <f>IFERROR(__xludf.DUMMYFUNCTION("""COMPUTED_VALUE"""),"SI")</f>
        <v>SI</v>
      </c>
      <c r="X412" t="str">
        <f>IFERROR(__xludf.DUMMYFUNCTION("""COMPUTED_VALUE"""),"TRABAJO EN EQUIPO")</f>
        <v>TRABAJO EN EQUIPO</v>
      </c>
      <c r="AA412" s="38">
        <f>IFERROR(__xludf.DUMMYFUNCTION("""COMPUTED_VALUE"""),42559.0)</f>
        <v>42559</v>
      </c>
      <c r="AB412" s="38">
        <f>IFERROR(__xludf.DUMMYFUNCTION("""COMPUTED_VALUE"""),42566.0)</f>
        <v>42566</v>
      </c>
      <c r="AH412" t="str">
        <f>IFERROR(__xludf.DUMMYFUNCTION("""COMPUTED_VALUE"""),"PROCESO DE SELECCIÓN")</f>
        <v>PROCESO DE SELECCIÓN</v>
      </c>
      <c r="AI412" t="str">
        <f>IFERROR(__xludf.DUMMYFUNCTION("""COMPUTED_VALUE"""),"RODOLFO QUINTERO")</f>
        <v>RODOLFO QUINTERO</v>
      </c>
      <c r="AK412" t="str">
        <f>IFERROR(__xludf.DUMMYFUNCTION("""COMPUTED_VALUE"""),"E")</f>
        <v>E</v>
      </c>
      <c r="AL412">
        <f>IFERROR(__xludf.DUMMYFUNCTION("""COMPUTED_VALUE"""),35.0)</f>
        <v>35</v>
      </c>
      <c r="AM412">
        <f>IFERROR(__xludf.DUMMYFUNCTION("""COMPUTED_VALUE"""),2016.0)</f>
        <v>2016</v>
      </c>
    </row>
    <row r="413">
      <c r="A413">
        <f>IFERROR(__xludf.DUMMYFUNCTION("""COMPUTED_VALUE"""),8860929.0)</f>
        <v>8860929</v>
      </c>
      <c r="B413">
        <f>IFERROR(__xludf.DUMMYFUNCTION("""COMPUTED_VALUE"""),70.0)</f>
        <v>70</v>
      </c>
      <c r="D413" t="str">
        <f>IFERROR(__xludf.DUMMYFUNCTION("""COMPUTED_VALUE"""),"INGRESAR CENTRO DE COSTO A LA DERECHA")</f>
        <v>INGRESAR CENTRO DE COSTO A LA DERECHA</v>
      </c>
      <c r="E413" t="str">
        <f>IFERROR(__xludf.DUMMYFUNCTION("""COMPUTED_VALUE"""),"FACULTAD DE QUIMICA Y BIOLOGIA")</f>
        <v>FACULTAD DE QUIMICA Y BIOLOGIA</v>
      </c>
      <c r="F413" t="str">
        <f>IFERROR(__xludf.DUMMYFUNCTION("""COMPUTED_VALUE"""),"Mayordomo(a)")</f>
        <v>Mayordomo(a)</v>
      </c>
      <c r="G413" t="str">
        <f>IFERROR(__xludf.DUMMYFUNCTION("""COMPUTED_VALUE"""),"MAYORDOMO")</f>
        <v>MAYORDOMO</v>
      </c>
      <c r="H413">
        <f>IFERROR(__xludf.DUMMYFUNCTION("""COMPUTED_VALUE"""),21.0)</f>
        <v>21</v>
      </c>
      <c r="I413" t="str">
        <f>IFERROR(__xludf.DUMMYFUNCTION("""COMPUTED_VALUE"""),"Jornada Completa")</f>
        <v>Jornada Completa</v>
      </c>
      <c r="J413" t="str">
        <f>IFERROR(__xludf.DUMMYFUNCTION("""COMPUTED_VALUE"""),"A CONTRATA")</f>
        <v>A CONTRATA</v>
      </c>
      <c r="K413" t="str">
        <f>IFERROR(__xludf.DUMMYFUNCTION("""COMPUTED_VALUE"""),"AUXILIAR")</f>
        <v>AUXILIAR</v>
      </c>
      <c r="L413" t="str">
        <f>IFERROR(__xludf.DUMMYFUNCTION("""COMPUTED_VALUE"""),"INTERNO")</f>
        <v>INTERNO</v>
      </c>
      <c r="M413">
        <f>IFERROR(__xludf.DUMMYFUNCTION("""COMPUTED_VALUE"""),0.0)</f>
        <v>0</v>
      </c>
      <c r="N413" t="str">
        <f>IFERROR(__xludf.DUMMYFUNCTION("""COMPUTED_VALUE"""),"EXTERNO")</f>
        <v>EXTERNO</v>
      </c>
      <c r="O413">
        <f>IFERROR(__xludf.DUMMYFUNCTION("""COMPUTED_VALUE"""),7.0)</f>
        <v>7</v>
      </c>
      <c r="P413">
        <f>IFERROR(__xludf.DUMMYFUNCTION("""COMPUTED_VALUE"""),1.0)</f>
        <v>1</v>
      </c>
      <c r="Q413">
        <f>IFERROR(__xludf.DUMMYFUNCTION("""COMPUTED_VALUE"""),1.0)</f>
        <v>1</v>
      </c>
      <c r="R413" s="45" t="str">
        <f>IFERROR(__xludf.DUMMYFUNCTION("""COMPUTED_VALUE"""),"SELECCIONADO")</f>
        <v>SELECCIONADO</v>
      </c>
      <c r="S413" s="38">
        <f>IFERROR(__xludf.DUMMYFUNCTION("""COMPUTED_VALUE"""),42606.0)</f>
        <v>42606</v>
      </c>
      <c r="U413" t="str">
        <f>IFERROR(__xludf.DUMMYFUNCTION("""COMPUTED_VALUE"""),"EDUARDO DOÑAS OPAZO")</f>
        <v>EDUARDO DOÑAS OPAZO</v>
      </c>
      <c r="V413" t="str">
        <f>IFERROR(__xludf.DUMMYFUNCTION("""COMPUTED_VALUE"""),"8860929-8")</f>
        <v>8860929-8</v>
      </c>
      <c r="W413" t="str">
        <f>IFERROR(__xludf.DUMMYFUNCTION("""COMPUTED_VALUE"""),"NO")</f>
        <v>NO</v>
      </c>
      <c r="AA413" s="38">
        <f>IFERROR(__xludf.DUMMYFUNCTION("""COMPUTED_VALUE"""),42516.0)</f>
        <v>42516</v>
      </c>
      <c r="AB413" s="38">
        <f>IFERROR(__xludf.DUMMYFUNCTION("""COMPUTED_VALUE"""),42523.0)</f>
        <v>42523</v>
      </c>
      <c r="AH413" t="str">
        <f>IFERROR(__xludf.DUMMYFUNCTION("""COMPUTED_VALUE"""),"PROCESO DE SELECCIÓN")</f>
        <v>PROCESO DE SELECCIÓN</v>
      </c>
      <c r="AI413" t="str">
        <f>IFERROR(__xludf.DUMMYFUNCTION("""COMPUTED_VALUE"""),"ROBERTO BRITO PAREDES")</f>
        <v>ROBERTO BRITO PAREDES</v>
      </c>
      <c r="AK413" t="str">
        <f>IFERROR(__xludf.DUMMYFUNCTION("""COMPUTED_VALUE"""),"E")</f>
        <v>E</v>
      </c>
      <c r="AL413">
        <f>IFERROR(__xludf.DUMMYFUNCTION("""COMPUTED_VALUE"""),60.0)</f>
        <v>60</v>
      </c>
      <c r="AM413">
        <f>IFERROR(__xludf.DUMMYFUNCTION("""COMPUTED_VALUE"""),2016.0)</f>
        <v>2016</v>
      </c>
    </row>
    <row r="414">
      <c r="A414">
        <f>IFERROR(__xludf.DUMMYFUNCTION("""COMPUTED_VALUE"""),1.9171399E7)</f>
        <v>19171399</v>
      </c>
      <c r="B414">
        <f>IFERROR(__xludf.DUMMYFUNCTION("""COMPUTED_VALUE"""),71.0)</f>
        <v>71</v>
      </c>
      <c r="D414" t="str">
        <f>IFERROR(__xludf.DUMMYFUNCTION("""COMPUTED_VALUE"""),"INGRESAR CENTRO DE COSTO A LA DERECHA")</f>
        <v>INGRESAR CENTRO DE COSTO A LA DERECHA</v>
      </c>
      <c r="E414" t="str">
        <f>IFERROR(__xludf.DUMMYFUNCTION("""COMPUTED_VALUE"""),"UNIDAD DE GESTION DEL CAMPUS")</f>
        <v>UNIDAD DE GESTION DEL CAMPUS</v>
      </c>
      <c r="F414" t="str">
        <f>IFERROR(__xludf.DUMMYFUNCTION("""COMPUTED_VALUE"""),"Técnico(a) Eléctrico")</f>
        <v>Técnico(a) Eléctrico</v>
      </c>
      <c r="G414" t="str">
        <f>IFERROR(__xludf.DUMMYFUNCTION("""COMPUTED_VALUE"""),"TECNICO ELECTRICO")</f>
        <v>TECNICO ELECTRICO</v>
      </c>
      <c r="H414">
        <f>IFERROR(__xludf.DUMMYFUNCTION("""COMPUTED_VALUE"""),17.0)</f>
        <v>17</v>
      </c>
      <c r="I414" t="str">
        <f>IFERROR(__xludf.DUMMYFUNCTION("""COMPUTED_VALUE"""),"Jornada Completa")</f>
        <v>Jornada Completa</v>
      </c>
      <c r="J414" t="str">
        <f>IFERROR(__xludf.DUMMYFUNCTION("""COMPUTED_VALUE"""),"A CONTRATA")</f>
        <v>A CONTRATA</v>
      </c>
      <c r="K414" t="str">
        <f>IFERROR(__xludf.DUMMYFUNCTION("""COMPUTED_VALUE"""),"TECNICO")</f>
        <v>TECNICO</v>
      </c>
      <c r="L414" t="str">
        <f>IFERROR(__xludf.DUMMYFUNCTION("""COMPUTED_VALUE"""),"INTERNO")</f>
        <v>INTERNO</v>
      </c>
      <c r="M414">
        <f>IFERROR(__xludf.DUMMYFUNCTION("""COMPUTED_VALUE"""),0.0)</f>
        <v>0</v>
      </c>
      <c r="N414" t="str">
        <f>IFERROR(__xludf.DUMMYFUNCTION("""COMPUTED_VALUE"""),"EXTERNO")</f>
        <v>EXTERNO</v>
      </c>
      <c r="O414">
        <f>IFERROR(__xludf.DUMMYFUNCTION("""COMPUTED_VALUE"""),1.0)</f>
        <v>1</v>
      </c>
      <c r="P414">
        <f>IFERROR(__xludf.DUMMYFUNCTION("""COMPUTED_VALUE"""),1.0)</f>
        <v>1</v>
      </c>
      <c r="Q414">
        <f>IFERROR(__xludf.DUMMYFUNCTION("""COMPUTED_VALUE"""),2.0)</f>
        <v>2</v>
      </c>
      <c r="R414" s="45" t="str">
        <f>IFERROR(__xludf.DUMMYFUNCTION("""COMPUTED_VALUE"""),"SELECCIONADO")</f>
        <v>SELECCIONADO</v>
      </c>
      <c r="S414" s="38">
        <f>IFERROR(__xludf.DUMMYFUNCTION("""COMPUTED_VALUE"""),42614.0)</f>
        <v>42614</v>
      </c>
      <c r="U414" t="str">
        <f>IFERROR(__xludf.DUMMYFUNCTION("""COMPUTED_VALUE"""),"NICOLAS ORELLANA TORO")</f>
        <v>NICOLAS ORELLANA TORO</v>
      </c>
      <c r="V414" t="str">
        <f>IFERROR(__xludf.DUMMYFUNCTION("""COMPUTED_VALUE"""),"19171399-0")</f>
        <v>19171399-0</v>
      </c>
      <c r="W414" t="str">
        <f>IFERROR(__xludf.DUMMYFUNCTION("""COMPUTED_VALUE"""),"NO")</f>
        <v>NO</v>
      </c>
      <c r="AA414" s="38">
        <f>IFERROR(__xludf.DUMMYFUNCTION("""COMPUTED_VALUE"""),42569.0)</f>
        <v>42569</v>
      </c>
      <c r="AB414" s="38">
        <f>IFERROR(__xludf.DUMMYFUNCTION("""COMPUTED_VALUE"""),42583.0)</f>
        <v>42583</v>
      </c>
      <c r="AH414" t="str">
        <f>IFERROR(__xludf.DUMMYFUNCTION("""COMPUTED_VALUE"""),"PROCESO DE SELECCIÓN")</f>
        <v>PROCESO DE SELECCIÓN</v>
      </c>
      <c r="AI414" t="str">
        <f>IFERROR(__xludf.DUMMYFUNCTION("""COMPUTED_VALUE"""),"AUTORIZADO 2016")</f>
        <v>AUTORIZADO 2016</v>
      </c>
      <c r="AK414" t="str">
        <f>IFERROR(__xludf.DUMMYFUNCTION("""COMPUTED_VALUE"""),"E")</f>
        <v>E</v>
      </c>
      <c r="AL414">
        <f>IFERROR(__xludf.DUMMYFUNCTION("""COMPUTED_VALUE"""),24.0)</f>
        <v>24</v>
      </c>
      <c r="AM414">
        <f>IFERROR(__xludf.DUMMYFUNCTION("""COMPUTED_VALUE"""),2016.0)</f>
        <v>2016</v>
      </c>
    </row>
    <row r="415">
      <c r="A415">
        <f>IFERROR(__xludf.DUMMYFUNCTION("""COMPUTED_VALUE"""),9982687.0)</f>
        <v>9982687</v>
      </c>
      <c r="B415">
        <f>IFERROR(__xludf.DUMMYFUNCTION("""COMPUTED_VALUE"""),72.0)</f>
        <v>72</v>
      </c>
      <c r="D415" t="str">
        <f>IFERROR(__xludf.DUMMYFUNCTION("""COMPUTED_VALUE"""),"INGRESAR CENTRO DE COSTO A LA DERECHA")</f>
        <v>INGRESAR CENTRO DE COSTO A LA DERECHA</v>
      </c>
      <c r="E415" t="str">
        <f>IFERROR(__xludf.DUMMYFUNCTION("""COMPUTED_VALUE"""),"CONTRALORIA UNIVERSITARIA")</f>
        <v>CONTRALORIA UNIVERSITARIA</v>
      </c>
      <c r="F415" t="str">
        <f>IFERROR(__xludf.DUMMYFUNCTION("""COMPUTED_VALUE"""),"Abogado(a) Contraloria Universitaria")</f>
        <v>Abogado(a) Contraloria Universitaria</v>
      </c>
      <c r="G415" t="str">
        <f>IFERROR(__xludf.DUMMYFUNCTION("""COMPUTED_VALUE"""),"ABOGADO")</f>
        <v>ABOGADO</v>
      </c>
      <c r="H415">
        <f>IFERROR(__xludf.DUMMYFUNCTION("""COMPUTED_VALUE"""),6.0)</f>
        <v>6</v>
      </c>
      <c r="I415" t="str">
        <f>IFERROR(__xludf.DUMMYFUNCTION("""COMPUTED_VALUE"""),"Jornada Completa")</f>
        <v>Jornada Completa</v>
      </c>
      <c r="J415" t="str">
        <f>IFERROR(__xludf.DUMMYFUNCTION("""COMPUTED_VALUE"""),"A CONTRATA")</f>
        <v>A CONTRATA</v>
      </c>
      <c r="K415" t="str">
        <f>IFERROR(__xludf.DUMMYFUNCTION("""COMPUTED_VALUE"""),"PROFESIONAL")</f>
        <v>PROFESIONAL</v>
      </c>
      <c r="L415" t="str">
        <f>IFERROR(__xludf.DUMMYFUNCTION("""COMPUTED_VALUE"""),"INTERNO")</f>
        <v>INTERNO</v>
      </c>
      <c r="M415">
        <f>IFERROR(__xludf.DUMMYFUNCTION("""COMPUTED_VALUE"""),0.0)</f>
        <v>0</v>
      </c>
      <c r="N415" t="str">
        <f>IFERROR(__xludf.DUMMYFUNCTION("""COMPUTED_VALUE"""),"EXTERNO")</f>
        <v>EXTERNO</v>
      </c>
      <c r="O415">
        <f>IFERROR(__xludf.DUMMYFUNCTION("""COMPUTED_VALUE"""),40.0)</f>
        <v>40</v>
      </c>
      <c r="P415">
        <f>IFERROR(__xludf.DUMMYFUNCTION("""COMPUTED_VALUE"""),2.0)</f>
        <v>2</v>
      </c>
      <c r="Q415">
        <f>IFERROR(__xludf.DUMMYFUNCTION("""COMPUTED_VALUE"""),2.0)</f>
        <v>2</v>
      </c>
      <c r="R415" s="45" t="str">
        <f>IFERROR(__xludf.DUMMYFUNCTION("""COMPUTED_VALUE"""),"SELECCIONADO")</f>
        <v>SELECCIONADO</v>
      </c>
      <c r="S415" s="38">
        <f>IFERROR(__xludf.DUMMYFUNCTION("""COMPUTED_VALUE"""),42618.0)</f>
        <v>42618</v>
      </c>
      <c r="U415" t="str">
        <f>IFERROR(__xludf.DUMMYFUNCTION("""COMPUTED_VALUE"""),"ALEX ARAYA LILLO")</f>
        <v>ALEX ARAYA LILLO</v>
      </c>
      <c r="V415" t="str">
        <f>IFERROR(__xludf.DUMMYFUNCTION("""COMPUTED_VALUE"""),"9982687-8")</f>
        <v>9982687-8</v>
      </c>
      <c r="W415" t="str">
        <f>IFERROR(__xludf.DUMMYFUNCTION("""COMPUTED_VALUE"""),"SI")</f>
        <v>SI</v>
      </c>
      <c r="X415" t="str">
        <f>IFERROR(__xludf.DUMMYFUNCTION("""COMPUTED_VALUE"""),"PENSAMIENTO ANALITICO")</f>
        <v>PENSAMIENTO ANALITICO</v>
      </c>
      <c r="Y415" t="str">
        <f>IFERROR(__xludf.DUMMYFUNCTION("""COMPUTED_VALUE"""),"ORIENTACION A LOS RESULTADOS")</f>
        <v>ORIENTACION A LOS RESULTADOS</v>
      </c>
      <c r="AA415" s="38">
        <f>IFERROR(__xludf.DUMMYFUNCTION("""COMPUTED_VALUE"""),42599.0)</f>
        <v>42599</v>
      </c>
      <c r="AB415" s="38">
        <f>IFERROR(__xludf.DUMMYFUNCTION("""COMPUTED_VALUE"""),42601.0)</f>
        <v>42601</v>
      </c>
      <c r="AH415" t="str">
        <f>IFERROR(__xludf.DUMMYFUNCTION("""COMPUTED_VALUE"""),"PROCESO DE SELECCIÓN")</f>
        <v>PROCESO DE SELECCIÓN</v>
      </c>
      <c r="AI415" t="str">
        <f>IFERROR(__xludf.DUMMYFUNCTION("""COMPUTED_VALUE"""),"AUTORIZADO 2016")</f>
        <v>AUTORIZADO 2016</v>
      </c>
      <c r="AK415" t="str">
        <f>IFERROR(__xludf.DUMMYFUNCTION("""COMPUTED_VALUE"""),"E")</f>
        <v>E</v>
      </c>
      <c r="AL415">
        <f>IFERROR(__xludf.DUMMYFUNCTION("""COMPUTED_VALUE"""),12.0)</f>
        <v>12</v>
      </c>
      <c r="AM415">
        <f>IFERROR(__xludf.DUMMYFUNCTION("""COMPUTED_VALUE"""),2016.0)</f>
        <v>2016</v>
      </c>
    </row>
    <row r="416">
      <c r="A416">
        <f>IFERROR(__xludf.DUMMYFUNCTION("""COMPUTED_VALUE"""),1.3438026E7)</f>
        <v>13438026</v>
      </c>
      <c r="B416">
        <f>IFERROR(__xludf.DUMMYFUNCTION("""COMPUTED_VALUE"""),73.0)</f>
        <v>73</v>
      </c>
      <c r="D416" t="str">
        <f>IFERROR(__xludf.DUMMYFUNCTION("""COMPUTED_VALUE"""),"INGRESAR CENTRO DE COSTO A LA DERECHA")</f>
        <v>INGRESAR CENTRO DE COSTO A LA DERECHA</v>
      </c>
      <c r="E416" t="str">
        <f>IFERROR(__xludf.DUMMYFUNCTION("""COMPUTED_VALUE"""),"UNIDAD DE COORDINACION INSTIT.")</f>
        <v>UNIDAD DE COORDINACION INSTIT.</v>
      </c>
      <c r="F416" t="str">
        <f>IFERROR(__xludf.DUMMYFUNCTION("""COMPUTED_VALUE"""),"Analista de Gestión II")</f>
        <v>Analista de Gestión II</v>
      </c>
      <c r="G416" t="str">
        <f>IFERROR(__xludf.DUMMYFUNCTION("""COMPUTED_VALUE"""),"ANALISTA II")</f>
        <v>ANALISTA II</v>
      </c>
      <c r="H416">
        <f>IFERROR(__xludf.DUMMYFUNCTION("""COMPUTED_VALUE"""),13.0)</f>
        <v>13</v>
      </c>
      <c r="I416" t="str">
        <f>IFERROR(__xludf.DUMMYFUNCTION("""COMPUTED_VALUE"""),"Jornada Completa")</f>
        <v>Jornada Completa</v>
      </c>
      <c r="J416" t="str">
        <f>IFERROR(__xludf.DUMMYFUNCTION("""COMPUTED_VALUE"""),"A CONTRATA")</f>
        <v>A CONTRATA</v>
      </c>
      <c r="K416" t="str">
        <f>IFERROR(__xludf.DUMMYFUNCTION("""COMPUTED_VALUE"""),"PROFESIONAL")</f>
        <v>PROFESIONAL</v>
      </c>
      <c r="L416" t="str">
        <f>IFERROR(__xludf.DUMMYFUNCTION("""COMPUTED_VALUE"""),"INTERNO")</f>
        <v>INTERNO</v>
      </c>
      <c r="M416">
        <f>IFERROR(__xludf.DUMMYFUNCTION("""COMPUTED_VALUE"""),5.0)</f>
        <v>5</v>
      </c>
      <c r="N416" t="str">
        <f>IFERROR(__xludf.DUMMYFUNCTION("""COMPUTED_VALUE"""),"NO")</f>
        <v>NO</v>
      </c>
      <c r="O416">
        <f>IFERROR(__xludf.DUMMYFUNCTION("""COMPUTED_VALUE"""),0.0)</f>
        <v>0</v>
      </c>
      <c r="P416">
        <f>IFERROR(__xludf.DUMMYFUNCTION("""COMPUTED_VALUE"""),3.0)</f>
        <v>3</v>
      </c>
      <c r="Q416">
        <f>IFERROR(__xludf.DUMMYFUNCTION("""COMPUTED_VALUE"""),1.0)</f>
        <v>1</v>
      </c>
      <c r="R416" s="45" t="str">
        <f>IFERROR(__xludf.DUMMYFUNCTION("""COMPUTED_VALUE"""),"SELECCIONADA")</f>
        <v>SELECCIONADA</v>
      </c>
      <c r="S416" s="38">
        <f>IFERROR(__xludf.DUMMYFUNCTION("""COMPUTED_VALUE"""),42614.0)</f>
        <v>42614</v>
      </c>
      <c r="T416" t="str">
        <f>IFERROR(__xludf.DUMMYFUNCTION("""COMPUTED_VALUE"""),"AGUILERA SILVA JAZMIN ALEJANDRA")</f>
        <v>AGUILERA SILVA JAZMIN ALEJANDRA</v>
      </c>
      <c r="V416" t="str">
        <f>IFERROR(__xludf.DUMMYFUNCTION("""COMPUTED_VALUE"""),"13438026-8")</f>
        <v>13438026-8</v>
      </c>
      <c r="W416" t="str">
        <f>IFERROR(__xludf.DUMMYFUNCTION("""COMPUTED_VALUE"""),"SI")</f>
        <v>SI</v>
      </c>
      <c r="X416" t="str">
        <f>IFERROR(__xludf.DUMMYFUNCTION("""COMPUTED_VALUE"""),"CAPACIDAD DE PLANIFICACION Y ORGANIZACION")</f>
        <v>CAPACIDAD DE PLANIFICACION Y ORGANIZACION</v>
      </c>
      <c r="AA416" s="38">
        <f>IFERROR(__xludf.DUMMYFUNCTION("""COMPUTED_VALUE"""),42545.0)</f>
        <v>42545</v>
      </c>
      <c r="AB416" s="38">
        <f>IFERROR(__xludf.DUMMYFUNCTION("""COMPUTED_VALUE"""),42552.0)</f>
        <v>42552</v>
      </c>
      <c r="AH416" t="str">
        <f>IFERROR(__xludf.DUMMYFUNCTION("""COMPUTED_VALUE"""),"PROCESO DE SELECCIÓN")</f>
        <v>PROCESO DE SELECCIÓN</v>
      </c>
      <c r="AI416" t="str">
        <f>IFERROR(__xludf.DUMMYFUNCTION("""COMPUTED_VALUE"""),"AUTORIZADO 2016")</f>
        <v>AUTORIZADO 2016</v>
      </c>
      <c r="AK416" t="str">
        <f>IFERROR(__xludf.DUMMYFUNCTION("""COMPUTED_VALUE"""),"P")</f>
        <v>P</v>
      </c>
      <c r="AL416">
        <f>IFERROR(__xludf.DUMMYFUNCTION("""COMPUTED_VALUE"""),45.0)</f>
        <v>45</v>
      </c>
      <c r="AM416">
        <f>IFERROR(__xludf.DUMMYFUNCTION("""COMPUTED_VALUE"""),2016.0)</f>
        <v>2016</v>
      </c>
    </row>
    <row r="417">
      <c r="A417">
        <f>IFERROR(__xludf.DUMMYFUNCTION("""COMPUTED_VALUE"""),9864987.0)</f>
        <v>9864987</v>
      </c>
      <c r="B417">
        <f>IFERROR(__xludf.DUMMYFUNCTION("""COMPUTED_VALUE"""),74.0)</f>
        <v>74</v>
      </c>
      <c r="D417" t="str">
        <f>IFERROR(__xludf.DUMMYFUNCTION("""COMPUTED_VALUE"""),"INGRESAR CENTRO DE COSTO A LA DERECHA")</f>
        <v>INGRESAR CENTRO DE COSTO A LA DERECHA</v>
      </c>
      <c r="E417" t="str">
        <f>IFERROR(__xludf.DUMMYFUNCTION("""COMPUTED_VALUE"""),"UNIDAD DE ATENCION DE SALUD")</f>
        <v>UNIDAD DE ATENCION DE SALUD</v>
      </c>
      <c r="F417" t="str">
        <f>IFERROR(__xludf.DUMMYFUNCTION("""COMPUTED_VALUE"""),"Chofer")</f>
        <v>Chofer</v>
      </c>
      <c r="G417" t="str">
        <f>IFERROR(__xludf.DUMMYFUNCTION("""COMPUTED_VALUE"""),"CHOFER")</f>
        <v>CHOFER</v>
      </c>
      <c r="H417">
        <f>IFERROR(__xludf.DUMMYFUNCTION("""COMPUTED_VALUE"""),20.0)</f>
        <v>20</v>
      </c>
      <c r="I417" t="str">
        <f>IFERROR(__xludf.DUMMYFUNCTION("""COMPUTED_VALUE"""),"Jornada Completa")</f>
        <v>Jornada Completa</v>
      </c>
      <c r="J417" t="str">
        <f>IFERROR(__xludf.DUMMYFUNCTION("""COMPUTED_VALUE"""),"A CONTRATA")</f>
        <v>A CONTRATA</v>
      </c>
      <c r="K417" t="str">
        <f>IFERROR(__xludf.DUMMYFUNCTION("""COMPUTED_VALUE"""),"TECNICO")</f>
        <v>TECNICO</v>
      </c>
      <c r="L417" t="str">
        <f>IFERROR(__xludf.DUMMYFUNCTION("""COMPUTED_VALUE"""),"INTERNO")</f>
        <v>INTERNO</v>
      </c>
      <c r="M417">
        <f>IFERROR(__xludf.DUMMYFUNCTION("""COMPUTED_VALUE"""),0.0)</f>
        <v>0</v>
      </c>
      <c r="N417" t="str">
        <f>IFERROR(__xludf.DUMMYFUNCTION("""COMPUTED_VALUE"""),"EXTERNO")</f>
        <v>EXTERNO</v>
      </c>
      <c r="O417">
        <f>IFERROR(__xludf.DUMMYFUNCTION("""COMPUTED_VALUE"""),31.0)</f>
        <v>31</v>
      </c>
      <c r="P417">
        <f>IFERROR(__xludf.DUMMYFUNCTION("""COMPUTED_VALUE"""),3.0)</f>
        <v>3</v>
      </c>
      <c r="Q417">
        <f>IFERROR(__xludf.DUMMYFUNCTION("""COMPUTED_VALUE"""),6.0)</f>
        <v>6</v>
      </c>
      <c r="R417" s="45" t="str">
        <f>IFERROR(__xludf.DUMMYFUNCTION("""COMPUTED_VALUE"""),"SELECCIONADO")</f>
        <v>SELECCIONADO</v>
      </c>
      <c r="S417" s="38">
        <f>IFERROR(__xludf.DUMMYFUNCTION("""COMPUTED_VALUE"""),42634.0)</f>
        <v>42634</v>
      </c>
      <c r="U417" t="str">
        <f>IFERROR(__xludf.DUMMYFUNCTION("""COMPUTED_VALUE"""),"HECTOR SILVA HERNANDEZ")</f>
        <v>HECTOR SILVA HERNANDEZ</v>
      </c>
      <c r="V417" t="str">
        <f>IFERROR(__xludf.DUMMYFUNCTION("""COMPUTED_VALUE"""),"9864987-5")</f>
        <v>9864987-5</v>
      </c>
      <c r="W417" t="str">
        <f>IFERROR(__xludf.DUMMYFUNCTION("""COMPUTED_VALUE"""),"NO")</f>
        <v>NO</v>
      </c>
      <c r="AA417" s="38">
        <f>IFERROR(__xludf.DUMMYFUNCTION("""COMPUTED_VALUE"""),42607.0)</f>
        <v>42607</v>
      </c>
      <c r="AB417" s="38">
        <f>IFERROR(__xludf.DUMMYFUNCTION("""COMPUTED_VALUE"""),42614.0)</f>
        <v>42614</v>
      </c>
      <c r="AH417" t="str">
        <f>IFERROR(__xludf.DUMMYFUNCTION("""COMPUTED_VALUE"""),"PROCESO DE SELECCIÓN")</f>
        <v>PROCESO DE SELECCIÓN</v>
      </c>
      <c r="AI417" t="str">
        <f>IFERROR(__xludf.DUMMYFUNCTION("""COMPUTED_VALUE"""),"JUAN INOSTROZA PEREZ")</f>
        <v>JUAN INOSTROZA PEREZ</v>
      </c>
      <c r="AK417" t="str">
        <f>IFERROR(__xludf.DUMMYFUNCTION("""COMPUTED_VALUE"""),"E")</f>
        <v>E</v>
      </c>
      <c r="AL417">
        <f>IFERROR(__xludf.DUMMYFUNCTION("""COMPUTED_VALUE"""),15.0)</f>
        <v>15</v>
      </c>
      <c r="AM417">
        <f>IFERROR(__xludf.DUMMYFUNCTION("""COMPUTED_VALUE"""),2016.0)</f>
        <v>2016</v>
      </c>
    </row>
    <row r="418">
      <c r="A418">
        <f>IFERROR(__xludf.DUMMYFUNCTION("""COMPUTED_VALUE"""),1.4521348E7)</f>
        <v>14521348</v>
      </c>
      <c r="B418">
        <f>IFERROR(__xludf.DUMMYFUNCTION("""COMPUTED_VALUE"""),75.0)</f>
        <v>75</v>
      </c>
      <c r="D418" t="str">
        <f>IFERROR(__xludf.DUMMYFUNCTION("""COMPUTED_VALUE"""),"INGRESAR CENTRO DE COSTO A LA DERECHA")</f>
        <v>INGRESAR CENTRO DE COSTO A LA DERECHA</v>
      </c>
      <c r="E418" t="str">
        <f>IFERROR(__xludf.DUMMYFUNCTION("""COMPUTED_VALUE"""),"UNIDAD DE GESTION DEL CAMPUS")</f>
        <v>UNIDAD DE GESTION DEL CAMPUS</v>
      </c>
      <c r="F418" t="str">
        <f>IFERROR(__xludf.DUMMYFUNCTION("""COMPUTED_VALUE"""),"Chofer")</f>
        <v>Chofer</v>
      </c>
      <c r="G418" t="str">
        <f>IFERROR(__xludf.DUMMYFUNCTION("""COMPUTED_VALUE"""),"CHOFER")</f>
        <v>CHOFER</v>
      </c>
      <c r="H418">
        <f>IFERROR(__xludf.DUMMYFUNCTION("""COMPUTED_VALUE"""),20.0)</f>
        <v>20</v>
      </c>
      <c r="I418" t="str">
        <f>IFERROR(__xludf.DUMMYFUNCTION("""COMPUTED_VALUE"""),"Jornada Completa")</f>
        <v>Jornada Completa</v>
      </c>
      <c r="J418" t="str">
        <f>IFERROR(__xludf.DUMMYFUNCTION("""COMPUTED_VALUE"""),"A CONTRATA")</f>
        <v>A CONTRATA</v>
      </c>
      <c r="K418" t="str">
        <f>IFERROR(__xludf.DUMMYFUNCTION("""COMPUTED_VALUE"""),"TECNICO")</f>
        <v>TECNICO</v>
      </c>
      <c r="L418" t="str">
        <f>IFERROR(__xludf.DUMMYFUNCTION("""COMPUTED_VALUE"""),"INTERNO")</f>
        <v>INTERNO</v>
      </c>
      <c r="M418">
        <f>IFERROR(__xludf.DUMMYFUNCTION("""COMPUTED_VALUE"""),1.0)</f>
        <v>1</v>
      </c>
      <c r="N418" t="str">
        <f>IFERROR(__xludf.DUMMYFUNCTION("""COMPUTED_VALUE"""),"NO")</f>
        <v>NO</v>
      </c>
      <c r="O418">
        <f>IFERROR(__xludf.DUMMYFUNCTION("""COMPUTED_VALUE"""),0.0)</f>
        <v>0</v>
      </c>
      <c r="P418">
        <f>IFERROR(__xludf.DUMMYFUNCTION("""COMPUTED_VALUE"""),1.0)</f>
        <v>1</v>
      </c>
      <c r="Q418">
        <f>IFERROR(__xludf.DUMMYFUNCTION("""COMPUTED_VALUE"""),0.0)</f>
        <v>0</v>
      </c>
      <c r="R418" s="45" t="str">
        <f>IFERROR(__xludf.DUMMYFUNCTION("""COMPUTED_VALUE"""),"SELECCIONADO")</f>
        <v>SELECCIONADO</v>
      </c>
      <c r="S418" s="38">
        <f>IFERROR(__xludf.DUMMYFUNCTION("""COMPUTED_VALUE"""),42633.0)</f>
        <v>42633</v>
      </c>
      <c r="T418" t="str">
        <f>IFERROR(__xludf.DUMMYFUNCTION("""COMPUTED_VALUE"""),"AYALA CABRERA JUAN CARLOS")</f>
        <v>AYALA CABRERA JUAN CARLOS</v>
      </c>
      <c r="V418" t="str">
        <f>IFERROR(__xludf.DUMMYFUNCTION("""COMPUTED_VALUE"""),"14521348-7")</f>
        <v>14521348-7</v>
      </c>
      <c r="W418" t="str">
        <f>IFERROR(__xludf.DUMMYFUNCTION("""COMPUTED_VALUE"""),"NO")</f>
        <v>NO</v>
      </c>
      <c r="AA418" s="38">
        <f>IFERROR(__xludf.DUMMYFUNCTION("""COMPUTED_VALUE"""),42558.0)</f>
        <v>42558</v>
      </c>
      <c r="AB418" s="38">
        <f>IFERROR(__xludf.DUMMYFUNCTION("""COMPUTED_VALUE"""),42565.0)</f>
        <v>42565</v>
      </c>
      <c r="AH418" t="str">
        <f>IFERROR(__xludf.DUMMYFUNCTION("""COMPUTED_VALUE"""),"PROCESO DE SELECCIÓN")</f>
        <v>PROCESO DE SELECCIÓN</v>
      </c>
      <c r="AI418" t="str">
        <f>IFERROR(__xludf.DUMMYFUNCTION("""COMPUTED_VALUE"""),"AUTORIZADO 2016")</f>
        <v>AUTORIZADO 2016</v>
      </c>
      <c r="AK418" t="str">
        <f>IFERROR(__xludf.DUMMYFUNCTION("""COMPUTED_VALUE"""),"C")</f>
        <v>C</v>
      </c>
      <c r="AL418">
        <f>IFERROR(__xludf.DUMMYFUNCTION("""COMPUTED_VALUE"""),49.0)</f>
        <v>49</v>
      </c>
      <c r="AM418">
        <f>IFERROR(__xludf.DUMMYFUNCTION("""COMPUTED_VALUE"""),2016.0)</f>
        <v>2016</v>
      </c>
    </row>
    <row r="419">
      <c r="A419">
        <f>IFERROR(__xludf.DUMMYFUNCTION("""COMPUTED_VALUE"""),7980395.0)</f>
        <v>7980395</v>
      </c>
      <c r="B419">
        <f>IFERROR(__xludf.DUMMYFUNCTION("""COMPUTED_VALUE"""),76.0)</f>
        <v>76</v>
      </c>
      <c r="D419" t="str">
        <f>IFERROR(__xludf.DUMMYFUNCTION("""COMPUTED_VALUE"""),"INGRESAR CENTRO DE COSTO A LA DERECHA")</f>
        <v>INGRESAR CENTRO DE COSTO A LA DERECHA</v>
      </c>
      <c r="E419" t="str">
        <f>IFERROR(__xludf.DUMMYFUNCTION("""COMPUTED_VALUE"""),"PRORRECTORIA")</f>
        <v>PRORRECTORIA</v>
      </c>
      <c r="F419" t="str">
        <f>IFERROR(__xludf.DUMMYFUNCTION("""COMPUTED_VALUE"""),"Secretario(a) A")</f>
        <v>Secretario(a) A</v>
      </c>
      <c r="G419" t="str">
        <f>IFERROR(__xludf.DUMMYFUNCTION("""COMPUTED_VALUE"""),"SECRETARIA(O) A")</f>
        <v>SECRETARIA(O) A</v>
      </c>
      <c r="H419">
        <f>IFERROR(__xludf.DUMMYFUNCTION("""COMPUTED_VALUE"""),11.0)</f>
        <v>11</v>
      </c>
      <c r="I419" t="str">
        <f>IFERROR(__xludf.DUMMYFUNCTION("""COMPUTED_VALUE"""),"Jornada Completa")</f>
        <v>Jornada Completa</v>
      </c>
      <c r="J419" t="str">
        <f>IFERROR(__xludf.DUMMYFUNCTION("""COMPUTED_VALUE"""),"A CONTRATA")</f>
        <v>A CONTRATA</v>
      </c>
      <c r="K419" t="str">
        <f>IFERROR(__xludf.DUMMYFUNCTION("""COMPUTED_VALUE"""),"ADMINISTRATIVO")</f>
        <v>ADMINISTRATIVO</v>
      </c>
      <c r="L419" t="str">
        <f>IFERROR(__xludf.DUMMYFUNCTION("""COMPUTED_VALUE"""),"INTERNO")</f>
        <v>INTERNO</v>
      </c>
      <c r="M419">
        <f>IFERROR(__xludf.DUMMYFUNCTION("""COMPUTED_VALUE"""),12.0)</f>
        <v>12</v>
      </c>
      <c r="N419" t="str">
        <f>IFERROR(__xludf.DUMMYFUNCTION("""COMPUTED_VALUE"""),"NO")</f>
        <v>NO</v>
      </c>
      <c r="O419">
        <f>IFERROR(__xludf.DUMMYFUNCTION("""COMPUTED_VALUE"""),0.0)</f>
        <v>0</v>
      </c>
      <c r="P419">
        <f>IFERROR(__xludf.DUMMYFUNCTION("""COMPUTED_VALUE"""),5.0)</f>
        <v>5</v>
      </c>
      <c r="Q419">
        <f>IFERROR(__xludf.DUMMYFUNCTION("""COMPUTED_VALUE"""),0.0)</f>
        <v>0</v>
      </c>
      <c r="R419" s="45" t="str">
        <f>IFERROR(__xludf.DUMMYFUNCTION("""COMPUTED_VALUE"""),"SELECCIONADA")</f>
        <v>SELECCIONADA</v>
      </c>
      <c r="S419" s="38">
        <f>IFERROR(__xludf.DUMMYFUNCTION("""COMPUTED_VALUE"""),42633.0)</f>
        <v>42633</v>
      </c>
      <c r="T419" t="str">
        <f>IFERROR(__xludf.DUMMYFUNCTION("""COMPUTED_VALUE"""),"UMANA HERRERA ENRIQUETA DEL CARMEN")</f>
        <v>UMANA HERRERA ENRIQUETA DEL CARMEN</v>
      </c>
      <c r="V419" t="str">
        <f>IFERROR(__xludf.DUMMYFUNCTION("""COMPUTED_VALUE"""),"7980395-2")</f>
        <v>7980395-2</v>
      </c>
      <c r="W419" t="str">
        <f>IFERROR(__xludf.DUMMYFUNCTION("""COMPUTED_VALUE"""),"SI")</f>
        <v>SI</v>
      </c>
      <c r="X419" t="str">
        <f>IFERROR(__xludf.DUMMYFUNCTION("""COMPUTED_VALUE"""),"Franqueza- Confiabilidad- Integridad")</f>
        <v>Franqueza- Confiabilidad- Integridad</v>
      </c>
      <c r="AA419" s="38">
        <f>IFERROR(__xludf.DUMMYFUNCTION("""COMPUTED_VALUE"""),42593.0)</f>
        <v>42593</v>
      </c>
      <c r="AB419" s="38">
        <f>IFERROR(__xludf.DUMMYFUNCTION("""COMPUTED_VALUE"""),42600.0)</f>
        <v>42600</v>
      </c>
      <c r="AH419" t="str">
        <f>IFERROR(__xludf.DUMMYFUNCTION("""COMPUTED_VALUE"""),"PROCESO DE SELECCIÓN")</f>
        <v>PROCESO DE SELECCIÓN</v>
      </c>
      <c r="AI419" t="str">
        <f>IFERROR(__xludf.DUMMYFUNCTION("""COMPUTED_VALUE"""),"MAGALY SILVA BUCAREY")</f>
        <v>MAGALY SILVA BUCAREY</v>
      </c>
      <c r="AK419" t="str">
        <f>IFERROR(__xludf.DUMMYFUNCTION("""COMPUTED_VALUE"""),"C")</f>
        <v>C</v>
      </c>
      <c r="AL419">
        <f>IFERROR(__xludf.DUMMYFUNCTION("""COMPUTED_VALUE"""),24.0)</f>
        <v>24</v>
      </c>
      <c r="AM419">
        <f>IFERROR(__xludf.DUMMYFUNCTION("""COMPUTED_VALUE"""),2016.0)</f>
        <v>2016</v>
      </c>
    </row>
    <row r="420">
      <c r="A420">
        <f>IFERROR(__xludf.DUMMYFUNCTION("""COMPUTED_VALUE"""),1.560123E7)</f>
        <v>15601230</v>
      </c>
      <c r="B420">
        <f>IFERROR(__xludf.DUMMYFUNCTION("""COMPUTED_VALUE"""),77.0)</f>
        <v>77</v>
      </c>
      <c r="D420" t="str">
        <f>IFERROR(__xludf.DUMMYFUNCTION("""COMPUTED_VALUE"""),"INGRESAR CENTRO DE COSTO A LA DERECHA")</f>
        <v>INGRESAR CENTRO DE COSTO A LA DERECHA</v>
      </c>
      <c r="E420" t="str">
        <f>IFERROR(__xludf.DUMMYFUNCTION("""COMPUTED_VALUE"""),"DPTO. DE FINANZAS Y TESORERIA")</f>
        <v>DPTO. DE FINANZAS Y TESORERIA</v>
      </c>
      <c r="F420" t="str">
        <f>IFERROR(__xludf.DUMMYFUNCTION("""COMPUTED_VALUE"""),"Analista Contable II")</f>
        <v>Analista Contable II</v>
      </c>
      <c r="G420" t="str">
        <f>IFERROR(__xludf.DUMMYFUNCTION("""COMPUTED_VALUE"""),"ANALISTA DE EGRESOS")</f>
        <v>ANALISTA DE EGRESOS</v>
      </c>
      <c r="H420">
        <f>IFERROR(__xludf.DUMMYFUNCTION("""COMPUTED_VALUE"""),13.0)</f>
        <v>13</v>
      </c>
      <c r="I420" t="str">
        <f>IFERROR(__xludf.DUMMYFUNCTION("""COMPUTED_VALUE"""),"Jornada Completa")</f>
        <v>Jornada Completa</v>
      </c>
      <c r="J420" t="str">
        <f>IFERROR(__xludf.DUMMYFUNCTION("""COMPUTED_VALUE"""),"A CONTRATA")</f>
        <v>A CONTRATA</v>
      </c>
      <c r="K420" t="str">
        <f>IFERROR(__xludf.DUMMYFUNCTION("""COMPUTED_VALUE"""),"PROFESIONAL")</f>
        <v>PROFESIONAL</v>
      </c>
      <c r="L420" t="str">
        <f>IFERROR(__xludf.DUMMYFUNCTION("""COMPUTED_VALUE"""),"INTERNO")</f>
        <v>INTERNO</v>
      </c>
      <c r="M420">
        <f>IFERROR(__xludf.DUMMYFUNCTION("""COMPUTED_VALUE"""),0.0)</f>
        <v>0</v>
      </c>
      <c r="N420" t="str">
        <f>IFERROR(__xludf.DUMMYFUNCTION("""COMPUTED_VALUE"""),"EXTERNO")</f>
        <v>EXTERNO</v>
      </c>
      <c r="O420">
        <f>IFERROR(__xludf.DUMMYFUNCTION("""COMPUTED_VALUE"""),22.0)</f>
        <v>22</v>
      </c>
      <c r="P420">
        <f>IFERROR(__xludf.DUMMYFUNCTION("""COMPUTED_VALUE"""),2.0)</f>
        <v>2</v>
      </c>
      <c r="Q420">
        <f>IFERROR(__xludf.DUMMYFUNCTION("""COMPUTED_VALUE"""),3.0)</f>
        <v>3</v>
      </c>
      <c r="R420" s="45" t="str">
        <f>IFERROR(__xludf.DUMMYFUNCTION("""COMPUTED_VALUE"""),"SELECCIONADO")</f>
        <v>SELECCIONADO</v>
      </c>
      <c r="S420" s="38">
        <f>IFERROR(__xludf.DUMMYFUNCTION("""COMPUTED_VALUE"""),42646.0)</f>
        <v>42646</v>
      </c>
      <c r="U420" t="str">
        <f>IFERROR(__xludf.DUMMYFUNCTION("""COMPUTED_VALUE"""),"GABRIEL HENRIQUEZ GORDONIZ")</f>
        <v>GABRIEL HENRIQUEZ GORDONIZ</v>
      </c>
      <c r="V420" t="str">
        <f>IFERROR(__xludf.DUMMYFUNCTION("""COMPUTED_VALUE"""),"15601230-0")</f>
        <v>15601230-0</v>
      </c>
      <c r="W420" t="str">
        <f>IFERROR(__xludf.DUMMYFUNCTION("""COMPUTED_VALUE"""),"NO")</f>
        <v>NO</v>
      </c>
      <c r="AA420" s="38">
        <f>IFERROR(__xludf.DUMMYFUNCTION("""COMPUTED_VALUE"""),42618.0)</f>
        <v>42618</v>
      </c>
      <c r="AB420" s="38">
        <f>IFERROR(__xludf.DUMMYFUNCTION("""COMPUTED_VALUE"""),42621.0)</f>
        <v>42621</v>
      </c>
      <c r="AH420" t="str">
        <f>IFERROR(__xludf.DUMMYFUNCTION("""COMPUTED_VALUE"""),"PROCESO DE SELECCIÓN")</f>
        <v>PROCESO DE SELECCIÓN</v>
      </c>
      <c r="AI420" t="str">
        <f>IFERROR(__xludf.DUMMYFUNCTION("""COMPUTED_VALUE"""),"AUTORIZADO 2015")</f>
        <v>AUTORIZADO 2015</v>
      </c>
      <c r="AK420" t="str">
        <f>IFERROR(__xludf.DUMMYFUNCTION("""COMPUTED_VALUE"""),"E")</f>
        <v>E</v>
      </c>
      <c r="AL420">
        <f>IFERROR(__xludf.DUMMYFUNCTION("""COMPUTED_VALUE"""),18.0)</f>
        <v>18</v>
      </c>
      <c r="AM420">
        <f>IFERROR(__xludf.DUMMYFUNCTION("""COMPUTED_VALUE"""),2016.0)</f>
        <v>2016</v>
      </c>
    </row>
    <row r="421">
      <c r="A421">
        <f>IFERROR(__xludf.DUMMYFUNCTION("""COMPUTED_VALUE"""),1.5617477E7)</f>
        <v>15617477</v>
      </c>
      <c r="B421">
        <f>IFERROR(__xludf.DUMMYFUNCTION("""COMPUTED_VALUE"""),78.0)</f>
        <v>78</v>
      </c>
      <c r="D421" t="str">
        <f>IFERROR(__xludf.DUMMYFUNCTION("""COMPUTED_VALUE"""),"INGRESAR CENTRO DE COSTO A LA DERECHA")</f>
        <v>INGRESAR CENTRO DE COSTO A LA DERECHA</v>
      </c>
      <c r="E421" t="str">
        <f>IFERROR(__xludf.DUMMYFUNCTION("""COMPUTED_VALUE"""),"UNIDAD DE RADIO")</f>
        <v>UNIDAD DE RADIO</v>
      </c>
      <c r="F421" t="str">
        <f>IFERROR(__xludf.DUMMYFUNCTION("""COMPUTED_VALUE"""),"Periodista")</f>
        <v>Periodista</v>
      </c>
      <c r="G421" t="str">
        <f>IFERROR(__xludf.DUMMYFUNCTION("""COMPUTED_VALUE"""),"PERIODISTA")</f>
        <v>PERIODISTA</v>
      </c>
      <c r="H421">
        <f>IFERROR(__xludf.DUMMYFUNCTION("""COMPUTED_VALUE"""),13.0)</f>
        <v>13</v>
      </c>
      <c r="I421" t="str">
        <f>IFERROR(__xludf.DUMMYFUNCTION("""COMPUTED_VALUE"""),"Jornada Completa")</f>
        <v>Jornada Completa</v>
      </c>
      <c r="J421" t="str">
        <f>IFERROR(__xludf.DUMMYFUNCTION("""COMPUTED_VALUE"""),"A CONTRATA")</f>
        <v>A CONTRATA</v>
      </c>
      <c r="K421" t="str">
        <f>IFERROR(__xludf.DUMMYFUNCTION("""COMPUTED_VALUE"""),"PROFESIONAL")</f>
        <v>PROFESIONAL</v>
      </c>
      <c r="L421" t="str">
        <f>IFERROR(__xludf.DUMMYFUNCTION("""COMPUTED_VALUE"""),"INTERNO")</f>
        <v>INTERNO</v>
      </c>
      <c r="M421">
        <f>IFERROR(__xludf.DUMMYFUNCTION("""COMPUTED_VALUE"""),0.0)</f>
        <v>0</v>
      </c>
      <c r="N421" t="str">
        <f>IFERROR(__xludf.DUMMYFUNCTION("""COMPUTED_VALUE"""),"EXTERNO")</f>
        <v>EXTERNO</v>
      </c>
      <c r="O421">
        <f>IFERROR(__xludf.DUMMYFUNCTION("""COMPUTED_VALUE"""),10.0)</f>
        <v>10</v>
      </c>
      <c r="P421">
        <f>IFERROR(__xludf.DUMMYFUNCTION("""COMPUTED_VALUE"""),3.0)</f>
        <v>3</v>
      </c>
      <c r="Q421">
        <f>IFERROR(__xludf.DUMMYFUNCTION("""COMPUTED_VALUE"""),1.0)</f>
        <v>1</v>
      </c>
      <c r="R421" s="45" t="str">
        <f>IFERROR(__xludf.DUMMYFUNCTION("""COMPUTED_VALUE"""),"SELECCIONADA")</f>
        <v>SELECCIONADA</v>
      </c>
      <c r="S421" s="38">
        <f>IFERROR(__xludf.DUMMYFUNCTION("""COMPUTED_VALUE"""),42604.0)</f>
        <v>42604</v>
      </c>
      <c r="U421" t="str">
        <f>IFERROR(__xludf.DUMMYFUNCTION("""COMPUTED_VALUE"""),"ANTONELLA GALARCE DENNINGER")</f>
        <v>ANTONELLA GALARCE DENNINGER</v>
      </c>
      <c r="V421" t="str">
        <f>IFERROR(__xludf.DUMMYFUNCTION("""COMPUTED_VALUE"""),"15617477-7")</f>
        <v>15617477-7</v>
      </c>
      <c r="W421" t="str">
        <f>IFERROR(__xludf.DUMMYFUNCTION("""COMPUTED_VALUE"""),"SI")</f>
        <v>SI</v>
      </c>
      <c r="X421" t="str">
        <f>IFERROR(__xludf.DUMMYFUNCTION("""COMPUTED_VALUE"""),"CAPACIDAD DE PLANIFICACION Y ORGANIZACION")</f>
        <v>CAPACIDAD DE PLANIFICACION Y ORGANIZACION</v>
      </c>
      <c r="AA421" s="38">
        <f>IFERROR(__xludf.DUMMYFUNCTION("""COMPUTED_VALUE"""),42537.0)</f>
        <v>42537</v>
      </c>
      <c r="AB421" s="38">
        <f>IFERROR(__xludf.DUMMYFUNCTION("""COMPUTED_VALUE"""),42544.0)</f>
        <v>42544</v>
      </c>
      <c r="AH421" t="str">
        <f>IFERROR(__xludf.DUMMYFUNCTION("""COMPUTED_VALUE"""),"PROCESO DE SELECCIÓN")</f>
        <v>PROCESO DE SELECCIÓN</v>
      </c>
      <c r="AI421" t="str">
        <f>IFERROR(__xludf.DUMMYFUNCTION("""COMPUTED_VALUE"""),"AUTORIZADO 2016")</f>
        <v>AUTORIZADO 2016</v>
      </c>
      <c r="AK421" t="str">
        <f>IFERROR(__xludf.DUMMYFUNCTION("""COMPUTED_VALUE"""),"E")</f>
        <v>E</v>
      </c>
      <c r="AL421">
        <f>IFERROR(__xludf.DUMMYFUNCTION("""COMPUTED_VALUE"""),43.0)</f>
        <v>43</v>
      </c>
      <c r="AM421">
        <f>IFERROR(__xludf.DUMMYFUNCTION("""COMPUTED_VALUE"""),2016.0)</f>
        <v>2016</v>
      </c>
    </row>
    <row r="422">
      <c r="A422">
        <f>IFERROR(__xludf.DUMMYFUNCTION("""COMPUTED_VALUE"""),1.7817645E7)</f>
        <v>17817645</v>
      </c>
      <c r="B422">
        <f>IFERROR(__xludf.DUMMYFUNCTION("""COMPUTED_VALUE"""),79.0)</f>
        <v>79</v>
      </c>
      <c r="D422" t="str">
        <f>IFERROR(__xludf.DUMMYFUNCTION("""COMPUTED_VALUE"""),"INGRESAR CENTRO DE COSTO A LA DERECHA")</f>
        <v>INGRESAR CENTRO DE COSTO A LA DERECHA</v>
      </c>
      <c r="E422" t="str">
        <f>IFERROR(__xludf.DUMMYFUNCTION("""COMPUTED_VALUE"""),"DPTO. DE COMUNICACIONES")</f>
        <v>DPTO. DE COMUNICACIONES</v>
      </c>
      <c r="F422" t="str">
        <f>IFERROR(__xludf.DUMMYFUNCTION("""COMPUTED_VALUE"""),"Periodista")</f>
        <v>Periodista</v>
      </c>
      <c r="G422" t="str">
        <f>IFERROR(__xludf.DUMMYFUNCTION("""COMPUTED_VALUE"""),"PERIODISTA")</f>
        <v>PERIODISTA</v>
      </c>
      <c r="H422">
        <f>IFERROR(__xludf.DUMMYFUNCTION("""COMPUTED_VALUE"""),13.0)</f>
        <v>13</v>
      </c>
      <c r="I422" t="str">
        <f>IFERROR(__xludf.DUMMYFUNCTION("""COMPUTED_VALUE"""),"Jornada Completa")</f>
        <v>Jornada Completa</v>
      </c>
      <c r="J422" t="str">
        <f>IFERROR(__xludf.DUMMYFUNCTION("""COMPUTED_VALUE"""),"A CONTRATA")</f>
        <v>A CONTRATA</v>
      </c>
      <c r="K422" t="str">
        <f>IFERROR(__xludf.DUMMYFUNCTION("""COMPUTED_VALUE"""),"PROFESIONAL")</f>
        <v>PROFESIONAL</v>
      </c>
      <c r="L422" t="str">
        <f>IFERROR(__xludf.DUMMYFUNCTION("""COMPUTED_VALUE"""),"INTERNO")</f>
        <v>INTERNO</v>
      </c>
      <c r="M422">
        <f>IFERROR(__xludf.DUMMYFUNCTION("""COMPUTED_VALUE"""),0.0)</f>
        <v>0</v>
      </c>
      <c r="N422" t="str">
        <f>IFERROR(__xludf.DUMMYFUNCTION("""COMPUTED_VALUE"""),"EXTERNO")</f>
        <v>EXTERNO</v>
      </c>
      <c r="O422">
        <f>IFERROR(__xludf.DUMMYFUNCTION("""COMPUTED_VALUE"""),25.0)</f>
        <v>25</v>
      </c>
      <c r="P422">
        <f>IFERROR(__xludf.DUMMYFUNCTION("""COMPUTED_VALUE"""),3.0)</f>
        <v>3</v>
      </c>
      <c r="Q422">
        <f>IFERROR(__xludf.DUMMYFUNCTION("""COMPUTED_VALUE"""),2.0)</f>
        <v>2</v>
      </c>
      <c r="R422" s="45" t="str">
        <f>IFERROR(__xludf.DUMMYFUNCTION("""COMPUTED_VALUE"""),"SELECCIONADA")</f>
        <v>SELECCIONADA</v>
      </c>
      <c r="S422" s="38">
        <f>IFERROR(__xludf.DUMMYFUNCTION("""COMPUTED_VALUE"""),42614.0)</f>
        <v>42614</v>
      </c>
      <c r="U422" t="str">
        <f>IFERROR(__xludf.DUMMYFUNCTION("""COMPUTED_VALUE"""),"GLORIA FUENTES MANSILLA")</f>
        <v>GLORIA FUENTES MANSILLA</v>
      </c>
      <c r="V422" t="str">
        <f>IFERROR(__xludf.DUMMYFUNCTION("""COMPUTED_VALUE"""),"17817645-5")</f>
        <v>17817645-5</v>
      </c>
      <c r="W422" t="str">
        <f>IFERROR(__xludf.DUMMYFUNCTION("""COMPUTED_VALUE"""),"NO")</f>
        <v>NO</v>
      </c>
      <c r="AA422" s="38">
        <f>IFERROR(__xludf.DUMMYFUNCTION("""COMPUTED_VALUE"""),42551.0)</f>
        <v>42551</v>
      </c>
      <c r="AB422" s="38">
        <f>IFERROR(__xludf.DUMMYFUNCTION("""COMPUTED_VALUE"""),42558.0)</f>
        <v>42558</v>
      </c>
      <c r="AH422" t="str">
        <f>IFERROR(__xludf.DUMMYFUNCTION("""COMPUTED_VALUE"""),"PROCESO DE SELECCIÓN")</f>
        <v>PROCESO DE SELECCIÓN</v>
      </c>
      <c r="AI422" t="str">
        <f>IFERROR(__xludf.DUMMYFUNCTION("""COMPUTED_VALUE"""),"AUTORIZADO 2016")</f>
        <v>AUTORIZADO 2016</v>
      </c>
      <c r="AK422" t="str">
        <f>IFERROR(__xludf.DUMMYFUNCTION("""COMPUTED_VALUE"""),"E")</f>
        <v>E</v>
      </c>
      <c r="AL422">
        <f>IFERROR(__xludf.DUMMYFUNCTION("""COMPUTED_VALUE"""),41.0)</f>
        <v>41</v>
      </c>
      <c r="AM422">
        <f>IFERROR(__xludf.DUMMYFUNCTION("""COMPUTED_VALUE"""),2016.0)</f>
        <v>2016</v>
      </c>
    </row>
    <row r="423">
      <c r="A423">
        <f>IFERROR(__xludf.DUMMYFUNCTION("""COMPUTED_VALUE"""),1.5067539E7)</f>
        <v>15067539</v>
      </c>
      <c r="B423">
        <f>IFERROR(__xludf.DUMMYFUNCTION("""COMPUTED_VALUE"""),80.0)</f>
        <v>80</v>
      </c>
      <c r="D423" t="str">
        <f>IFERROR(__xludf.DUMMYFUNCTION("""COMPUTED_VALUE"""),"INGRESAR CENTRO DE COSTO A LA DERECHA")</f>
        <v>INGRESAR CENTRO DE COSTO A LA DERECHA</v>
      </c>
      <c r="E423" t="str">
        <f>IFERROR(__xludf.DUMMYFUNCTION("""COMPUTED_VALUE"""),"DPTO. DE COMUNICACIONES")</f>
        <v>DPTO. DE COMUNICACIONES</v>
      </c>
      <c r="F423" t="str">
        <f>IFERROR(__xludf.DUMMYFUNCTION("""COMPUTED_VALUE"""),"Periodista")</f>
        <v>Periodista</v>
      </c>
      <c r="G423" t="str">
        <f>IFERROR(__xludf.DUMMYFUNCTION("""COMPUTED_VALUE"""),"COMUNICADOR AUDIOVISUAL")</f>
        <v>COMUNICADOR AUDIOVISUAL</v>
      </c>
      <c r="H423">
        <f>IFERROR(__xludf.DUMMYFUNCTION("""COMPUTED_VALUE"""),13.0)</f>
        <v>13</v>
      </c>
      <c r="I423" t="str">
        <f>IFERROR(__xludf.DUMMYFUNCTION("""COMPUTED_VALUE"""),"Jornada Completa")</f>
        <v>Jornada Completa</v>
      </c>
      <c r="J423" t="str">
        <f>IFERROR(__xludf.DUMMYFUNCTION("""COMPUTED_VALUE"""),"A CONTRATA")</f>
        <v>A CONTRATA</v>
      </c>
      <c r="K423" t="str">
        <f>IFERROR(__xludf.DUMMYFUNCTION("""COMPUTED_VALUE"""),"PROFESIONAL")</f>
        <v>PROFESIONAL</v>
      </c>
      <c r="L423" t="str">
        <f>IFERROR(__xludf.DUMMYFUNCTION("""COMPUTED_VALUE"""),"INTERNO")</f>
        <v>INTERNO</v>
      </c>
      <c r="M423">
        <f>IFERROR(__xludf.DUMMYFUNCTION("""COMPUTED_VALUE"""),1.0)</f>
        <v>1</v>
      </c>
      <c r="N423" t="str">
        <f>IFERROR(__xludf.DUMMYFUNCTION("""COMPUTED_VALUE"""),"EXTERNO")</f>
        <v>EXTERNO</v>
      </c>
      <c r="O423">
        <f>IFERROR(__xludf.DUMMYFUNCTION("""COMPUTED_VALUE"""),22.0)</f>
        <v>22</v>
      </c>
      <c r="P423">
        <f>IFERROR(__xludf.DUMMYFUNCTION("""COMPUTED_VALUE"""),2.0)</f>
        <v>2</v>
      </c>
      <c r="Q423">
        <f>IFERROR(__xludf.DUMMYFUNCTION("""COMPUTED_VALUE"""),1.0)</f>
        <v>1</v>
      </c>
      <c r="R423" s="45" t="str">
        <f>IFERROR(__xludf.DUMMYFUNCTION("""COMPUTED_VALUE"""),"SELECCIONADO")</f>
        <v>SELECCIONADO</v>
      </c>
      <c r="S423" s="38">
        <f>IFERROR(__xludf.DUMMYFUNCTION("""COMPUTED_VALUE"""),42646.0)</f>
        <v>42646</v>
      </c>
      <c r="U423" t="str">
        <f>IFERROR(__xludf.DUMMYFUNCTION("""COMPUTED_VALUE"""),"RICARDO RIQUELME SEPULVEDA")</f>
        <v>RICARDO RIQUELME SEPULVEDA</v>
      </c>
      <c r="V423" t="str">
        <f>IFERROR(__xludf.DUMMYFUNCTION("""COMPUTED_VALUE"""),"15067539-1")</f>
        <v>15067539-1</v>
      </c>
      <c r="W423" t="str">
        <f>IFERROR(__xludf.DUMMYFUNCTION("""COMPUTED_VALUE"""),"SI")</f>
        <v>SI</v>
      </c>
      <c r="X423" t="str">
        <f>IFERROR(__xludf.DUMMYFUNCTION("""COMPUTED_VALUE"""),"CAPACIDAD DE PLANIFICACION Y ORGANIZACION")</f>
        <v>CAPACIDAD DE PLANIFICACION Y ORGANIZACION</v>
      </c>
      <c r="AA423" s="38">
        <f>IFERROR(__xludf.DUMMYFUNCTION("""COMPUTED_VALUE"""),42614.0)</f>
        <v>42614</v>
      </c>
      <c r="AB423" s="38">
        <f>IFERROR(__xludf.DUMMYFUNCTION("""COMPUTED_VALUE"""),42621.0)</f>
        <v>42621</v>
      </c>
      <c r="AH423" t="str">
        <f>IFERROR(__xludf.DUMMYFUNCTION("""COMPUTED_VALUE"""),"PROCESO DE SELECCIÓN")</f>
        <v>PROCESO DE SELECCIÓN</v>
      </c>
      <c r="AI423" t="str">
        <f>IFERROR(__xludf.DUMMYFUNCTION("""COMPUTED_VALUE"""),"JAVIER HERRERA BECERRA")</f>
        <v>JAVIER HERRERA BECERRA</v>
      </c>
      <c r="AK423" t="str">
        <f>IFERROR(__xludf.DUMMYFUNCTION("""COMPUTED_VALUE"""),"E")</f>
        <v>E</v>
      </c>
      <c r="AL423">
        <f>IFERROR(__xludf.DUMMYFUNCTION("""COMPUTED_VALUE"""),18.0)</f>
        <v>18</v>
      </c>
      <c r="AM423">
        <f>IFERROR(__xludf.DUMMYFUNCTION("""COMPUTED_VALUE"""),2016.0)</f>
        <v>2016</v>
      </c>
    </row>
    <row r="424">
      <c r="A424">
        <f>IFERROR(__xludf.DUMMYFUNCTION("""COMPUTED_VALUE"""),1.713887E7)</f>
        <v>17138870</v>
      </c>
      <c r="B424">
        <f>IFERROR(__xludf.DUMMYFUNCTION("""COMPUTED_VALUE"""),81.0)</f>
        <v>81</v>
      </c>
      <c r="D424" t="str">
        <f>IFERROR(__xludf.DUMMYFUNCTION("""COMPUTED_VALUE"""),"INGRESAR CENTRO DE COSTO A LA DERECHA")</f>
        <v>INGRESAR CENTRO DE COSTO A LA DERECHA</v>
      </c>
      <c r="E424" t="str">
        <f>IFERROR(__xludf.DUMMYFUNCTION("""COMPUTED_VALUE"""),"UNIDAD DE BIENESTAR DEL PERSONAL")</f>
        <v>UNIDAD DE BIENESTAR DEL PERSONAL</v>
      </c>
      <c r="F424" t="str">
        <f>IFERROR(__xludf.DUMMYFUNCTION("""COMPUTED_VALUE"""),"Educador(a) de Párvulos")</f>
        <v>Educador(a) de Párvulos</v>
      </c>
      <c r="G424" t="str">
        <f>IFERROR(__xludf.DUMMYFUNCTION("""COMPUTED_VALUE"""),"TECNICO DE PARVULOS")</f>
        <v>TECNICO DE PARVULOS</v>
      </c>
      <c r="H424">
        <f>IFERROR(__xludf.DUMMYFUNCTION("""COMPUTED_VALUE"""),17.0)</f>
        <v>17</v>
      </c>
      <c r="I424" t="str">
        <f>IFERROR(__xludf.DUMMYFUNCTION("""COMPUTED_VALUE"""),"Jornada Completa")</f>
        <v>Jornada Completa</v>
      </c>
      <c r="J424" t="str">
        <f>IFERROR(__xludf.DUMMYFUNCTION("""COMPUTED_VALUE"""),"A CONTRATA")</f>
        <v>A CONTRATA</v>
      </c>
      <c r="K424" t="str">
        <f>IFERROR(__xludf.DUMMYFUNCTION("""COMPUTED_VALUE"""),"TECNICO")</f>
        <v>TECNICO</v>
      </c>
      <c r="L424" t="str">
        <f>IFERROR(__xludf.DUMMYFUNCTION("""COMPUTED_VALUE"""),"INTERNO")</f>
        <v>INTERNO</v>
      </c>
      <c r="M424">
        <f>IFERROR(__xludf.DUMMYFUNCTION("""COMPUTED_VALUE"""),0.0)</f>
        <v>0</v>
      </c>
      <c r="N424" t="str">
        <f>IFERROR(__xludf.DUMMYFUNCTION("""COMPUTED_VALUE"""),"EXTERNO")</f>
        <v>EXTERNO</v>
      </c>
      <c r="O424">
        <f>IFERROR(__xludf.DUMMYFUNCTION("""COMPUTED_VALUE"""),10.0)</f>
        <v>10</v>
      </c>
      <c r="P424">
        <f>IFERROR(__xludf.DUMMYFUNCTION("""COMPUTED_VALUE"""),3.0)</f>
        <v>3</v>
      </c>
      <c r="Q424">
        <f>IFERROR(__xludf.DUMMYFUNCTION("""COMPUTED_VALUE"""),1.0)</f>
        <v>1</v>
      </c>
      <c r="R424" s="45" t="str">
        <f>IFERROR(__xludf.DUMMYFUNCTION("""COMPUTED_VALUE"""),"SELECCIONADA")</f>
        <v>SELECCIONADA</v>
      </c>
      <c r="S424" s="38">
        <f>IFERROR(__xludf.DUMMYFUNCTION("""COMPUTED_VALUE"""),42646.0)</f>
        <v>42646</v>
      </c>
      <c r="U424" t="str">
        <f>IFERROR(__xludf.DUMMYFUNCTION("""COMPUTED_VALUE"""),"SOLEDAD RIVERA BERNALES")</f>
        <v>SOLEDAD RIVERA BERNALES</v>
      </c>
      <c r="V424" t="str">
        <f>IFERROR(__xludf.DUMMYFUNCTION("""COMPUTED_VALUE"""),"17138870-8")</f>
        <v>17138870-8</v>
      </c>
      <c r="W424" t="str">
        <f>IFERROR(__xludf.DUMMYFUNCTION("""COMPUTED_VALUE"""),"SI")</f>
        <v>SI</v>
      </c>
      <c r="X424" t="str">
        <f>IFERROR(__xludf.DUMMYFUNCTION("""COMPUTED_VALUE"""),"Tolerancia a la presion")</f>
        <v>Tolerancia a la presion</v>
      </c>
      <c r="AA424" s="38">
        <f>IFERROR(__xludf.DUMMYFUNCTION("""COMPUTED_VALUE"""),42534.0)</f>
        <v>42534</v>
      </c>
      <c r="AB424" s="38">
        <f>IFERROR(__xludf.DUMMYFUNCTION("""COMPUTED_VALUE"""),42541.0)</f>
        <v>42541</v>
      </c>
      <c r="AH424" t="str">
        <f>IFERROR(__xludf.DUMMYFUNCTION("""COMPUTED_VALUE"""),"PROCESO DE SELECCIÓN")</f>
        <v>PROCESO DE SELECCIÓN</v>
      </c>
      <c r="AI424" t="str">
        <f>IFERROR(__xludf.DUMMYFUNCTION("""COMPUTED_VALUE"""),"AUTORIZADO 2016")</f>
        <v>AUTORIZADO 2016</v>
      </c>
      <c r="AK424" t="str">
        <f>IFERROR(__xludf.DUMMYFUNCTION("""COMPUTED_VALUE"""),"E")</f>
        <v>E</v>
      </c>
      <c r="AL424">
        <f>IFERROR(__xludf.DUMMYFUNCTION("""COMPUTED_VALUE"""),76.0)</f>
        <v>76</v>
      </c>
      <c r="AM424">
        <f>IFERROR(__xludf.DUMMYFUNCTION("""COMPUTED_VALUE"""),2016.0)</f>
        <v>2016</v>
      </c>
    </row>
    <row r="425">
      <c r="A425">
        <f>IFERROR(__xludf.DUMMYFUNCTION("""COMPUTED_VALUE"""),9662880.0)</f>
        <v>9662880</v>
      </c>
      <c r="B425">
        <f>IFERROR(__xludf.DUMMYFUNCTION("""COMPUTED_VALUE"""),82.0)</f>
        <v>82</v>
      </c>
      <c r="D425" t="str">
        <f>IFERROR(__xludf.DUMMYFUNCTION("""COMPUTED_VALUE"""),"INGRESAR CENTRO DE COSTO A LA DERECHA")</f>
        <v>INGRESAR CENTRO DE COSTO A LA DERECHA</v>
      </c>
      <c r="E425" t="str">
        <f>IFERROR(__xludf.DUMMYFUNCTION("""COMPUTED_VALUE"""),"UNIDAD DE VOCACION ARTISTICA")</f>
        <v>UNIDAD DE VOCACION ARTISTICA</v>
      </c>
      <c r="F425" t="str">
        <f>IFERROR(__xludf.DUMMYFUNCTION("""COMPUTED_VALUE"""),"Auxiliar de Servicios")</f>
        <v>Auxiliar de Servicios</v>
      </c>
      <c r="G425" t="str">
        <f>IFERROR(__xludf.DUMMYFUNCTION("""COMPUTED_VALUE"""),"AUXILIAR DE SERVICIOS")</f>
        <v>AUXILIAR DE SERVICIOS</v>
      </c>
      <c r="H425">
        <f>IFERROR(__xludf.DUMMYFUNCTION("""COMPUTED_VALUE"""),23.0)</f>
        <v>23</v>
      </c>
      <c r="I425" t="str">
        <f>IFERROR(__xludf.DUMMYFUNCTION("""COMPUTED_VALUE"""),"Jornada Completa")</f>
        <v>Jornada Completa</v>
      </c>
      <c r="J425" t="str">
        <f>IFERROR(__xludf.DUMMYFUNCTION("""COMPUTED_VALUE"""),"A CONTRATA")</f>
        <v>A CONTRATA</v>
      </c>
      <c r="K425" t="str">
        <f>IFERROR(__xludf.DUMMYFUNCTION("""COMPUTED_VALUE"""),"AUXILIAR")</f>
        <v>AUXILIAR</v>
      </c>
      <c r="L425" t="str">
        <f>IFERROR(__xludf.DUMMYFUNCTION("""COMPUTED_VALUE"""),"INTERNO")</f>
        <v>INTERNO</v>
      </c>
      <c r="M425">
        <f>IFERROR(__xludf.DUMMYFUNCTION("""COMPUTED_VALUE"""),0.0)</f>
        <v>0</v>
      </c>
      <c r="N425" t="str">
        <f>IFERROR(__xludf.DUMMYFUNCTION("""COMPUTED_VALUE"""),"EXTERNO")</f>
        <v>EXTERNO</v>
      </c>
      <c r="O425">
        <f>IFERROR(__xludf.DUMMYFUNCTION("""COMPUTED_VALUE"""),8.0)</f>
        <v>8</v>
      </c>
      <c r="P425">
        <f>IFERROR(__xludf.DUMMYFUNCTION("""COMPUTED_VALUE"""),2.0)</f>
        <v>2</v>
      </c>
      <c r="Q425">
        <f>IFERROR(__xludf.DUMMYFUNCTION("""COMPUTED_VALUE"""),1.0)</f>
        <v>1</v>
      </c>
      <c r="R425" s="45" t="str">
        <f>IFERROR(__xludf.DUMMYFUNCTION("""COMPUTED_VALUE"""),"SELECCIONADO")</f>
        <v>SELECCIONADO</v>
      </c>
      <c r="S425" s="38">
        <f>IFERROR(__xludf.DUMMYFUNCTION("""COMPUTED_VALUE"""),42660.0)</f>
        <v>42660</v>
      </c>
      <c r="U425" t="str">
        <f>IFERROR(__xludf.DUMMYFUNCTION("""COMPUTED_VALUE"""),"FERNANDO RODRIGUEZ COLLIO")</f>
        <v>FERNANDO RODRIGUEZ COLLIO</v>
      </c>
      <c r="V425" t="str">
        <f>IFERROR(__xludf.DUMMYFUNCTION("""COMPUTED_VALUE"""),"9662880-3")</f>
        <v>9662880-3</v>
      </c>
      <c r="W425" t="str">
        <f>IFERROR(__xludf.DUMMYFUNCTION("""COMPUTED_VALUE"""),"SI")</f>
        <v>SI</v>
      </c>
      <c r="X425" t="str">
        <f>IFERROR(__xludf.DUMMYFUNCTION("""COMPUTED_VALUE"""),"COMUNICACION")</f>
        <v>COMUNICACION</v>
      </c>
      <c r="AA425" s="38">
        <f>IFERROR(__xludf.DUMMYFUNCTION("""COMPUTED_VALUE"""),42634.0)</f>
        <v>42634</v>
      </c>
      <c r="AB425" s="38">
        <f>IFERROR(__xludf.DUMMYFUNCTION("""COMPUTED_VALUE"""),42641.0)</f>
        <v>42641</v>
      </c>
      <c r="AH425" t="str">
        <f>IFERROR(__xludf.DUMMYFUNCTION("""COMPUTED_VALUE"""),"PROCESO DE SELECCIÓN")</f>
        <v>PROCESO DE SELECCIÓN</v>
      </c>
      <c r="AI425" t="str">
        <f>IFERROR(__xludf.DUMMYFUNCTION("""COMPUTED_VALUE"""),"JUAN CARLOS AYALA")</f>
        <v>JUAN CARLOS AYALA</v>
      </c>
      <c r="AK425" t="str">
        <f>IFERROR(__xludf.DUMMYFUNCTION("""COMPUTED_VALUE"""),"E")</f>
        <v>E</v>
      </c>
      <c r="AL425">
        <f>IFERROR(__xludf.DUMMYFUNCTION("""COMPUTED_VALUE"""),14.0)</f>
        <v>14</v>
      </c>
      <c r="AM425">
        <f>IFERROR(__xludf.DUMMYFUNCTION("""COMPUTED_VALUE"""),2016.0)</f>
        <v>2016</v>
      </c>
    </row>
    <row r="426">
      <c r="A426">
        <f>IFERROR(__xludf.DUMMYFUNCTION("""COMPUTED_VALUE"""),1.9208931E7)</f>
        <v>19208931</v>
      </c>
      <c r="B426">
        <f>IFERROR(__xludf.DUMMYFUNCTION("""COMPUTED_VALUE"""),83.0)</f>
        <v>83</v>
      </c>
      <c r="D426" t="str">
        <f>IFERROR(__xludf.DUMMYFUNCTION("""COMPUTED_VALUE"""),"INGRESAR CENTRO DE COSTO A LA DERECHA")</f>
        <v>INGRESAR CENTRO DE COSTO A LA DERECHA</v>
      </c>
      <c r="E426" t="str">
        <f>IFERROR(__xludf.DUMMYFUNCTION("""COMPUTED_VALUE"""),"CITECAMP")</f>
        <v>CITECAMP</v>
      </c>
      <c r="F426" t="str">
        <f>IFERROR(__xludf.DUMMYFUNCTION("""COMPUTED_VALUE"""),"Administrativo(a) de Apoyo")</f>
        <v>Administrativo(a) de Apoyo</v>
      </c>
      <c r="G426" t="str">
        <f>IFERROR(__xludf.DUMMYFUNCTION("""COMPUTED_VALUE"""),"ADMINISTRATIVO DE APOYO")</f>
        <v>ADMINISTRATIVO DE APOYO</v>
      </c>
      <c r="H426">
        <f>IFERROR(__xludf.DUMMYFUNCTION("""COMPUTED_VALUE"""),20.0)</f>
        <v>20</v>
      </c>
      <c r="I426" t="str">
        <f>IFERROR(__xludf.DUMMYFUNCTION("""COMPUTED_VALUE"""),"Jornada Completa")</f>
        <v>Jornada Completa</v>
      </c>
      <c r="J426" t="str">
        <f>IFERROR(__xludf.DUMMYFUNCTION("""COMPUTED_VALUE"""),"A CONTRATA")</f>
        <v>A CONTRATA</v>
      </c>
      <c r="K426" t="str">
        <f>IFERROR(__xludf.DUMMYFUNCTION("""COMPUTED_VALUE"""),"ADMINISTRATIVO")</f>
        <v>ADMINISTRATIVO</v>
      </c>
      <c r="L426" t="str">
        <f>IFERROR(__xludf.DUMMYFUNCTION("""COMPUTED_VALUE"""),"INTERNO")</f>
        <v>INTERNO</v>
      </c>
      <c r="M426">
        <f>IFERROR(__xludf.DUMMYFUNCTION("""COMPUTED_VALUE"""),1.0)</f>
        <v>1</v>
      </c>
      <c r="N426" t="str">
        <f>IFERROR(__xludf.DUMMYFUNCTION("""COMPUTED_VALUE"""),"EXTERNO")</f>
        <v>EXTERNO</v>
      </c>
      <c r="O426">
        <f>IFERROR(__xludf.DUMMYFUNCTION("""COMPUTED_VALUE"""),12.0)</f>
        <v>12</v>
      </c>
      <c r="P426">
        <f>IFERROR(__xludf.DUMMYFUNCTION("""COMPUTED_VALUE"""),3.0)</f>
        <v>3</v>
      </c>
      <c r="Q426">
        <f>IFERROR(__xludf.DUMMYFUNCTION("""COMPUTED_VALUE"""),1.0)</f>
        <v>1</v>
      </c>
      <c r="R426" s="45" t="str">
        <f>IFERROR(__xludf.DUMMYFUNCTION("""COMPUTED_VALUE"""),"SELECCIONADA")</f>
        <v>SELECCIONADA</v>
      </c>
      <c r="S426" s="38">
        <f>IFERROR(__xludf.DUMMYFUNCTION("""COMPUTED_VALUE"""),42660.0)</f>
        <v>42660</v>
      </c>
      <c r="U426" t="str">
        <f>IFERROR(__xludf.DUMMYFUNCTION("""COMPUTED_VALUE"""),"ROMINA LABRIN VALENZUELA")</f>
        <v>ROMINA LABRIN VALENZUELA</v>
      </c>
      <c r="V426" t="str">
        <f>IFERROR(__xludf.DUMMYFUNCTION("""COMPUTED_VALUE"""),"19208931-K")</f>
        <v>19208931-K</v>
      </c>
      <c r="W426" t="str">
        <f>IFERROR(__xludf.DUMMYFUNCTION("""COMPUTED_VALUE"""),"SI")</f>
        <v>SI</v>
      </c>
      <c r="AA426" s="38">
        <f>IFERROR(__xludf.DUMMYFUNCTION("""COMPUTED_VALUE"""),42607.0)</f>
        <v>42607</v>
      </c>
      <c r="AB426" s="38">
        <f>IFERROR(__xludf.DUMMYFUNCTION("""COMPUTED_VALUE"""),42614.0)</f>
        <v>42614</v>
      </c>
      <c r="AH426" t="str">
        <f>IFERROR(__xludf.DUMMYFUNCTION("""COMPUTED_VALUE"""),"PROCESO DE SELECCIÓN")</f>
        <v>PROCESO DE SELECCIÓN</v>
      </c>
      <c r="AI426" t="str">
        <f>IFERROR(__xludf.DUMMYFUNCTION("""COMPUTED_VALUE"""),"PAOLA SIRANDONI POLITIS")</f>
        <v>PAOLA SIRANDONI POLITIS</v>
      </c>
      <c r="AK426" t="str">
        <f>IFERROR(__xludf.DUMMYFUNCTION("""COMPUTED_VALUE"""),"P")</f>
        <v>P</v>
      </c>
      <c r="AL426">
        <f>IFERROR(__xludf.DUMMYFUNCTION("""COMPUTED_VALUE"""),33.0)</f>
        <v>33</v>
      </c>
      <c r="AM426">
        <f>IFERROR(__xludf.DUMMYFUNCTION("""COMPUTED_VALUE"""),2016.0)</f>
        <v>2016</v>
      </c>
    </row>
    <row r="427">
      <c r="A427">
        <f>IFERROR(__xludf.DUMMYFUNCTION("""COMPUTED_VALUE"""),1.1299063E7)</f>
        <v>11299063</v>
      </c>
      <c r="B427">
        <f>IFERROR(__xludf.DUMMYFUNCTION("""COMPUTED_VALUE"""),84.0)</f>
        <v>84</v>
      </c>
      <c r="D427" t="str">
        <f>IFERROR(__xludf.DUMMYFUNCTION("""COMPUTED_VALUE"""),"INGRESAR CENTRO DE COSTO A LA DERECHA")</f>
        <v>INGRESAR CENTRO DE COSTO A LA DERECHA</v>
      </c>
      <c r="E427" t="str">
        <f>IFERROR(__xludf.DUMMYFUNCTION("""COMPUTED_VALUE"""),"UNIDAD DE GESTION DEL CAMPUS")</f>
        <v>UNIDAD DE GESTION DEL CAMPUS</v>
      </c>
      <c r="F427" t="str">
        <f>IFERROR(__xludf.DUMMYFUNCTION("""COMPUTED_VALUE"""),"Vigilante")</f>
        <v>Vigilante</v>
      </c>
      <c r="G427" t="str">
        <f>IFERROR(__xludf.DUMMYFUNCTION("""COMPUTED_VALUE"""),"VIGILANTE")</f>
        <v>VIGILANTE</v>
      </c>
      <c r="H427">
        <f>IFERROR(__xludf.DUMMYFUNCTION("""COMPUTED_VALUE"""),21.0)</f>
        <v>21</v>
      </c>
      <c r="I427" t="str">
        <f>IFERROR(__xludf.DUMMYFUNCTION("""COMPUTED_VALUE"""),"Jornada Completa")</f>
        <v>Jornada Completa</v>
      </c>
      <c r="J427" t="str">
        <f>IFERROR(__xludf.DUMMYFUNCTION("""COMPUTED_VALUE"""),"A CONTRATA")</f>
        <v>A CONTRATA</v>
      </c>
      <c r="K427" t="str">
        <f>IFERROR(__xludf.DUMMYFUNCTION("""COMPUTED_VALUE"""),"AUXILIAR")</f>
        <v>AUXILIAR</v>
      </c>
      <c r="L427" t="str">
        <f>IFERROR(__xludf.DUMMYFUNCTION("""COMPUTED_VALUE"""),"INTERNO")</f>
        <v>INTERNO</v>
      </c>
      <c r="M427">
        <f>IFERROR(__xludf.DUMMYFUNCTION("""COMPUTED_VALUE"""),0.0)</f>
        <v>0</v>
      </c>
      <c r="N427" t="str">
        <f>IFERROR(__xludf.DUMMYFUNCTION("""COMPUTED_VALUE"""),"EXTERNO")</f>
        <v>EXTERNO</v>
      </c>
      <c r="O427">
        <f>IFERROR(__xludf.DUMMYFUNCTION("""COMPUTED_VALUE"""),16.0)</f>
        <v>16</v>
      </c>
      <c r="P427">
        <f>IFERROR(__xludf.DUMMYFUNCTION("""COMPUTED_VALUE"""),1.0)</f>
        <v>1</v>
      </c>
      <c r="Q427">
        <f>IFERROR(__xludf.DUMMYFUNCTION("""COMPUTED_VALUE"""),2.0)</f>
        <v>2</v>
      </c>
      <c r="R427" s="45" t="str">
        <f>IFERROR(__xludf.DUMMYFUNCTION("""COMPUTED_VALUE"""),"SELECCIONADO")</f>
        <v>SELECCIONADO</v>
      </c>
      <c r="S427" s="38">
        <f>IFERROR(__xludf.DUMMYFUNCTION("""COMPUTED_VALUE"""),42654.0)</f>
        <v>42654</v>
      </c>
      <c r="U427" t="str">
        <f>IFERROR(__xludf.DUMMYFUNCTION("""COMPUTED_VALUE"""),"LUIS VARGAS SERRANO")</f>
        <v>LUIS VARGAS SERRANO</v>
      </c>
      <c r="V427" t="str">
        <f>IFERROR(__xludf.DUMMYFUNCTION("""COMPUTED_VALUE"""),"11299063-1")</f>
        <v>11299063-1</v>
      </c>
      <c r="W427" t="str">
        <f>IFERROR(__xludf.DUMMYFUNCTION("""COMPUTED_VALUE"""),"NO")</f>
        <v>NO</v>
      </c>
      <c r="AA427" s="38">
        <f>IFERROR(__xludf.DUMMYFUNCTION("""COMPUTED_VALUE"""),42558.0)</f>
        <v>42558</v>
      </c>
      <c r="AB427" s="38">
        <f>IFERROR(__xludf.DUMMYFUNCTION("""COMPUTED_VALUE"""),42572.0)</f>
        <v>42572</v>
      </c>
      <c r="AH427" t="str">
        <f>IFERROR(__xludf.DUMMYFUNCTION("""COMPUTED_VALUE"""),"PROCESO DE SELECCIÓN")</f>
        <v>PROCESO DE SELECCIÓN</v>
      </c>
      <c r="AI427" t="str">
        <f>IFERROR(__xludf.DUMMYFUNCTION("""COMPUTED_VALUE"""),"AUTORIZADO 2016")</f>
        <v>AUTORIZADO 2016</v>
      </c>
      <c r="AK427" t="str">
        <f>IFERROR(__xludf.DUMMYFUNCTION("""COMPUTED_VALUE"""),"E")</f>
        <v>E</v>
      </c>
      <c r="AL427">
        <f>IFERROR(__xludf.DUMMYFUNCTION("""COMPUTED_VALUE"""),59.0)</f>
        <v>59</v>
      </c>
      <c r="AM427">
        <f>IFERROR(__xludf.DUMMYFUNCTION("""COMPUTED_VALUE"""),2016.0)</f>
        <v>2016</v>
      </c>
    </row>
    <row r="428">
      <c r="A428">
        <f>IFERROR(__xludf.DUMMYFUNCTION("""COMPUTED_VALUE"""),1.5352848E7)</f>
        <v>15352848</v>
      </c>
      <c r="B428">
        <f>IFERROR(__xludf.DUMMYFUNCTION("""COMPUTED_VALUE"""),85.0)</f>
        <v>85</v>
      </c>
      <c r="D428" t="str">
        <f>IFERROR(__xludf.DUMMYFUNCTION("""COMPUTED_VALUE"""),"INGRESAR CENTRO DE COSTO A LA DERECHA")</f>
        <v>INGRESAR CENTRO DE COSTO A LA DERECHA</v>
      </c>
      <c r="E428" t="str">
        <f>IFERROR(__xludf.DUMMYFUNCTION("""COMPUTED_VALUE"""),"DPTO. DE INGENIERIA MECANICA")</f>
        <v>DPTO. DE INGENIERIA MECANICA</v>
      </c>
      <c r="F428" t="str">
        <f>IFERROR(__xludf.DUMMYFUNCTION("""COMPUTED_VALUE"""),"Estafeta")</f>
        <v>Estafeta</v>
      </c>
      <c r="G428" t="str">
        <f>IFERROR(__xludf.DUMMYFUNCTION("""COMPUTED_VALUE"""),"ESTAFETA")</f>
        <v>ESTAFETA</v>
      </c>
      <c r="H428">
        <f>IFERROR(__xludf.DUMMYFUNCTION("""COMPUTED_VALUE"""),23.0)</f>
        <v>23</v>
      </c>
      <c r="I428" t="str">
        <f>IFERROR(__xludf.DUMMYFUNCTION("""COMPUTED_VALUE"""),"Jornada Completa")</f>
        <v>Jornada Completa</v>
      </c>
      <c r="J428" t="str">
        <f>IFERROR(__xludf.DUMMYFUNCTION("""COMPUTED_VALUE"""),"A CONTRATA")</f>
        <v>A CONTRATA</v>
      </c>
      <c r="K428" t="str">
        <f>IFERROR(__xludf.DUMMYFUNCTION("""COMPUTED_VALUE"""),"AUXILIAR")</f>
        <v>AUXILIAR</v>
      </c>
      <c r="L428" t="str">
        <f>IFERROR(__xludf.DUMMYFUNCTION("""COMPUTED_VALUE"""),"INTERNO")</f>
        <v>INTERNO</v>
      </c>
      <c r="M428">
        <f>IFERROR(__xludf.DUMMYFUNCTION("""COMPUTED_VALUE"""),0.0)</f>
        <v>0</v>
      </c>
      <c r="N428" t="str">
        <f>IFERROR(__xludf.DUMMYFUNCTION("""COMPUTED_VALUE"""),"EXTERNO")</f>
        <v>EXTERNO</v>
      </c>
      <c r="O428">
        <f>IFERROR(__xludf.DUMMYFUNCTION("""COMPUTED_VALUE"""),10.0)</f>
        <v>10</v>
      </c>
      <c r="P428">
        <f>IFERROR(__xludf.DUMMYFUNCTION("""COMPUTED_VALUE"""),3.0)</f>
        <v>3</v>
      </c>
      <c r="Q428">
        <f>IFERROR(__xludf.DUMMYFUNCTION("""COMPUTED_VALUE"""),1.0)</f>
        <v>1</v>
      </c>
      <c r="R428" s="45" t="str">
        <f>IFERROR(__xludf.DUMMYFUNCTION("""COMPUTED_VALUE"""),"SELECCIONADO")</f>
        <v>SELECCIONADO</v>
      </c>
      <c r="S428" s="38">
        <f>IFERROR(__xludf.DUMMYFUNCTION("""COMPUTED_VALUE"""),42656.0)</f>
        <v>42656</v>
      </c>
      <c r="U428" t="str">
        <f>IFERROR(__xludf.DUMMYFUNCTION("""COMPUTED_VALUE"""),"GUSTAVO DONOSO DONOSO")</f>
        <v>GUSTAVO DONOSO DONOSO</v>
      </c>
      <c r="V428" t="str">
        <f>IFERROR(__xludf.DUMMYFUNCTION("""COMPUTED_VALUE"""),"15352848-9")</f>
        <v>15352848-9</v>
      </c>
      <c r="W428" t="str">
        <f>IFERROR(__xludf.DUMMYFUNCTION("""COMPUTED_VALUE"""),"NO")</f>
        <v>NO</v>
      </c>
      <c r="AA428" s="38">
        <f>IFERROR(__xludf.DUMMYFUNCTION("""COMPUTED_VALUE"""),42437.0)</f>
        <v>42437</v>
      </c>
      <c r="AB428" s="38">
        <f>IFERROR(__xludf.DUMMYFUNCTION("""COMPUTED_VALUE"""),42444.0)</f>
        <v>42444</v>
      </c>
      <c r="AH428" t="str">
        <f>IFERROR(__xludf.DUMMYFUNCTION("""COMPUTED_VALUE"""),"PROCESO DE SELECCIÓN")</f>
        <v>PROCESO DE SELECCIÓN</v>
      </c>
      <c r="AI428" t="str">
        <f>IFERROR(__xludf.DUMMYFUNCTION("""COMPUTED_VALUE"""),"JOSE CANCINO")</f>
        <v>JOSE CANCINO</v>
      </c>
      <c r="AK428" t="str">
        <f>IFERROR(__xludf.DUMMYFUNCTION("""COMPUTED_VALUE"""),"P")</f>
        <v>P</v>
      </c>
      <c r="AL428">
        <f>IFERROR(__xludf.DUMMYFUNCTION("""COMPUTED_VALUE"""),153.0)</f>
        <v>153</v>
      </c>
      <c r="AM428">
        <f>IFERROR(__xludf.DUMMYFUNCTION("""COMPUTED_VALUE"""),2016.0)</f>
        <v>2016</v>
      </c>
    </row>
    <row r="429">
      <c r="A429">
        <f>IFERROR(__xludf.DUMMYFUNCTION("""COMPUTED_VALUE"""),1.9385989E7)</f>
        <v>19385989</v>
      </c>
      <c r="B429">
        <f>IFERROR(__xludf.DUMMYFUNCTION("""COMPUTED_VALUE"""),86.0)</f>
        <v>86</v>
      </c>
      <c r="D429" t="str">
        <f>IFERROR(__xludf.DUMMYFUNCTION("""COMPUTED_VALUE"""),"INGRESAR CENTRO DE COSTO A LA DERECHA")</f>
        <v>INGRESAR CENTRO DE COSTO A LA DERECHA</v>
      </c>
      <c r="E429" t="str">
        <f>IFERROR(__xludf.DUMMYFUNCTION("""COMPUTED_VALUE"""),"UNIDAD DE BIBLIOTECAS")</f>
        <v>UNIDAD DE BIBLIOTECAS</v>
      </c>
      <c r="F429" t="str">
        <f>IFERROR(__xludf.DUMMYFUNCTION("""COMPUTED_VALUE"""),"Asistente de Biblioteca")</f>
        <v>Asistente de Biblioteca</v>
      </c>
      <c r="G429" t="str">
        <f>IFERROR(__xludf.DUMMYFUNCTION("""COMPUTED_VALUE"""),"ASISTENTE DE BIBLIOTECA")</f>
        <v>ASISTENTE DE BIBLIOTECA</v>
      </c>
      <c r="H429">
        <f>IFERROR(__xludf.DUMMYFUNCTION("""COMPUTED_VALUE"""),20.0)</f>
        <v>20</v>
      </c>
      <c r="I429" t="str">
        <f>IFERROR(__xludf.DUMMYFUNCTION("""COMPUTED_VALUE"""),"Jornada Completa")</f>
        <v>Jornada Completa</v>
      </c>
      <c r="J429" t="str">
        <f>IFERROR(__xludf.DUMMYFUNCTION("""COMPUTED_VALUE"""),"A CONTRATA")</f>
        <v>A CONTRATA</v>
      </c>
      <c r="K429" t="str">
        <f>IFERROR(__xludf.DUMMYFUNCTION("""COMPUTED_VALUE"""),"ADMINISTRATIVO")</f>
        <v>ADMINISTRATIVO</v>
      </c>
      <c r="L429" t="str">
        <f>IFERROR(__xludf.DUMMYFUNCTION("""COMPUTED_VALUE"""),"INTERNO")</f>
        <v>INTERNO</v>
      </c>
      <c r="M429">
        <f>IFERROR(__xludf.DUMMYFUNCTION("""COMPUTED_VALUE"""),0.0)</f>
        <v>0</v>
      </c>
      <c r="N429" t="str">
        <f>IFERROR(__xludf.DUMMYFUNCTION("""COMPUTED_VALUE"""),"EXTERNO")</f>
        <v>EXTERNO</v>
      </c>
      <c r="O429">
        <f>IFERROR(__xludf.DUMMYFUNCTION("""COMPUTED_VALUE"""),39.0)</f>
        <v>39</v>
      </c>
      <c r="P429">
        <f>IFERROR(__xludf.DUMMYFUNCTION("""COMPUTED_VALUE"""),2.0)</f>
        <v>2</v>
      </c>
      <c r="Q429">
        <f>IFERROR(__xludf.DUMMYFUNCTION("""COMPUTED_VALUE"""),4.0)</f>
        <v>4</v>
      </c>
      <c r="R429" s="45" t="str">
        <f>IFERROR(__xludf.DUMMYFUNCTION("""COMPUTED_VALUE"""),"SELECCIONADA")</f>
        <v>SELECCIONADA</v>
      </c>
      <c r="S429" s="38">
        <f>IFERROR(__xludf.DUMMYFUNCTION("""COMPUTED_VALUE"""),42668.0)</f>
        <v>42668</v>
      </c>
      <c r="U429" t="str">
        <f>IFERROR(__xludf.DUMMYFUNCTION("""COMPUTED_VALUE"""),"ROCIO ORTEGA ARAYA")</f>
        <v>ROCIO ORTEGA ARAYA</v>
      </c>
      <c r="V429" t="str">
        <f>IFERROR(__xludf.DUMMYFUNCTION("""COMPUTED_VALUE"""),"19385989-5")</f>
        <v>19385989-5</v>
      </c>
      <c r="W429" t="str">
        <f>IFERROR(__xludf.DUMMYFUNCTION("""COMPUTED_VALUE"""),"NO")</f>
        <v>NO</v>
      </c>
      <c r="AA429" s="38">
        <f>IFERROR(__xludf.DUMMYFUNCTION("""COMPUTED_VALUE"""),42648.0)</f>
        <v>42648</v>
      </c>
      <c r="AB429" s="38">
        <f>IFERROR(__xludf.DUMMYFUNCTION("""COMPUTED_VALUE"""),42655.0)</f>
        <v>42655</v>
      </c>
      <c r="AH429" t="str">
        <f>IFERROR(__xludf.DUMMYFUNCTION("""COMPUTED_VALUE"""),"PROCESO DE SELECCIÓN")</f>
        <v>PROCESO DE SELECCIÓN</v>
      </c>
      <c r="AI429" t="str">
        <f>IFERROR(__xludf.DUMMYFUNCTION("""COMPUTED_VALUE"""),"HILDA VERA GONZALEZ")</f>
        <v>HILDA VERA GONZALEZ</v>
      </c>
      <c r="AK429" t="str">
        <f>IFERROR(__xludf.DUMMYFUNCTION("""COMPUTED_VALUE"""),"P")</f>
        <v>P</v>
      </c>
      <c r="AL429">
        <f>IFERROR(__xludf.DUMMYFUNCTION("""COMPUTED_VALUE"""),10.0)</f>
        <v>10</v>
      </c>
      <c r="AM429">
        <f>IFERROR(__xludf.DUMMYFUNCTION("""COMPUTED_VALUE"""),2016.0)</f>
        <v>2016</v>
      </c>
    </row>
    <row r="430">
      <c r="A430">
        <f>IFERROR(__xludf.DUMMYFUNCTION("""COMPUTED_VALUE"""),1.3938161E7)</f>
        <v>13938161</v>
      </c>
      <c r="B430">
        <f>IFERROR(__xludf.DUMMYFUNCTION("""COMPUTED_VALUE"""),87.0)</f>
        <v>87</v>
      </c>
      <c r="D430" t="str">
        <f>IFERROR(__xludf.DUMMYFUNCTION("""COMPUTED_VALUE"""),"INGRESAR CENTRO DE COSTO A LA DERECHA")</f>
        <v>INGRESAR CENTRO DE COSTO A LA DERECHA</v>
      </c>
      <c r="E430" t="str">
        <f>IFERROR(__xludf.DUMMYFUNCTION("""COMPUTED_VALUE"""),"FACULTAD DE ADMINIST Y ECONOMI")</f>
        <v>FACULTAD DE ADMINIST Y ECONOMI</v>
      </c>
      <c r="F430" t="str">
        <f>IFERROR(__xludf.DUMMYFUNCTION("""COMPUTED_VALUE"""),"Bibliotecario(a)")</f>
        <v>Bibliotecario(a)</v>
      </c>
      <c r="G430" t="str">
        <f>IFERROR(__xludf.DUMMYFUNCTION("""COMPUTED_VALUE"""),"BIBLIOTECARIO")</f>
        <v>BIBLIOTECARIO</v>
      </c>
      <c r="H430">
        <f>IFERROR(__xludf.DUMMYFUNCTION("""COMPUTED_VALUE"""),14.0)</f>
        <v>14</v>
      </c>
      <c r="I430" t="str">
        <f>IFERROR(__xludf.DUMMYFUNCTION("""COMPUTED_VALUE"""),"Jornada Completa")</f>
        <v>Jornada Completa</v>
      </c>
      <c r="J430" t="str">
        <f>IFERROR(__xludf.DUMMYFUNCTION("""COMPUTED_VALUE"""),"A CONTRATA")</f>
        <v>A CONTRATA</v>
      </c>
      <c r="K430" t="str">
        <f>IFERROR(__xludf.DUMMYFUNCTION("""COMPUTED_VALUE"""),"PROFESIONAL")</f>
        <v>PROFESIONAL</v>
      </c>
      <c r="L430" t="str">
        <f>IFERROR(__xludf.DUMMYFUNCTION("""COMPUTED_VALUE"""),"INTERNO")</f>
        <v>INTERNO</v>
      </c>
      <c r="M430">
        <f>IFERROR(__xludf.DUMMYFUNCTION("""COMPUTED_VALUE"""),1.0)</f>
        <v>1</v>
      </c>
      <c r="N430" t="str">
        <f>IFERROR(__xludf.DUMMYFUNCTION("""COMPUTED_VALUE"""),"NO")</f>
        <v>NO</v>
      </c>
      <c r="O430">
        <f>IFERROR(__xludf.DUMMYFUNCTION("""COMPUTED_VALUE"""),0.0)</f>
        <v>0</v>
      </c>
      <c r="P430">
        <f>IFERROR(__xludf.DUMMYFUNCTION("""COMPUTED_VALUE"""),1.0)</f>
        <v>1</v>
      </c>
      <c r="Q430">
        <f>IFERROR(__xludf.DUMMYFUNCTION("""COMPUTED_VALUE"""),0.0)</f>
        <v>0</v>
      </c>
      <c r="R430" s="45" t="str">
        <f>IFERROR(__xludf.DUMMYFUNCTION("""COMPUTED_VALUE"""),"SELECCIONADA")</f>
        <v>SELECCIONADA</v>
      </c>
      <c r="S430" s="38">
        <f>IFERROR(__xludf.DUMMYFUNCTION("""COMPUTED_VALUE"""),42646.0)</f>
        <v>42646</v>
      </c>
      <c r="T430" t="str">
        <f>IFERROR(__xludf.DUMMYFUNCTION("""COMPUTED_VALUE"""),"FLORES FERNANDEZ CHERIE BERTA")</f>
        <v>FLORES FERNANDEZ CHERIE BERTA</v>
      </c>
      <c r="V430" t="str">
        <f>IFERROR(__xludf.DUMMYFUNCTION("""COMPUTED_VALUE"""),"13938161-0")</f>
        <v>13938161-0</v>
      </c>
      <c r="W430" t="str">
        <f>IFERROR(__xludf.DUMMYFUNCTION("""COMPUTED_VALUE"""),"NO")</f>
        <v>NO</v>
      </c>
      <c r="AA430" s="38">
        <f>IFERROR(__xludf.DUMMYFUNCTION("""COMPUTED_VALUE"""),42492.0)</f>
        <v>42492</v>
      </c>
      <c r="AB430" s="38">
        <f>IFERROR(__xludf.DUMMYFUNCTION("""COMPUTED_VALUE"""),42495.0)</f>
        <v>42495</v>
      </c>
      <c r="AH430" t="str">
        <f>IFERROR(__xludf.DUMMYFUNCTION("""COMPUTED_VALUE"""),"PROCESO DE SELECCIÓN")</f>
        <v>PROCESO DE SELECCIÓN</v>
      </c>
      <c r="AI430" t="str">
        <f>IFERROR(__xludf.DUMMYFUNCTION("""COMPUTED_VALUE"""),"MARCELA ZABALA")</f>
        <v>MARCELA ZABALA</v>
      </c>
      <c r="AK430" t="str">
        <f>IFERROR(__xludf.DUMMYFUNCTION("""COMPUTED_VALUE"""),"P")</f>
        <v>P</v>
      </c>
      <c r="AL430">
        <f>IFERROR(__xludf.DUMMYFUNCTION("""COMPUTED_VALUE"""),108.0)</f>
        <v>108</v>
      </c>
      <c r="AM430">
        <f>IFERROR(__xludf.DUMMYFUNCTION("""COMPUTED_VALUE"""),2016.0)</f>
        <v>2016</v>
      </c>
    </row>
    <row r="431">
      <c r="A431">
        <f>IFERROR(__xludf.DUMMYFUNCTION("""COMPUTED_VALUE"""),8039104.0)</f>
        <v>8039104</v>
      </c>
      <c r="B431">
        <f>IFERROR(__xludf.DUMMYFUNCTION("""COMPUTED_VALUE"""),88.0)</f>
        <v>88</v>
      </c>
      <c r="D431" t="str">
        <f>IFERROR(__xludf.DUMMYFUNCTION("""COMPUTED_VALUE"""),"INGRESAR CENTRO DE COSTO A LA DERECHA")</f>
        <v>INGRESAR CENTRO DE COSTO A LA DERECHA</v>
      </c>
      <c r="E431" t="str">
        <f>IFERROR(__xludf.DUMMYFUNCTION("""COMPUTED_VALUE"""),"PROGRAMA BACHILLERATO")</f>
        <v>PROGRAMA BACHILLERATO</v>
      </c>
      <c r="F431" t="str">
        <f>IFERROR(__xludf.DUMMYFUNCTION("""COMPUTED_VALUE"""),"Administrativo(a) de Registro Curricular")</f>
        <v>Administrativo(a) de Registro Curricular</v>
      </c>
      <c r="G431" t="str">
        <f>IFERROR(__xludf.DUMMYFUNCTION("""COMPUTED_VALUE"""),"ADMINIST REGISTRO CURRICULAR")</f>
        <v>ADMINIST REGISTRO CURRICULAR</v>
      </c>
      <c r="H431">
        <f>IFERROR(__xludf.DUMMYFUNCTION("""COMPUTED_VALUE"""),17.0)</f>
        <v>17</v>
      </c>
      <c r="I431" t="str">
        <f>IFERROR(__xludf.DUMMYFUNCTION("""COMPUTED_VALUE"""),"Jornada Completa")</f>
        <v>Jornada Completa</v>
      </c>
      <c r="J431" t="str">
        <f>IFERROR(__xludf.DUMMYFUNCTION("""COMPUTED_VALUE"""),"A CONTRATA")</f>
        <v>A CONTRATA</v>
      </c>
      <c r="K431" t="str">
        <f>IFERROR(__xludf.DUMMYFUNCTION("""COMPUTED_VALUE"""),"ADMINISTRATIVO")</f>
        <v>ADMINISTRATIVO</v>
      </c>
      <c r="L431" t="str">
        <f>IFERROR(__xludf.DUMMYFUNCTION("""COMPUTED_VALUE"""),"INTERNO")</f>
        <v>INTERNO</v>
      </c>
      <c r="M431">
        <f>IFERROR(__xludf.DUMMYFUNCTION("""COMPUTED_VALUE"""),1.0)</f>
        <v>1</v>
      </c>
      <c r="N431" t="str">
        <f>IFERROR(__xludf.DUMMYFUNCTION("""COMPUTED_VALUE"""),"NO")</f>
        <v>NO</v>
      </c>
      <c r="O431">
        <f>IFERROR(__xludf.DUMMYFUNCTION("""COMPUTED_VALUE"""),0.0)</f>
        <v>0</v>
      </c>
      <c r="P431">
        <f>IFERROR(__xludf.DUMMYFUNCTION("""COMPUTED_VALUE"""),1.0)</f>
        <v>1</v>
      </c>
      <c r="Q431">
        <f>IFERROR(__xludf.DUMMYFUNCTION("""COMPUTED_VALUE"""),0.0)</f>
        <v>0</v>
      </c>
      <c r="R431" s="45" t="str">
        <f>IFERROR(__xludf.DUMMYFUNCTION("""COMPUTED_VALUE"""),"SELECCIONADA")</f>
        <v>SELECCIONADA</v>
      </c>
      <c r="S431" s="38">
        <f>IFERROR(__xludf.DUMMYFUNCTION("""COMPUTED_VALUE"""),42594.0)</f>
        <v>42594</v>
      </c>
      <c r="T431" t="str">
        <f>IFERROR(__xludf.DUMMYFUNCTION("""COMPUTED_VALUE"""),"SIRANDONI POLITIS PAOLA ALEJANDRA")</f>
        <v>SIRANDONI POLITIS PAOLA ALEJANDRA</v>
      </c>
      <c r="V431" t="str">
        <f>IFERROR(__xludf.DUMMYFUNCTION("""COMPUTED_VALUE"""),"8039104-8")</f>
        <v>8039104-8</v>
      </c>
      <c r="W431" t="str">
        <f>IFERROR(__xludf.DUMMYFUNCTION("""COMPUTED_VALUE"""),"SI")</f>
        <v>SI</v>
      </c>
      <c r="X431" t="str">
        <f>IFERROR(__xludf.DUMMYFUNCTION("""COMPUTED_VALUE"""),"TRABAJO EN EQUIPO")</f>
        <v>TRABAJO EN EQUIPO</v>
      </c>
      <c r="Y431" t="str">
        <f>IFERROR(__xludf.DUMMYFUNCTION("""COMPUTED_VALUE"""),"Preocupacion por el Orden y la Claridad")</f>
        <v>Preocupacion por el Orden y la Claridad</v>
      </c>
      <c r="Z431" t="str">
        <f>IFERROR(__xludf.DUMMYFUNCTION("""COMPUTED_VALUE"""),"ORIENTACION A LOS RESULTADOS")</f>
        <v>ORIENTACION A LOS RESULTADOS</v>
      </c>
      <c r="AA431" s="38">
        <f>IFERROR(__xludf.DUMMYFUNCTION("""COMPUTED_VALUE"""),42538.0)</f>
        <v>42538</v>
      </c>
      <c r="AB431" s="38">
        <f>IFERROR(__xludf.DUMMYFUNCTION("""COMPUTED_VALUE"""),42548.0)</f>
        <v>42548</v>
      </c>
      <c r="AH431" t="str">
        <f>IFERROR(__xludf.DUMMYFUNCTION("""COMPUTED_VALUE"""),"PROCESO DE SELECCIÓN")</f>
        <v>PROCESO DE SELECCIÓN</v>
      </c>
      <c r="AI431" t="str">
        <f>IFERROR(__xludf.DUMMYFUNCTION("""COMPUTED_VALUE"""),"NADIA PALMA CARCAMO")</f>
        <v>NADIA PALMA CARCAMO</v>
      </c>
      <c r="AK431" t="str">
        <f>IFERROR(__xludf.DUMMYFUNCTION("""COMPUTED_VALUE"""),"C")</f>
        <v>C</v>
      </c>
      <c r="AL431">
        <f>IFERROR(__xludf.DUMMYFUNCTION("""COMPUTED_VALUE"""),35.0)</f>
        <v>35</v>
      </c>
      <c r="AM431">
        <f>IFERROR(__xludf.DUMMYFUNCTION("""COMPUTED_VALUE"""),2016.0)</f>
        <v>2016</v>
      </c>
    </row>
    <row r="432">
      <c r="A432">
        <f>IFERROR(__xludf.DUMMYFUNCTION("""COMPUTED_VALUE"""),1.4179988E7)</f>
        <v>14179988</v>
      </c>
      <c r="B432">
        <f>IFERROR(__xludf.DUMMYFUNCTION("""COMPUTED_VALUE"""),89.0)</f>
        <v>89</v>
      </c>
      <c r="D432" t="str">
        <f>IFERROR(__xludf.DUMMYFUNCTION("""COMPUTED_VALUE"""),"INGRESAR CENTRO DE COSTO A LA DERECHA")</f>
        <v>INGRESAR CENTRO DE COSTO A LA DERECHA</v>
      </c>
      <c r="E432" t="str">
        <f>IFERROR(__xludf.DUMMYFUNCTION("""COMPUTED_VALUE"""),"UNIDAD DE BIBLIOTECAS")</f>
        <v>UNIDAD DE BIBLIOTECAS</v>
      </c>
      <c r="F432" t="str">
        <f>IFERROR(__xludf.DUMMYFUNCTION("""COMPUTED_VALUE"""),"Asistente de Biblioteca")</f>
        <v>Asistente de Biblioteca</v>
      </c>
      <c r="G432" t="str">
        <f>IFERROR(__xludf.DUMMYFUNCTION("""COMPUTED_VALUE"""),"ASISTENTE DE BIBLIOTECA")</f>
        <v>ASISTENTE DE BIBLIOTECA</v>
      </c>
      <c r="H432">
        <f>IFERROR(__xludf.DUMMYFUNCTION("""COMPUTED_VALUE"""),20.0)</f>
        <v>20</v>
      </c>
      <c r="I432" t="str">
        <f>IFERROR(__xludf.DUMMYFUNCTION("""COMPUTED_VALUE"""),"Jornada Completa")</f>
        <v>Jornada Completa</v>
      </c>
      <c r="J432" t="str">
        <f>IFERROR(__xludf.DUMMYFUNCTION("""COMPUTED_VALUE"""),"A CONTRATA")</f>
        <v>A CONTRATA</v>
      </c>
      <c r="K432" t="str">
        <f>IFERROR(__xludf.DUMMYFUNCTION("""COMPUTED_VALUE"""),"ADMINISTRATIVO")</f>
        <v>ADMINISTRATIVO</v>
      </c>
      <c r="L432" t="str">
        <f>IFERROR(__xludf.DUMMYFUNCTION("""COMPUTED_VALUE"""),"INTERNO")</f>
        <v>INTERNO</v>
      </c>
      <c r="M432">
        <f>IFERROR(__xludf.DUMMYFUNCTION("""COMPUTED_VALUE"""),1.0)</f>
        <v>1</v>
      </c>
      <c r="N432" t="str">
        <f>IFERROR(__xludf.DUMMYFUNCTION("""COMPUTED_VALUE"""),"NO")</f>
        <v>NO</v>
      </c>
      <c r="O432">
        <f>IFERROR(__xludf.DUMMYFUNCTION("""COMPUTED_VALUE"""),0.0)</f>
        <v>0</v>
      </c>
      <c r="P432">
        <f>IFERROR(__xludf.DUMMYFUNCTION("""COMPUTED_VALUE"""),1.0)</f>
        <v>1</v>
      </c>
      <c r="Q432">
        <f>IFERROR(__xludf.DUMMYFUNCTION("""COMPUTED_VALUE"""),0.0)</f>
        <v>0</v>
      </c>
      <c r="R432" s="45" t="str">
        <f>IFERROR(__xludf.DUMMYFUNCTION("""COMPUTED_VALUE"""),"SELECCIONADO")</f>
        <v>SELECCIONADO</v>
      </c>
      <c r="S432" s="38">
        <f>IFERROR(__xludf.DUMMYFUNCTION("""COMPUTED_VALUE"""),42705.0)</f>
        <v>42705</v>
      </c>
      <c r="T432" t="str">
        <f>IFERROR(__xludf.DUMMYFUNCTION("""COMPUTED_VALUE"""),"MARTINEZ HERRERA CARLOS MANUEL")</f>
        <v>MARTINEZ HERRERA CARLOS MANUEL</v>
      </c>
      <c r="V432" t="str">
        <f>IFERROR(__xludf.DUMMYFUNCTION("""COMPUTED_VALUE"""),"14179988-0")</f>
        <v>14179988-0</v>
      </c>
      <c r="W432" t="str">
        <f>IFERROR(__xludf.DUMMYFUNCTION("""COMPUTED_VALUE"""),"SI")</f>
        <v>SI</v>
      </c>
      <c r="X432" t="str">
        <f>IFERROR(__xludf.DUMMYFUNCTION("""COMPUTED_VALUE"""),"COMUNICACION")</f>
        <v>COMUNICACION</v>
      </c>
      <c r="AA432" s="38">
        <f>IFERROR(__xludf.DUMMYFUNCTION("""COMPUTED_VALUE"""),42667.0)</f>
        <v>42667</v>
      </c>
      <c r="AB432" s="38">
        <f>IFERROR(__xludf.DUMMYFUNCTION("""COMPUTED_VALUE"""),42674.0)</f>
        <v>42674</v>
      </c>
      <c r="AH432" t="str">
        <f>IFERROR(__xludf.DUMMYFUNCTION("""COMPUTED_VALUE"""),"PROCESO DE SELECCIÓN")</f>
        <v>PROCESO DE SELECCIÓN</v>
      </c>
      <c r="AI432" t="str">
        <f>IFERROR(__xludf.DUMMYFUNCTION("""COMPUTED_VALUE"""),"RICARDO SANCHEZ NAVARRETE")</f>
        <v>RICARDO SANCHEZ NAVARRETE</v>
      </c>
      <c r="AK432" t="str">
        <f>IFERROR(__xludf.DUMMYFUNCTION("""COMPUTED_VALUE"""),"P")</f>
        <v>P</v>
      </c>
      <c r="AL432">
        <f>IFERROR(__xludf.DUMMYFUNCTION("""COMPUTED_VALUE"""),24.0)</f>
        <v>24</v>
      </c>
      <c r="AM432">
        <f>IFERROR(__xludf.DUMMYFUNCTION("""COMPUTED_VALUE"""),2016.0)</f>
        <v>2016</v>
      </c>
    </row>
    <row r="433">
      <c r="A433">
        <f>IFERROR(__xludf.DUMMYFUNCTION("""COMPUTED_VALUE"""),1.5139053E7)</f>
        <v>15139053</v>
      </c>
      <c r="B433">
        <f>IFERROR(__xludf.DUMMYFUNCTION("""COMPUTED_VALUE"""),90.0)</f>
        <v>90</v>
      </c>
      <c r="D433" t="str">
        <f>IFERROR(__xludf.DUMMYFUNCTION("""COMPUTED_VALUE"""),"15")</f>
        <v>15</v>
      </c>
      <c r="E433" t="str">
        <f>IFERROR(__xludf.DUMMYFUNCTION("""COMPUTED_VALUE"""),"UNIDAD DE REGISTRO ACADEMICO Y CURRICULAR")</f>
        <v>UNIDAD DE REGISTRO ACADEMICO Y CURRICULAR</v>
      </c>
      <c r="F433" t="str">
        <f>IFERROR(__xludf.DUMMYFUNCTION("""COMPUTED_VALUE"""),"Secretario(a) B")</f>
        <v>Secretario(a) B</v>
      </c>
      <c r="G433" t="str">
        <f>IFERROR(__xludf.DUMMYFUNCTION("""COMPUTED_VALUE"""),"SECRETARIA(O) DE UNIDAD")</f>
        <v>SECRETARIA(O) DE UNIDAD</v>
      </c>
      <c r="H433">
        <f>IFERROR(__xludf.DUMMYFUNCTION("""COMPUTED_VALUE"""),17.0)</f>
        <v>17</v>
      </c>
      <c r="I433" t="str">
        <f>IFERROR(__xludf.DUMMYFUNCTION("""COMPUTED_VALUE"""),"Jornada Completa")</f>
        <v>Jornada Completa</v>
      </c>
      <c r="J433" t="str">
        <f>IFERROR(__xludf.DUMMYFUNCTION("""COMPUTED_VALUE"""),"A CONTRATA")</f>
        <v>A CONTRATA</v>
      </c>
      <c r="K433" t="str">
        <f>IFERROR(__xludf.DUMMYFUNCTION("""COMPUTED_VALUE"""),"ADMINISTRATIVO")</f>
        <v>ADMINISTRATIVO</v>
      </c>
      <c r="L433" t="str">
        <f>IFERROR(__xludf.DUMMYFUNCTION("""COMPUTED_VALUE"""),"INTERNO")</f>
        <v>INTERNO</v>
      </c>
      <c r="M433">
        <f>IFERROR(__xludf.DUMMYFUNCTION("""COMPUTED_VALUE"""),1.0)</f>
        <v>1</v>
      </c>
      <c r="N433" t="str">
        <f>IFERROR(__xludf.DUMMYFUNCTION("""COMPUTED_VALUE"""),"EXTERNO")</f>
        <v>EXTERNO</v>
      </c>
      <c r="O433">
        <f>IFERROR(__xludf.DUMMYFUNCTION("""COMPUTED_VALUE"""),16.0)</f>
        <v>16</v>
      </c>
      <c r="P433">
        <f>IFERROR(__xludf.DUMMYFUNCTION("""COMPUTED_VALUE"""),1.0)</f>
        <v>1</v>
      </c>
      <c r="Q433">
        <f>IFERROR(__xludf.DUMMYFUNCTION("""COMPUTED_VALUE"""),1.0)</f>
        <v>1</v>
      </c>
      <c r="R433" s="45" t="str">
        <f>IFERROR(__xludf.DUMMYFUNCTION("""COMPUTED_VALUE"""),"SELECCIONADA")</f>
        <v>SELECCIONADA</v>
      </c>
      <c r="S433" s="38">
        <f>IFERROR(__xludf.DUMMYFUNCTION("""COMPUTED_VALUE"""),42705.0)</f>
        <v>42705</v>
      </c>
      <c r="U433" t="str">
        <f>IFERROR(__xludf.DUMMYFUNCTION("""COMPUTED_VALUE"""),"CECILIA CONTRERAS OYARZO")</f>
        <v>CECILIA CONTRERAS OYARZO</v>
      </c>
      <c r="V433" t="str">
        <f>IFERROR(__xludf.DUMMYFUNCTION("""COMPUTED_VALUE"""),"15139053-6")</f>
        <v>15139053-6</v>
      </c>
      <c r="W433" t="str">
        <f>IFERROR(__xludf.DUMMYFUNCTION("""COMPUTED_VALUE"""),"NO")</f>
        <v>NO</v>
      </c>
      <c r="AA433" s="38">
        <f>IFERROR(__xludf.DUMMYFUNCTION("""COMPUTED_VALUE"""),42648.0)</f>
        <v>42648</v>
      </c>
      <c r="AB433" s="38">
        <f>IFERROR(__xludf.DUMMYFUNCTION("""COMPUTED_VALUE"""),42655.0)</f>
        <v>42655</v>
      </c>
      <c r="AH433" t="str">
        <f>IFERROR(__xludf.DUMMYFUNCTION("""COMPUTED_VALUE"""),"PROCESO DE SELECCIÓN")</f>
        <v>PROCESO DE SELECCIÓN</v>
      </c>
      <c r="AI433" t="str">
        <f>IFERROR(__xludf.DUMMYFUNCTION("""COMPUTED_VALUE"""),"NANCY NORIN ANTILEO")</f>
        <v>NANCY NORIN ANTILEO</v>
      </c>
      <c r="AK433" t="str">
        <f>IFERROR(__xludf.DUMMYFUNCTION("""COMPUTED_VALUE"""),"E")</f>
        <v>E</v>
      </c>
      <c r="AL433">
        <f>IFERROR(__xludf.DUMMYFUNCTION("""COMPUTED_VALUE"""),37.0)</f>
        <v>37</v>
      </c>
      <c r="AM433">
        <f>IFERROR(__xludf.DUMMYFUNCTION("""COMPUTED_VALUE"""),2016.0)</f>
        <v>2016</v>
      </c>
    </row>
    <row r="434">
      <c r="A434">
        <f>IFERROR(__xludf.DUMMYFUNCTION("""COMPUTED_VALUE"""),1.5365361E7)</f>
        <v>15365361</v>
      </c>
      <c r="B434">
        <f>IFERROR(__xludf.DUMMYFUNCTION("""COMPUTED_VALUE"""),91.0)</f>
        <v>91</v>
      </c>
      <c r="D434" t="str">
        <f>IFERROR(__xludf.DUMMYFUNCTION("""COMPUTED_VALUE"""),"INGRESAR CENTRO DE COSTO A LA DERECHA")</f>
        <v>INGRESAR CENTRO DE COSTO A LA DERECHA</v>
      </c>
      <c r="E434" t="str">
        <f>IFERROR(__xludf.DUMMYFUNCTION("""COMPUTED_VALUE"""),"DPTO. DE INVEST. CIENTIFICA")</f>
        <v>DPTO. DE INVEST. CIENTIFICA</v>
      </c>
      <c r="F434" t="str">
        <f>IFERROR(__xludf.DUMMYFUNCTION("""COMPUTED_VALUE"""),"Secretario(a) B")</f>
        <v>Secretario(a) B</v>
      </c>
      <c r="G434" t="str">
        <f>IFERROR(__xludf.DUMMYFUNCTION("""COMPUTED_VALUE"""),"SECRETARIA(O) DE DIRECCION")</f>
        <v>SECRETARIA(O) DE DIRECCION</v>
      </c>
      <c r="H434">
        <f>IFERROR(__xludf.DUMMYFUNCTION("""COMPUTED_VALUE"""),17.0)</f>
        <v>17</v>
      </c>
      <c r="I434" t="str">
        <f>IFERROR(__xludf.DUMMYFUNCTION("""COMPUTED_VALUE"""),"Jornada Completa")</f>
        <v>Jornada Completa</v>
      </c>
      <c r="J434" t="str">
        <f>IFERROR(__xludf.DUMMYFUNCTION("""COMPUTED_VALUE"""),"A CONTRATA")</f>
        <v>A CONTRATA</v>
      </c>
      <c r="K434" t="str">
        <f>IFERROR(__xludf.DUMMYFUNCTION("""COMPUTED_VALUE"""),"ADMINISTRATIVO")</f>
        <v>ADMINISTRATIVO</v>
      </c>
      <c r="L434" t="str">
        <f>IFERROR(__xludf.DUMMYFUNCTION("""COMPUTED_VALUE"""),"INTERNO")</f>
        <v>INTERNO</v>
      </c>
      <c r="M434">
        <f>IFERROR(__xludf.DUMMYFUNCTION("""COMPUTED_VALUE"""),0.0)</f>
        <v>0</v>
      </c>
      <c r="N434" t="str">
        <f>IFERROR(__xludf.DUMMYFUNCTION("""COMPUTED_VALUE"""),"EXTERNO")</f>
        <v>EXTERNO</v>
      </c>
      <c r="O434">
        <f>IFERROR(__xludf.DUMMYFUNCTION("""COMPUTED_VALUE"""),15.0)</f>
        <v>15</v>
      </c>
      <c r="P434">
        <f>IFERROR(__xludf.DUMMYFUNCTION("""COMPUTED_VALUE"""),1.0)</f>
        <v>1</v>
      </c>
      <c r="Q434">
        <f>IFERROR(__xludf.DUMMYFUNCTION("""COMPUTED_VALUE"""),1.0)</f>
        <v>1</v>
      </c>
      <c r="R434" s="45" t="str">
        <f>IFERROR(__xludf.DUMMYFUNCTION("""COMPUTED_VALUE"""),"SELECCIONADA")</f>
        <v>SELECCIONADA</v>
      </c>
      <c r="S434" s="38">
        <f>IFERROR(__xludf.DUMMYFUNCTION("""COMPUTED_VALUE"""),42583.0)</f>
        <v>42583</v>
      </c>
      <c r="U434" t="str">
        <f>IFERROR(__xludf.DUMMYFUNCTION("""COMPUTED_VALUE"""),"ANGELA HERNANDEZ CATRILAO")</f>
        <v>ANGELA HERNANDEZ CATRILAO</v>
      </c>
      <c r="V434" t="str">
        <f>IFERROR(__xludf.DUMMYFUNCTION("""COMPUTED_VALUE"""),"15365361-5")</f>
        <v>15365361-5</v>
      </c>
      <c r="W434" t="str">
        <f>IFERROR(__xludf.DUMMYFUNCTION("""COMPUTED_VALUE"""),"SI")</f>
        <v>SI</v>
      </c>
      <c r="X434" t="str">
        <f>IFERROR(__xludf.DUMMYFUNCTION("""COMPUTED_VALUE"""),"Franqueza- Confiabilidad- Integridad")</f>
        <v>Franqueza- Confiabilidad- Integridad</v>
      </c>
      <c r="AA434" s="38">
        <f>IFERROR(__xludf.DUMMYFUNCTION("""COMPUTED_VALUE"""),42510.0)</f>
        <v>42510</v>
      </c>
      <c r="AB434" s="38">
        <f>IFERROR(__xludf.DUMMYFUNCTION("""COMPUTED_VALUE"""),42517.0)</f>
        <v>42517</v>
      </c>
      <c r="AH434" t="str">
        <f>IFERROR(__xludf.DUMMYFUNCTION("""COMPUTED_VALUE"""),"PROCESO DE SELECCIÓN")</f>
        <v>PROCESO DE SELECCIÓN</v>
      </c>
      <c r="AI434" t="str">
        <f>IFERROR(__xludf.DUMMYFUNCTION("""COMPUTED_VALUE"""),"AUTORIZADO 2016")</f>
        <v>AUTORIZADO 2016</v>
      </c>
      <c r="AK434" t="str">
        <f>IFERROR(__xludf.DUMMYFUNCTION("""COMPUTED_VALUE"""),"E")</f>
        <v>E</v>
      </c>
      <c r="AL434">
        <f>IFERROR(__xludf.DUMMYFUNCTION("""COMPUTED_VALUE"""),47.0)</f>
        <v>47</v>
      </c>
      <c r="AM434">
        <f>IFERROR(__xludf.DUMMYFUNCTION("""COMPUTED_VALUE"""),2016.0)</f>
        <v>2016</v>
      </c>
    </row>
    <row r="435">
      <c r="A435">
        <f>IFERROR(__xludf.DUMMYFUNCTION("""COMPUTED_VALUE"""),8451850.0)</f>
        <v>8451850</v>
      </c>
      <c r="B435">
        <f>IFERROR(__xludf.DUMMYFUNCTION("""COMPUTED_VALUE"""),92.0)</f>
        <v>92</v>
      </c>
      <c r="D435" t="str">
        <f>IFERROR(__xludf.DUMMYFUNCTION("""COMPUTED_VALUE"""),"INGRESAR CENTRO DE COSTO A LA DERECHA")</f>
        <v>INGRESAR CENTRO DE COSTO A LA DERECHA</v>
      </c>
      <c r="E435" t="str">
        <f>IFERROR(__xludf.DUMMYFUNCTION("""COMPUTED_VALUE"""),"DPTO. DE RECURSOS HUMANOS")</f>
        <v>DPTO. DE RECURSOS HUMANOS</v>
      </c>
      <c r="F435" t="str">
        <f>IFERROR(__xludf.DUMMYFUNCTION("""COMPUTED_VALUE"""),"Administrativo(a) de Proceso")</f>
        <v>Administrativo(a) de Proceso</v>
      </c>
      <c r="G435" t="str">
        <f>IFERROR(__xludf.DUMMYFUNCTION("""COMPUTED_VALUE"""),"ADMINISTRATIVO DE PROCESO REMUNERACIONES")</f>
        <v>ADMINISTRATIVO DE PROCESO REMUNERACIONES</v>
      </c>
      <c r="H435">
        <f>IFERROR(__xludf.DUMMYFUNCTION("""COMPUTED_VALUE"""),17.0)</f>
        <v>17</v>
      </c>
      <c r="I435" t="str">
        <f>IFERROR(__xludf.DUMMYFUNCTION("""COMPUTED_VALUE"""),"Jornada Completa")</f>
        <v>Jornada Completa</v>
      </c>
      <c r="J435" t="str">
        <f>IFERROR(__xludf.DUMMYFUNCTION("""COMPUTED_VALUE"""),"A CONTRATA")</f>
        <v>A CONTRATA</v>
      </c>
      <c r="K435" t="str">
        <f>IFERROR(__xludf.DUMMYFUNCTION("""COMPUTED_VALUE"""),"ADMINISTRATIVO")</f>
        <v>ADMINISTRATIVO</v>
      </c>
      <c r="L435" t="str">
        <f>IFERROR(__xludf.DUMMYFUNCTION("""COMPUTED_VALUE"""),"INTERNO")</f>
        <v>INTERNO</v>
      </c>
      <c r="M435">
        <f>IFERROR(__xludf.DUMMYFUNCTION("""COMPUTED_VALUE"""),1.0)</f>
        <v>1</v>
      </c>
      <c r="N435" t="str">
        <f>IFERROR(__xludf.DUMMYFUNCTION("""COMPUTED_VALUE"""),"EXTERNO")</f>
        <v>EXTERNO</v>
      </c>
      <c r="O435">
        <f>IFERROR(__xludf.DUMMYFUNCTION("""COMPUTED_VALUE"""),17.0)</f>
        <v>17</v>
      </c>
      <c r="P435">
        <f>IFERROR(__xludf.DUMMYFUNCTION("""COMPUTED_VALUE"""),2.0)</f>
        <v>2</v>
      </c>
      <c r="Q435">
        <f>IFERROR(__xludf.DUMMYFUNCTION("""COMPUTED_VALUE"""),1.0)</f>
        <v>1</v>
      </c>
      <c r="R435" s="45" t="str">
        <f>IFERROR(__xludf.DUMMYFUNCTION("""COMPUTED_VALUE"""),"SELECCIONADA")</f>
        <v>SELECCIONADA</v>
      </c>
      <c r="S435" s="38">
        <f>IFERROR(__xludf.DUMMYFUNCTION("""COMPUTED_VALUE"""),42706.0)</f>
        <v>42706</v>
      </c>
      <c r="U435" t="str">
        <f>IFERROR(__xludf.DUMMYFUNCTION("""COMPUTED_VALUE"""),"KATYA ORDENES GARAY")</f>
        <v>KATYA ORDENES GARAY</v>
      </c>
      <c r="V435" t="str">
        <f>IFERROR(__xludf.DUMMYFUNCTION("""COMPUTED_VALUE"""),"8451850-6")</f>
        <v>8451850-6</v>
      </c>
      <c r="W435" t="str">
        <f>IFERROR(__xludf.DUMMYFUNCTION("""COMPUTED_VALUE"""),"SI")</f>
        <v>SI</v>
      </c>
      <c r="X435" t="str">
        <f>IFERROR(__xludf.DUMMYFUNCTION("""COMPUTED_VALUE"""),"PREOCUPACION POR EL ORDEN Y LA CLARIDAD")</f>
        <v>PREOCUPACION POR EL ORDEN Y LA CLARIDAD</v>
      </c>
      <c r="AA435" s="38">
        <f>IFERROR(__xludf.DUMMYFUNCTION("""COMPUTED_VALUE"""),42634.0)</f>
        <v>42634</v>
      </c>
      <c r="AB435" s="38">
        <f>IFERROR(__xludf.DUMMYFUNCTION("""COMPUTED_VALUE"""),42641.0)</f>
        <v>42641</v>
      </c>
      <c r="AH435" t="str">
        <f>IFERROR(__xludf.DUMMYFUNCTION("""COMPUTED_VALUE"""),"PROCESO DE SELECCIÓN")</f>
        <v>PROCESO DE SELECCIÓN</v>
      </c>
      <c r="AI435" t="str">
        <f>IFERROR(__xludf.DUMMYFUNCTION("""COMPUTED_VALUE"""),"CARLOS TAIBA VALENZUELA")</f>
        <v>CARLOS TAIBA VALENZUELA</v>
      </c>
      <c r="AK435" t="str">
        <f>IFERROR(__xludf.DUMMYFUNCTION("""COMPUTED_VALUE"""),"E")</f>
        <v>E</v>
      </c>
      <c r="AL435">
        <f>IFERROR(__xludf.DUMMYFUNCTION("""COMPUTED_VALUE"""),48.0)</f>
        <v>48</v>
      </c>
      <c r="AM435">
        <f>IFERROR(__xludf.DUMMYFUNCTION("""COMPUTED_VALUE"""),2016.0)</f>
        <v>2016</v>
      </c>
    </row>
    <row r="436">
      <c r="A436">
        <f>IFERROR(__xludf.DUMMYFUNCTION("""COMPUTED_VALUE"""),1.6407416E7)</f>
        <v>16407416</v>
      </c>
      <c r="B436">
        <f>IFERROR(__xludf.DUMMYFUNCTION("""COMPUTED_VALUE"""),93.0)</f>
        <v>93</v>
      </c>
      <c r="D436" t="str">
        <f>IFERROR(__xludf.DUMMYFUNCTION("""COMPUTED_VALUE"""),"INGRESAR CENTRO DE COSTO A LA DERECHA")</f>
        <v>INGRESAR CENTRO DE COSTO A LA DERECHA</v>
      </c>
      <c r="E436" t="str">
        <f>IFERROR(__xludf.DUMMYFUNCTION("""COMPUTED_VALUE"""),"DPTO. DE COMUNICACIONES")</f>
        <v>DPTO. DE COMUNICACIONES</v>
      </c>
      <c r="F436" t="str">
        <f>IFERROR(__xludf.DUMMYFUNCTION("""COMPUTED_VALUE"""),"Asistente de Mantención")</f>
        <v>Asistente de Mantención</v>
      </c>
      <c r="G436" t="str">
        <f>IFERROR(__xludf.DUMMYFUNCTION("""COMPUTED_VALUE"""),"ASISTENTE DE MANTENCION")</f>
        <v>ASISTENTE DE MANTENCION</v>
      </c>
      <c r="H436">
        <f>IFERROR(__xludf.DUMMYFUNCTION("""COMPUTED_VALUE"""),20.0)</f>
        <v>20</v>
      </c>
      <c r="I436" t="str">
        <f>IFERROR(__xludf.DUMMYFUNCTION("""COMPUTED_VALUE"""),"Jornada Completa")</f>
        <v>Jornada Completa</v>
      </c>
      <c r="J436" t="str">
        <f>IFERROR(__xludf.DUMMYFUNCTION("""COMPUTED_VALUE"""),"A CONTRATA")</f>
        <v>A CONTRATA</v>
      </c>
      <c r="K436" t="str">
        <f>IFERROR(__xludf.DUMMYFUNCTION("""COMPUTED_VALUE"""),"TECNICO")</f>
        <v>TECNICO</v>
      </c>
      <c r="L436" t="str">
        <f>IFERROR(__xludf.DUMMYFUNCTION("""COMPUTED_VALUE"""),"INTERNO")</f>
        <v>INTERNO</v>
      </c>
      <c r="M436">
        <f>IFERROR(__xludf.DUMMYFUNCTION("""COMPUTED_VALUE"""),0.0)</f>
        <v>0</v>
      </c>
      <c r="N436" t="str">
        <f>IFERROR(__xludf.DUMMYFUNCTION("""COMPUTED_VALUE"""),"EXTERNO")</f>
        <v>EXTERNO</v>
      </c>
      <c r="O436">
        <f>IFERROR(__xludf.DUMMYFUNCTION("""COMPUTED_VALUE"""),3.0)</f>
        <v>3</v>
      </c>
      <c r="P436">
        <f>IFERROR(__xludf.DUMMYFUNCTION("""COMPUTED_VALUE"""),1.0)</f>
        <v>1</v>
      </c>
      <c r="Q436">
        <f>IFERROR(__xludf.DUMMYFUNCTION("""COMPUTED_VALUE"""),1.0)</f>
        <v>1</v>
      </c>
      <c r="R436" s="45" t="str">
        <f>IFERROR(__xludf.DUMMYFUNCTION("""COMPUTED_VALUE"""),"SELECCIONADO")</f>
        <v>SELECCIONADO</v>
      </c>
      <c r="S436" s="38">
        <f>IFERROR(__xludf.DUMMYFUNCTION("""COMPUTED_VALUE"""),42705.0)</f>
        <v>42705</v>
      </c>
      <c r="U436" t="str">
        <f>IFERROR(__xludf.DUMMYFUNCTION("""COMPUTED_VALUE"""),"JOSE ALVAREZ CAVIERES")</f>
        <v>JOSE ALVAREZ CAVIERES</v>
      </c>
      <c r="V436" t="str">
        <f>IFERROR(__xludf.DUMMYFUNCTION("""COMPUTED_VALUE"""),"16407416-1")</f>
        <v>16407416-1</v>
      </c>
      <c r="W436" t="str">
        <f>IFERROR(__xludf.DUMMYFUNCTION("""COMPUTED_VALUE"""),"NO")</f>
        <v>NO</v>
      </c>
      <c r="AA436" s="38">
        <f>IFERROR(__xludf.DUMMYFUNCTION("""COMPUTED_VALUE"""),42634.0)</f>
        <v>42634</v>
      </c>
      <c r="AB436" s="38">
        <f>IFERROR(__xludf.DUMMYFUNCTION("""COMPUTED_VALUE"""),42641.0)</f>
        <v>42641</v>
      </c>
      <c r="AH436" t="str">
        <f>IFERROR(__xludf.DUMMYFUNCTION("""COMPUTED_VALUE"""),"PROCESO DE SELECCIÓN")</f>
        <v>PROCESO DE SELECCIÓN</v>
      </c>
      <c r="AI436" t="str">
        <f>IFERROR(__xludf.DUMMYFUNCTION("""COMPUTED_VALUE"""),"CARLOS ARAOS MURAT")</f>
        <v>CARLOS ARAOS MURAT</v>
      </c>
      <c r="AK436" t="str">
        <f>IFERROR(__xludf.DUMMYFUNCTION("""COMPUTED_VALUE"""),"P")</f>
        <v>P</v>
      </c>
      <c r="AL436">
        <f>IFERROR(__xludf.DUMMYFUNCTION("""COMPUTED_VALUE"""),47.0)</f>
        <v>47</v>
      </c>
      <c r="AM436">
        <f>IFERROR(__xludf.DUMMYFUNCTION("""COMPUTED_VALUE"""),2016.0)</f>
        <v>2016</v>
      </c>
    </row>
    <row r="437">
      <c r="A437">
        <f>IFERROR(__xludf.DUMMYFUNCTION("""COMPUTED_VALUE"""),1.639018E7)</f>
        <v>16390180</v>
      </c>
      <c r="B437">
        <f>IFERROR(__xludf.DUMMYFUNCTION("""COMPUTED_VALUE"""),94.0)</f>
        <v>94</v>
      </c>
      <c r="D437" t="str">
        <f>IFERROR(__xludf.DUMMYFUNCTION("""COMPUTED_VALUE"""),"INGRESAR CENTRO DE COSTO A LA DERECHA")</f>
        <v>INGRESAR CENTRO DE COSTO A LA DERECHA</v>
      </c>
      <c r="E437" t="str">
        <f>IFERROR(__xludf.DUMMYFUNCTION("""COMPUTED_VALUE"""),"FACULTAD DE DERECHO")</f>
        <v>FACULTAD DE DERECHO</v>
      </c>
      <c r="F437" t="str">
        <f>IFERROR(__xludf.DUMMYFUNCTION("""COMPUTED_VALUE"""),"Secretario(a) A")</f>
        <v>Secretario(a) A</v>
      </c>
      <c r="G437" t="str">
        <f>IFERROR(__xludf.DUMMYFUNCTION("""COMPUTED_VALUE"""),"SECRETARIA(O) DE DECANO")</f>
        <v>SECRETARIA(O) DE DECANO</v>
      </c>
      <c r="H437">
        <f>IFERROR(__xludf.DUMMYFUNCTION("""COMPUTED_VALUE"""),13.0)</f>
        <v>13</v>
      </c>
      <c r="I437" t="str">
        <f>IFERROR(__xludf.DUMMYFUNCTION("""COMPUTED_VALUE"""),"Jornada Completa")</f>
        <v>Jornada Completa</v>
      </c>
      <c r="J437" t="str">
        <f>IFERROR(__xludf.DUMMYFUNCTION("""COMPUTED_VALUE"""),"A CONTRATA")</f>
        <v>A CONTRATA</v>
      </c>
      <c r="K437" t="str">
        <f>IFERROR(__xludf.DUMMYFUNCTION("""COMPUTED_VALUE"""),"ADMINISTRATIVO")</f>
        <v>ADMINISTRATIVO</v>
      </c>
      <c r="L437" t="str">
        <f>IFERROR(__xludf.DUMMYFUNCTION("""COMPUTED_VALUE"""),"INTERNO")</f>
        <v>INTERNO</v>
      </c>
      <c r="M437">
        <f>IFERROR(__xludf.DUMMYFUNCTION("""COMPUTED_VALUE"""),10.0)</f>
        <v>10</v>
      </c>
      <c r="N437" t="str">
        <f>IFERROR(__xludf.DUMMYFUNCTION("""COMPUTED_VALUE"""),"NO")</f>
        <v>NO</v>
      </c>
      <c r="O437">
        <f>IFERROR(__xludf.DUMMYFUNCTION("""COMPUTED_VALUE"""),0.0)</f>
        <v>0</v>
      </c>
      <c r="P437">
        <f>IFERROR(__xludf.DUMMYFUNCTION("""COMPUTED_VALUE"""),2.0)</f>
        <v>2</v>
      </c>
      <c r="Q437">
        <f>IFERROR(__xludf.DUMMYFUNCTION("""COMPUTED_VALUE"""),1.0)</f>
        <v>1</v>
      </c>
      <c r="R437" s="45" t="str">
        <f>IFERROR(__xludf.DUMMYFUNCTION("""COMPUTED_VALUE"""),"SELECCIONADA")</f>
        <v>SELECCIONADA</v>
      </c>
      <c r="S437" s="38">
        <f>IFERROR(__xludf.DUMMYFUNCTION("""COMPUTED_VALUE"""),42719.0)</f>
        <v>42719</v>
      </c>
      <c r="T437" t="str">
        <f>IFERROR(__xludf.DUMMYFUNCTION("""COMPUTED_VALUE"""),"MUNOZ BARRERA KARINA ANDREA")</f>
        <v>MUNOZ BARRERA KARINA ANDREA</v>
      </c>
      <c r="V437" t="str">
        <f>IFERROR(__xludf.DUMMYFUNCTION("""COMPUTED_VALUE"""),"16390180-3")</f>
        <v>16390180-3</v>
      </c>
      <c r="W437" t="str">
        <f>IFERROR(__xludf.DUMMYFUNCTION("""COMPUTED_VALUE"""),"NO")</f>
        <v>NO</v>
      </c>
      <c r="AA437" s="38">
        <f>IFERROR(__xludf.DUMMYFUNCTION("""COMPUTED_VALUE"""),42662.0)</f>
        <v>42662</v>
      </c>
      <c r="AB437" s="38">
        <f>IFERROR(__xludf.DUMMYFUNCTION("""COMPUTED_VALUE"""),42669.0)</f>
        <v>42669</v>
      </c>
      <c r="AH437" t="str">
        <f>IFERROR(__xludf.DUMMYFUNCTION("""COMPUTED_VALUE"""),"PROCESO DE SELECCIÓN")</f>
        <v>PROCESO DE SELECCIÓN</v>
      </c>
      <c r="AI437" t="str">
        <f>IFERROR(__xludf.DUMMYFUNCTION("""COMPUTED_VALUE"""),"AUTORIZADO 2016")</f>
        <v>AUTORIZADO 2016</v>
      </c>
      <c r="AK437" t="str">
        <f>IFERROR(__xludf.DUMMYFUNCTION("""COMPUTED_VALUE"""),"P")</f>
        <v>P</v>
      </c>
      <c r="AL437">
        <f>IFERROR(__xludf.DUMMYFUNCTION("""COMPUTED_VALUE"""),37.0)</f>
        <v>37</v>
      </c>
      <c r="AM437">
        <f>IFERROR(__xludf.DUMMYFUNCTION("""COMPUTED_VALUE"""),2016.0)</f>
        <v>2016</v>
      </c>
    </row>
    <row r="438">
      <c r="A438">
        <f>IFERROR(__xludf.DUMMYFUNCTION("""COMPUTED_VALUE"""),1.7005536E7)</f>
        <v>17005536</v>
      </c>
      <c r="B438">
        <f>IFERROR(__xludf.DUMMYFUNCTION("""COMPUTED_VALUE"""),95.0)</f>
        <v>95</v>
      </c>
      <c r="D438" t="str">
        <f>IFERROR(__xludf.DUMMYFUNCTION("""COMPUTED_VALUE"""),"INGRESAR CENTRO DE COSTO A LA DERECHA")</f>
        <v>INGRESAR CENTRO DE COSTO A LA DERECHA</v>
      </c>
      <c r="E438" t="str">
        <f>IFERROR(__xludf.DUMMYFUNCTION("""COMPUTED_VALUE"""),"UNIDAD DE RADIO")</f>
        <v>UNIDAD DE RADIO</v>
      </c>
      <c r="F438" t="str">
        <f>IFERROR(__xludf.DUMMYFUNCTION("""COMPUTED_VALUE"""),"Estafeta")</f>
        <v>Estafeta</v>
      </c>
      <c r="G438" t="str">
        <f>IFERROR(__xludf.DUMMYFUNCTION("""COMPUTED_VALUE"""),"ESTAFETA")</f>
        <v>ESTAFETA</v>
      </c>
      <c r="H438">
        <f>IFERROR(__xludf.DUMMYFUNCTION("""COMPUTED_VALUE"""),23.0)</f>
        <v>23</v>
      </c>
      <c r="I438" t="str">
        <f>IFERROR(__xludf.DUMMYFUNCTION("""COMPUTED_VALUE"""),"Jornada Completa")</f>
        <v>Jornada Completa</v>
      </c>
      <c r="J438" t="str">
        <f>IFERROR(__xludf.DUMMYFUNCTION("""COMPUTED_VALUE"""),"A CONTRATA")</f>
        <v>A CONTRATA</v>
      </c>
      <c r="K438" t="str">
        <f>IFERROR(__xludf.DUMMYFUNCTION("""COMPUTED_VALUE"""),"AUXILIAR")</f>
        <v>AUXILIAR</v>
      </c>
      <c r="L438" t="str">
        <f>IFERROR(__xludf.DUMMYFUNCTION("""COMPUTED_VALUE"""),"INTERNO")</f>
        <v>INTERNO</v>
      </c>
      <c r="M438">
        <f>IFERROR(__xludf.DUMMYFUNCTION("""COMPUTED_VALUE"""),1.0)</f>
        <v>1</v>
      </c>
      <c r="N438" t="str">
        <f>IFERROR(__xludf.DUMMYFUNCTION("""COMPUTED_VALUE"""),"EXTERNO")</f>
        <v>EXTERNO</v>
      </c>
      <c r="O438">
        <f>IFERROR(__xludf.DUMMYFUNCTION("""COMPUTED_VALUE"""),13.0)</f>
        <v>13</v>
      </c>
      <c r="P438">
        <f>IFERROR(__xludf.DUMMYFUNCTION("""COMPUTED_VALUE"""),1.0)</f>
        <v>1</v>
      </c>
      <c r="Q438">
        <f>IFERROR(__xludf.DUMMYFUNCTION("""COMPUTED_VALUE"""),1.0)</f>
        <v>1</v>
      </c>
      <c r="R438" s="45" t="str">
        <f>IFERROR(__xludf.DUMMYFUNCTION("""COMPUTED_VALUE"""),"SELECCIONADO")</f>
        <v>SELECCIONADO</v>
      </c>
      <c r="S438" s="38">
        <f>IFERROR(__xludf.DUMMYFUNCTION("""COMPUTED_VALUE"""),42695.0)</f>
        <v>42695</v>
      </c>
      <c r="U438" t="str">
        <f>IFERROR(__xludf.DUMMYFUNCTION("""COMPUTED_VALUE"""),"ERIK SAEZ JIMENEZ")</f>
        <v>ERIK SAEZ JIMENEZ</v>
      </c>
      <c r="V438" t="str">
        <f>IFERROR(__xludf.DUMMYFUNCTION("""COMPUTED_VALUE"""),"17005536-5")</f>
        <v>17005536-5</v>
      </c>
      <c r="W438" t="str">
        <f>IFERROR(__xludf.DUMMYFUNCTION("""COMPUTED_VALUE"""),"SI")</f>
        <v>SI</v>
      </c>
      <c r="X438" t="str">
        <f>IFERROR(__xludf.DUMMYFUNCTION("""COMPUTED_VALUE"""),"COMUNICACION")</f>
        <v>COMUNICACION</v>
      </c>
      <c r="AA438" s="38">
        <f>IFERROR(__xludf.DUMMYFUNCTION("""COMPUTED_VALUE"""),42655.0)</f>
        <v>42655</v>
      </c>
      <c r="AB438" s="38">
        <f>IFERROR(__xludf.DUMMYFUNCTION("""COMPUTED_VALUE"""),42662.0)</f>
        <v>42662</v>
      </c>
      <c r="AH438" t="str">
        <f>IFERROR(__xludf.DUMMYFUNCTION("""COMPUTED_VALUE"""),"PROCESO DE SELECCIÓN")</f>
        <v>PROCESO DE SELECCIÓN</v>
      </c>
      <c r="AI438" t="str">
        <f>IFERROR(__xludf.DUMMYFUNCTION("""COMPUTED_VALUE"""),"LUIS NUÑEZ GALVEZ")</f>
        <v>LUIS NUÑEZ GALVEZ</v>
      </c>
      <c r="AK438" t="str">
        <f>IFERROR(__xludf.DUMMYFUNCTION("""COMPUTED_VALUE"""),"P")</f>
        <v>P</v>
      </c>
      <c r="AL438">
        <f>IFERROR(__xludf.DUMMYFUNCTION("""COMPUTED_VALUE"""),24.0)</f>
        <v>24</v>
      </c>
      <c r="AM438">
        <f>IFERROR(__xludf.DUMMYFUNCTION("""COMPUTED_VALUE"""),2016.0)</f>
        <v>2016</v>
      </c>
    </row>
    <row r="439">
      <c r="A439">
        <f>IFERROR(__xludf.DUMMYFUNCTION("""COMPUTED_VALUE"""),1.3636345E7)</f>
        <v>13636345</v>
      </c>
      <c r="B439">
        <f>IFERROR(__xludf.DUMMYFUNCTION("""COMPUTED_VALUE"""),96.0)</f>
        <v>96</v>
      </c>
      <c r="D439" t="str">
        <f>IFERROR(__xludf.DUMMYFUNCTION("""COMPUTED_VALUE"""),"INGRESAR CENTRO DE COSTO A LA DERECHA")</f>
        <v>INGRESAR CENTRO DE COSTO A LA DERECHA</v>
      </c>
      <c r="E439" t="str">
        <f>IFERROR(__xludf.DUMMYFUNCTION("""COMPUTED_VALUE"""),"CEUS LLANQUIHUE USACH")</f>
        <v>CEUS LLANQUIHUE USACH</v>
      </c>
      <c r="F439" t="str">
        <f>IFERROR(__xludf.DUMMYFUNCTION("""COMPUTED_VALUE"""),"Jefe(a) de Sección")</f>
        <v>Jefe(a) de Sección</v>
      </c>
      <c r="G439" t="str">
        <f>IFERROR(__xludf.DUMMYFUNCTION("""COMPUTED_VALUE"""),"ENCARGADO DE PROYECTOS")</f>
        <v>ENCARGADO DE PROYECTOS</v>
      </c>
      <c r="H439">
        <f>IFERROR(__xludf.DUMMYFUNCTION("""COMPUTED_VALUE"""),10.0)</f>
        <v>10</v>
      </c>
      <c r="I439" t="str">
        <f>IFERROR(__xludf.DUMMYFUNCTION("""COMPUTED_VALUE"""),"Jornada Completa")</f>
        <v>Jornada Completa</v>
      </c>
      <c r="J439" t="str">
        <f>IFERROR(__xludf.DUMMYFUNCTION("""COMPUTED_VALUE"""),"A CONTRATA")</f>
        <v>A CONTRATA</v>
      </c>
      <c r="K439" t="str">
        <f>IFERROR(__xludf.DUMMYFUNCTION("""COMPUTED_VALUE"""),"PROFESIONAL")</f>
        <v>PROFESIONAL</v>
      </c>
      <c r="L439" t="str">
        <f>IFERROR(__xludf.DUMMYFUNCTION("""COMPUTED_VALUE"""),"NO")</f>
        <v>NO</v>
      </c>
      <c r="M439">
        <f>IFERROR(__xludf.DUMMYFUNCTION("""COMPUTED_VALUE"""),0.0)</f>
        <v>0</v>
      </c>
      <c r="N439" t="str">
        <f>IFERROR(__xludf.DUMMYFUNCTION("""COMPUTED_VALUE"""),"EXTERNO")</f>
        <v>EXTERNO</v>
      </c>
      <c r="O439">
        <f>IFERROR(__xludf.DUMMYFUNCTION("""COMPUTED_VALUE"""),3.0)</f>
        <v>3</v>
      </c>
      <c r="P439">
        <f>IFERROR(__xludf.DUMMYFUNCTION("""COMPUTED_VALUE"""),3.0)</f>
        <v>3</v>
      </c>
      <c r="Q439">
        <f>IFERROR(__xludf.DUMMYFUNCTION("""COMPUTED_VALUE"""),1.0)</f>
        <v>1</v>
      </c>
      <c r="R439" s="45" t="str">
        <f>IFERROR(__xludf.DUMMYFUNCTION("""COMPUTED_VALUE"""),"SELECCIONADO")</f>
        <v>SELECCIONADO</v>
      </c>
      <c r="S439" s="38">
        <f>IFERROR(__xludf.DUMMYFUNCTION("""COMPUTED_VALUE"""),42522.0)</f>
        <v>42522</v>
      </c>
      <c r="U439" t="str">
        <f>IFERROR(__xludf.DUMMYFUNCTION("""COMPUTED_VALUE"""),"EDISON SERRANO GUTIERREZ")</f>
        <v>EDISON SERRANO GUTIERREZ</v>
      </c>
      <c r="V439" t="str">
        <f>IFERROR(__xludf.DUMMYFUNCTION("""COMPUTED_VALUE"""),"13636345-K")</f>
        <v>13636345-K</v>
      </c>
      <c r="W439" t="str">
        <f>IFERROR(__xludf.DUMMYFUNCTION("""COMPUTED_VALUE"""),"SI")</f>
        <v>SI</v>
      </c>
      <c r="X439" t="str">
        <f>IFERROR(__xludf.DUMMYFUNCTION("""COMPUTED_VALUE"""),"LIDERAZGO")</f>
        <v>LIDERAZGO</v>
      </c>
      <c r="AA439" s="38">
        <f>IFERROR(__xludf.DUMMYFUNCTION("""COMPUTED_VALUE"""),42459.0)</f>
        <v>42459</v>
      </c>
      <c r="AB439" s="38">
        <f>IFERROR(__xludf.DUMMYFUNCTION("""COMPUTED_VALUE"""),42466.0)</f>
        <v>42466</v>
      </c>
      <c r="AH439" t="str">
        <f>IFERROR(__xludf.DUMMYFUNCTION("""COMPUTED_VALUE"""),"PROCESO DE SELECCIÓN")</f>
        <v>PROCESO DE SELECCIÓN</v>
      </c>
      <c r="AI439" t="str">
        <f>IFERROR(__xludf.DUMMYFUNCTION("""COMPUTED_VALUE"""),"GUILLERMO SEGUEL LEAL")</f>
        <v>GUILLERMO SEGUEL LEAL</v>
      </c>
      <c r="AK439" t="str">
        <f>IFERROR(__xludf.DUMMYFUNCTION("""COMPUTED_VALUE"""),"E")</f>
        <v>E</v>
      </c>
      <c r="AL439">
        <f>IFERROR(__xludf.DUMMYFUNCTION("""COMPUTED_VALUE"""),41.0)</f>
        <v>41</v>
      </c>
      <c r="AM439">
        <f>IFERROR(__xludf.DUMMYFUNCTION("""COMPUTED_VALUE"""),2016.0)</f>
        <v>2016</v>
      </c>
    </row>
    <row r="440">
      <c r="A440">
        <f>IFERROR(__xludf.DUMMYFUNCTION("""COMPUTED_VALUE"""),1.1925652E7)</f>
        <v>11925652</v>
      </c>
      <c r="B440">
        <f>IFERROR(__xludf.DUMMYFUNCTION("""COMPUTED_VALUE"""),97.0)</f>
        <v>97</v>
      </c>
      <c r="D440" t="str">
        <f>IFERROR(__xludf.DUMMYFUNCTION("""COMPUTED_VALUE"""),"INGRESAR CENTRO DE COSTO A LA DERECHA")</f>
        <v>INGRESAR CENTRO DE COSTO A LA DERECHA</v>
      </c>
      <c r="E440" t="str">
        <f>IFERROR(__xludf.DUMMYFUNCTION("""COMPUTED_VALUE"""),"CEUS LLANQUIHUE USACH")</f>
        <v>CEUS LLANQUIHUE USACH</v>
      </c>
      <c r="F440" t="str">
        <f>IFERROR(__xludf.DUMMYFUNCTION("""COMPUTED_VALUE"""),"Secretario(a) A")</f>
        <v>Secretario(a) A</v>
      </c>
      <c r="G440" t="str">
        <f>IFERROR(__xludf.DUMMYFUNCTION("""COMPUTED_VALUE"""),"SECRETARIA (A) DE CENTRO")</f>
        <v>SECRETARIA (A) DE CENTRO</v>
      </c>
      <c r="H440">
        <f>IFERROR(__xludf.DUMMYFUNCTION("""COMPUTED_VALUE"""),17.0)</f>
        <v>17</v>
      </c>
      <c r="I440" t="str">
        <f>IFERROR(__xludf.DUMMYFUNCTION("""COMPUTED_VALUE"""),"Jornada Completa")</f>
        <v>Jornada Completa</v>
      </c>
      <c r="J440" t="str">
        <f>IFERROR(__xludf.DUMMYFUNCTION("""COMPUTED_VALUE"""),"A CONTRATA")</f>
        <v>A CONTRATA</v>
      </c>
      <c r="K440" t="str">
        <f>IFERROR(__xludf.DUMMYFUNCTION("""COMPUTED_VALUE"""),"ADMINISTRATIVO")</f>
        <v>ADMINISTRATIVO</v>
      </c>
      <c r="L440" t="str">
        <f>IFERROR(__xludf.DUMMYFUNCTION("""COMPUTED_VALUE"""),"NO")</f>
        <v>NO</v>
      </c>
      <c r="M440">
        <f>IFERROR(__xludf.DUMMYFUNCTION("""COMPUTED_VALUE"""),0.0)</f>
        <v>0</v>
      </c>
      <c r="N440" t="str">
        <f>IFERROR(__xludf.DUMMYFUNCTION("""COMPUTED_VALUE"""),"EXTERNO")</f>
        <v>EXTERNO</v>
      </c>
      <c r="O440">
        <f>IFERROR(__xludf.DUMMYFUNCTION("""COMPUTED_VALUE"""),1.0)</f>
        <v>1</v>
      </c>
      <c r="P440">
        <f>IFERROR(__xludf.DUMMYFUNCTION("""COMPUTED_VALUE"""),1.0)</f>
        <v>1</v>
      </c>
      <c r="Q440">
        <f>IFERROR(__xludf.DUMMYFUNCTION("""COMPUTED_VALUE"""),1.0)</f>
        <v>1</v>
      </c>
      <c r="R440" s="45" t="str">
        <f>IFERROR(__xludf.DUMMYFUNCTION("""COMPUTED_VALUE"""),"SELECCIONADA")</f>
        <v>SELECCIONADA</v>
      </c>
      <c r="S440" s="38">
        <f>IFERROR(__xludf.DUMMYFUNCTION("""COMPUTED_VALUE"""),42436.0)</f>
        <v>42436</v>
      </c>
      <c r="U440" t="str">
        <f>IFERROR(__xludf.DUMMYFUNCTION("""COMPUTED_VALUE"""),"VIVIANA MALDONADO ")</f>
        <v>VIVIANA MALDONADO </v>
      </c>
      <c r="V440" t="str">
        <f>IFERROR(__xludf.DUMMYFUNCTION("""COMPUTED_VALUE"""),"11925652-6")</f>
        <v>11925652-6</v>
      </c>
      <c r="W440" t="str">
        <f>IFERROR(__xludf.DUMMYFUNCTION("""COMPUTED_VALUE"""),"NO")</f>
        <v>NO</v>
      </c>
      <c r="AH440" t="str">
        <f>IFERROR(__xludf.DUMMYFUNCTION("""COMPUTED_VALUE"""),"CONTRATACIÓN DIRECTA")</f>
        <v>CONTRATACIÓN DIRECTA</v>
      </c>
      <c r="AI440" t="str">
        <f>IFERROR(__xludf.DUMMYFUNCTION("""COMPUTED_VALUE"""),"REINCORPORACIÓN / AUTORIZADO 2016")</f>
        <v>REINCORPORACIÓN / AUTORIZADO 2016</v>
      </c>
      <c r="AK440" t="str">
        <f>IFERROR(__xludf.DUMMYFUNCTION("""COMPUTED_VALUE"""),"E")</f>
        <v>E</v>
      </c>
      <c r="AM440">
        <f>IFERROR(__xludf.DUMMYFUNCTION("""COMPUTED_VALUE"""),2016.0)</f>
        <v>2016</v>
      </c>
    </row>
    <row r="441">
      <c r="A441">
        <f>IFERROR(__xludf.DUMMYFUNCTION("""COMPUTED_VALUE"""),1.5293811E7)</f>
        <v>15293811</v>
      </c>
      <c r="B441">
        <f>IFERROR(__xludf.DUMMYFUNCTION("""COMPUTED_VALUE"""),98.0)</f>
        <v>98</v>
      </c>
      <c r="D441" t="str">
        <f>IFERROR(__xludf.DUMMYFUNCTION("""COMPUTED_VALUE"""),"INGRESAR CENTRO DE COSTO A LA DERECHA")</f>
        <v>INGRESAR CENTRO DE COSTO A LA DERECHA</v>
      </c>
      <c r="E441" t="str">
        <f>IFERROR(__xludf.DUMMYFUNCTION("""COMPUTED_VALUE"""),"CEUS LLANQUIHUE USACH")</f>
        <v>CEUS LLANQUIHUE USACH</v>
      </c>
      <c r="F441" t="str">
        <f>IFERROR(__xludf.DUMMYFUNCTION("""COMPUTED_VALUE"""),"Encargado(a) de Laboratorio")</f>
        <v>Encargado(a) de Laboratorio</v>
      </c>
      <c r="G441" t="str">
        <f>IFERROR(__xludf.DUMMYFUNCTION("""COMPUTED_VALUE"""),"ENCARGADO DE LABORATORIO")</f>
        <v>ENCARGADO DE LABORATORIO</v>
      </c>
      <c r="H441">
        <f>IFERROR(__xludf.DUMMYFUNCTION("""COMPUTED_VALUE"""),13.0)</f>
        <v>13</v>
      </c>
      <c r="I441" t="str">
        <f>IFERROR(__xludf.DUMMYFUNCTION("""COMPUTED_VALUE"""),"Jornada Completa")</f>
        <v>Jornada Completa</v>
      </c>
      <c r="J441" t="str">
        <f>IFERROR(__xludf.DUMMYFUNCTION("""COMPUTED_VALUE"""),"A CONTRATA")</f>
        <v>A CONTRATA</v>
      </c>
      <c r="K441" t="str">
        <f>IFERROR(__xludf.DUMMYFUNCTION("""COMPUTED_VALUE"""),"PROFESIONAL")</f>
        <v>PROFESIONAL</v>
      </c>
      <c r="L441" t="str">
        <f>IFERROR(__xludf.DUMMYFUNCTION("""COMPUTED_VALUE"""),"NO")</f>
        <v>NO</v>
      </c>
      <c r="M441">
        <f>IFERROR(__xludf.DUMMYFUNCTION("""COMPUTED_VALUE"""),0.0)</f>
        <v>0</v>
      </c>
      <c r="N441" t="str">
        <f>IFERROR(__xludf.DUMMYFUNCTION("""COMPUTED_VALUE"""),"EXTERNO")</f>
        <v>EXTERNO</v>
      </c>
      <c r="O441">
        <f>IFERROR(__xludf.DUMMYFUNCTION("""COMPUTED_VALUE"""),3.0)</f>
        <v>3</v>
      </c>
      <c r="P441">
        <f>IFERROR(__xludf.DUMMYFUNCTION("""COMPUTED_VALUE"""),3.0)</f>
        <v>3</v>
      </c>
      <c r="Q441">
        <f>IFERROR(__xludf.DUMMYFUNCTION("""COMPUTED_VALUE"""),1.0)</f>
        <v>1</v>
      </c>
      <c r="R441" s="45" t="str">
        <f>IFERROR(__xludf.DUMMYFUNCTION("""COMPUTED_VALUE"""),"SELECCIONADA")</f>
        <v>SELECCIONADA</v>
      </c>
      <c r="S441" s="38">
        <f>IFERROR(__xludf.DUMMYFUNCTION("""COMPUTED_VALUE"""),42583.0)</f>
        <v>42583</v>
      </c>
      <c r="U441" t="str">
        <f>IFERROR(__xludf.DUMMYFUNCTION("""COMPUTED_VALUE"""),"MARIA BARRIENTOS ALVAREZ")</f>
        <v>MARIA BARRIENTOS ALVAREZ</v>
      </c>
      <c r="V441" t="str">
        <f>IFERROR(__xludf.DUMMYFUNCTION("""COMPUTED_VALUE"""),"15293811-K")</f>
        <v>15293811-K</v>
      </c>
      <c r="W441" t="str">
        <f>IFERROR(__xludf.DUMMYFUNCTION("""COMPUTED_VALUE"""),"NO")</f>
        <v>NO</v>
      </c>
      <c r="AA441" s="38">
        <f>IFERROR(__xludf.DUMMYFUNCTION("""COMPUTED_VALUE"""),42498.0)</f>
        <v>42498</v>
      </c>
      <c r="AB441" s="38">
        <f>IFERROR(__xludf.DUMMYFUNCTION("""COMPUTED_VALUE"""),42526.0)</f>
        <v>42526</v>
      </c>
      <c r="AH441" t="str">
        <f>IFERROR(__xludf.DUMMYFUNCTION("""COMPUTED_VALUE"""),"PROCESO DE SELECCIÓN")</f>
        <v>PROCESO DE SELECCIÓN</v>
      </c>
      <c r="AI441" t="str">
        <f>IFERROR(__xludf.DUMMYFUNCTION("""COMPUTED_VALUE"""),"FABIAN AGUILERA BARRAZA")</f>
        <v>FABIAN AGUILERA BARRAZA</v>
      </c>
      <c r="AK441" t="str">
        <f>IFERROR(__xludf.DUMMYFUNCTION("""COMPUTED_VALUE"""),"E")</f>
        <v>E</v>
      </c>
      <c r="AL441">
        <f>IFERROR(__xludf.DUMMYFUNCTION("""COMPUTED_VALUE"""),41.0)</f>
        <v>41</v>
      </c>
      <c r="AM441">
        <f>IFERROR(__xludf.DUMMYFUNCTION("""COMPUTED_VALUE"""),2016.0)</f>
        <v>2016</v>
      </c>
    </row>
    <row r="442">
      <c r="A442">
        <f>IFERROR(__xludf.DUMMYFUNCTION("""COMPUTED_VALUE"""),1.5566567E7)</f>
        <v>15566567</v>
      </c>
      <c r="B442">
        <f>IFERROR(__xludf.DUMMYFUNCTION("""COMPUTED_VALUE"""),99.0)</f>
        <v>99</v>
      </c>
      <c r="D442" t="str">
        <f>IFERROR(__xludf.DUMMYFUNCTION("""COMPUTED_VALUE"""),"INGRESAR CENTRO DE COSTO A LA DERECHA")</f>
        <v>INGRESAR CENTRO DE COSTO A LA DERECHA</v>
      </c>
      <c r="E442" t="str">
        <f>IFERROR(__xludf.DUMMYFUNCTION("""COMPUTED_VALUE"""),"VR. DE VINCULACION CON EL MEDIO")</f>
        <v>VR. DE VINCULACION CON EL MEDIO</v>
      </c>
      <c r="F442" t="str">
        <f>IFERROR(__xludf.DUMMYFUNCTION("""COMPUTED_VALUE"""),"Jefe(a) de Área")</f>
        <v>Jefe(a) de Área</v>
      </c>
      <c r="G442" t="str">
        <f>IFERROR(__xludf.DUMMYFUNCTION("""COMPUTED_VALUE"""),"JEFE DE AREA DE ARCHIVO PATRIMONIAL")</f>
        <v>JEFE DE AREA DE ARCHIVO PATRIMONIAL</v>
      </c>
      <c r="H442">
        <f>IFERROR(__xludf.DUMMYFUNCTION("""COMPUTED_VALUE"""),8.0)</f>
        <v>8</v>
      </c>
      <c r="I442" t="str">
        <f>IFERROR(__xludf.DUMMYFUNCTION("""COMPUTED_VALUE"""),"Jornada Completa")</f>
        <v>Jornada Completa</v>
      </c>
      <c r="J442" t="str">
        <f>IFERROR(__xludf.DUMMYFUNCTION("""COMPUTED_VALUE"""),"A CONTRATA")</f>
        <v>A CONTRATA</v>
      </c>
      <c r="K442" t="str">
        <f>IFERROR(__xludf.DUMMYFUNCTION("""COMPUTED_VALUE"""),"PROFESIONAL")</f>
        <v>PROFESIONAL</v>
      </c>
      <c r="L442" t="str">
        <f>IFERROR(__xludf.DUMMYFUNCTION("""COMPUTED_VALUE"""),"INTERNO")</f>
        <v>INTERNO</v>
      </c>
      <c r="M442">
        <f>IFERROR(__xludf.DUMMYFUNCTION("""COMPUTED_VALUE"""),4.0)</f>
        <v>4</v>
      </c>
      <c r="N442" t="str">
        <f>IFERROR(__xludf.DUMMYFUNCTION("""COMPUTED_VALUE"""),"NO")</f>
        <v>NO</v>
      </c>
      <c r="O442">
        <f>IFERROR(__xludf.DUMMYFUNCTION("""COMPUTED_VALUE"""),0.0)</f>
        <v>0</v>
      </c>
      <c r="P442">
        <f>IFERROR(__xludf.DUMMYFUNCTION("""COMPUTED_VALUE"""),2.0)</f>
        <v>2</v>
      </c>
      <c r="Q442">
        <f>IFERROR(__xludf.DUMMYFUNCTION("""COMPUTED_VALUE"""),0.0)</f>
        <v>0</v>
      </c>
      <c r="R442" s="45" t="str">
        <f>IFERROR(__xludf.DUMMYFUNCTION("""COMPUTED_VALUE"""),"SELECCIONADO")</f>
        <v>SELECCIONADO</v>
      </c>
      <c r="S442" s="38">
        <f>IFERROR(__xludf.DUMMYFUNCTION("""COMPUTED_VALUE"""),42748.0)</f>
        <v>42748</v>
      </c>
      <c r="T442" t="str">
        <f>IFERROR(__xludf.DUMMYFUNCTION("""COMPUTED_VALUE"""),"ZUNIGA MELLA ANDRES ALEJANDRO")</f>
        <v>ZUNIGA MELLA ANDRES ALEJANDRO</v>
      </c>
      <c r="V442" t="str">
        <f>IFERROR(__xludf.DUMMYFUNCTION("""COMPUTED_VALUE"""),"15566567-K")</f>
        <v>15566567-K</v>
      </c>
      <c r="W442" t="str">
        <f>IFERROR(__xludf.DUMMYFUNCTION("""COMPUTED_VALUE"""),"NO")</f>
        <v>NO</v>
      </c>
      <c r="AA442" s="38">
        <f>IFERROR(__xludf.DUMMYFUNCTION("""COMPUTED_VALUE"""),42705.0)</f>
        <v>42705</v>
      </c>
      <c r="AB442" s="38">
        <f>IFERROR(__xludf.DUMMYFUNCTION("""COMPUTED_VALUE"""),42583.0)</f>
        <v>42583</v>
      </c>
      <c r="AH442" t="str">
        <f>IFERROR(__xludf.DUMMYFUNCTION("""COMPUTED_VALUE"""),"PROCESO DE SELECCIÓN")</f>
        <v>PROCESO DE SELECCIÓN</v>
      </c>
      <c r="AI442" t="str">
        <f>IFERROR(__xludf.DUMMYFUNCTION("""COMPUTED_VALUE"""),"CATALINA JARA JORQUERA")</f>
        <v>CATALINA JARA JORQUERA</v>
      </c>
      <c r="AK442" t="str">
        <f>IFERROR(__xludf.DUMMYFUNCTION("""COMPUTED_VALUE"""),"P")</f>
        <v>P</v>
      </c>
      <c r="AL442">
        <f>IFERROR(__xludf.DUMMYFUNCTION("""COMPUTED_VALUE"""),120.0)</f>
        <v>120</v>
      </c>
      <c r="AM442">
        <f>IFERROR(__xludf.DUMMYFUNCTION("""COMPUTED_VALUE"""),2016.0)</f>
        <v>2016</v>
      </c>
    </row>
    <row r="443">
      <c r="A443">
        <f>IFERROR(__xludf.DUMMYFUNCTION("""COMPUTED_VALUE"""),1.72442E7)</f>
        <v>17244200</v>
      </c>
      <c r="B443">
        <f>IFERROR(__xludf.DUMMYFUNCTION("""COMPUTED_VALUE"""),100.0)</f>
        <v>100</v>
      </c>
      <c r="D443" t="str">
        <f>IFERROR(__xludf.DUMMYFUNCTION("""COMPUTED_VALUE"""),"INGRESAR CENTRO DE COSTO A LA DERECHA")</f>
        <v>INGRESAR CENTRO DE COSTO A LA DERECHA</v>
      </c>
      <c r="E443" t="str">
        <f>IFERROR(__xludf.DUMMYFUNCTION("""COMPUTED_VALUE"""),"DPTO. DE INGENIERIA ELECTRICA")</f>
        <v>DPTO. DE INGENIERIA ELECTRICA</v>
      </c>
      <c r="F443" t="str">
        <f>IFERROR(__xludf.DUMMYFUNCTION("""COMPUTED_VALUE"""),"Asistente de Laboratorio")</f>
        <v>Asistente de Laboratorio</v>
      </c>
      <c r="G443" t="str">
        <f>IFERROR(__xludf.DUMMYFUNCTION("""COMPUTED_VALUE"""),"ASISTENTE DE LABORATORIO")</f>
        <v>ASISTENTE DE LABORATORIO</v>
      </c>
      <c r="H443">
        <f>IFERROR(__xludf.DUMMYFUNCTION("""COMPUTED_VALUE"""),20.0)</f>
        <v>20</v>
      </c>
      <c r="I443" t="str">
        <f>IFERROR(__xludf.DUMMYFUNCTION("""COMPUTED_VALUE"""),"Jornada Completa")</f>
        <v>Jornada Completa</v>
      </c>
      <c r="J443" t="str">
        <f>IFERROR(__xludf.DUMMYFUNCTION("""COMPUTED_VALUE"""),"A CONTRATA")</f>
        <v>A CONTRATA</v>
      </c>
      <c r="K443" t="str">
        <f>IFERROR(__xludf.DUMMYFUNCTION("""COMPUTED_VALUE"""),"TECNICO")</f>
        <v>TECNICO</v>
      </c>
      <c r="L443" t="str">
        <f>IFERROR(__xludf.DUMMYFUNCTION("""COMPUTED_VALUE"""),"INTERNO")</f>
        <v>INTERNO</v>
      </c>
      <c r="M443">
        <f>IFERROR(__xludf.DUMMYFUNCTION("""COMPUTED_VALUE"""),0.0)</f>
        <v>0</v>
      </c>
      <c r="N443" t="str">
        <f>IFERROR(__xludf.DUMMYFUNCTION("""COMPUTED_VALUE"""),"EXTERNO")</f>
        <v>EXTERNO</v>
      </c>
      <c r="O443">
        <f>IFERROR(__xludf.DUMMYFUNCTION("""COMPUTED_VALUE"""),5.0)</f>
        <v>5</v>
      </c>
      <c r="P443">
        <f>IFERROR(__xludf.DUMMYFUNCTION("""COMPUTED_VALUE"""),2.0)</f>
        <v>2</v>
      </c>
      <c r="Q443">
        <f>IFERROR(__xludf.DUMMYFUNCTION("""COMPUTED_VALUE"""),1.0)</f>
        <v>1</v>
      </c>
      <c r="R443" s="45" t="str">
        <f>IFERROR(__xludf.DUMMYFUNCTION("""COMPUTED_VALUE"""),"SELECCIONADO")</f>
        <v>SELECCIONADO</v>
      </c>
      <c r="S443" s="38">
        <f>IFERROR(__xludf.DUMMYFUNCTION("""COMPUTED_VALUE"""),42795.0)</f>
        <v>42795</v>
      </c>
      <c r="U443" t="str">
        <f>IFERROR(__xludf.DUMMYFUNCTION("""COMPUTED_VALUE"""),"VICTOR PIZARRO ULLOA")</f>
        <v>VICTOR PIZARRO ULLOA</v>
      </c>
      <c r="V443" t="str">
        <f>IFERROR(__xludf.DUMMYFUNCTION("""COMPUTED_VALUE"""),"17244200-5")</f>
        <v>17244200-5</v>
      </c>
      <c r="W443" t="str">
        <f>IFERROR(__xludf.DUMMYFUNCTION("""COMPUTED_VALUE"""),"SI")</f>
        <v>SI</v>
      </c>
      <c r="X443" t="str">
        <f>IFERROR(__xludf.DUMMYFUNCTION("""COMPUTED_VALUE"""),"TRABAJO EN EQUIPO")</f>
        <v>TRABAJO EN EQUIPO</v>
      </c>
      <c r="AA443" s="38">
        <f>IFERROR(__xludf.DUMMYFUNCTION("""COMPUTED_VALUE"""),42649.0)</f>
        <v>42649</v>
      </c>
      <c r="AB443" s="38">
        <f>IFERROR(__xludf.DUMMYFUNCTION("""COMPUTED_VALUE"""),42656.0)</f>
        <v>42656</v>
      </c>
      <c r="AH443" t="str">
        <f>IFERROR(__xludf.DUMMYFUNCTION("""COMPUTED_VALUE"""),"PROCESO DE SELECCIÓN")</f>
        <v>PROCESO DE SELECCIÓN</v>
      </c>
      <c r="AI443" t="str">
        <f>IFERROR(__xludf.DUMMYFUNCTION("""COMPUTED_VALUE"""),"FABIAN ALVAREZ RUBILLO")</f>
        <v>FABIAN ALVAREZ RUBILLO</v>
      </c>
      <c r="AK443" t="str">
        <f>IFERROR(__xludf.DUMMYFUNCTION("""COMPUTED_VALUE"""),"P")</f>
        <v>P</v>
      </c>
      <c r="AL443">
        <f>IFERROR(__xludf.DUMMYFUNCTION("""COMPUTED_VALUE"""),100.0)</f>
        <v>100</v>
      </c>
      <c r="AM443">
        <f>IFERROR(__xludf.DUMMYFUNCTION("""COMPUTED_VALUE"""),2016.0)</f>
        <v>2016</v>
      </c>
    </row>
    <row r="444">
      <c r="A444">
        <f>IFERROR(__xludf.DUMMYFUNCTION("""COMPUTED_VALUE"""),1.6875601E7)</f>
        <v>16875601</v>
      </c>
      <c r="B444">
        <f>IFERROR(__xludf.DUMMYFUNCTION("""COMPUTED_VALUE"""),101.0)</f>
        <v>101</v>
      </c>
      <c r="D444" t="str">
        <f>IFERROR(__xludf.DUMMYFUNCTION("""COMPUTED_VALUE"""),"INGRESAR CENTRO DE COSTO A LA DERECHA")</f>
        <v>INGRESAR CENTRO DE COSTO A LA DERECHA</v>
      </c>
      <c r="E444" t="str">
        <f>IFERROR(__xludf.DUMMYFUNCTION("""COMPUTED_VALUE"""),"DPTO. DE INGENIERIA METALURGICA")</f>
        <v>DPTO. DE INGENIERIA METALURGICA</v>
      </c>
      <c r="F444" t="str">
        <f>IFERROR(__xludf.DUMMYFUNCTION("""COMPUTED_VALUE"""),"Jefe(a) de Laboratorio")</f>
        <v>Jefe(a) de Laboratorio</v>
      </c>
      <c r="G444" t="str">
        <f>IFERROR(__xludf.DUMMYFUNCTION("""COMPUTED_VALUE"""),"JEFE DE LABORATORIO (ANALISIS QUIMICO)")</f>
        <v>JEFE DE LABORATORIO (ANALISIS QUIMICO)</v>
      </c>
      <c r="H444">
        <f>IFERROR(__xludf.DUMMYFUNCTION("""COMPUTED_VALUE"""),10.0)</f>
        <v>10</v>
      </c>
      <c r="I444" t="str">
        <f>IFERROR(__xludf.DUMMYFUNCTION("""COMPUTED_VALUE"""),"Jornada Completa")</f>
        <v>Jornada Completa</v>
      </c>
      <c r="J444" t="str">
        <f>IFERROR(__xludf.DUMMYFUNCTION("""COMPUTED_VALUE"""),"A CONTRATA")</f>
        <v>A CONTRATA</v>
      </c>
      <c r="K444" t="str">
        <f>IFERROR(__xludf.DUMMYFUNCTION("""COMPUTED_VALUE"""),"PROFESIONAL")</f>
        <v>PROFESIONAL</v>
      </c>
      <c r="L444" t="str">
        <f>IFERROR(__xludf.DUMMYFUNCTION("""COMPUTED_VALUE"""),"INTERNO")</f>
        <v>INTERNO</v>
      </c>
      <c r="M444">
        <f>IFERROR(__xludf.DUMMYFUNCTION("""COMPUTED_VALUE"""),2.0)</f>
        <v>2</v>
      </c>
      <c r="N444" t="str">
        <f>IFERROR(__xludf.DUMMYFUNCTION("""COMPUTED_VALUE"""),"EXTERNO")</f>
        <v>EXTERNO</v>
      </c>
      <c r="O444">
        <f>IFERROR(__xludf.DUMMYFUNCTION("""COMPUTED_VALUE"""),16.0)</f>
        <v>16</v>
      </c>
      <c r="P444">
        <f>IFERROR(__xludf.DUMMYFUNCTION("""COMPUTED_VALUE"""),2.0)</f>
        <v>2</v>
      </c>
      <c r="Q444">
        <f>IFERROR(__xludf.DUMMYFUNCTION("""COMPUTED_VALUE"""),1.0)</f>
        <v>1</v>
      </c>
      <c r="R444" s="45" t="str">
        <f>IFERROR(__xludf.DUMMYFUNCTION("""COMPUTED_VALUE"""),"SELECCIONADO")</f>
        <v>SELECCIONADO</v>
      </c>
      <c r="S444" s="38">
        <f>IFERROR(__xludf.DUMMYFUNCTION("""COMPUTED_VALUE"""),42795.0)</f>
        <v>42795</v>
      </c>
      <c r="U444" t="str">
        <f>IFERROR(__xludf.DUMMYFUNCTION("""COMPUTED_VALUE"""),"EMMANUELL REYES FUENTES")</f>
        <v>EMMANUELL REYES FUENTES</v>
      </c>
      <c r="V444" t="str">
        <f>IFERROR(__xludf.DUMMYFUNCTION("""COMPUTED_VALUE"""),"16875601-1")</f>
        <v>16875601-1</v>
      </c>
      <c r="W444" t="str">
        <f>IFERROR(__xludf.DUMMYFUNCTION("""COMPUTED_VALUE"""),"SI")</f>
        <v>SI</v>
      </c>
      <c r="X444" t="str">
        <f>IFERROR(__xludf.DUMMYFUNCTION("""COMPUTED_VALUE"""),"CAPACIDAD DE PLANIFICACION Y ORGANIZACION")</f>
        <v>CAPACIDAD DE PLANIFICACION Y ORGANIZACION</v>
      </c>
      <c r="Y444" t="str">
        <f>IFERROR(__xludf.DUMMYFUNCTION("""COMPUTED_VALUE"""),"TRABAJO EN EQUIPO")</f>
        <v>TRABAJO EN EQUIPO</v>
      </c>
      <c r="Z444" t="str">
        <f>IFERROR(__xludf.DUMMYFUNCTION("""COMPUTED_VALUE"""),"Tolerancia a la presion")</f>
        <v>Tolerancia a la presion</v>
      </c>
      <c r="AA444" s="38">
        <f>IFERROR(__xludf.DUMMYFUNCTION("""COMPUTED_VALUE"""),42691.0)</f>
        <v>42691</v>
      </c>
      <c r="AB444" s="38">
        <f>IFERROR(__xludf.DUMMYFUNCTION("""COMPUTED_VALUE"""),42698.0)</f>
        <v>42698</v>
      </c>
      <c r="AH444" t="str">
        <f>IFERROR(__xludf.DUMMYFUNCTION("""COMPUTED_VALUE"""),"PROCESO DE SELECCIÓN")</f>
        <v>PROCESO DE SELECCIÓN</v>
      </c>
      <c r="AI444" t="str">
        <f>IFERROR(__xludf.DUMMYFUNCTION("""COMPUTED_VALUE"""),"PATRICIA MUÑOZ ZUÑIGA")</f>
        <v>PATRICIA MUÑOZ ZUÑIGA</v>
      </c>
      <c r="AK444" t="str">
        <f>IFERROR(__xludf.DUMMYFUNCTION("""COMPUTED_VALUE"""),"E")</f>
        <v>E</v>
      </c>
      <c r="AL444">
        <f>IFERROR(__xludf.DUMMYFUNCTION("""COMPUTED_VALUE"""),70.0)</f>
        <v>70</v>
      </c>
      <c r="AM444">
        <f>IFERROR(__xludf.DUMMYFUNCTION("""COMPUTED_VALUE"""),2016.0)</f>
        <v>2016</v>
      </c>
    </row>
    <row r="445">
      <c r="A445">
        <f>IFERROR(__xludf.DUMMYFUNCTION("""COMPUTED_VALUE"""),1.7050435E7)</f>
        <v>17050435</v>
      </c>
      <c r="B445">
        <f>IFERROR(__xludf.DUMMYFUNCTION("""COMPUTED_VALUE"""),102.0)</f>
        <v>102</v>
      </c>
      <c r="D445" t="str">
        <f>IFERROR(__xludf.DUMMYFUNCTION("""COMPUTED_VALUE"""),"INGRESAR CENTRO DE COSTO A LA DERECHA")</f>
        <v>INGRESAR CENTRO DE COSTO A LA DERECHA</v>
      </c>
      <c r="E445" t="str">
        <f>IFERROR(__xludf.DUMMYFUNCTION("""COMPUTED_VALUE"""),"FACULTAD DE CIENCIAS MEDICAS")</f>
        <v>FACULTAD DE CIENCIAS MEDICAS</v>
      </c>
      <c r="F445" t="str">
        <f>IFERROR(__xludf.DUMMYFUNCTION("""COMPUTED_VALUE"""),"Administrativo(a) de Proceso")</f>
        <v>Administrativo(a) de Proceso</v>
      </c>
      <c r="G445" t="str">
        <f>IFERROR(__xludf.DUMMYFUNCTION("""COMPUTED_VALUE"""),"ADMINISTRATIVO DE PROCESO")</f>
        <v>ADMINISTRATIVO DE PROCESO</v>
      </c>
      <c r="H445">
        <f>IFERROR(__xludf.DUMMYFUNCTION("""COMPUTED_VALUE"""),17.0)</f>
        <v>17</v>
      </c>
      <c r="I445" t="str">
        <f>IFERROR(__xludf.DUMMYFUNCTION("""COMPUTED_VALUE"""),"Jornada Completa")</f>
        <v>Jornada Completa</v>
      </c>
      <c r="J445" t="str">
        <f>IFERROR(__xludf.DUMMYFUNCTION("""COMPUTED_VALUE"""),"A CONTRATA")</f>
        <v>A CONTRATA</v>
      </c>
      <c r="K445" t="str">
        <f>IFERROR(__xludf.DUMMYFUNCTION("""COMPUTED_VALUE"""),"ADMINISTRATIVO")</f>
        <v>ADMINISTRATIVO</v>
      </c>
      <c r="L445" t="str">
        <f>IFERROR(__xludf.DUMMYFUNCTION("""COMPUTED_VALUE"""),"INTERNO")</f>
        <v>INTERNO</v>
      </c>
      <c r="M445">
        <f>IFERROR(__xludf.DUMMYFUNCTION("""COMPUTED_VALUE"""),1.0)</f>
        <v>1</v>
      </c>
      <c r="N445" t="str">
        <f>IFERROR(__xludf.DUMMYFUNCTION("""COMPUTED_VALUE"""),"NO")</f>
        <v>NO</v>
      </c>
      <c r="O445">
        <f>IFERROR(__xludf.DUMMYFUNCTION("""COMPUTED_VALUE"""),0.0)</f>
        <v>0</v>
      </c>
      <c r="P445">
        <f>IFERROR(__xludf.DUMMYFUNCTION("""COMPUTED_VALUE"""),1.0)</f>
        <v>1</v>
      </c>
      <c r="Q445">
        <f>IFERROR(__xludf.DUMMYFUNCTION("""COMPUTED_VALUE"""),0.0)</f>
        <v>0</v>
      </c>
      <c r="R445" s="45" t="str">
        <f>IFERROR(__xludf.DUMMYFUNCTION("""COMPUTED_VALUE"""),"SELECCIONADA")</f>
        <v>SELECCIONADA</v>
      </c>
      <c r="S445" s="38">
        <f>IFERROR(__xludf.DUMMYFUNCTION("""COMPUTED_VALUE"""),42826.0)</f>
        <v>42826</v>
      </c>
      <c r="T445" t="str">
        <f>IFERROR(__xludf.DUMMYFUNCTION("""COMPUTED_VALUE"""),"ULLOA DAVIS VALERIA MARLEN")</f>
        <v>ULLOA DAVIS VALERIA MARLEN</v>
      </c>
      <c r="V445" t="str">
        <f>IFERROR(__xludf.DUMMYFUNCTION("""COMPUTED_VALUE"""),"17050435-6")</f>
        <v>17050435-6</v>
      </c>
      <c r="W445" t="str">
        <f>IFERROR(__xludf.DUMMYFUNCTION("""COMPUTED_VALUE"""),"NO")</f>
        <v>NO</v>
      </c>
      <c r="AA445" s="38">
        <f>IFERROR(__xludf.DUMMYFUNCTION("""COMPUTED_VALUE"""),42719.0)</f>
        <v>42719</v>
      </c>
      <c r="AB445" s="38">
        <f>IFERROR(__xludf.DUMMYFUNCTION("""COMPUTED_VALUE"""),42726.0)</f>
        <v>42726</v>
      </c>
      <c r="AH445" t="str">
        <f>IFERROR(__xludf.DUMMYFUNCTION("""COMPUTED_VALUE"""),"PROCESO DE SELECCIÓN")</f>
        <v>PROCESO DE SELECCIÓN</v>
      </c>
      <c r="AI445" t="str">
        <f>IFERROR(__xludf.DUMMYFUNCTION("""COMPUTED_VALUE"""),"AUTORIZADO 2016 / CORREO")</f>
        <v>AUTORIZADO 2016 / CORREO</v>
      </c>
      <c r="AK445" t="str">
        <f>IFERROR(__xludf.DUMMYFUNCTION("""COMPUTED_VALUE"""),"P")</f>
        <v>P</v>
      </c>
      <c r="AL445">
        <f>IFERROR(__xludf.DUMMYFUNCTION("""COMPUTED_VALUE"""),72.0)</f>
        <v>72</v>
      </c>
      <c r="AM445">
        <f>IFERROR(__xludf.DUMMYFUNCTION("""COMPUTED_VALUE"""),2016.0)</f>
        <v>2016</v>
      </c>
    </row>
    <row r="446">
      <c r="A446">
        <f>IFERROR(__xludf.DUMMYFUNCTION("""COMPUTED_VALUE"""),1.3042684E7)</f>
        <v>13042684</v>
      </c>
      <c r="B446">
        <f>IFERROR(__xludf.DUMMYFUNCTION("""COMPUTED_VALUE"""),103.0)</f>
        <v>103</v>
      </c>
      <c r="D446" t="str">
        <f>IFERROR(__xludf.DUMMYFUNCTION("""COMPUTED_VALUE"""),"INGRESAR CENTRO DE COSTO A LA DERECHA")</f>
        <v>INGRESAR CENTRO DE COSTO A LA DERECHA</v>
      </c>
      <c r="E446" t="str">
        <f>IFERROR(__xludf.DUMMYFUNCTION("""COMPUTED_VALUE"""),"UNIDAD DE COORDINACION INSTIT.")</f>
        <v>UNIDAD DE COORDINACION INSTIT.</v>
      </c>
      <c r="F446" t="str">
        <f>IFERROR(__xludf.DUMMYFUNCTION("""COMPUTED_VALUE"""),"Administrativo(a) Gestión de Proyectos")</f>
        <v>Administrativo(a) Gestión de Proyectos</v>
      </c>
      <c r="G446" t="str">
        <f>IFERROR(__xludf.DUMMYFUNCTION("""COMPUTED_VALUE"""),"ADMINISTRATIVO DE GESTIÓN DE PROYECTOS")</f>
        <v>ADMINISTRATIVO DE GESTIÓN DE PROYECTOS</v>
      </c>
      <c r="H446">
        <f>IFERROR(__xludf.DUMMYFUNCTION("""COMPUTED_VALUE"""),10.0)</f>
        <v>10</v>
      </c>
      <c r="I446" t="str">
        <f>IFERROR(__xludf.DUMMYFUNCTION("""COMPUTED_VALUE"""),"Jornada Completa")</f>
        <v>Jornada Completa</v>
      </c>
      <c r="J446" t="str">
        <f>IFERROR(__xludf.DUMMYFUNCTION("""COMPUTED_VALUE"""),"A CONTRATA")</f>
        <v>A CONTRATA</v>
      </c>
      <c r="K446" t="str">
        <f>IFERROR(__xludf.DUMMYFUNCTION("""COMPUTED_VALUE"""),"ADMINISTRATIVO")</f>
        <v>ADMINISTRATIVO</v>
      </c>
      <c r="L446" t="str">
        <f>IFERROR(__xludf.DUMMYFUNCTION("""COMPUTED_VALUE"""),"INTERNO")</f>
        <v>INTERNO</v>
      </c>
      <c r="M446">
        <f>IFERROR(__xludf.DUMMYFUNCTION("""COMPUTED_VALUE"""),1.0)</f>
        <v>1</v>
      </c>
      <c r="N446" t="str">
        <f>IFERROR(__xludf.DUMMYFUNCTION("""COMPUTED_VALUE"""),"NO")</f>
        <v>NO</v>
      </c>
      <c r="O446">
        <f>IFERROR(__xludf.DUMMYFUNCTION("""COMPUTED_VALUE"""),0.0)</f>
        <v>0</v>
      </c>
      <c r="P446">
        <f>IFERROR(__xludf.DUMMYFUNCTION("""COMPUTED_VALUE"""),1.0)</f>
        <v>1</v>
      </c>
      <c r="Q446">
        <f>IFERROR(__xludf.DUMMYFUNCTION("""COMPUTED_VALUE"""),0.0)</f>
        <v>0</v>
      </c>
      <c r="R446" s="45" t="str">
        <f>IFERROR(__xludf.DUMMYFUNCTION("""COMPUTED_VALUE"""),"SELECCIONADA")</f>
        <v>SELECCIONADA</v>
      </c>
      <c r="S446" s="38">
        <f>IFERROR(__xludf.DUMMYFUNCTION("""COMPUTED_VALUE"""),42614.0)</f>
        <v>42614</v>
      </c>
      <c r="T446" t="str">
        <f>IFERROR(__xludf.DUMMYFUNCTION("""COMPUTED_VALUE"""),"LEIVA DURAN PAULA VERONICA")</f>
        <v>LEIVA DURAN PAULA VERONICA</v>
      </c>
      <c r="V446" t="str">
        <f>IFERROR(__xludf.DUMMYFUNCTION("""COMPUTED_VALUE"""),"13042684-0")</f>
        <v>13042684-0</v>
      </c>
      <c r="W446" t="str">
        <f>IFERROR(__xludf.DUMMYFUNCTION("""COMPUTED_VALUE"""),"NO")</f>
        <v>NO</v>
      </c>
      <c r="AA446" s="38">
        <f>IFERROR(__xludf.DUMMYFUNCTION("""COMPUTED_VALUE"""),42544.0)</f>
        <v>42544</v>
      </c>
      <c r="AB446" s="38">
        <f>IFERROR(__xludf.DUMMYFUNCTION("""COMPUTED_VALUE"""),42551.0)</f>
        <v>42551</v>
      </c>
      <c r="AH446" t="str">
        <f>IFERROR(__xludf.DUMMYFUNCTION("""COMPUTED_VALUE"""),"PROCESO DE SELECCIÓN")</f>
        <v>PROCESO DE SELECCIÓN</v>
      </c>
      <c r="AI446" t="str">
        <f>IFERROR(__xludf.DUMMYFUNCTION("""COMPUTED_VALUE"""),"AUTORIZADO 2016")</f>
        <v>AUTORIZADO 2016</v>
      </c>
      <c r="AK446" t="str">
        <f>IFERROR(__xludf.DUMMYFUNCTION("""COMPUTED_VALUE"""),"C")</f>
        <v>C</v>
      </c>
      <c r="AL446">
        <f>IFERROR(__xludf.DUMMYFUNCTION("""COMPUTED_VALUE"""),46.0)</f>
        <v>46</v>
      </c>
      <c r="AM446">
        <f>IFERROR(__xludf.DUMMYFUNCTION("""COMPUTED_VALUE"""),2016.0)</f>
        <v>2016</v>
      </c>
    </row>
    <row r="447">
      <c r="A447">
        <f>IFERROR(__xludf.DUMMYFUNCTION("""COMPUTED_VALUE"""),1.8051229E7)</f>
        <v>18051229</v>
      </c>
      <c r="B447">
        <f>IFERROR(__xludf.DUMMYFUNCTION("""COMPUTED_VALUE"""),104.0)</f>
        <v>104</v>
      </c>
      <c r="D447" t="str">
        <f>IFERROR(__xludf.DUMMYFUNCTION("""COMPUTED_VALUE"""),"INGRESAR CENTRO DE COSTO A LA DERECHA")</f>
        <v>INGRESAR CENTRO DE COSTO A LA DERECHA</v>
      </c>
      <c r="E447" t="str">
        <f>IFERROR(__xludf.DUMMYFUNCTION("""COMPUTED_VALUE"""),"UNIDAD DE COORDINACION INSTIT.")</f>
        <v>UNIDAD DE COORDINACION INSTIT.</v>
      </c>
      <c r="F447" t="str">
        <f>IFERROR(__xludf.DUMMYFUNCTION("""COMPUTED_VALUE"""),"Administrativo(a) Gestión de Proyectos")</f>
        <v>Administrativo(a) Gestión de Proyectos</v>
      </c>
      <c r="G447" t="str">
        <f>IFERROR(__xludf.DUMMYFUNCTION("""COMPUTED_VALUE"""),"ADMINISTRATIVO DE GESTIÓN DE PROYECTOS")</f>
        <v>ADMINISTRATIVO DE GESTIÓN DE PROYECTOS</v>
      </c>
      <c r="H447">
        <f>IFERROR(__xludf.DUMMYFUNCTION("""COMPUTED_VALUE"""),12.0)</f>
        <v>12</v>
      </c>
      <c r="I447" t="str">
        <f>IFERROR(__xludf.DUMMYFUNCTION("""COMPUTED_VALUE"""),"Jornada Completa")</f>
        <v>Jornada Completa</v>
      </c>
      <c r="J447" t="str">
        <f>IFERROR(__xludf.DUMMYFUNCTION("""COMPUTED_VALUE"""),"A CONTRATA")</f>
        <v>A CONTRATA</v>
      </c>
      <c r="K447" t="str">
        <f>IFERROR(__xludf.DUMMYFUNCTION("""COMPUTED_VALUE"""),"ADMINISTRATIVO")</f>
        <v>ADMINISTRATIVO</v>
      </c>
      <c r="L447" t="str">
        <f>IFERROR(__xludf.DUMMYFUNCTION("""COMPUTED_VALUE"""),"INTERNO")</f>
        <v>INTERNO</v>
      </c>
      <c r="M447">
        <f>IFERROR(__xludf.DUMMYFUNCTION("""COMPUTED_VALUE"""),3.0)</f>
        <v>3</v>
      </c>
      <c r="N447" t="str">
        <f>IFERROR(__xludf.DUMMYFUNCTION("""COMPUTED_VALUE"""),"EXTERNO")</f>
        <v>EXTERNO</v>
      </c>
      <c r="O447">
        <f>IFERROR(__xludf.DUMMYFUNCTION("""COMPUTED_VALUE"""),3.0)</f>
        <v>3</v>
      </c>
      <c r="P447">
        <f>IFERROR(__xludf.DUMMYFUNCTION("""COMPUTED_VALUE"""),2.0)</f>
        <v>2</v>
      </c>
      <c r="Q447">
        <f>IFERROR(__xludf.DUMMYFUNCTION("""COMPUTED_VALUE"""),1.0)</f>
        <v>1</v>
      </c>
      <c r="R447" s="45" t="str">
        <f>IFERROR(__xludf.DUMMYFUNCTION("""COMPUTED_VALUE"""),"SELECCIONADA")</f>
        <v>SELECCIONADA</v>
      </c>
      <c r="S447" s="38">
        <f>IFERROR(__xludf.DUMMYFUNCTION("""COMPUTED_VALUE"""),42646.0)</f>
        <v>42646</v>
      </c>
      <c r="U447" t="str">
        <f>IFERROR(__xludf.DUMMYFUNCTION("""COMPUTED_VALUE"""),"MARIELLA CRUZ BARRIOS")</f>
        <v>MARIELLA CRUZ BARRIOS</v>
      </c>
      <c r="V447" t="str">
        <f>IFERROR(__xludf.DUMMYFUNCTION("""COMPUTED_VALUE"""),"18051229-2")</f>
        <v>18051229-2</v>
      </c>
      <c r="W447" t="str">
        <f>IFERROR(__xludf.DUMMYFUNCTION("""COMPUTED_VALUE"""),"NO")</f>
        <v>NO</v>
      </c>
      <c r="AA447" s="38">
        <f>IFERROR(__xludf.DUMMYFUNCTION("""COMPUTED_VALUE"""),42593.0)</f>
        <v>42593</v>
      </c>
      <c r="AB447" s="38">
        <f>IFERROR(__xludf.DUMMYFUNCTION("""COMPUTED_VALUE"""),42600.0)</f>
        <v>42600</v>
      </c>
      <c r="AH447" t="str">
        <f>IFERROR(__xludf.DUMMYFUNCTION("""COMPUTED_VALUE"""),"PROCESO DE SELECCIÓN")</f>
        <v>PROCESO DE SELECCIÓN</v>
      </c>
      <c r="AI447" t="str">
        <f>IFERROR(__xludf.DUMMYFUNCTION("""COMPUTED_VALUE"""),"AUTORIZADO 2016")</f>
        <v>AUTORIZADO 2016</v>
      </c>
      <c r="AK447" t="str">
        <f>IFERROR(__xludf.DUMMYFUNCTION("""COMPUTED_VALUE"""),"E")</f>
        <v>E</v>
      </c>
      <c r="AL447">
        <f>IFERROR(__xludf.DUMMYFUNCTION("""COMPUTED_VALUE"""),33.0)</f>
        <v>33</v>
      </c>
      <c r="AM447">
        <f>IFERROR(__xludf.DUMMYFUNCTION("""COMPUTED_VALUE"""),2016.0)</f>
        <v>2016</v>
      </c>
    </row>
    <row r="448">
      <c r="A448">
        <f>IFERROR(__xludf.DUMMYFUNCTION("""COMPUTED_VALUE"""),1.2366304E7)</f>
        <v>12366304</v>
      </c>
      <c r="B448">
        <f>IFERROR(__xludf.DUMMYFUNCTION("""COMPUTED_VALUE"""),105.0)</f>
        <v>105</v>
      </c>
      <c r="D448" t="str">
        <f>IFERROR(__xludf.DUMMYFUNCTION("""COMPUTED_VALUE"""),"INGRESAR CENTRO DE COSTO A LA DERECHA")</f>
        <v>INGRESAR CENTRO DE COSTO A LA DERECHA</v>
      </c>
      <c r="E448" t="str">
        <f>IFERROR(__xludf.DUMMYFUNCTION("""COMPUTED_VALUE"""),"VR. ACADEMICA")</f>
        <v>VR. ACADEMICA</v>
      </c>
      <c r="F448" t="str">
        <f>IFERROR(__xludf.DUMMYFUNCTION("""COMPUTED_VALUE"""),"Estafeta")</f>
        <v>Estafeta</v>
      </c>
      <c r="G448" t="str">
        <f>IFERROR(__xludf.DUMMYFUNCTION("""COMPUTED_VALUE"""),"ESTAFETA")</f>
        <v>ESTAFETA</v>
      </c>
      <c r="H448">
        <f>IFERROR(__xludf.DUMMYFUNCTION("""COMPUTED_VALUE"""),23.0)</f>
        <v>23</v>
      </c>
      <c r="I448" t="str">
        <f>IFERROR(__xludf.DUMMYFUNCTION("""COMPUTED_VALUE"""),"Jornada Completa")</f>
        <v>Jornada Completa</v>
      </c>
      <c r="J448" t="str">
        <f>IFERROR(__xludf.DUMMYFUNCTION("""COMPUTED_VALUE"""),"A CONTRATA")</f>
        <v>A CONTRATA</v>
      </c>
      <c r="K448" t="str">
        <f>IFERROR(__xludf.DUMMYFUNCTION("""COMPUTED_VALUE"""),"AUXILIAR")</f>
        <v>AUXILIAR</v>
      </c>
      <c r="L448" t="str">
        <f>IFERROR(__xludf.DUMMYFUNCTION("""COMPUTED_VALUE"""),"INTERNO")</f>
        <v>INTERNO</v>
      </c>
      <c r="M448">
        <f>IFERROR(__xludf.DUMMYFUNCTION("""COMPUTED_VALUE"""),0.0)</f>
        <v>0</v>
      </c>
      <c r="N448" t="str">
        <f>IFERROR(__xludf.DUMMYFUNCTION("""COMPUTED_VALUE"""),"EXTERNO")</f>
        <v>EXTERNO</v>
      </c>
      <c r="O448">
        <f>IFERROR(__xludf.DUMMYFUNCTION("""COMPUTED_VALUE"""),19.0)</f>
        <v>19</v>
      </c>
      <c r="P448">
        <f>IFERROR(__xludf.DUMMYFUNCTION("""COMPUTED_VALUE"""),2.0)</f>
        <v>2</v>
      </c>
      <c r="Q448">
        <f>IFERROR(__xludf.DUMMYFUNCTION("""COMPUTED_VALUE"""),2.0)</f>
        <v>2</v>
      </c>
      <c r="R448" s="45" t="str">
        <f>IFERROR(__xludf.DUMMYFUNCTION("""COMPUTED_VALUE"""),"SELECCIONADA")</f>
        <v>SELECCIONADA</v>
      </c>
      <c r="S448" s="38">
        <f>IFERROR(__xludf.DUMMYFUNCTION("""COMPUTED_VALUE"""),42614.0)</f>
        <v>42614</v>
      </c>
      <c r="U448" t="str">
        <f>IFERROR(__xludf.DUMMYFUNCTION("""COMPUTED_VALUE"""),"PAMELA MURILLO PALOMINOS")</f>
        <v>PAMELA MURILLO PALOMINOS</v>
      </c>
      <c r="V448" t="str">
        <f>IFERROR(__xludf.DUMMYFUNCTION("""COMPUTED_VALUE"""),"12366304-7")</f>
        <v>12366304-7</v>
      </c>
      <c r="W448" t="str">
        <f>IFERROR(__xludf.DUMMYFUNCTION("""COMPUTED_VALUE"""),"NO")</f>
        <v>NO</v>
      </c>
      <c r="AA448" s="38">
        <f>IFERROR(__xludf.DUMMYFUNCTION("""COMPUTED_VALUE"""),42572.0)</f>
        <v>42572</v>
      </c>
      <c r="AB448" s="38">
        <f>IFERROR(__xludf.DUMMYFUNCTION("""COMPUTED_VALUE"""),42576.0)</f>
        <v>42576</v>
      </c>
      <c r="AH448" t="str">
        <f>IFERROR(__xludf.DUMMYFUNCTION("""COMPUTED_VALUE"""),"PROCESO DE SELECCIÓN")</f>
        <v>PROCESO DE SELECCIÓN</v>
      </c>
      <c r="AI448" t="str">
        <f>IFERROR(__xludf.DUMMYFUNCTION("""COMPUTED_VALUE"""),"JORGE PEÑA BASCUR")</f>
        <v>JORGE PEÑA BASCUR</v>
      </c>
      <c r="AK448" t="str">
        <f>IFERROR(__xludf.DUMMYFUNCTION("""COMPUTED_VALUE"""),"P")</f>
        <v>P</v>
      </c>
      <c r="AL448">
        <f>IFERROR(__xludf.DUMMYFUNCTION("""COMPUTED_VALUE"""),29.0)</f>
        <v>29</v>
      </c>
      <c r="AM448">
        <f>IFERROR(__xludf.DUMMYFUNCTION("""COMPUTED_VALUE"""),2016.0)</f>
        <v>2016</v>
      </c>
    </row>
    <row r="449">
      <c r="A449">
        <f>IFERROR(__xludf.DUMMYFUNCTION("""COMPUTED_VALUE"""),1.1047452E7)</f>
        <v>11047452</v>
      </c>
      <c r="B449">
        <f>IFERROR(__xludf.DUMMYFUNCTION("""COMPUTED_VALUE"""),106.0)</f>
        <v>106</v>
      </c>
      <c r="D449" t="str">
        <f>IFERROR(__xludf.DUMMYFUNCTION("""COMPUTED_VALUE"""),"INGRESAR CENTRO DE COSTO A LA DERECHA")</f>
        <v>INGRESAR CENTRO DE COSTO A LA DERECHA</v>
      </c>
      <c r="E449" t="str">
        <f>IFERROR(__xludf.DUMMYFUNCTION("""COMPUTED_VALUE"""),"DIR. DE ASISTENCIA JURIDICA")</f>
        <v>DIR. DE ASISTENCIA JURIDICA</v>
      </c>
      <c r="F449" t="str">
        <f>IFERROR(__xludf.DUMMYFUNCTION("""COMPUTED_VALUE"""),"Secretario(a) A")</f>
        <v>Secretario(a) A</v>
      </c>
      <c r="G449" t="str">
        <f>IFERROR(__xludf.DUMMYFUNCTION("""COMPUTED_VALUE"""),"SECRETARIO(A) DE DIRECCION")</f>
        <v>SECRETARIO(A) DE DIRECCION</v>
      </c>
      <c r="H449">
        <f>IFERROR(__xludf.DUMMYFUNCTION("""COMPUTED_VALUE"""),17.0)</f>
        <v>17</v>
      </c>
      <c r="I449" t="str">
        <f>IFERROR(__xludf.DUMMYFUNCTION("""COMPUTED_VALUE"""),"Jornada Completa")</f>
        <v>Jornada Completa</v>
      </c>
      <c r="J449" t="str">
        <f>IFERROR(__xludf.DUMMYFUNCTION("""COMPUTED_VALUE"""),"A CONTRATA")</f>
        <v>A CONTRATA</v>
      </c>
      <c r="K449" t="str">
        <f>IFERROR(__xludf.DUMMYFUNCTION("""COMPUTED_VALUE"""),"ADMINISTRATIVO")</f>
        <v>ADMINISTRATIVO</v>
      </c>
      <c r="L449" t="str">
        <f>IFERROR(__xludf.DUMMYFUNCTION("""COMPUTED_VALUE"""),"INTERNO")</f>
        <v>INTERNO</v>
      </c>
      <c r="M449">
        <f>IFERROR(__xludf.DUMMYFUNCTION("""COMPUTED_VALUE"""),1.0)</f>
        <v>1</v>
      </c>
      <c r="N449" t="str">
        <f>IFERROR(__xludf.DUMMYFUNCTION("""COMPUTED_VALUE"""),"NO")</f>
        <v>NO</v>
      </c>
      <c r="O449">
        <f>IFERROR(__xludf.DUMMYFUNCTION("""COMPUTED_VALUE"""),0.0)</f>
        <v>0</v>
      </c>
      <c r="P449">
        <f>IFERROR(__xludf.DUMMYFUNCTION("""COMPUTED_VALUE"""),1.0)</f>
        <v>1</v>
      </c>
      <c r="Q449">
        <f>IFERROR(__xludf.DUMMYFUNCTION("""COMPUTED_VALUE"""),0.0)</f>
        <v>0</v>
      </c>
      <c r="R449" s="45" t="str">
        <f>IFERROR(__xludf.DUMMYFUNCTION("""COMPUTED_VALUE"""),"SELECCIONADA")</f>
        <v>SELECCIONADA</v>
      </c>
      <c r="S449" s="38">
        <f>IFERROR(__xludf.DUMMYFUNCTION("""COMPUTED_VALUE"""),42842.0)</f>
        <v>42842</v>
      </c>
      <c r="T449" t="str">
        <f>IFERROR(__xludf.DUMMYFUNCTION("""COMPUTED_VALUE"""),"ARREDONDO RIVERA SANDRA ORIANA")</f>
        <v>ARREDONDO RIVERA SANDRA ORIANA</v>
      </c>
      <c r="V449" t="str">
        <f>IFERROR(__xludf.DUMMYFUNCTION("""COMPUTED_VALUE"""),"11047452-0")</f>
        <v>11047452-0</v>
      </c>
      <c r="W449" t="str">
        <f>IFERROR(__xludf.DUMMYFUNCTION("""COMPUTED_VALUE"""),"NO")</f>
        <v>NO</v>
      </c>
      <c r="AA449" s="38">
        <f>IFERROR(__xludf.DUMMYFUNCTION("""COMPUTED_VALUE"""),42723.0)</f>
        <v>42723</v>
      </c>
      <c r="AB449" s="38">
        <f>IFERROR(__xludf.DUMMYFUNCTION("""COMPUTED_VALUE"""),42730.0)</f>
        <v>42730</v>
      </c>
      <c r="AH449" t="str">
        <f>IFERROR(__xludf.DUMMYFUNCTION("""COMPUTED_VALUE"""),"PROCESO DE SELECCIÓN")</f>
        <v>PROCESO DE SELECCIÓN</v>
      </c>
      <c r="AI449" t="str">
        <f>IFERROR(__xludf.DUMMYFUNCTION("""COMPUTED_VALUE"""),"KARINA MUÑOZ BARRERA")</f>
        <v>KARINA MUÑOZ BARRERA</v>
      </c>
      <c r="AK449" t="str">
        <f>IFERROR(__xludf.DUMMYFUNCTION("""COMPUTED_VALUE"""),"C")</f>
        <v>C</v>
      </c>
      <c r="AL449">
        <f>IFERROR(__xludf.DUMMYFUNCTION("""COMPUTED_VALUE"""),81.0)</f>
        <v>81</v>
      </c>
      <c r="AM449">
        <f>IFERROR(__xludf.DUMMYFUNCTION("""COMPUTED_VALUE"""),2016.0)</f>
        <v>2016</v>
      </c>
    </row>
    <row r="450">
      <c r="A450">
        <f>IFERROR(__xludf.DUMMYFUNCTION("""COMPUTED_VALUE"""),1.6716589E7)</f>
        <v>16716589</v>
      </c>
      <c r="B450">
        <f>IFERROR(__xludf.DUMMYFUNCTION("""COMPUTED_VALUE"""),107.0)</f>
        <v>107</v>
      </c>
      <c r="D450" t="str">
        <f>IFERROR(__xludf.DUMMYFUNCTION("""COMPUTED_VALUE"""),"INGRESAR CENTRO DE COSTO A LA DERECHA")</f>
        <v>INGRESAR CENTRO DE COSTO A LA DERECHA</v>
      </c>
      <c r="E450" t="str">
        <f>IFERROR(__xludf.DUMMYFUNCTION("""COMPUTED_VALUE"""),"ESCUELA DE MEDICINA")</f>
        <v>ESCUELA DE MEDICINA</v>
      </c>
      <c r="F450" t="str">
        <f>IFERROR(__xludf.DUMMYFUNCTION("""COMPUTED_VALUE"""),"Auxiliar de Servicios")</f>
        <v>Auxiliar de Servicios</v>
      </c>
      <c r="G450" t="str">
        <f>IFERROR(__xludf.DUMMYFUNCTION("""COMPUTED_VALUE"""),"AUXILIAR DE SERVICIOS (HOSPITAL EL PINO)")</f>
        <v>AUXILIAR DE SERVICIOS (HOSPITAL EL PINO)</v>
      </c>
      <c r="H450">
        <f>IFERROR(__xludf.DUMMYFUNCTION("""COMPUTED_VALUE"""),23.0)</f>
        <v>23</v>
      </c>
      <c r="I450" t="str">
        <f>IFERROR(__xludf.DUMMYFUNCTION("""COMPUTED_VALUE"""),"Jornada Completa")</f>
        <v>Jornada Completa</v>
      </c>
      <c r="J450" t="str">
        <f>IFERROR(__xludf.DUMMYFUNCTION("""COMPUTED_VALUE"""),"A CONTRATA")</f>
        <v>A CONTRATA</v>
      </c>
      <c r="K450" t="str">
        <f>IFERROR(__xludf.DUMMYFUNCTION("""COMPUTED_VALUE"""),"AUXILIAR")</f>
        <v>AUXILIAR</v>
      </c>
      <c r="L450" t="str">
        <f>IFERROR(__xludf.DUMMYFUNCTION("""COMPUTED_VALUE"""),"INTERNO")</f>
        <v>INTERNO</v>
      </c>
      <c r="M450">
        <f>IFERROR(__xludf.DUMMYFUNCTION("""COMPUTED_VALUE"""),0.0)</f>
        <v>0</v>
      </c>
      <c r="N450" t="str">
        <f>IFERROR(__xludf.DUMMYFUNCTION("""COMPUTED_VALUE"""),"EXTERNO")</f>
        <v>EXTERNO</v>
      </c>
      <c r="O450">
        <f>IFERROR(__xludf.DUMMYFUNCTION("""COMPUTED_VALUE"""),15.0)</f>
        <v>15</v>
      </c>
      <c r="P450">
        <f>IFERROR(__xludf.DUMMYFUNCTION("""COMPUTED_VALUE"""),4.0)</f>
        <v>4</v>
      </c>
      <c r="Q450">
        <f>IFERROR(__xludf.DUMMYFUNCTION("""COMPUTED_VALUE"""),3.0)</f>
        <v>3</v>
      </c>
      <c r="R450" s="45" t="str">
        <f>IFERROR(__xludf.DUMMYFUNCTION("""COMPUTED_VALUE"""),"SELECCIONADA")</f>
        <v>SELECCIONADA</v>
      </c>
      <c r="S450" s="38">
        <f>IFERROR(__xludf.DUMMYFUNCTION("""COMPUTED_VALUE"""),42836.0)</f>
        <v>42836</v>
      </c>
      <c r="U450" t="str">
        <f>IFERROR(__xludf.DUMMYFUNCTION("""COMPUTED_VALUE"""),"KARINA RAMOS CHAMORRO")</f>
        <v>KARINA RAMOS CHAMORRO</v>
      </c>
      <c r="V450" t="str">
        <f>IFERROR(__xludf.DUMMYFUNCTION("""COMPUTED_VALUE"""),"16716589-3")</f>
        <v>16716589-3</v>
      </c>
      <c r="W450" t="str">
        <f>IFERROR(__xludf.DUMMYFUNCTION("""COMPUTED_VALUE"""),"NO")</f>
        <v>NO</v>
      </c>
      <c r="AA450" s="38">
        <f>IFERROR(__xludf.DUMMYFUNCTION("""COMPUTED_VALUE"""),42794.0)</f>
        <v>42794</v>
      </c>
      <c r="AB450" s="38">
        <f>IFERROR(__xludf.DUMMYFUNCTION("""COMPUTED_VALUE"""),42801.0)</f>
        <v>42801</v>
      </c>
      <c r="AH450" t="str">
        <f>IFERROR(__xludf.DUMMYFUNCTION("""COMPUTED_VALUE"""),"PROCESO DE SELECCIÓN")</f>
        <v>PROCESO DE SELECCIÓN</v>
      </c>
      <c r="AI450" t="str">
        <f>IFERROR(__xludf.DUMMYFUNCTION("""COMPUTED_VALUE"""),"MARIA ARNAIZ PEREZ")</f>
        <v>MARIA ARNAIZ PEREZ</v>
      </c>
      <c r="AK450" t="str">
        <f>IFERROR(__xludf.DUMMYFUNCTION("""COMPUTED_VALUE"""),"P")</f>
        <v>P</v>
      </c>
      <c r="AL450">
        <f>IFERROR(__xludf.DUMMYFUNCTION("""COMPUTED_VALUE"""),26.0)</f>
        <v>26</v>
      </c>
      <c r="AM450">
        <f>IFERROR(__xludf.DUMMYFUNCTION("""COMPUTED_VALUE"""),2016.0)</f>
        <v>2016</v>
      </c>
    </row>
    <row r="451">
      <c r="A451">
        <f>IFERROR(__xludf.DUMMYFUNCTION("""COMPUTED_VALUE"""),1.8698519E7)</f>
        <v>18698519</v>
      </c>
      <c r="B451">
        <f>IFERROR(__xludf.DUMMYFUNCTION("""COMPUTED_VALUE"""),108.0)</f>
        <v>108</v>
      </c>
      <c r="D451" t="str">
        <f>IFERROR(__xludf.DUMMYFUNCTION("""COMPUTED_VALUE"""),"INGRESAR CENTRO DE COSTO A LA DERECHA")</f>
        <v>INGRESAR CENTRO DE COSTO A LA DERECHA</v>
      </c>
      <c r="E451" t="str">
        <f>IFERROR(__xludf.DUMMYFUNCTION("""COMPUTED_VALUE"""),"DPTO. DE MAT. Y CS. DE LA COMP.")</f>
        <v>DPTO. DE MAT. Y CS. DE LA COMP.</v>
      </c>
      <c r="F451" t="str">
        <f>IFERROR(__xludf.DUMMYFUNCTION("""COMPUTED_VALUE"""),"Administrativo(a) de Apoyo")</f>
        <v>Administrativo(a) de Apoyo</v>
      </c>
      <c r="G451" t="str">
        <f>IFERROR(__xludf.DUMMYFUNCTION("""COMPUTED_VALUE"""),"ADMINISTRATIVO DE APOYO")</f>
        <v>ADMINISTRATIVO DE APOYO</v>
      </c>
      <c r="H451">
        <f>IFERROR(__xludf.DUMMYFUNCTION("""COMPUTED_VALUE"""),20.0)</f>
        <v>20</v>
      </c>
      <c r="I451" t="str">
        <f>IFERROR(__xludf.DUMMYFUNCTION("""COMPUTED_VALUE"""),"Jornada Completa")</f>
        <v>Jornada Completa</v>
      </c>
      <c r="J451" t="str">
        <f>IFERROR(__xludf.DUMMYFUNCTION("""COMPUTED_VALUE"""),"A CONTRATA")</f>
        <v>A CONTRATA</v>
      </c>
      <c r="K451" t="str">
        <f>IFERROR(__xludf.DUMMYFUNCTION("""COMPUTED_VALUE"""),"ADMINISTRATIVO")</f>
        <v>ADMINISTRATIVO</v>
      </c>
      <c r="L451" t="str">
        <f>IFERROR(__xludf.DUMMYFUNCTION("""COMPUTED_VALUE"""),"INTERNO")</f>
        <v>INTERNO</v>
      </c>
      <c r="M451">
        <f>IFERROR(__xludf.DUMMYFUNCTION("""COMPUTED_VALUE"""),0.0)</f>
        <v>0</v>
      </c>
      <c r="N451" t="str">
        <f>IFERROR(__xludf.DUMMYFUNCTION("""COMPUTED_VALUE"""),"EXTERNO")</f>
        <v>EXTERNO</v>
      </c>
      <c r="O451">
        <f>IFERROR(__xludf.DUMMYFUNCTION("""COMPUTED_VALUE"""),6.0)</f>
        <v>6</v>
      </c>
      <c r="P451">
        <f>IFERROR(__xludf.DUMMYFUNCTION("""COMPUTED_VALUE"""),3.0)</f>
        <v>3</v>
      </c>
      <c r="Q451">
        <f>IFERROR(__xludf.DUMMYFUNCTION("""COMPUTED_VALUE"""),1.0)</f>
        <v>1</v>
      </c>
      <c r="R451" s="45" t="str">
        <f>IFERROR(__xludf.DUMMYFUNCTION("""COMPUTED_VALUE"""),"SELECCIONADA")</f>
        <v>SELECCIONADA</v>
      </c>
      <c r="S451" s="38">
        <f>IFERROR(__xludf.DUMMYFUNCTION("""COMPUTED_VALUE"""),42836.0)</f>
        <v>42836</v>
      </c>
      <c r="U451" t="str">
        <f>IFERROR(__xludf.DUMMYFUNCTION("""COMPUTED_VALUE"""),"CLAUDIA ARENAS MOYA")</f>
        <v>CLAUDIA ARENAS MOYA</v>
      </c>
      <c r="V451" t="str">
        <f>IFERROR(__xludf.DUMMYFUNCTION("""COMPUTED_VALUE"""),"18698519-2")</f>
        <v>18698519-2</v>
      </c>
      <c r="W451" t="str">
        <f>IFERROR(__xludf.DUMMYFUNCTION("""COMPUTED_VALUE"""),"NO")</f>
        <v>NO</v>
      </c>
      <c r="AA451" s="38">
        <f>IFERROR(__xludf.DUMMYFUNCTION("""COMPUTED_VALUE"""),42794.0)</f>
        <v>42794</v>
      </c>
      <c r="AB451" s="38">
        <f>IFERROR(__xludf.DUMMYFUNCTION("""COMPUTED_VALUE"""),42801.0)</f>
        <v>42801</v>
      </c>
      <c r="AH451" t="str">
        <f>IFERROR(__xludf.DUMMYFUNCTION("""COMPUTED_VALUE"""),"PROCESO DE SELECCIÓN")</f>
        <v>PROCESO DE SELECCIÓN</v>
      </c>
      <c r="AI451" t="str">
        <f>IFERROR(__xludf.DUMMYFUNCTION("""COMPUTED_VALUE"""),"VICTOR ARELLANO CATALAN")</f>
        <v>VICTOR ARELLANO CATALAN</v>
      </c>
      <c r="AK451" t="str">
        <f>IFERROR(__xludf.DUMMYFUNCTION("""COMPUTED_VALUE"""),"C")</f>
        <v>C</v>
      </c>
      <c r="AL451">
        <f>IFERROR(__xludf.DUMMYFUNCTION("""COMPUTED_VALUE"""),26.0)</f>
        <v>26</v>
      </c>
      <c r="AM451">
        <f>IFERROR(__xludf.DUMMYFUNCTION("""COMPUTED_VALUE"""),2016.0)</f>
        <v>2016</v>
      </c>
    </row>
    <row r="452">
      <c r="A452">
        <f>IFERROR(__xludf.DUMMYFUNCTION("""COMPUTED_VALUE"""),1.7924331E7)</f>
        <v>17924331</v>
      </c>
      <c r="B452">
        <f>IFERROR(__xludf.DUMMYFUNCTION("""COMPUTED_VALUE"""),109.0)</f>
        <v>109</v>
      </c>
      <c r="D452" t="str">
        <f>IFERROR(__xludf.DUMMYFUNCTION("""COMPUTED_VALUE"""),"INGRESAR CENTRO DE COSTO A LA DERECHA")</f>
        <v>INGRESAR CENTRO DE COSTO A LA DERECHA</v>
      </c>
      <c r="E452" t="str">
        <f>IFERROR(__xludf.DUMMYFUNCTION("""COMPUTED_VALUE"""),"UNIDAD DE ADM. SERV. ALIMENTARIOS")</f>
        <v>UNIDAD DE ADM. SERV. ALIMENTARIOS</v>
      </c>
      <c r="F452" t="str">
        <f>IFERROR(__xludf.DUMMYFUNCTION("""COMPUTED_VALUE"""),"Auxiliar de Servicios")</f>
        <v>Auxiliar de Servicios</v>
      </c>
      <c r="G452" t="str">
        <f>IFERROR(__xludf.DUMMYFUNCTION("""COMPUTED_VALUE"""),"AUXILIAR DE SERVICIOS")</f>
        <v>AUXILIAR DE SERVICIOS</v>
      </c>
      <c r="H452">
        <f>IFERROR(__xludf.DUMMYFUNCTION("""COMPUTED_VALUE"""),23.0)</f>
        <v>23</v>
      </c>
      <c r="I452" t="str">
        <f>IFERROR(__xludf.DUMMYFUNCTION("""COMPUTED_VALUE"""),"Jornada Completa")</f>
        <v>Jornada Completa</v>
      </c>
      <c r="J452" t="str">
        <f>IFERROR(__xludf.DUMMYFUNCTION("""COMPUTED_VALUE"""),"A CONTRATA")</f>
        <v>A CONTRATA</v>
      </c>
      <c r="K452" t="str">
        <f>IFERROR(__xludf.DUMMYFUNCTION("""COMPUTED_VALUE"""),"AUXILIAR")</f>
        <v>AUXILIAR</v>
      </c>
      <c r="L452" t="str">
        <f>IFERROR(__xludf.DUMMYFUNCTION("""COMPUTED_VALUE"""),"INTERNO")</f>
        <v>INTERNO</v>
      </c>
      <c r="M452">
        <f>IFERROR(__xludf.DUMMYFUNCTION("""COMPUTED_VALUE"""),0.0)</f>
        <v>0</v>
      </c>
      <c r="N452" t="str">
        <f>IFERROR(__xludf.DUMMYFUNCTION("""COMPUTED_VALUE"""),"EXTERNO")</f>
        <v>EXTERNO</v>
      </c>
      <c r="O452">
        <f>IFERROR(__xludf.DUMMYFUNCTION("""COMPUTED_VALUE"""),10.0)</f>
        <v>10</v>
      </c>
      <c r="P452">
        <f>IFERROR(__xludf.DUMMYFUNCTION("""COMPUTED_VALUE"""),1.0)</f>
        <v>1</v>
      </c>
      <c r="Q452">
        <f>IFERROR(__xludf.DUMMYFUNCTION("""COMPUTED_VALUE"""),1.0)</f>
        <v>1</v>
      </c>
      <c r="R452" s="45" t="str">
        <f>IFERROR(__xludf.DUMMYFUNCTION("""COMPUTED_VALUE"""),"SELECCIONADO")</f>
        <v>SELECCIONADO</v>
      </c>
      <c r="S452" s="38">
        <f>IFERROR(__xludf.DUMMYFUNCTION("""COMPUTED_VALUE"""),42829.0)</f>
        <v>42829</v>
      </c>
      <c r="U452" t="str">
        <f>IFERROR(__xludf.DUMMYFUNCTION("""COMPUTED_VALUE"""),"OMAR MUÑOZ ULLOA")</f>
        <v>OMAR MUÑOZ ULLOA</v>
      </c>
      <c r="V452" t="str">
        <f>IFERROR(__xludf.DUMMYFUNCTION("""COMPUTED_VALUE"""),"17924331-8")</f>
        <v>17924331-8</v>
      </c>
      <c r="W452" t="str">
        <f>IFERROR(__xludf.DUMMYFUNCTION("""COMPUTED_VALUE"""),"NO")</f>
        <v>NO</v>
      </c>
      <c r="AA452" s="38">
        <f>IFERROR(__xludf.DUMMYFUNCTION("""COMPUTED_VALUE"""),42794.0)</f>
        <v>42794</v>
      </c>
      <c r="AB452" s="38">
        <f>IFERROR(__xludf.DUMMYFUNCTION("""COMPUTED_VALUE"""),42801.0)</f>
        <v>42801</v>
      </c>
      <c r="AH452" t="str">
        <f>IFERROR(__xludf.DUMMYFUNCTION("""COMPUTED_VALUE"""),"PROCESO DE SELECCIÓN")</f>
        <v>PROCESO DE SELECCIÓN</v>
      </c>
      <c r="AI452" t="str">
        <f>IFERROR(__xludf.DUMMYFUNCTION("""COMPUTED_VALUE"""),"ROBINSON MUÑOZ HERNANDEZ")</f>
        <v>ROBINSON MUÑOZ HERNANDEZ</v>
      </c>
      <c r="AK452" t="str">
        <f>IFERROR(__xludf.DUMMYFUNCTION("""COMPUTED_VALUE"""),"E")</f>
        <v>E</v>
      </c>
      <c r="AL452">
        <f>IFERROR(__xludf.DUMMYFUNCTION("""COMPUTED_VALUE"""),21.0)</f>
        <v>21</v>
      </c>
      <c r="AM452">
        <f>IFERROR(__xludf.DUMMYFUNCTION("""COMPUTED_VALUE"""),2016.0)</f>
        <v>2016</v>
      </c>
    </row>
    <row r="453">
      <c r="A453">
        <f>IFERROR(__xludf.DUMMYFUNCTION("""COMPUTED_VALUE"""),1.550534E7)</f>
        <v>15505340</v>
      </c>
      <c r="B453">
        <f>IFERROR(__xludf.DUMMYFUNCTION("""COMPUTED_VALUE"""),110.0)</f>
        <v>110</v>
      </c>
      <c r="D453" t="str">
        <f>IFERROR(__xludf.DUMMYFUNCTION("""COMPUTED_VALUE"""),"INGRESAR CENTRO DE COSTO A LA DERECHA")</f>
        <v>INGRESAR CENTRO DE COSTO A LA DERECHA</v>
      </c>
      <c r="E453" t="str">
        <f>IFERROR(__xludf.DUMMYFUNCTION("""COMPUTED_VALUE"""),"FACULTAD DE DERECHO")</f>
        <v>FACULTAD DE DERECHO</v>
      </c>
      <c r="F453" t="str">
        <f>IFERROR(__xludf.DUMMYFUNCTION("""COMPUTED_VALUE"""),"Estafeta")</f>
        <v>Estafeta</v>
      </c>
      <c r="G453" t="str">
        <f>IFERROR(__xludf.DUMMYFUNCTION("""COMPUTED_VALUE"""),"ESTAFETA")</f>
        <v>ESTAFETA</v>
      </c>
      <c r="H453">
        <f>IFERROR(__xludf.DUMMYFUNCTION("""COMPUTED_VALUE"""),23.0)</f>
        <v>23</v>
      </c>
      <c r="I453" t="str">
        <f>IFERROR(__xludf.DUMMYFUNCTION("""COMPUTED_VALUE"""),"Jornada Completa")</f>
        <v>Jornada Completa</v>
      </c>
      <c r="J453" t="str">
        <f>IFERROR(__xludf.DUMMYFUNCTION("""COMPUTED_VALUE"""),"A CONTRATA")</f>
        <v>A CONTRATA</v>
      </c>
      <c r="K453" t="str">
        <f>IFERROR(__xludf.DUMMYFUNCTION("""COMPUTED_VALUE"""),"AUXILIAR")</f>
        <v>AUXILIAR</v>
      </c>
      <c r="L453" t="str">
        <f>IFERROR(__xludf.DUMMYFUNCTION("""COMPUTED_VALUE"""),"INTERNO")</f>
        <v>INTERNO</v>
      </c>
      <c r="M453">
        <f>IFERROR(__xludf.DUMMYFUNCTION("""COMPUTED_VALUE"""),1.0)</f>
        <v>1</v>
      </c>
      <c r="N453" t="str">
        <f>IFERROR(__xludf.DUMMYFUNCTION("""COMPUTED_VALUE"""),"EXTERNO")</f>
        <v>EXTERNO</v>
      </c>
      <c r="O453">
        <f>IFERROR(__xludf.DUMMYFUNCTION("""COMPUTED_VALUE"""),14.0)</f>
        <v>14</v>
      </c>
      <c r="P453">
        <f>IFERROR(__xludf.DUMMYFUNCTION("""COMPUTED_VALUE"""),2.0)</f>
        <v>2</v>
      </c>
      <c r="Q453">
        <f>IFERROR(__xludf.DUMMYFUNCTION("""COMPUTED_VALUE"""),1.0)</f>
        <v>1</v>
      </c>
      <c r="R453" s="45" t="str">
        <f>IFERROR(__xludf.DUMMYFUNCTION("""COMPUTED_VALUE"""),"SELECCIONADO")</f>
        <v>SELECCIONADO</v>
      </c>
      <c r="S453" s="38">
        <f>IFERROR(__xludf.DUMMYFUNCTION("""COMPUTED_VALUE"""),42933.0)</f>
        <v>42933</v>
      </c>
      <c r="U453" t="str">
        <f>IFERROR(__xludf.DUMMYFUNCTION("""COMPUTED_VALUE"""),"MAURICIO ROJAS MARTINEZ")</f>
        <v>MAURICIO ROJAS MARTINEZ</v>
      </c>
      <c r="V453" t="str">
        <f>IFERROR(__xludf.DUMMYFUNCTION("""COMPUTED_VALUE"""),"15505340-2")</f>
        <v>15505340-2</v>
      </c>
      <c r="W453" t="str">
        <f>IFERROR(__xludf.DUMMYFUNCTION("""COMPUTED_VALUE"""),"NO")</f>
        <v>NO</v>
      </c>
      <c r="AA453" s="38">
        <f>IFERROR(__xludf.DUMMYFUNCTION("""COMPUTED_VALUE"""),42794.0)</f>
        <v>42794</v>
      </c>
      <c r="AB453" s="38">
        <f>IFERROR(__xludf.DUMMYFUNCTION("""COMPUTED_VALUE"""),42797.0)</f>
        <v>42797</v>
      </c>
      <c r="AH453" t="str">
        <f>IFERROR(__xludf.DUMMYFUNCTION("""COMPUTED_VALUE"""),"PROCESO DE SELECCIÓN")</f>
        <v>PROCESO DE SELECCIÓN</v>
      </c>
      <c r="AI453" t="str">
        <f>IFERROR(__xludf.DUMMYFUNCTION("""COMPUTED_VALUE"""),"AUTORIZADO 2016")</f>
        <v>AUTORIZADO 2016</v>
      </c>
      <c r="AK453" t="str">
        <f>IFERROR(__xludf.DUMMYFUNCTION("""COMPUTED_VALUE"""),"E")</f>
        <v>E</v>
      </c>
      <c r="AL453">
        <f>IFERROR(__xludf.DUMMYFUNCTION("""COMPUTED_VALUE"""),97.0)</f>
        <v>97</v>
      </c>
      <c r="AM453">
        <f>IFERROR(__xludf.DUMMYFUNCTION("""COMPUTED_VALUE"""),2016.0)</f>
        <v>2016</v>
      </c>
    </row>
    <row r="454">
      <c r="A454">
        <f>IFERROR(__xludf.DUMMYFUNCTION("""COMPUTED_VALUE"""),1.5851883E7)</f>
        <v>15851883</v>
      </c>
      <c r="B454">
        <f>IFERROR(__xludf.DUMMYFUNCTION("""COMPUTED_VALUE"""),111.0)</f>
        <v>111</v>
      </c>
      <c r="D454" t="str">
        <f>IFERROR(__xludf.DUMMYFUNCTION("""COMPUTED_VALUE"""),"INGRESAR CENTRO DE COSTO A LA DERECHA")</f>
        <v>INGRESAR CENTRO DE COSTO A LA DERECHA</v>
      </c>
      <c r="E454" t="str">
        <f>IFERROR(__xludf.DUMMYFUNCTION("""COMPUTED_VALUE"""),"FACULTAD DE CIENCIAS MEDICAS")</f>
        <v>FACULTAD DE CIENCIAS MEDICAS</v>
      </c>
      <c r="F454" t="str">
        <f>IFERROR(__xludf.DUMMYFUNCTION("""COMPUTED_VALUE"""),"Analista de Gestión I")</f>
        <v>Analista de Gestión I</v>
      </c>
      <c r="G454" t="str">
        <f>IFERROR(__xludf.DUMMYFUNCTION("""COMPUTED_VALUE"""),"ANALISTA DE GESTION I")</f>
        <v>ANALISTA DE GESTION I</v>
      </c>
      <c r="H454">
        <f>IFERROR(__xludf.DUMMYFUNCTION("""COMPUTED_VALUE"""),10.0)</f>
        <v>10</v>
      </c>
      <c r="I454" t="str">
        <f>IFERROR(__xludf.DUMMYFUNCTION("""COMPUTED_VALUE"""),"Jornada Completa")</f>
        <v>Jornada Completa</v>
      </c>
      <c r="J454" t="str">
        <f>IFERROR(__xludf.DUMMYFUNCTION("""COMPUTED_VALUE"""),"A CONTRATA")</f>
        <v>A CONTRATA</v>
      </c>
      <c r="K454" t="str">
        <f>IFERROR(__xludf.DUMMYFUNCTION("""COMPUTED_VALUE"""),"PROFESIONAL")</f>
        <v>PROFESIONAL</v>
      </c>
      <c r="L454" t="str">
        <f>IFERROR(__xludf.DUMMYFUNCTION("""COMPUTED_VALUE"""),"INTERNO")</f>
        <v>INTERNO</v>
      </c>
      <c r="M454">
        <f>IFERROR(__xludf.DUMMYFUNCTION("""COMPUTED_VALUE"""),6.0)</f>
        <v>6</v>
      </c>
      <c r="N454" t="str">
        <f>IFERROR(__xludf.DUMMYFUNCTION("""COMPUTED_VALUE"""),"NO")</f>
        <v>NO</v>
      </c>
      <c r="O454">
        <f>IFERROR(__xludf.DUMMYFUNCTION("""COMPUTED_VALUE"""),0.0)</f>
        <v>0</v>
      </c>
      <c r="P454">
        <f>IFERROR(__xludf.DUMMYFUNCTION("""COMPUTED_VALUE"""),2.0)</f>
        <v>2</v>
      </c>
      <c r="Q454">
        <f>IFERROR(__xludf.DUMMYFUNCTION("""COMPUTED_VALUE"""),0.0)</f>
        <v>0</v>
      </c>
      <c r="R454" s="45" t="str">
        <f>IFERROR(__xludf.DUMMYFUNCTION("""COMPUTED_VALUE"""),"SELECCIONADO")</f>
        <v>SELECCIONADO</v>
      </c>
      <c r="S454" s="38">
        <f>IFERROR(__xludf.DUMMYFUNCTION("""COMPUTED_VALUE"""),42877.0)</f>
        <v>42877</v>
      </c>
      <c r="T454" t="str">
        <f>IFERROR(__xludf.DUMMYFUNCTION("""COMPUTED_VALUE"""),"MORENO SOTO FRANCISCO JAVIER")</f>
        <v>MORENO SOTO FRANCISCO JAVIER</v>
      </c>
      <c r="V454" t="str">
        <f>IFERROR(__xludf.DUMMYFUNCTION("""COMPUTED_VALUE"""),"15851883-K")</f>
        <v>15851883-K</v>
      </c>
      <c r="W454" t="str">
        <f>IFERROR(__xludf.DUMMYFUNCTION("""COMPUTED_VALUE"""),"SI")</f>
        <v>SI</v>
      </c>
      <c r="X454" t="str">
        <f>IFERROR(__xludf.DUMMYFUNCTION("""COMPUTED_VALUE"""),"CAPACIDAD DE PLANIFICACION Y ORGANIZACION")</f>
        <v>CAPACIDAD DE PLANIFICACION Y ORGANIZACION</v>
      </c>
      <c r="AA454" s="38">
        <f>IFERROR(__xludf.DUMMYFUNCTION("""COMPUTED_VALUE"""),42719.0)</f>
        <v>42719</v>
      </c>
      <c r="AB454" s="38">
        <f>IFERROR(__xludf.DUMMYFUNCTION("""COMPUTED_VALUE"""),42726.0)</f>
        <v>42726</v>
      </c>
      <c r="AH454" t="str">
        <f>IFERROR(__xludf.DUMMYFUNCTION("""COMPUTED_VALUE"""),"PROCESO DE SELECCIÓN")</f>
        <v>PROCESO DE SELECCIÓN</v>
      </c>
      <c r="AI454" t="str">
        <f>IFERROR(__xludf.DUMMYFUNCTION("""COMPUTED_VALUE"""),"AUTORIZADO 2016")</f>
        <v>AUTORIZADO 2016</v>
      </c>
      <c r="AK454" t="str">
        <f>IFERROR(__xludf.DUMMYFUNCTION("""COMPUTED_VALUE"""),"C")</f>
        <v>C</v>
      </c>
      <c r="AL454">
        <f>IFERROR(__xludf.DUMMYFUNCTION("""COMPUTED_VALUE"""),108.0)</f>
        <v>108</v>
      </c>
      <c r="AM454">
        <f>IFERROR(__xludf.DUMMYFUNCTION("""COMPUTED_VALUE"""),2016.0)</f>
        <v>2016</v>
      </c>
    </row>
    <row r="455">
      <c r="A455">
        <f>IFERROR(__xludf.DUMMYFUNCTION("""COMPUTED_VALUE"""),1.783941E7)</f>
        <v>17839410</v>
      </c>
      <c r="B455">
        <f>IFERROR(__xludf.DUMMYFUNCTION("""COMPUTED_VALUE"""),112.0)</f>
        <v>112</v>
      </c>
      <c r="D455" t="str">
        <f>IFERROR(__xludf.DUMMYFUNCTION("""COMPUTED_VALUE"""),"55")</f>
        <v>55</v>
      </c>
      <c r="E455" t="str">
        <f>IFERROR(__xludf.DUMMYFUNCTION("""COMPUTED_VALUE"""),"FACULTAD DE HUMANIDADES")</f>
        <v>FACULTAD DE HUMANIDADES</v>
      </c>
      <c r="F455" t="str">
        <f>IFERROR(__xludf.DUMMYFUNCTION("""COMPUTED_VALUE"""),"Bibliotecario(a)")</f>
        <v>Bibliotecario(a)</v>
      </c>
      <c r="G455" t="str">
        <f>IFERROR(__xludf.DUMMYFUNCTION("""COMPUTED_VALUE"""),"BIBLIOTECARIO")</f>
        <v>BIBLIOTECARIO</v>
      </c>
      <c r="H455">
        <f>IFERROR(__xludf.DUMMYFUNCTION("""COMPUTED_VALUE"""),14.0)</f>
        <v>14</v>
      </c>
      <c r="I455" t="str">
        <f>IFERROR(__xludf.DUMMYFUNCTION("""COMPUTED_VALUE"""),"Jornada Completa")</f>
        <v>Jornada Completa</v>
      </c>
      <c r="J455" t="str">
        <f>IFERROR(__xludf.DUMMYFUNCTION("""COMPUTED_VALUE"""),"A CONTRATA")</f>
        <v>A CONTRATA</v>
      </c>
      <c r="K455" t="str">
        <f>IFERROR(__xludf.DUMMYFUNCTION("""COMPUTED_VALUE"""),"PROFESIONAL")</f>
        <v>PROFESIONAL</v>
      </c>
      <c r="L455" t="str">
        <f>IFERROR(__xludf.DUMMYFUNCTION("""COMPUTED_VALUE"""),"INTERNO")</f>
        <v>INTERNO</v>
      </c>
      <c r="M455">
        <f>IFERROR(__xludf.DUMMYFUNCTION("""COMPUTED_VALUE"""),0.0)</f>
        <v>0</v>
      </c>
      <c r="N455" t="str">
        <f>IFERROR(__xludf.DUMMYFUNCTION("""COMPUTED_VALUE"""),"EXTERNO")</f>
        <v>EXTERNO</v>
      </c>
      <c r="O455">
        <f>IFERROR(__xludf.DUMMYFUNCTION("""COMPUTED_VALUE"""),11.0)</f>
        <v>11</v>
      </c>
      <c r="P455">
        <f>IFERROR(__xludf.DUMMYFUNCTION("""COMPUTED_VALUE"""),6.0)</f>
        <v>6</v>
      </c>
      <c r="Q455">
        <f>IFERROR(__xludf.DUMMYFUNCTION("""COMPUTED_VALUE"""),1.0)</f>
        <v>1</v>
      </c>
      <c r="R455" s="45" t="str">
        <f>IFERROR(__xludf.DUMMYFUNCTION("""COMPUTED_VALUE"""),"SELECCIONADA")</f>
        <v>SELECCIONADA</v>
      </c>
      <c r="S455" s="38">
        <f>IFERROR(__xludf.DUMMYFUNCTION("""COMPUTED_VALUE"""),42863.0)</f>
        <v>42863</v>
      </c>
      <c r="U455" t="str">
        <f>IFERROR(__xludf.DUMMYFUNCTION("""COMPUTED_VALUE"""),"ROMINA ARCILA RUIZ")</f>
        <v>ROMINA ARCILA RUIZ</v>
      </c>
      <c r="V455" t="str">
        <f>IFERROR(__xludf.DUMMYFUNCTION("""COMPUTED_VALUE"""),"17839410-K")</f>
        <v>17839410-K</v>
      </c>
      <c r="W455" t="str">
        <f>IFERROR(__xludf.DUMMYFUNCTION("""COMPUTED_VALUE"""),"SI")</f>
        <v>SI</v>
      </c>
      <c r="AA455" s="38">
        <f>IFERROR(__xludf.DUMMYFUNCTION("""COMPUTED_VALUE"""),42647.0)</f>
        <v>42647</v>
      </c>
      <c r="AB455" s="38">
        <f>IFERROR(__xludf.DUMMYFUNCTION("""COMPUTED_VALUE"""),42654.0)</f>
        <v>42654</v>
      </c>
      <c r="AH455" t="str">
        <f>IFERROR(__xludf.DUMMYFUNCTION("""COMPUTED_VALUE"""),"PROCESO DE SELECCIÓN")</f>
        <v>PROCESO DE SELECCIÓN</v>
      </c>
      <c r="AI455" t="str">
        <f>IFERROR(__xludf.DUMMYFUNCTION("""COMPUTED_VALUE"""),"CHERIE FLORES FERNÁNDEZ")</f>
        <v>CHERIE FLORES FERNÁNDEZ</v>
      </c>
      <c r="AK455" t="str">
        <f>IFERROR(__xludf.DUMMYFUNCTION("""COMPUTED_VALUE"""),"P")</f>
        <v>P</v>
      </c>
      <c r="AL455">
        <f>IFERROR(__xludf.DUMMYFUNCTION("""COMPUTED_VALUE"""),150.0)</f>
        <v>150</v>
      </c>
      <c r="AM455">
        <f>IFERROR(__xludf.DUMMYFUNCTION("""COMPUTED_VALUE"""),2016.0)</f>
        <v>2016</v>
      </c>
    </row>
    <row r="456">
      <c r="A456">
        <f>IFERROR(__xludf.DUMMYFUNCTION("""COMPUTED_VALUE"""),1.5475408E7)</f>
        <v>15475408</v>
      </c>
      <c r="B456">
        <f>IFERROR(__xludf.DUMMYFUNCTION("""COMPUTED_VALUE"""),113.0)</f>
        <v>113</v>
      </c>
      <c r="D456" t="str">
        <f>IFERROR(__xludf.DUMMYFUNCTION("""COMPUTED_VALUE"""),"INGRESAR CENTRO DE COSTO A LA DERECHA")</f>
        <v>INGRESAR CENTRO DE COSTO A LA DERECHA</v>
      </c>
      <c r="E456" t="str">
        <f>IFERROR(__xludf.DUMMYFUNCTION("""COMPUTED_VALUE"""),"FACULTAD DE HUMANIDADES")</f>
        <v>FACULTAD DE HUMANIDADES</v>
      </c>
      <c r="F456" t="str">
        <f>IFERROR(__xludf.DUMMYFUNCTION("""COMPUTED_VALUE"""),"Estafeta")</f>
        <v>Estafeta</v>
      </c>
      <c r="G456" t="str">
        <f>IFERROR(__xludf.DUMMYFUNCTION("""COMPUTED_VALUE"""),"ESTAFETA")</f>
        <v>ESTAFETA</v>
      </c>
      <c r="H456">
        <f>IFERROR(__xludf.DUMMYFUNCTION("""COMPUTED_VALUE"""),23.0)</f>
        <v>23</v>
      </c>
      <c r="I456" t="str">
        <f>IFERROR(__xludf.DUMMYFUNCTION("""COMPUTED_VALUE"""),"Jornada Completa")</f>
        <v>Jornada Completa</v>
      </c>
      <c r="J456" t="str">
        <f>IFERROR(__xludf.DUMMYFUNCTION("""COMPUTED_VALUE"""),"A CONTRATA")</f>
        <v>A CONTRATA</v>
      </c>
      <c r="K456" t="str">
        <f>IFERROR(__xludf.DUMMYFUNCTION("""COMPUTED_VALUE"""),"AUXILIAR")</f>
        <v>AUXILIAR</v>
      </c>
      <c r="L456" t="str">
        <f>IFERROR(__xludf.DUMMYFUNCTION("""COMPUTED_VALUE"""),"NO")</f>
        <v>NO</v>
      </c>
      <c r="M456">
        <f>IFERROR(__xludf.DUMMYFUNCTION("""COMPUTED_VALUE"""),0.0)</f>
        <v>0</v>
      </c>
      <c r="N456" t="str">
        <f>IFERROR(__xludf.DUMMYFUNCTION("""COMPUTED_VALUE"""),"EXTERNO")</f>
        <v>EXTERNO</v>
      </c>
      <c r="O456">
        <f>IFERROR(__xludf.DUMMYFUNCTION("""COMPUTED_VALUE"""),19.0)</f>
        <v>19</v>
      </c>
      <c r="P456">
        <f>IFERROR(__xludf.DUMMYFUNCTION("""COMPUTED_VALUE"""),1.0)</f>
        <v>1</v>
      </c>
      <c r="Q456">
        <f>IFERROR(__xludf.DUMMYFUNCTION("""COMPUTED_VALUE"""),0.0)</f>
        <v>0</v>
      </c>
      <c r="R456" s="45" t="str">
        <f>IFERROR(__xludf.DUMMYFUNCTION("""COMPUTED_VALUE"""),"SELECCIONADO")</f>
        <v>SELECCIONADO</v>
      </c>
      <c r="S456" s="38">
        <f>IFERROR(__xludf.DUMMYFUNCTION("""COMPUTED_VALUE"""),42857.0)</f>
        <v>42857</v>
      </c>
      <c r="U456" t="str">
        <f>IFERROR(__xludf.DUMMYFUNCTION("""COMPUTED_VALUE"""),"PABLO CARREÑO ESCOBAR")</f>
        <v>PABLO CARREÑO ESCOBAR</v>
      </c>
      <c r="V456" t="str">
        <f>IFERROR(__xludf.DUMMYFUNCTION("""COMPUTED_VALUE"""),"15475408-3")</f>
        <v>15475408-3</v>
      </c>
      <c r="W456" t="str">
        <f>IFERROR(__xludf.DUMMYFUNCTION("""COMPUTED_VALUE"""),"SI")</f>
        <v>SI</v>
      </c>
      <c r="X456" t="str">
        <f>IFERROR(__xludf.DUMMYFUNCTION("""COMPUTED_VALUE"""),"Comunicacion")</f>
        <v>Comunicacion</v>
      </c>
      <c r="AA456" s="38">
        <f>IFERROR(__xludf.DUMMYFUNCTION("""COMPUTED_VALUE"""),42691.0)</f>
        <v>42691</v>
      </c>
      <c r="AB456" s="38">
        <f>IFERROR(__xludf.DUMMYFUNCTION("""COMPUTED_VALUE"""),42698.0)</f>
        <v>42698</v>
      </c>
      <c r="AH456" t="str">
        <f>IFERROR(__xludf.DUMMYFUNCTION("""COMPUTED_VALUE"""),"PROCESO DE SELECCIÓN")</f>
        <v>PROCESO DE SELECCIÓN</v>
      </c>
      <c r="AI456" t="str">
        <f>IFERROR(__xludf.DUMMYFUNCTION("""COMPUTED_VALUE"""),"JULIAN PARDO CARRIÓN")</f>
        <v>JULIAN PARDO CARRIÓN</v>
      </c>
      <c r="AK456" t="str">
        <f>IFERROR(__xludf.DUMMYFUNCTION("""COMPUTED_VALUE"""),"E")</f>
        <v>E</v>
      </c>
      <c r="AL456">
        <f>IFERROR(__xludf.DUMMYFUNCTION("""COMPUTED_VALUE"""),114.0)</f>
        <v>114</v>
      </c>
      <c r="AM456">
        <f>IFERROR(__xludf.DUMMYFUNCTION("""COMPUTED_VALUE"""),2016.0)</f>
        <v>2016</v>
      </c>
    </row>
    <row r="457">
      <c r="A457">
        <f>IFERROR(__xludf.DUMMYFUNCTION("""COMPUTED_VALUE"""),1.3483149E7)</f>
        <v>13483149</v>
      </c>
      <c r="B457">
        <f>IFERROR(__xludf.DUMMYFUNCTION("""COMPUTED_VALUE"""),39.0)</f>
        <v>39</v>
      </c>
      <c r="D457" t="str">
        <f>IFERROR(__xludf.DUMMYFUNCTION("""COMPUTED_VALUE"""),"55")</f>
        <v>55</v>
      </c>
      <c r="E457" t="str">
        <f>IFERROR(__xludf.DUMMYFUNCTION("""COMPUTED_VALUE"""),"ESCUELA DE PSICOLOGIA")</f>
        <v>ESCUELA DE PSICOLOGIA</v>
      </c>
      <c r="F457" t="str">
        <f>IFERROR(__xludf.DUMMYFUNCTION("""COMPUTED_VALUE"""),"Secretario(a) de Apoyo Docente")</f>
        <v>Secretario(a) de Apoyo Docente</v>
      </c>
      <c r="G457" t="str">
        <f>IFERROR(__xludf.DUMMYFUNCTION("""COMPUTED_VALUE"""),"SECRETARIA DE APOYO DOCENTE")</f>
        <v>SECRETARIA DE APOYO DOCENTE</v>
      </c>
      <c r="H457">
        <f>IFERROR(__xludf.DUMMYFUNCTION("""COMPUTED_VALUE"""),17.0)</f>
        <v>17</v>
      </c>
      <c r="I457" t="str">
        <f>IFERROR(__xludf.DUMMYFUNCTION("""COMPUTED_VALUE"""),"Jornada Completa")</f>
        <v>Jornada Completa</v>
      </c>
      <c r="J457" t="str">
        <f>IFERROR(__xludf.DUMMYFUNCTION("""COMPUTED_VALUE"""),"A CONTRATA")</f>
        <v>A CONTRATA</v>
      </c>
      <c r="K457" t="str">
        <f>IFERROR(__xludf.DUMMYFUNCTION("""COMPUTED_VALUE"""),"ADMINISTRATIVO")</f>
        <v>ADMINISTRATIVO</v>
      </c>
      <c r="L457" t="str">
        <f>IFERROR(__xludf.DUMMYFUNCTION("""COMPUTED_VALUE"""),"NO")</f>
        <v>NO</v>
      </c>
      <c r="N457" t="str">
        <f>IFERROR(__xludf.DUMMYFUNCTION("""COMPUTED_VALUE"""),"NO")</f>
        <v>NO</v>
      </c>
      <c r="O457">
        <f>IFERROR(__xludf.DUMMYFUNCTION("""COMPUTED_VALUE"""),1.0)</f>
        <v>1</v>
      </c>
      <c r="P457">
        <f>IFERROR(__xludf.DUMMYFUNCTION("""COMPUTED_VALUE"""),1.0)</f>
        <v>1</v>
      </c>
      <c r="R457" s="45" t="str">
        <f>IFERROR(__xludf.DUMMYFUNCTION("""COMPUTED_VALUE"""),"SELECCIONADA")</f>
        <v>SELECCIONADA</v>
      </c>
      <c r="S457" s="38">
        <f>IFERROR(__xludf.DUMMYFUNCTION("""COMPUTED_VALUE"""),42064.0)</f>
        <v>42064</v>
      </c>
      <c r="U457" t="str">
        <f>IFERROR(__xludf.DUMMYFUNCTION("""COMPUTED_VALUE"""),"IVONNE FUENTEALBA PAREDES")</f>
        <v>IVONNE FUENTEALBA PAREDES</v>
      </c>
      <c r="V457" t="str">
        <f>IFERROR(__xludf.DUMMYFUNCTION("""COMPUTED_VALUE"""),"13483149-9")</f>
        <v>13483149-9</v>
      </c>
      <c r="W457" t="str">
        <f>IFERROR(__xludf.DUMMYFUNCTION("""COMPUTED_VALUE"""),"SI")</f>
        <v>SI</v>
      </c>
      <c r="X457" t="str">
        <f>IFERROR(__xludf.DUMMYFUNCTION("""COMPUTED_VALUE"""),"TRABAJO EN EQUIPO")</f>
        <v>TRABAJO EN EQUIPO</v>
      </c>
      <c r="Y457" t="str">
        <f>IFERROR(__xludf.DUMMYFUNCTION("""COMPUTED_VALUE"""),"Preocupacion por el Orden y la Claridad")</f>
        <v>Preocupacion por el Orden y la Claridad</v>
      </c>
      <c r="AH457" t="str">
        <f>IFERROR(__xludf.DUMMYFUNCTION("""COMPUTED_VALUE"""),"REGULARIZACIÓN CONTRACTUAL")</f>
        <v>REGULARIZACIÓN CONTRACTUAL</v>
      </c>
      <c r="AM457">
        <f>IFERROR(__xludf.DUMMYFUNCTION("""COMPUTED_VALUE"""),2015.0)</f>
        <v>2015</v>
      </c>
    </row>
    <row r="458">
      <c r="A458">
        <f>IFERROR(__xludf.DUMMYFUNCTION("""COMPUTED_VALUE"""),1.6427277E7)</f>
        <v>16427277</v>
      </c>
      <c r="B458">
        <f>IFERROR(__xludf.DUMMYFUNCTION("""COMPUTED_VALUE"""),40.0)</f>
        <v>40</v>
      </c>
      <c r="D458" t="str">
        <f>IFERROR(__xludf.DUMMYFUNCTION("""COMPUTED_VALUE"""),"11")</f>
        <v>11</v>
      </c>
      <c r="E458" t="str">
        <f>IFERROR(__xludf.DUMMYFUNCTION("""COMPUTED_VALUE"""),"CENTRO DE INSTRUMENTACION Y DESARROLLO ELECTRONICO")</f>
        <v>CENTRO DE INSTRUMENTACION Y DESARROLLO ELECTRONICO</v>
      </c>
      <c r="F458" t="str">
        <f>IFERROR(__xludf.DUMMYFUNCTION("""COMPUTED_VALUE"""),"Técnico(a) de Laboratorio")</f>
        <v>Técnico(a) de Laboratorio</v>
      </c>
      <c r="G458" t="str">
        <f>IFERROR(__xludf.DUMMYFUNCTION("""COMPUTED_VALUE"""),"TÉCNICO DE LABORATORIO")</f>
        <v>TÉCNICO DE LABORATORIO</v>
      </c>
      <c r="H458">
        <f>IFERROR(__xludf.DUMMYFUNCTION("""COMPUTED_VALUE"""),15.0)</f>
        <v>15</v>
      </c>
      <c r="I458" t="str">
        <f>IFERROR(__xludf.DUMMYFUNCTION("""COMPUTED_VALUE"""),"Jornada Completa")</f>
        <v>Jornada Completa</v>
      </c>
      <c r="J458" t="str">
        <f>IFERROR(__xludf.DUMMYFUNCTION("""COMPUTED_VALUE"""),"A CONTRATA")</f>
        <v>A CONTRATA</v>
      </c>
      <c r="K458" t="str">
        <f>IFERROR(__xludf.DUMMYFUNCTION("""COMPUTED_VALUE"""),"TECNICO")</f>
        <v>TECNICO</v>
      </c>
      <c r="L458" t="str">
        <f>IFERROR(__xludf.DUMMYFUNCTION("""COMPUTED_VALUE"""),"NO")</f>
        <v>NO</v>
      </c>
      <c r="N458" t="str">
        <f>IFERROR(__xludf.DUMMYFUNCTION("""COMPUTED_VALUE"""),"NO")</f>
        <v>NO</v>
      </c>
      <c r="O458">
        <f>IFERROR(__xludf.DUMMYFUNCTION("""COMPUTED_VALUE"""),1.0)</f>
        <v>1</v>
      </c>
      <c r="P458">
        <f>IFERROR(__xludf.DUMMYFUNCTION("""COMPUTED_VALUE"""),1.0)</f>
        <v>1</v>
      </c>
      <c r="R458" s="45" t="str">
        <f>IFERROR(__xludf.DUMMYFUNCTION("""COMPUTED_VALUE"""),"SELECCIONADO")</f>
        <v>SELECCIONADO</v>
      </c>
      <c r="S458" s="38">
        <f>IFERROR(__xludf.DUMMYFUNCTION("""COMPUTED_VALUE"""),42095.0)</f>
        <v>42095</v>
      </c>
      <c r="U458" t="str">
        <f>IFERROR(__xludf.DUMMYFUNCTION("""COMPUTED_VALUE"""),"MAURICIO MORALES CARRIEL")</f>
        <v>MAURICIO MORALES CARRIEL</v>
      </c>
      <c r="V458" t="str">
        <f>IFERROR(__xludf.DUMMYFUNCTION("""COMPUTED_VALUE"""),"16427277-K")</f>
        <v>16427277-K</v>
      </c>
      <c r="AH458" t="str">
        <f>IFERROR(__xludf.DUMMYFUNCTION("""COMPUTED_VALUE"""),"REGULARIZACIÓN CONTRACTUAL")</f>
        <v>REGULARIZACIÓN CONTRACTUAL</v>
      </c>
      <c r="AM458">
        <f>IFERROR(__xludf.DUMMYFUNCTION("""COMPUTED_VALUE"""),2015.0)</f>
        <v>2015</v>
      </c>
    </row>
    <row r="459">
      <c r="A459">
        <f>IFERROR(__xludf.DUMMYFUNCTION("""COMPUTED_VALUE"""),1.4207688E7)</f>
        <v>14207688</v>
      </c>
      <c r="B459">
        <f>IFERROR(__xludf.DUMMYFUNCTION("""COMPUTED_VALUE"""),41.0)</f>
        <v>41</v>
      </c>
      <c r="D459" t="str">
        <f>IFERROR(__xludf.DUMMYFUNCTION("""COMPUTED_VALUE"""),"11")</f>
        <v>11</v>
      </c>
      <c r="E459" t="str">
        <f>IFERROR(__xludf.DUMMYFUNCTION("""COMPUTED_VALUE"""),"CENTRO DE INSTRUMENTACION Y DESARROLLO ELECTRONICO")</f>
        <v>CENTRO DE INSTRUMENTACION Y DESARROLLO ELECTRONICO</v>
      </c>
      <c r="F459" t="str">
        <f>IFERROR(__xludf.DUMMYFUNCTION("""COMPUTED_VALUE"""),"Técnico(a) de Laboratorio")</f>
        <v>Técnico(a) de Laboratorio</v>
      </c>
      <c r="G459" t="str">
        <f>IFERROR(__xludf.DUMMYFUNCTION("""COMPUTED_VALUE"""),"TÉCNICO DE LABORATORIO")</f>
        <v>TÉCNICO DE LABORATORIO</v>
      </c>
      <c r="H459">
        <f>IFERROR(__xludf.DUMMYFUNCTION("""COMPUTED_VALUE"""),17.0)</f>
        <v>17</v>
      </c>
      <c r="I459" t="str">
        <f>IFERROR(__xludf.DUMMYFUNCTION("""COMPUTED_VALUE"""),"Jornada Completa")</f>
        <v>Jornada Completa</v>
      </c>
      <c r="J459" t="str">
        <f>IFERROR(__xludf.DUMMYFUNCTION("""COMPUTED_VALUE"""),"A CONTRATA")</f>
        <v>A CONTRATA</v>
      </c>
      <c r="K459" t="str">
        <f>IFERROR(__xludf.DUMMYFUNCTION("""COMPUTED_VALUE"""),"TECNICO")</f>
        <v>TECNICO</v>
      </c>
      <c r="L459" t="str">
        <f>IFERROR(__xludf.DUMMYFUNCTION("""COMPUTED_VALUE"""),"NO")</f>
        <v>NO</v>
      </c>
      <c r="N459" t="str">
        <f>IFERROR(__xludf.DUMMYFUNCTION("""COMPUTED_VALUE"""),"NO")</f>
        <v>NO</v>
      </c>
      <c r="O459">
        <f>IFERROR(__xludf.DUMMYFUNCTION("""COMPUTED_VALUE"""),1.0)</f>
        <v>1</v>
      </c>
      <c r="P459">
        <f>IFERROR(__xludf.DUMMYFUNCTION("""COMPUTED_VALUE"""),1.0)</f>
        <v>1</v>
      </c>
      <c r="R459" s="45" t="str">
        <f>IFERROR(__xludf.DUMMYFUNCTION("""COMPUTED_VALUE"""),"SELECCIONADA")</f>
        <v>SELECCIONADA</v>
      </c>
      <c r="S459" s="38">
        <f>IFERROR(__xludf.DUMMYFUNCTION("""COMPUTED_VALUE"""),42095.0)</f>
        <v>42095</v>
      </c>
      <c r="U459" t="str">
        <f>IFERROR(__xludf.DUMMYFUNCTION("""COMPUTED_VALUE"""),"NATALIA MARDONES GOMEZ")</f>
        <v>NATALIA MARDONES GOMEZ</v>
      </c>
      <c r="V459" t="str">
        <f>IFERROR(__xludf.DUMMYFUNCTION("""COMPUTED_VALUE"""),"14207688-8")</f>
        <v>14207688-8</v>
      </c>
      <c r="W459" t="str">
        <f>IFERROR(__xludf.DUMMYFUNCTION("""COMPUTED_VALUE"""),"NO")</f>
        <v>NO</v>
      </c>
      <c r="AH459" t="str">
        <f>IFERROR(__xludf.DUMMYFUNCTION("""COMPUTED_VALUE"""),"REGULARIZACIÓN CONTRACTUAL")</f>
        <v>REGULARIZACIÓN CONTRACTUAL</v>
      </c>
      <c r="AM459">
        <f>IFERROR(__xludf.DUMMYFUNCTION("""COMPUTED_VALUE"""),2015.0)</f>
        <v>2015</v>
      </c>
    </row>
    <row r="460">
      <c r="A460">
        <f>IFERROR(__xludf.DUMMYFUNCTION("""COMPUTED_VALUE"""),1.0228021E7)</f>
        <v>10228021</v>
      </c>
      <c r="B460">
        <f>IFERROR(__xludf.DUMMYFUNCTION("""COMPUTED_VALUE"""),43.0)</f>
        <v>43</v>
      </c>
      <c r="D460" t="str">
        <f>IFERROR(__xludf.DUMMYFUNCTION("""COMPUTED_VALUE"""),"50")</f>
        <v>50</v>
      </c>
      <c r="E460" t="str">
        <f>IFERROR(__xludf.DUMMYFUNCTION("""COMPUTED_VALUE"""),"DEPARTAMENTO DE MATEMATICA Y CIENCIA DE LA COMPUTACION")</f>
        <v>DEPARTAMENTO DE MATEMATICA Y CIENCIA DE LA COMPUTACION</v>
      </c>
      <c r="F460" t="str">
        <f>IFERROR(__xludf.DUMMYFUNCTION("""COMPUTED_VALUE"""),"Administrador(a) de Sistemas")</f>
        <v>Administrador(a) de Sistemas</v>
      </c>
      <c r="G460" t="str">
        <f>IFERROR(__xludf.DUMMYFUNCTION("""COMPUTED_VALUE"""),"ADMINISTRADOR DE SISTEMAS")</f>
        <v>ADMINISTRADOR DE SISTEMAS</v>
      </c>
      <c r="H460">
        <f>IFERROR(__xludf.DUMMYFUNCTION("""COMPUTED_VALUE"""),11.0)</f>
        <v>11</v>
      </c>
      <c r="I460" t="str">
        <f>IFERROR(__xludf.DUMMYFUNCTION("""COMPUTED_VALUE"""),"Jornada Completa")</f>
        <v>Jornada Completa</v>
      </c>
      <c r="J460" t="str">
        <f>IFERROR(__xludf.DUMMYFUNCTION("""COMPUTED_VALUE"""),"A CONTRATA")</f>
        <v>A CONTRATA</v>
      </c>
      <c r="K460" t="str">
        <f>IFERROR(__xludf.DUMMYFUNCTION("""COMPUTED_VALUE"""),"PROFESIONAL")</f>
        <v>PROFESIONAL</v>
      </c>
      <c r="L460" t="str">
        <f>IFERROR(__xludf.DUMMYFUNCTION("""COMPUTED_VALUE"""),"NO")</f>
        <v>NO</v>
      </c>
      <c r="N460" t="str">
        <f>IFERROR(__xludf.DUMMYFUNCTION("""COMPUTED_VALUE"""),"NO")</f>
        <v>NO</v>
      </c>
      <c r="O460">
        <f>IFERROR(__xludf.DUMMYFUNCTION("""COMPUTED_VALUE"""),1.0)</f>
        <v>1</v>
      </c>
      <c r="P460">
        <f>IFERROR(__xludf.DUMMYFUNCTION("""COMPUTED_VALUE"""),1.0)</f>
        <v>1</v>
      </c>
      <c r="R460" s="45" t="str">
        <f>IFERROR(__xludf.DUMMYFUNCTION("""COMPUTED_VALUE"""),"SELECCIONADO")</f>
        <v>SELECCIONADO</v>
      </c>
      <c r="S460" s="38">
        <f>IFERROR(__xludf.DUMMYFUNCTION("""COMPUTED_VALUE"""),42186.0)</f>
        <v>42186</v>
      </c>
      <c r="U460" t="str">
        <f>IFERROR(__xludf.DUMMYFUNCTION("""COMPUTED_VALUE"""),"CLAUDIO FARIAS AGUILERA")</f>
        <v>CLAUDIO FARIAS AGUILERA</v>
      </c>
      <c r="V460" t="str">
        <f>IFERROR(__xludf.DUMMYFUNCTION("""COMPUTED_VALUE"""),"10228021-0")</f>
        <v>10228021-0</v>
      </c>
      <c r="W460" t="str">
        <f>IFERROR(__xludf.DUMMYFUNCTION("""COMPUTED_VALUE"""),"SI")</f>
        <v>SI</v>
      </c>
      <c r="Y460" t="str">
        <f>IFERROR(__xludf.DUMMYFUNCTION("""COMPUTED_VALUE"""),"INICIATIVA")</f>
        <v>INICIATIVA</v>
      </c>
      <c r="AH460" t="str">
        <f>IFERROR(__xludf.DUMMYFUNCTION("""COMPUTED_VALUE"""),"REGULARIZACIÓN CONTRACTUAL")</f>
        <v>REGULARIZACIÓN CONTRACTUAL</v>
      </c>
      <c r="AM460">
        <f>IFERROR(__xludf.DUMMYFUNCTION("""COMPUTED_VALUE"""),2015.0)</f>
        <v>2015</v>
      </c>
    </row>
    <row r="461">
      <c r="A461">
        <f>IFERROR(__xludf.DUMMYFUNCTION("""COMPUTED_VALUE"""),1.7021753E7)</f>
        <v>17021753</v>
      </c>
      <c r="B461">
        <f>IFERROR(__xludf.DUMMYFUNCTION("""COMPUTED_VALUE"""),44.0)</f>
        <v>44</v>
      </c>
      <c r="D461" t="str">
        <f>IFERROR(__xludf.DUMMYFUNCTION("""COMPUTED_VALUE"""),"1")</f>
        <v>1</v>
      </c>
      <c r="E461" t="str">
        <f>IFERROR(__xludf.DUMMYFUNCTION("""COMPUTED_VALUE"""),"RECTORIA")</f>
        <v>RECTORIA</v>
      </c>
      <c r="F461" t="str">
        <f>IFERROR(__xludf.DUMMYFUNCTION("""COMPUTED_VALUE"""),"Analista de Gestión I")</f>
        <v>Analista de Gestión I</v>
      </c>
      <c r="G461" t="str">
        <f>IFERROR(__xludf.DUMMYFUNCTION("""COMPUTED_VALUE"""),"ANALISTA I")</f>
        <v>ANALISTA I</v>
      </c>
      <c r="H461">
        <f>IFERROR(__xludf.DUMMYFUNCTION("""COMPUTED_VALUE"""),10.0)</f>
        <v>10</v>
      </c>
      <c r="I461" t="str">
        <f>IFERROR(__xludf.DUMMYFUNCTION("""COMPUTED_VALUE"""),"Jornada Completa")</f>
        <v>Jornada Completa</v>
      </c>
      <c r="J461" t="str">
        <f>IFERROR(__xludf.DUMMYFUNCTION("""COMPUTED_VALUE"""),"A CONTRATA")</f>
        <v>A CONTRATA</v>
      </c>
      <c r="K461" t="str">
        <f>IFERROR(__xludf.DUMMYFUNCTION("""COMPUTED_VALUE"""),"PROFESIONAL")</f>
        <v>PROFESIONAL</v>
      </c>
      <c r="L461" t="str">
        <f>IFERROR(__xludf.DUMMYFUNCTION("""COMPUTED_VALUE"""),"NO")</f>
        <v>NO</v>
      </c>
      <c r="N461" t="str">
        <f>IFERROR(__xludf.DUMMYFUNCTION("""COMPUTED_VALUE"""),"NO")</f>
        <v>NO</v>
      </c>
      <c r="O461">
        <f>IFERROR(__xludf.DUMMYFUNCTION("""COMPUTED_VALUE"""),1.0)</f>
        <v>1</v>
      </c>
      <c r="P461">
        <f>IFERROR(__xludf.DUMMYFUNCTION("""COMPUTED_VALUE"""),1.0)</f>
        <v>1</v>
      </c>
      <c r="R461" s="45" t="str">
        <f>IFERROR(__xludf.DUMMYFUNCTION("""COMPUTED_VALUE"""),"SELECCIONADO")</f>
        <v>SELECCIONADO</v>
      </c>
      <c r="S461" s="38">
        <f>IFERROR(__xludf.DUMMYFUNCTION("""COMPUTED_VALUE"""),42186.0)</f>
        <v>42186</v>
      </c>
      <c r="U461" t="str">
        <f>IFERROR(__xludf.DUMMYFUNCTION("""COMPUTED_VALUE"""),"FRANCISCO ACUNA CASTILLO")</f>
        <v>FRANCISCO ACUNA CASTILLO</v>
      </c>
      <c r="V461" t="str">
        <f>IFERROR(__xludf.DUMMYFUNCTION("""COMPUTED_VALUE"""),"17021753-5")</f>
        <v>17021753-5</v>
      </c>
      <c r="W461" t="str">
        <f>IFERROR(__xludf.DUMMYFUNCTION("""COMPUTED_VALUE"""),"SI")</f>
        <v>SI</v>
      </c>
      <c r="X461" t="str">
        <f>IFERROR(__xludf.DUMMYFUNCTION("""COMPUTED_VALUE"""),"PENSAMIENTO ANALITICO")</f>
        <v>PENSAMIENTO ANALITICO</v>
      </c>
      <c r="AH461" t="str">
        <f>IFERROR(__xludf.DUMMYFUNCTION("""COMPUTED_VALUE"""),"REGULARIZACIÓN CONTRACTUAL")</f>
        <v>REGULARIZACIÓN CONTRACTUAL</v>
      </c>
      <c r="AM461">
        <f>IFERROR(__xludf.DUMMYFUNCTION("""COMPUTED_VALUE"""),2015.0)</f>
        <v>2015</v>
      </c>
    </row>
    <row r="462">
      <c r="A462">
        <f>IFERROR(__xludf.DUMMYFUNCTION("""COMPUTED_VALUE"""),1.2236278E7)</f>
        <v>12236278</v>
      </c>
      <c r="B462">
        <f>IFERROR(__xludf.DUMMYFUNCTION("""COMPUTED_VALUE"""),45.0)</f>
        <v>45</v>
      </c>
      <c r="D462" t="str">
        <f>IFERROR(__xludf.DUMMYFUNCTION("""COMPUTED_VALUE"""),"22")</f>
        <v>22</v>
      </c>
      <c r="E462" t="str">
        <f>IFERROR(__xludf.DUMMYFUNCTION("""COMPUTED_VALUE"""),"DEPARTAMENTO DE ASIGNACION DE BENEFICIOS ESTUDIANTILES")</f>
        <v>DEPARTAMENTO DE ASIGNACION DE BENEFICIOS ESTUDIANTILES</v>
      </c>
      <c r="F462" t="str">
        <f>IFERROR(__xludf.DUMMYFUNCTION("""COMPUTED_VALUE"""),"Administrativo(a) Especializado")</f>
        <v>Administrativo(a) Especializado</v>
      </c>
      <c r="G462" t="str">
        <f>IFERROR(__xludf.DUMMYFUNCTION("""COMPUTED_VALUE"""),"ADMINISTRATIVO ESPECIALIZADO")</f>
        <v>ADMINISTRATIVO ESPECIALIZADO</v>
      </c>
      <c r="H462">
        <f>IFERROR(__xludf.DUMMYFUNCTION("""COMPUTED_VALUE"""),11.0)</f>
        <v>11</v>
      </c>
      <c r="I462" t="str">
        <f>IFERROR(__xludf.DUMMYFUNCTION("""COMPUTED_VALUE"""),"Jornada Completa")</f>
        <v>Jornada Completa</v>
      </c>
      <c r="J462" t="str">
        <f>IFERROR(__xludf.DUMMYFUNCTION("""COMPUTED_VALUE"""),"A CONTRATA")</f>
        <v>A CONTRATA</v>
      </c>
      <c r="K462" t="str">
        <f>IFERROR(__xludf.DUMMYFUNCTION("""COMPUTED_VALUE"""),"ADMINISTRATIVO")</f>
        <v>ADMINISTRATIVO</v>
      </c>
      <c r="L462" t="str">
        <f>IFERROR(__xludf.DUMMYFUNCTION("""COMPUTED_VALUE"""),"NO")</f>
        <v>NO</v>
      </c>
      <c r="N462" t="str">
        <f>IFERROR(__xludf.DUMMYFUNCTION("""COMPUTED_VALUE"""),"NO")</f>
        <v>NO</v>
      </c>
      <c r="O462">
        <f>IFERROR(__xludf.DUMMYFUNCTION("""COMPUTED_VALUE"""),1.0)</f>
        <v>1</v>
      </c>
      <c r="P462">
        <f>IFERROR(__xludf.DUMMYFUNCTION("""COMPUTED_VALUE"""),1.0)</f>
        <v>1</v>
      </c>
      <c r="R462" s="45" t="str">
        <f>IFERROR(__xludf.DUMMYFUNCTION("""COMPUTED_VALUE"""),"SELECCIONADO")</f>
        <v>SELECCIONADO</v>
      </c>
      <c r="S462" s="38">
        <f>IFERROR(__xludf.DUMMYFUNCTION("""COMPUTED_VALUE"""),42186.0)</f>
        <v>42186</v>
      </c>
      <c r="U462" t="str">
        <f>IFERROR(__xludf.DUMMYFUNCTION("""COMPUTED_VALUE"""),"FREDDY BRIONES GUTIERREZ")</f>
        <v>FREDDY BRIONES GUTIERREZ</v>
      </c>
      <c r="V462" t="str">
        <f>IFERROR(__xludf.DUMMYFUNCTION("""COMPUTED_VALUE"""),"12236278-7")</f>
        <v>12236278-7</v>
      </c>
      <c r="W462" t="str">
        <f>IFERROR(__xludf.DUMMYFUNCTION("""COMPUTED_VALUE"""),"SI")</f>
        <v>SI</v>
      </c>
      <c r="X462" t="str">
        <f>IFERROR(__xludf.DUMMYFUNCTION("""COMPUTED_VALUE"""),"BUSQUEDA DE INFORMACION")</f>
        <v>BUSQUEDA DE INFORMACION</v>
      </c>
      <c r="AH462" t="str">
        <f>IFERROR(__xludf.DUMMYFUNCTION("""COMPUTED_VALUE"""),"REGULARIZACIÓN CONTRACTUAL")</f>
        <v>REGULARIZACIÓN CONTRACTUAL</v>
      </c>
      <c r="AM462">
        <f>IFERROR(__xludf.DUMMYFUNCTION("""COMPUTED_VALUE"""),2015.0)</f>
        <v>2015</v>
      </c>
    </row>
    <row r="463">
      <c r="A463">
        <f>IFERROR(__xludf.DUMMYFUNCTION("""COMPUTED_VALUE"""),1.5894942E7)</f>
        <v>15894942</v>
      </c>
      <c r="B463">
        <f>IFERROR(__xludf.DUMMYFUNCTION("""COMPUTED_VALUE"""),46.0)</f>
        <v>46</v>
      </c>
      <c r="D463" t="str">
        <f>IFERROR(__xludf.DUMMYFUNCTION("""COMPUTED_VALUE"""),"60")</f>
        <v>60</v>
      </c>
      <c r="E463" t="str">
        <f>IFERROR(__xludf.DUMMYFUNCTION("""COMPUTED_VALUE"""),"FACULTAD DE ADMINISTRACION Y ECONOMIA")</f>
        <v>FACULTAD DE ADMINISTRACION Y ECONOMIA</v>
      </c>
      <c r="F463" t="str">
        <f>IFERROR(__xludf.DUMMYFUNCTION("""COMPUTED_VALUE"""),"Publicista")</f>
        <v>Publicista</v>
      </c>
      <c r="G463" t="str">
        <f>IFERROR(__xludf.DUMMYFUNCTION("""COMPUTED_VALUE"""),"PUBLICISTA")</f>
        <v>PUBLICISTA</v>
      </c>
      <c r="H463">
        <f>IFERROR(__xludf.DUMMYFUNCTION("""COMPUTED_VALUE"""),13.0)</f>
        <v>13</v>
      </c>
      <c r="I463" t="str">
        <f>IFERROR(__xludf.DUMMYFUNCTION("""COMPUTED_VALUE"""),"Jornada Completa")</f>
        <v>Jornada Completa</v>
      </c>
      <c r="J463" t="str">
        <f>IFERROR(__xludf.DUMMYFUNCTION("""COMPUTED_VALUE"""),"A CONTRATA")</f>
        <v>A CONTRATA</v>
      </c>
      <c r="K463" t="str">
        <f>IFERROR(__xludf.DUMMYFUNCTION("""COMPUTED_VALUE"""),"PROFESIONAL")</f>
        <v>PROFESIONAL</v>
      </c>
      <c r="L463" t="str">
        <f>IFERROR(__xludf.DUMMYFUNCTION("""COMPUTED_VALUE"""),"NO")</f>
        <v>NO</v>
      </c>
      <c r="N463" t="str">
        <f>IFERROR(__xludf.DUMMYFUNCTION("""COMPUTED_VALUE"""),"NO")</f>
        <v>NO</v>
      </c>
      <c r="O463">
        <f>IFERROR(__xludf.DUMMYFUNCTION("""COMPUTED_VALUE"""),1.0)</f>
        <v>1</v>
      </c>
      <c r="P463">
        <f>IFERROR(__xludf.DUMMYFUNCTION("""COMPUTED_VALUE"""),1.0)</f>
        <v>1</v>
      </c>
      <c r="R463" s="45" t="str">
        <f>IFERROR(__xludf.DUMMYFUNCTION("""COMPUTED_VALUE"""),"SELECCIONADO")</f>
        <v>SELECCIONADO</v>
      </c>
      <c r="S463" s="38">
        <f>IFERROR(__xludf.DUMMYFUNCTION("""COMPUTED_VALUE"""),42186.0)</f>
        <v>42186</v>
      </c>
      <c r="U463" t="str">
        <f>IFERROR(__xludf.DUMMYFUNCTION("""COMPUTED_VALUE"""),"JOSE CORONADO JARA")</f>
        <v>JOSE CORONADO JARA</v>
      </c>
      <c r="V463" t="str">
        <f>IFERROR(__xludf.DUMMYFUNCTION("""COMPUTED_VALUE"""),"15894942-3")</f>
        <v>15894942-3</v>
      </c>
      <c r="W463" t="str">
        <f>IFERROR(__xludf.DUMMYFUNCTION("""COMPUTED_VALUE"""),"SI")</f>
        <v>SI</v>
      </c>
      <c r="X463" t="str">
        <f>IFERROR(__xludf.DUMMYFUNCTION("""COMPUTED_VALUE"""),"INICIATIVA")</f>
        <v>INICIATIVA</v>
      </c>
      <c r="AH463" t="str">
        <f>IFERROR(__xludf.DUMMYFUNCTION("""COMPUTED_VALUE"""),"REGULARIZACIÓN CONTRACTUAL")</f>
        <v>REGULARIZACIÓN CONTRACTUAL</v>
      </c>
      <c r="AM463">
        <f>IFERROR(__xludf.DUMMYFUNCTION("""COMPUTED_VALUE"""),2015.0)</f>
        <v>2015</v>
      </c>
    </row>
    <row r="464">
      <c r="A464">
        <f>IFERROR(__xludf.DUMMYFUNCTION("""COMPUTED_VALUE"""),1.5830917E7)</f>
        <v>15830917</v>
      </c>
      <c r="B464">
        <f>IFERROR(__xludf.DUMMYFUNCTION("""COMPUTED_VALUE"""),47.0)</f>
        <v>47</v>
      </c>
      <c r="D464" t="str">
        <f>IFERROR(__xludf.DUMMYFUNCTION("""COMPUTED_VALUE"""),"3")</f>
        <v>3</v>
      </c>
      <c r="E464" t="str">
        <f>IFERROR(__xludf.DUMMYFUNCTION("""COMPUTED_VALUE"""),"DEPARTAMENTO DE ESTUDIOS")</f>
        <v>DEPARTAMENTO DE ESTUDIOS</v>
      </c>
      <c r="F464" t="str">
        <f>IFERROR(__xludf.DUMMYFUNCTION("""COMPUTED_VALUE"""),"Analista de Gestión I")</f>
        <v>Analista de Gestión I</v>
      </c>
      <c r="G464" t="str">
        <f>IFERROR(__xludf.DUMMYFUNCTION("""COMPUTED_VALUE"""),"ANALISTA I")</f>
        <v>ANALISTA I</v>
      </c>
      <c r="H464">
        <f>IFERROR(__xludf.DUMMYFUNCTION("""COMPUTED_VALUE"""),8.0)</f>
        <v>8</v>
      </c>
      <c r="I464" t="str">
        <f>IFERROR(__xludf.DUMMYFUNCTION("""COMPUTED_VALUE"""),"Jornada Completa")</f>
        <v>Jornada Completa</v>
      </c>
      <c r="J464" t="str">
        <f>IFERROR(__xludf.DUMMYFUNCTION("""COMPUTED_VALUE"""),"A CONTRATA")</f>
        <v>A CONTRATA</v>
      </c>
      <c r="K464" t="str">
        <f>IFERROR(__xludf.DUMMYFUNCTION("""COMPUTED_VALUE"""),"PROFESIONAL")</f>
        <v>PROFESIONAL</v>
      </c>
      <c r="L464" t="str">
        <f>IFERROR(__xludf.DUMMYFUNCTION("""COMPUTED_VALUE"""),"NO")</f>
        <v>NO</v>
      </c>
      <c r="N464" t="str">
        <f>IFERROR(__xludf.DUMMYFUNCTION("""COMPUTED_VALUE"""),"NO")</f>
        <v>NO</v>
      </c>
      <c r="O464">
        <f>IFERROR(__xludf.DUMMYFUNCTION("""COMPUTED_VALUE"""),1.0)</f>
        <v>1</v>
      </c>
      <c r="P464">
        <f>IFERROR(__xludf.DUMMYFUNCTION("""COMPUTED_VALUE"""),1.0)</f>
        <v>1</v>
      </c>
      <c r="R464" s="45" t="str">
        <f>IFERROR(__xludf.DUMMYFUNCTION("""COMPUTED_VALUE"""),"SELECCIONADO")</f>
        <v>SELECCIONADO</v>
      </c>
      <c r="S464" s="38">
        <f>IFERROR(__xludf.DUMMYFUNCTION("""COMPUTED_VALUE"""),42186.0)</f>
        <v>42186</v>
      </c>
      <c r="U464" t="str">
        <f>IFERROR(__xludf.DUMMYFUNCTION("""COMPUTED_VALUE"""),"LEONARDO COFRE CATALAN")</f>
        <v>LEONARDO COFRE CATALAN</v>
      </c>
      <c r="V464" t="str">
        <f>IFERROR(__xludf.DUMMYFUNCTION("""COMPUTED_VALUE"""),"15830917-3")</f>
        <v>15830917-3</v>
      </c>
      <c r="W464" t="str">
        <f>IFERROR(__xludf.DUMMYFUNCTION("""COMPUTED_VALUE"""),"SI")</f>
        <v>SI</v>
      </c>
      <c r="X464" t="str">
        <f>IFERROR(__xludf.DUMMYFUNCTION("""COMPUTED_VALUE"""),"PENSAMIENTO ANALITICO")</f>
        <v>PENSAMIENTO ANALITICO</v>
      </c>
      <c r="AH464" t="str">
        <f>IFERROR(__xludf.DUMMYFUNCTION("""COMPUTED_VALUE"""),"REGULARIZACIÓN CONTRACTUAL")</f>
        <v>REGULARIZACIÓN CONTRACTUAL</v>
      </c>
      <c r="AM464">
        <f>IFERROR(__xludf.DUMMYFUNCTION("""COMPUTED_VALUE"""),2015.0)</f>
        <v>2015</v>
      </c>
    </row>
    <row r="465">
      <c r="A465">
        <f>IFERROR(__xludf.DUMMYFUNCTION("""COMPUTED_VALUE"""),1.54546E7)</f>
        <v>15454600</v>
      </c>
      <c r="B465">
        <f>IFERROR(__xludf.DUMMYFUNCTION("""COMPUTED_VALUE"""),1.0)</f>
        <v>1</v>
      </c>
      <c r="D465" t="str">
        <f>IFERROR(__xludf.DUMMYFUNCTION("""COMPUTED_VALUE"""),"3")</f>
        <v>3</v>
      </c>
      <c r="E465" t="str">
        <f>IFERROR(__xludf.DUMMYFUNCTION("""COMPUTED_VALUE"""),"UNIDAD DE BIENESTAR DEL PERSONAL")</f>
        <v>UNIDAD DE BIENESTAR DEL PERSONAL</v>
      </c>
      <c r="F465" t="str">
        <f>IFERROR(__xludf.DUMMYFUNCTION("""COMPUTED_VALUE"""),"Técnico(a) en Atención de Párvulos")</f>
        <v>Técnico(a) en Atención de Párvulos</v>
      </c>
      <c r="G465" t="str">
        <f>IFERROR(__xludf.DUMMYFUNCTION("""COMPUTED_VALUE"""),"TECNICO DE PARVULOS")</f>
        <v>TECNICO DE PARVULOS</v>
      </c>
      <c r="H465">
        <f>IFERROR(__xludf.DUMMYFUNCTION("""COMPUTED_VALUE"""),21.0)</f>
        <v>21</v>
      </c>
      <c r="I465" t="str">
        <f>IFERROR(__xludf.DUMMYFUNCTION("""COMPUTED_VALUE"""),"Jornada Completa")</f>
        <v>Jornada Completa</v>
      </c>
      <c r="J465" t="str">
        <f>IFERROR(__xludf.DUMMYFUNCTION("""COMPUTED_VALUE"""),"A CONTRATA")</f>
        <v>A CONTRATA</v>
      </c>
      <c r="K465" t="str">
        <f>IFERROR(__xludf.DUMMYFUNCTION("""COMPUTED_VALUE"""),"TECNICO")</f>
        <v>TECNICO</v>
      </c>
      <c r="L465" t="str">
        <f>IFERROR(__xludf.DUMMYFUNCTION("""COMPUTED_VALUE"""),"INTERNO")</f>
        <v>INTERNO</v>
      </c>
      <c r="M465">
        <f>IFERROR(__xludf.DUMMYFUNCTION("""COMPUTED_VALUE"""),0.0)</f>
        <v>0</v>
      </c>
      <c r="N465" t="str">
        <f>IFERROR(__xludf.DUMMYFUNCTION("""COMPUTED_VALUE"""),"EXTERNO")</f>
        <v>EXTERNO</v>
      </c>
      <c r="O465">
        <f>IFERROR(__xludf.DUMMYFUNCTION("""COMPUTED_VALUE"""),9.0)</f>
        <v>9</v>
      </c>
      <c r="P465">
        <f>IFERROR(__xludf.DUMMYFUNCTION("""COMPUTED_VALUE"""),5.0)</f>
        <v>5</v>
      </c>
      <c r="Q465">
        <f>IFERROR(__xludf.DUMMYFUNCTION("""COMPUTED_VALUE"""),1.0)</f>
        <v>1</v>
      </c>
      <c r="R465" s="45" t="str">
        <f>IFERROR(__xludf.DUMMYFUNCTION("""COMPUTED_VALUE"""),"SELECCIONADA")</f>
        <v>SELECCIONADA</v>
      </c>
      <c r="S465" s="38">
        <f>IFERROR(__xludf.DUMMYFUNCTION("""COMPUTED_VALUE"""),42095.0)</f>
        <v>42095</v>
      </c>
      <c r="U465" t="str">
        <f>IFERROR(__xludf.DUMMYFUNCTION("""COMPUTED_VALUE"""),"MARIA CERDA ANCAMIL")</f>
        <v>MARIA CERDA ANCAMIL</v>
      </c>
      <c r="V465" t="str">
        <f>IFERROR(__xludf.DUMMYFUNCTION("""COMPUTED_VALUE"""),"15454600-6")</f>
        <v>15454600-6</v>
      </c>
      <c r="W465" t="str">
        <f>IFERROR(__xludf.DUMMYFUNCTION("""COMPUTED_VALUE"""),"SI")</f>
        <v>SI</v>
      </c>
      <c r="X465" t="str">
        <f>IFERROR(__xludf.DUMMYFUNCTION("""COMPUTED_VALUE"""),"AUTOCONTROL")</f>
        <v>AUTOCONTROL</v>
      </c>
      <c r="AA465" s="38">
        <f>IFERROR(__xludf.DUMMYFUNCTION("""COMPUTED_VALUE"""),42065.0)</f>
        <v>42065</v>
      </c>
      <c r="AB465" s="38">
        <f>IFERROR(__xludf.DUMMYFUNCTION("""COMPUTED_VALUE"""),42072.0)</f>
        <v>42072</v>
      </c>
      <c r="AH465" t="str">
        <f>IFERROR(__xludf.DUMMYFUNCTION("""COMPUTED_VALUE"""),"PROCESO DE SELECCIÓN")</f>
        <v>PROCESO DE SELECCIÓN</v>
      </c>
      <c r="AK465" t="str">
        <f>IFERROR(__xludf.DUMMYFUNCTION("""COMPUTED_VALUE"""),"C")</f>
        <v>C</v>
      </c>
      <c r="AL465">
        <f>IFERROR(__xludf.DUMMYFUNCTION("""COMPUTED_VALUE"""),18.0)</f>
        <v>18</v>
      </c>
      <c r="AM465">
        <f>IFERROR(__xludf.DUMMYFUNCTION("""COMPUTED_VALUE"""),2015.0)</f>
        <v>2015</v>
      </c>
    </row>
    <row r="466">
      <c r="A466">
        <f>IFERROR(__xludf.DUMMYFUNCTION("""COMPUTED_VALUE"""),7368541.0)</f>
        <v>7368541</v>
      </c>
      <c r="B466">
        <f>IFERROR(__xludf.DUMMYFUNCTION("""COMPUTED_VALUE"""),2.0)</f>
        <v>2</v>
      </c>
      <c r="D466" t="str">
        <f>IFERROR(__xludf.DUMMYFUNCTION("""COMPUTED_VALUE"""),"3")</f>
        <v>3</v>
      </c>
      <c r="E466" t="str">
        <f>IFERROR(__xludf.DUMMYFUNCTION("""COMPUTED_VALUE"""),"UNIDAD DE GESTION DEL CAMPUS")</f>
        <v>UNIDAD DE GESTION DEL CAMPUS</v>
      </c>
      <c r="F466" t="str">
        <f>IFERROR(__xludf.DUMMYFUNCTION("""COMPUTED_VALUE"""),"Operador(a) de Caldera")</f>
        <v>Operador(a) de Caldera</v>
      </c>
      <c r="G466" t="str">
        <f>IFERROR(__xludf.DUMMYFUNCTION("""COMPUTED_VALUE"""),"OPERADOR DE CALDERA")</f>
        <v>OPERADOR DE CALDERA</v>
      </c>
      <c r="H466">
        <f>IFERROR(__xludf.DUMMYFUNCTION("""COMPUTED_VALUE"""),17.0)</f>
        <v>17</v>
      </c>
      <c r="I466" t="str">
        <f>IFERROR(__xludf.DUMMYFUNCTION("""COMPUTED_VALUE"""),"Jornada Completa")</f>
        <v>Jornada Completa</v>
      </c>
      <c r="J466" t="str">
        <f>IFERROR(__xludf.DUMMYFUNCTION("""COMPUTED_VALUE"""),"A CONTRATA")</f>
        <v>A CONTRATA</v>
      </c>
      <c r="K466" t="str">
        <f>IFERROR(__xludf.DUMMYFUNCTION("""COMPUTED_VALUE"""),"TECNICO")</f>
        <v>TECNICO</v>
      </c>
      <c r="L466" t="str">
        <f>IFERROR(__xludf.DUMMYFUNCTION("""COMPUTED_VALUE"""),"INTERNO")</f>
        <v>INTERNO</v>
      </c>
      <c r="M466">
        <f>IFERROR(__xludf.DUMMYFUNCTION("""COMPUTED_VALUE"""),0.0)</f>
        <v>0</v>
      </c>
      <c r="N466" t="str">
        <f>IFERROR(__xludf.DUMMYFUNCTION("""COMPUTED_VALUE"""),"EXTERNO")</f>
        <v>EXTERNO</v>
      </c>
      <c r="O466">
        <f>IFERROR(__xludf.DUMMYFUNCTION("""COMPUTED_VALUE"""),2.0)</f>
        <v>2</v>
      </c>
      <c r="P466">
        <f>IFERROR(__xludf.DUMMYFUNCTION("""COMPUTED_VALUE"""),1.0)</f>
        <v>1</v>
      </c>
      <c r="Q466">
        <f>IFERROR(__xludf.DUMMYFUNCTION("""COMPUTED_VALUE"""),1.0)</f>
        <v>1</v>
      </c>
      <c r="R466" s="45" t="str">
        <f>IFERROR(__xludf.DUMMYFUNCTION("""COMPUTED_VALUE"""),"SELECCIONADO")</f>
        <v>SELECCIONADO</v>
      </c>
      <c r="S466" s="38">
        <f>IFERROR(__xludf.DUMMYFUNCTION("""COMPUTED_VALUE"""),42110.0)</f>
        <v>42110</v>
      </c>
      <c r="U466" t="str">
        <f>IFERROR(__xludf.DUMMYFUNCTION("""COMPUTED_VALUE"""),"VICTOR EGUILUZ CASTILLO")</f>
        <v>VICTOR EGUILUZ CASTILLO</v>
      </c>
      <c r="V466" t="str">
        <f>IFERROR(__xludf.DUMMYFUNCTION("""COMPUTED_VALUE"""),"07368541-9")</f>
        <v>07368541-9</v>
      </c>
      <c r="W466" t="str">
        <f>IFERROR(__xludf.DUMMYFUNCTION("""COMPUTED_VALUE"""),"SI")</f>
        <v>SI</v>
      </c>
      <c r="X466" t="str">
        <f>IFERROR(__xludf.DUMMYFUNCTION("""COMPUTED_VALUE"""),"COMUNICACION")</f>
        <v>COMUNICACION</v>
      </c>
      <c r="AA466" s="38">
        <f>IFERROR(__xludf.DUMMYFUNCTION("""COMPUTED_VALUE"""),42067.0)</f>
        <v>42067</v>
      </c>
      <c r="AB466" s="38">
        <f>IFERROR(__xludf.DUMMYFUNCTION("""COMPUTED_VALUE"""),42074.0)</f>
        <v>42074</v>
      </c>
      <c r="AH466" t="str">
        <f>IFERROR(__xludf.DUMMYFUNCTION("""COMPUTED_VALUE"""),"PROCESO DE SELECCIÓN")</f>
        <v>PROCESO DE SELECCIÓN</v>
      </c>
      <c r="AK466" t="str">
        <f>IFERROR(__xludf.DUMMYFUNCTION("""COMPUTED_VALUE"""),"P")</f>
        <v>P</v>
      </c>
      <c r="AL466">
        <f>IFERROR(__xludf.DUMMYFUNCTION("""COMPUTED_VALUE"""),27.0)</f>
        <v>27</v>
      </c>
      <c r="AM466">
        <f>IFERROR(__xludf.DUMMYFUNCTION("""COMPUTED_VALUE"""),2015.0)</f>
        <v>2015</v>
      </c>
    </row>
    <row r="467">
      <c r="A467">
        <f>IFERROR(__xludf.DUMMYFUNCTION("""COMPUTED_VALUE"""),8152829.0)</f>
        <v>8152829</v>
      </c>
      <c r="B467">
        <f>IFERROR(__xludf.DUMMYFUNCTION("""COMPUTED_VALUE"""),3.0)</f>
        <v>3</v>
      </c>
      <c r="D467" t="str">
        <f>IFERROR(__xludf.DUMMYFUNCTION("""COMPUTED_VALUE"""),"40")</f>
        <v>40</v>
      </c>
      <c r="E467" t="str">
        <f>IFERROR(__xludf.DUMMYFUNCTION("""COMPUTED_VALUE"""),"DEPARTAMENTO DE INGENIERIA INDUSTRIAL")</f>
        <v>DEPARTAMENTO DE INGENIERIA INDUSTRIAL</v>
      </c>
      <c r="F467" t="str">
        <f>IFERROR(__xludf.DUMMYFUNCTION("""COMPUTED_VALUE"""),"Mayordomo(a)")</f>
        <v>Mayordomo(a)</v>
      </c>
      <c r="G467" t="str">
        <f>IFERROR(__xludf.DUMMYFUNCTION("""COMPUTED_VALUE"""),"MAYORDOMO")</f>
        <v>MAYORDOMO</v>
      </c>
      <c r="H467">
        <f>IFERROR(__xludf.DUMMYFUNCTION("""COMPUTED_VALUE"""),21.0)</f>
        <v>21</v>
      </c>
      <c r="I467" t="str">
        <f>IFERROR(__xludf.DUMMYFUNCTION("""COMPUTED_VALUE"""),"Jornada Completa")</f>
        <v>Jornada Completa</v>
      </c>
      <c r="J467" t="str">
        <f>IFERROR(__xludf.DUMMYFUNCTION("""COMPUTED_VALUE"""),"A CONTRATA")</f>
        <v>A CONTRATA</v>
      </c>
      <c r="K467" t="str">
        <f>IFERROR(__xludf.DUMMYFUNCTION("""COMPUTED_VALUE"""),"AUXILIAR")</f>
        <v>AUXILIAR</v>
      </c>
      <c r="L467" t="str">
        <f>IFERROR(__xludf.DUMMYFUNCTION("""COMPUTED_VALUE"""),"INTERNO")</f>
        <v>INTERNO</v>
      </c>
      <c r="M467">
        <f>IFERROR(__xludf.DUMMYFUNCTION("""COMPUTED_VALUE"""),0.0)</f>
        <v>0</v>
      </c>
      <c r="N467" t="str">
        <f>IFERROR(__xludf.DUMMYFUNCTION("""COMPUTED_VALUE"""),"EXTERNO")</f>
        <v>EXTERNO</v>
      </c>
      <c r="O467">
        <f>IFERROR(__xludf.DUMMYFUNCTION("""COMPUTED_VALUE"""),7.0)</f>
        <v>7</v>
      </c>
      <c r="P467">
        <f>IFERROR(__xludf.DUMMYFUNCTION("""COMPUTED_VALUE"""),1.0)</f>
        <v>1</v>
      </c>
      <c r="Q467">
        <f>IFERROR(__xludf.DUMMYFUNCTION("""COMPUTED_VALUE"""),1.0)</f>
        <v>1</v>
      </c>
      <c r="R467" s="45" t="str">
        <f>IFERROR(__xludf.DUMMYFUNCTION("""COMPUTED_VALUE"""),"SELECCIONADO")</f>
        <v>SELECCIONADO</v>
      </c>
      <c r="S467" s="38">
        <f>IFERROR(__xludf.DUMMYFUNCTION("""COMPUTED_VALUE"""),42095.0)</f>
        <v>42095</v>
      </c>
      <c r="U467" t="str">
        <f>IFERROR(__xludf.DUMMYFUNCTION("""COMPUTED_VALUE"""),"CELSO SALGADO CARRILLANCA")</f>
        <v>CELSO SALGADO CARRILLANCA</v>
      </c>
      <c r="V467" t="str">
        <f>IFERROR(__xludf.DUMMYFUNCTION("""COMPUTED_VALUE"""),"08152829-2")</f>
        <v>08152829-2</v>
      </c>
      <c r="W467" t="str">
        <f>IFERROR(__xludf.DUMMYFUNCTION("""COMPUTED_VALUE"""),"NO")</f>
        <v>NO</v>
      </c>
      <c r="AA467" s="38">
        <f>IFERROR(__xludf.DUMMYFUNCTION("""COMPUTED_VALUE"""),42065.0)</f>
        <v>42065</v>
      </c>
      <c r="AB467" s="38">
        <f>IFERROR(__xludf.DUMMYFUNCTION("""COMPUTED_VALUE"""),42072.0)</f>
        <v>42072</v>
      </c>
      <c r="AH467" t="str">
        <f>IFERROR(__xludf.DUMMYFUNCTION("""COMPUTED_VALUE"""),"PROCESO DE SELECCIÓN")</f>
        <v>PROCESO DE SELECCIÓN</v>
      </c>
      <c r="AI467" t="str">
        <f>IFERROR(__xludf.DUMMYFUNCTION("""COMPUTED_VALUE"""),"RAUL DE LA VEGA")</f>
        <v>RAUL DE LA VEGA</v>
      </c>
      <c r="AK467" t="str">
        <f>IFERROR(__xludf.DUMMYFUNCTION("""COMPUTED_VALUE"""),"P")</f>
        <v>P</v>
      </c>
      <c r="AL467">
        <f>IFERROR(__xludf.DUMMYFUNCTION("""COMPUTED_VALUE"""),18.0)</f>
        <v>18</v>
      </c>
      <c r="AM467">
        <f>IFERROR(__xludf.DUMMYFUNCTION("""COMPUTED_VALUE"""),2015.0)</f>
        <v>2015</v>
      </c>
    </row>
    <row r="468">
      <c r="A468">
        <f>IFERROR(__xludf.DUMMYFUNCTION("""COMPUTED_VALUE"""),1.5451437E7)</f>
        <v>15451437</v>
      </c>
      <c r="B468">
        <f>IFERROR(__xludf.DUMMYFUNCTION("""COMPUTED_VALUE"""),4.0)</f>
        <v>4</v>
      </c>
      <c r="D468" t="str">
        <f>IFERROR(__xludf.DUMMYFUNCTION("""COMPUTED_VALUE"""),"22")</f>
        <v>22</v>
      </c>
      <c r="E468" t="str">
        <f>IFERROR(__xludf.DUMMYFUNCTION("""COMPUTED_VALUE"""),"DEPARTAMENTO DE GESTION DEL DEPORTE Y CULTURA")</f>
        <v>DEPARTAMENTO DE GESTION DEL DEPORTE Y CULTURA</v>
      </c>
      <c r="F468" t="str">
        <f>IFERROR(__xludf.DUMMYFUNCTION("""COMPUTED_VALUE"""),"Entrenador(a) Deportivo(a)")</f>
        <v>Entrenador(a) Deportivo(a)</v>
      </c>
      <c r="G468" t="str">
        <f>IFERROR(__xludf.DUMMYFUNCTION("""COMPUTED_VALUE"""),"PROFESOR ENTRENADOR DEPORTIVO")</f>
        <v>PROFESOR ENTRENADOR DEPORTIVO</v>
      </c>
      <c r="H468">
        <f>IFERROR(__xludf.DUMMYFUNCTION("""COMPUTED_VALUE"""),13.0)</f>
        <v>13</v>
      </c>
      <c r="I468" t="str">
        <f>IFERROR(__xludf.DUMMYFUNCTION("""COMPUTED_VALUE"""),"1/2 Jornada")</f>
        <v>1/2 Jornada</v>
      </c>
      <c r="J468" t="str">
        <f>IFERROR(__xludf.DUMMYFUNCTION("""COMPUTED_VALUE"""),"A CONTRATA")</f>
        <v>A CONTRATA</v>
      </c>
      <c r="K468" t="str">
        <f>IFERROR(__xludf.DUMMYFUNCTION("""COMPUTED_VALUE"""),"PROFESIONAL")</f>
        <v>PROFESIONAL</v>
      </c>
      <c r="L468" t="str">
        <f>IFERROR(__xludf.DUMMYFUNCTION("""COMPUTED_VALUE"""),"INTERNO")</f>
        <v>INTERNO</v>
      </c>
      <c r="M468">
        <f>IFERROR(__xludf.DUMMYFUNCTION("""COMPUTED_VALUE"""),0.0)</f>
        <v>0</v>
      </c>
      <c r="N468" t="str">
        <f>IFERROR(__xludf.DUMMYFUNCTION("""COMPUTED_VALUE"""),"EXTERNO")</f>
        <v>EXTERNO</v>
      </c>
      <c r="O468">
        <f>IFERROR(__xludf.DUMMYFUNCTION("""COMPUTED_VALUE"""),3.0)</f>
        <v>3</v>
      </c>
      <c r="P468">
        <f>IFERROR(__xludf.DUMMYFUNCTION("""COMPUTED_VALUE"""),1.0)</f>
        <v>1</v>
      </c>
      <c r="Q468">
        <f>IFERROR(__xludf.DUMMYFUNCTION("""COMPUTED_VALUE"""),1.0)</f>
        <v>1</v>
      </c>
      <c r="R468" s="45" t="str">
        <f>IFERROR(__xludf.DUMMYFUNCTION("""COMPUTED_VALUE"""),"SELECCIONADO")</f>
        <v>SELECCIONADO</v>
      </c>
      <c r="S468" s="38">
        <f>IFERROR(__xludf.DUMMYFUNCTION("""COMPUTED_VALUE"""),42101.0)</f>
        <v>42101</v>
      </c>
      <c r="U468" t="str">
        <f>IFERROR(__xludf.DUMMYFUNCTION("""COMPUTED_VALUE"""),"ALEJANDRO TORO CATALAN")</f>
        <v>ALEJANDRO TORO CATALAN</v>
      </c>
      <c r="V468" t="str">
        <f>IFERROR(__xludf.DUMMYFUNCTION("""COMPUTED_VALUE"""),"15451437-6")</f>
        <v>15451437-6</v>
      </c>
      <c r="W468" t="str">
        <f>IFERROR(__xludf.DUMMYFUNCTION("""COMPUTED_VALUE"""),"SI")</f>
        <v>SI</v>
      </c>
      <c r="X468" t="str">
        <f>IFERROR(__xludf.DUMMYFUNCTION("""COMPUTED_VALUE"""),"Capacidad de Planificacion y Organizacion")</f>
        <v>Capacidad de Planificacion y Organizacion</v>
      </c>
      <c r="AA468" s="38">
        <f>IFERROR(__xludf.DUMMYFUNCTION("""COMPUTED_VALUE"""),42087.0)</f>
        <v>42087</v>
      </c>
      <c r="AB468" s="38">
        <f>IFERROR(__xludf.DUMMYFUNCTION("""COMPUTED_VALUE"""),42089.0)</f>
        <v>42089</v>
      </c>
      <c r="AH468" t="str">
        <f>IFERROR(__xludf.DUMMYFUNCTION("""COMPUTED_VALUE"""),"PROCESO DE SELECCIÓN")</f>
        <v>PROCESO DE SELECCIÓN</v>
      </c>
      <c r="AI468" t="str">
        <f>IFERROR(__xludf.DUMMYFUNCTION("""COMPUTED_VALUE"""),"LUIS BUGUEÑO LIZAMA")</f>
        <v>LUIS BUGUEÑO LIZAMA</v>
      </c>
      <c r="AK468" t="str">
        <f>IFERROR(__xludf.DUMMYFUNCTION("""COMPUTED_VALUE"""),"C")</f>
        <v>C</v>
      </c>
      <c r="AL468">
        <f>IFERROR(__xludf.DUMMYFUNCTION("""COMPUTED_VALUE"""),9.0)</f>
        <v>9</v>
      </c>
      <c r="AM468">
        <f>IFERROR(__xludf.DUMMYFUNCTION("""COMPUTED_VALUE"""),2015.0)</f>
        <v>2015</v>
      </c>
    </row>
    <row r="469">
      <c r="A469">
        <f>IFERROR(__xludf.DUMMYFUNCTION("""COMPUTED_VALUE"""),1.6025809E7)</f>
        <v>16025809</v>
      </c>
      <c r="B469">
        <f>IFERROR(__xludf.DUMMYFUNCTION("""COMPUTED_VALUE"""),5.0)</f>
        <v>5</v>
      </c>
      <c r="D469" t="str">
        <f>IFERROR(__xludf.DUMMYFUNCTION("""COMPUTED_VALUE"""),"3")</f>
        <v>3</v>
      </c>
      <c r="E469" t="str">
        <f>IFERROR(__xludf.DUMMYFUNCTION("""COMPUTED_VALUE"""),"PRORRECTORIA")</f>
        <v>PRORRECTORIA</v>
      </c>
      <c r="F469" t="str">
        <f>IFERROR(__xludf.DUMMYFUNCTION("""COMPUTED_VALUE"""),"Estafeta")</f>
        <v>Estafeta</v>
      </c>
      <c r="G469" t="str">
        <f>IFERROR(__xludf.DUMMYFUNCTION("""COMPUTED_VALUE"""),"ESTAFETA")</f>
        <v>ESTAFETA</v>
      </c>
      <c r="H469">
        <f>IFERROR(__xludf.DUMMYFUNCTION("""COMPUTED_VALUE"""),23.0)</f>
        <v>23</v>
      </c>
      <c r="I469" t="str">
        <f>IFERROR(__xludf.DUMMYFUNCTION("""COMPUTED_VALUE"""),"Jornada Completa")</f>
        <v>Jornada Completa</v>
      </c>
      <c r="J469" t="str">
        <f>IFERROR(__xludf.DUMMYFUNCTION("""COMPUTED_VALUE"""),"A CONTRATA")</f>
        <v>A CONTRATA</v>
      </c>
      <c r="K469" t="str">
        <f>IFERROR(__xludf.DUMMYFUNCTION("""COMPUTED_VALUE"""),"AUXILIAR")</f>
        <v>AUXILIAR</v>
      </c>
      <c r="L469" t="str">
        <f>IFERROR(__xludf.DUMMYFUNCTION("""COMPUTED_VALUE"""),"INTERNO")</f>
        <v>INTERNO</v>
      </c>
      <c r="M469">
        <f>IFERROR(__xludf.DUMMYFUNCTION("""COMPUTED_VALUE"""),1.0)</f>
        <v>1</v>
      </c>
      <c r="N469" t="str">
        <f>IFERROR(__xludf.DUMMYFUNCTION("""COMPUTED_VALUE"""),"EXTERNO")</f>
        <v>EXTERNO</v>
      </c>
      <c r="O469">
        <f>IFERROR(__xludf.DUMMYFUNCTION("""COMPUTED_VALUE"""),15.0)</f>
        <v>15</v>
      </c>
      <c r="P469">
        <f>IFERROR(__xludf.DUMMYFUNCTION("""COMPUTED_VALUE"""),2.0)</f>
        <v>2</v>
      </c>
      <c r="Q469">
        <f>IFERROR(__xludf.DUMMYFUNCTION("""COMPUTED_VALUE"""),1.0)</f>
        <v>1</v>
      </c>
      <c r="R469" s="45" t="str">
        <f>IFERROR(__xludf.DUMMYFUNCTION("""COMPUTED_VALUE"""),"SELECCIONADA")</f>
        <v>SELECCIONADA</v>
      </c>
      <c r="S469" s="38">
        <f>IFERROR(__xludf.DUMMYFUNCTION("""COMPUTED_VALUE"""),42107.0)</f>
        <v>42107</v>
      </c>
      <c r="U469" t="str">
        <f>IFERROR(__xludf.DUMMYFUNCTION("""COMPUTED_VALUE"""),"ELIZAEBTH  ROJAS CHIGUAIHUEN")</f>
        <v>ELIZAEBTH  ROJAS CHIGUAIHUEN</v>
      </c>
      <c r="V469" t="str">
        <f>IFERROR(__xludf.DUMMYFUNCTION("""COMPUTED_VALUE"""),"16025809-8")</f>
        <v>16025809-8</v>
      </c>
      <c r="W469" t="str">
        <f>IFERROR(__xludf.DUMMYFUNCTION("""COMPUTED_VALUE"""),"NO")</f>
        <v>NO</v>
      </c>
      <c r="AA469" s="38">
        <f>IFERROR(__xludf.DUMMYFUNCTION("""COMPUTED_VALUE"""),42073.0)</f>
        <v>42073</v>
      </c>
      <c r="AB469" s="38">
        <f>IFERROR(__xludf.DUMMYFUNCTION("""COMPUTED_VALUE"""),42075.0)</f>
        <v>42075</v>
      </c>
      <c r="AH469" t="str">
        <f>IFERROR(__xludf.DUMMYFUNCTION("""COMPUTED_VALUE"""),"PROCESO DE SELECCIÓN")</f>
        <v>PROCESO DE SELECCIÓN</v>
      </c>
      <c r="AI469" t="str">
        <f>IFERROR(__xludf.DUMMYFUNCTION("""COMPUTED_VALUE"""),"CLAUDIA MORALES ROZAS")</f>
        <v>CLAUDIA MORALES ROZAS</v>
      </c>
      <c r="AK469" t="str">
        <f>IFERROR(__xludf.DUMMYFUNCTION("""COMPUTED_VALUE"""),"C")</f>
        <v>C</v>
      </c>
      <c r="AL469">
        <f>IFERROR(__xludf.DUMMYFUNCTION("""COMPUTED_VALUE"""),23.0)</f>
        <v>23</v>
      </c>
      <c r="AM469">
        <f>IFERROR(__xludf.DUMMYFUNCTION("""COMPUTED_VALUE"""),2015.0)</f>
        <v>2015</v>
      </c>
    </row>
    <row r="470">
      <c r="A470">
        <f>IFERROR(__xludf.DUMMYFUNCTION("""COMPUTED_VALUE"""),1.7243895E7)</f>
        <v>17243895</v>
      </c>
      <c r="B470">
        <f>IFERROR(__xludf.DUMMYFUNCTION("""COMPUTED_VALUE"""),6.0)</f>
        <v>6</v>
      </c>
      <c r="D470" t="str">
        <f>IFERROR(__xludf.DUMMYFUNCTION("""COMPUTED_VALUE"""),"22")</f>
        <v>22</v>
      </c>
      <c r="E470" t="str">
        <f>IFERROR(__xludf.DUMMYFUNCTION("""COMPUTED_VALUE"""),"DEPARTAMENTO DE GESTION DEL DEPORTE Y CULTURA")</f>
        <v>DEPARTAMENTO DE GESTION DEL DEPORTE Y CULTURA</v>
      </c>
      <c r="F470" t="str">
        <f>IFERROR(__xludf.DUMMYFUNCTION("""COMPUTED_VALUE"""),"Entrenador(a) Deportivo(a)")</f>
        <v>Entrenador(a) Deportivo(a)</v>
      </c>
      <c r="G470" t="str">
        <f>IFERROR(__xludf.DUMMYFUNCTION("""COMPUTED_VALUE"""),"PROFESOR ENTRENADOR DE PREPARACION FISICA")</f>
        <v>PROFESOR ENTRENADOR DE PREPARACION FISICA</v>
      </c>
      <c r="H470">
        <f>IFERROR(__xludf.DUMMYFUNCTION("""COMPUTED_VALUE"""),13.0)</f>
        <v>13</v>
      </c>
      <c r="I470" t="str">
        <f>IFERROR(__xludf.DUMMYFUNCTION("""COMPUTED_VALUE"""),"1/2 Jornada")</f>
        <v>1/2 Jornada</v>
      </c>
      <c r="J470" t="str">
        <f>IFERROR(__xludf.DUMMYFUNCTION("""COMPUTED_VALUE"""),"A CONTRATA")</f>
        <v>A CONTRATA</v>
      </c>
      <c r="K470" t="str">
        <f>IFERROR(__xludf.DUMMYFUNCTION("""COMPUTED_VALUE"""),"PROFESIONAL")</f>
        <v>PROFESIONAL</v>
      </c>
      <c r="L470" t="str">
        <f>IFERROR(__xludf.DUMMYFUNCTION("""COMPUTED_VALUE"""),"INTERNO")</f>
        <v>INTERNO</v>
      </c>
      <c r="M470">
        <f>IFERROR(__xludf.DUMMYFUNCTION("""COMPUTED_VALUE"""),0.0)</f>
        <v>0</v>
      </c>
      <c r="N470" t="str">
        <f>IFERROR(__xludf.DUMMYFUNCTION("""COMPUTED_VALUE"""),"EXTERNO")</f>
        <v>EXTERNO</v>
      </c>
      <c r="O470">
        <f>IFERROR(__xludf.DUMMYFUNCTION("""COMPUTED_VALUE"""),7.0)</f>
        <v>7</v>
      </c>
      <c r="P470">
        <f>IFERROR(__xludf.DUMMYFUNCTION("""COMPUTED_VALUE"""),1.0)</f>
        <v>1</v>
      </c>
      <c r="Q470">
        <f>IFERROR(__xludf.DUMMYFUNCTION("""COMPUTED_VALUE"""),1.0)</f>
        <v>1</v>
      </c>
      <c r="R470" s="45" t="str">
        <f>IFERROR(__xludf.DUMMYFUNCTION("""COMPUTED_VALUE"""),"SELECCIONADO")</f>
        <v>SELECCIONADO</v>
      </c>
      <c r="S470" s="38">
        <f>IFERROR(__xludf.DUMMYFUNCTION("""COMPUTED_VALUE"""),42086.0)</f>
        <v>42086</v>
      </c>
      <c r="U470" t="str">
        <f>IFERROR(__xludf.DUMMYFUNCTION("""COMPUTED_VALUE"""),"MARCELO SOTO MUNOZ")</f>
        <v>MARCELO SOTO MUNOZ</v>
      </c>
      <c r="V470" t="str">
        <f>IFERROR(__xludf.DUMMYFUNCTION("""COMPUTED_VALUE"""),"17243895-4")</f>
        <v>17243895-4</v>
      </c>
      <c r="W470" t="str">
        <f>IFERROR(__xludf.DUMMYFUNCTION("""COMPUTED_VALUE"""),"NO")</f>
        <v>NO</v>
      </c>
      <c r="AA470" s="38">
        <f>IFERROR(__xludf.DUMMYFUNCTION("""COMPUTED_VALUE"""),42065.0)</f>
        <v>42065</v>
      </c>
      <c r="AB470" s="38">
        <f>IFERROR(__xludf.DUMMYFUNCTION("""COMPUTED_VALUE"""),42068.0)</f>
        <v>42068</v>
      </c>
      <c r="AH470" t="str">
        <f>IFERROR(__xludf.DUMMYFUNCTION("""COMPUTED_VALUE"""),"PROCESO DE SELECCIÓN")</f>
        <v>PROCESO DE SELECCIÓN</v>
      </c>
      <c r="AI470" t="str">
        <f>IFERROR(__xludf.DUMMYFUNCTION("""COMPUTED_VALUE"""),"JORGE ZELADA ALLENDE")</f>
        <v>JORGE ZELADA ALLENDE</v>
      </c>
      <c r="AK470" t="str">
        <f>IFERROR(__xludf.DUMMYFUNCTION("""COMPUTED_VALUE"""),"C")</f>
        <v>C</v>
      </c>
      <c r="AL470">
        <f>IFERROR(__xludf.DUMMYFUNCTION("""COMPUTED_VALUE"""),13.0)</f>
        <v>13</v>
      </c>
      <c r="AM470">
        <f>IFERROR(__xludf.DUMMYFUNCTION("""COMPUTED_VALUE"""),2015.0)</f>
        <v>2015</v>
      </c>
    </row>
    <row r="471">
      <c r="A471">
        <f>IFERROR(__xludf.DUMMYFUNCTION("""COMPUTED_VALUE"""),1.8278977E7)</f>
        <v>18278977</v>
      </c>
      <c r="B471">
        <f>IFERROR(__xludf.DUMMYFUNCTION("""COMPUTED_VALUE"""),7.0)</f>
        <v>7</v>
      </c>
      <c r="D471" t="str">
        <f>IFERROR(__xludf.DUMMYFUNCTION("""COMPUTED_VALUE"""),"3")</f>
        <v>3</v>
      </c>
      <c r="E471" t="str">
        <f>IFERROR(__xludf.DUMMYFUNCTION("""COMPUTED_VALUE"""),"DEPARTAMENTO DE RECURSOS HUMANOS")</f>
        <v>DEPARTAMENTO DE RECURSOS HUMANOS</v>
      </c>
      <c r="F471" t="str">
        <f>IFERROR(__xludf.DUMMYFUNCTION("""COMPUTED_VALUE"""),"Administrativo(a) de Recursos Humanos")</f>
        <v>Administrativo(a) de Recursos Humanos</v>
      </c>
      <c r="G471" t="str">
        <f>IFERROR(__xludf.DUMMYFUNCTION("""COMPUTED_VALUE"""),"ADMINISTRATIVO DE RECURSOS HUMANOS")</f>
        <v>ADMINISTRATIVO DE RECURSOS HUMANOS</v>
      </c>
      <c r="H471">
        <f>IFERROR(__xludf.DUMMYFUNCTION("""COMPUTED_VALUE"""),17.0)</f>
        <v>17</v>
      </c>
      <c r="I471" t="str">
        <f>IFERROR(__xludf.DUMMYFUNCTION("""COMPUTED_VALUE"""),"Jornada Completa")</f>
        <v>Jornada Completa</v>
      </c>
      <c r="J471" t="str">
        <f>IFERROR(__xludf.DUMMYFUNCTION("""COMPUTED_VALUE"""),"A CONTRATA")</f>
        <v>A CONTRATA</v>
      </c>
      <c r="K471" t="str">
        <f>IFERROR(__xludf.DUMMYFUNCTION("""COMPUTED_VALUE"""),"ADMINISTRATIVO")</f>
        <v>ADMINISTRATIVO</v>
      </c>
      <c r="L471" t="str">
        <f>IFERROR(__xludf.DUMMYFUNCTION("""COMPUTED_VALUE"""),"INTERNO")</f>
        <v>INTERNO</v>
      </c>
      <c r="M471">
        <f>IFERROR(__xludf.DUMMYFUNCTION("""COMPUTED_VALUE"""),2.0)</f>
        <v>2</v>
      </c>
      <c r="N471" t="str">
        <f>IFERROR(__xludf.DUMMYFUNCTION("""COMPUTED_VALUE"""),"EXTERNO")</f>
        <v>EXTERNO</v>
      </c>
      <c r="O471">
        <f>IFERROR(__xludf.DUMMYFUNCTION("""COMPUTED_VALUE"""),6.0)</f>
        <v>6</v>
      </c>
      <c r="P471">
        <f>IFERROR(__xludf.DUMMYFUNCTION("""COMPUTED_VALUE"""),1.0)</f>
        <v>1</v>
      </c>
      <c r="Q471">
        <f>IFERROR(__xludf.DUMMYFUNCTION("""COMPUTED_VALUE"""),1.0)</f>
        <v>1</v>
      </c>
      <c r="R471" s="45" t="str">
        <f>IFERROR(__xludf.DUMMYFUNCTION("""COMPUTED_VALUE"""),"SELECCIONADA")</f>
        <v>SELECCIONADA</v>
      </c>
      <c r="S471" s="38">
        <f>IFERROR(__xludf.DUMMYFUNCTION("""COMPUTED_VALUE"""),42087.0)</f>
        <v>42087</v>
      </c>
      <c r="U471" t="str">
        <f>IFERROR(__xludf.DUMMYFUNCTION("""COMPUTED_VALUE"""),"YEAN MENDOZA GUIDOTTI")</f>
        <v>YEAN MENDOZA GUIDOTTI</v>
      </c>
      <c r="V471" t="str">
        <f>IFERROR(__xludf.DUMMYFUNCTION("""COMPUTED_VALUE"""),"18278977-1")</f>
        <v>18278977-1</v>
      </c>
      <c r="W471" t="str">
        <f>IFERROR(__xludf.DUMMYFUNCTION("""COMPUTED_VALUE"""),"NO")</f>
        <v>NO</v>
      </c>
      <c r="AA471" s="38">
        <f>IFERROR(__xludf.DUMMYFUNCTION("""COMPUTED_VALUE"""),42074.0)</f>
        <v>42074</v>
      </c>
      <c r="AB471" s="38">
        <f>IFERROR(__xludf.DUMMYFUNCTION("""COMPUTED_VALUE"""),42086.0)</f>
        <v>42086</v>
      </c>
      <c r="AH471" t="str">
        <f>IFERROR(__xludf.DUMMYFUNCTION("""COMPUTED_VALUE"""),"PROCESO DE SELECCIÓN")</f>
        <v>PROCESO DE SELECCIÓN</v>
      </c>
      <c r="AI471" t="str">
        <f>IFERROR(__xludf.DUMMYFUNCTION("""COMPUTED_VALUE"""),"(MARCIA ZENTENO)")</f>
        <v>(MARCIA ZENTENO)</v>
      </c>
      <c r="AK471" t="str">
        <f>IFERROR(__xludf.DUMMYFUNCTION("""COMPUTED_VALUE"""),"P")</f>
        <v>P</v>
      </c>
      <c r="AL471">
        <f>IFERROR(__xludf.DUMMYFUNCTION("""COMPUTED_VALUE"""),2.0)</f>
        <v>2</v>
      </c>
      <c r="AM471">
        <f>IFERROR(__xludf.DUMMYFUNCTION("""COMPUTED_VALUE"""),2015.0)</f>
        <v>2015</v>
      </c>
    </row>
    <row r="472">
      <c r="A472">
        <f>IFERROR(__xludf.DUMMYFUNCTION("""COMPUTED_VALUE"""),1.4404679E7)</f>
        <v>14404679</v>
      </c>
      <c r="B472">
        <f>IFERROR(__xludf.DUMMYFUNCTION("""COMPUTED_VALUE"""),8.0)</f>
        <v>8</v>
      </c>
      <c r="D472" t="str">
        <f>IFERROR(__xludf.DUMMYFUNCTION("""COMPUTED_VALUE"""),"83")</f>
        <v>83</v>
      </c>
      <c r="E472" t="str">
        <f>IFERROR(__xludf.DUMMYFUNCTION("""COMPUTED_VALUE"""),"FACULTAD DE CIENCIAS MEDICAS")</f>
        <v>FACULTAD DE CIENCIAS MEDICAS</v>
      </c>
      <c r="F472" t="str">
        <f>IFERROR(__xludf.DUMMYFUNCTION("""COMPUTED_VALUE"""),"Administrativo(a) de Registro Curricular")</f>
        <v>Administrativo(a) de Registro Curricular</v>
      </c>
      <c r="G472" t="str">
        <f>IFERROR(__xludf.DUMMYFUNCTION("""COMPUTED_VALUE"""),"ADMINISTRATIVO DE REGISTRO CURRICULAR")</f>
        <v>ADMINISTRATIVO DE REGISTRO CURRICULAR</v>
      </c>
      <c r="H472">
        <f>IFERROR(__xludf.DUMMYFUNCTION("""COMPUTED_VALUE"""),17.0)</f>
        <v>17</v>
      </c>
      <c r="I472" t="str">
        <f>IFERROR(__xludf.DUMMYFUNCTION("""COMPUTED_VALUE"""),"Jornada Completa")</f>
        <v>Jornada Completa</v>
      </c>
      <c r="J472" t="str">
        <f>IFERROR(__xludf.DUMMYFUNCTION("""COMPUTED_VALUE"""),"A CONTRATA")</f>
        <v>A CONTRATA</v>
      </c>
      <c r="K472" t="str">
        <f>IFERROR(__xludf.DUMMYFUNCTION("""COMPUTED_VALUE"""),"ADMINISTRATIVO")</f>
        <v>ADMINISTRATIVO</v>
      </c>
      <c r="L472" t="str">
        <f>IFERROR(__xludf.DUMMYFUNCTION("""COMPUTED_VALUE"""),"INTERNO")</f>
        <v>INTERNO</v>
      </c>
      <c r="M472">
        <f>IFERROR(__xludf.DUMMYFUNCTION("""COMPUTED_VALUE"""),1.0)</f>
        <v>1</v>
      </c>
      <c r="N472" t="str">
        <f>IFERROR(__xludf.DUMMYFUNCTION("""COMPUTED_VALUE"""),"NO")</f>
        <v>NO</v>
      </c>
      <c r="P472">
        <f>IFERROR(__xludf.DUMMYFUNCTION("""COMPUTED_VALUE"""),1.0)</f>
        <v>1</v>
      </c>
      <c r="Q472">
        <f>IFERROR(__xludf.DUMMYFUNCTION("""COMPUTED_VALUE"""),0.0)</f>
        <v>0</v>
      </c>
      <c r="R472" s="45" t="str">
        <f>IFERROR(__xludf.DUMMYFUNCTION("""COMPUTED_VALUE"""),"SELECCIONADO")</f>
        <v>SELECCIONADO</v>
      </c>
      <c r="S472" s="38">
        <f>IFERROR(__xludf.DUMMYFUNCTION("""COMPUTED_VALUE"""),42095.0)</f>
        <v>42095</v>
      </c>
      <c r="T472" t="str">
        <f>IFERROR(__xludf.DUMMYFUNCTION("""COMPUTED_VALUE"""),"ALEJANDRO MARTINEZ NAVIA")</f>
        <v>ALEJANDRO MARTINEZ NAVIA</v>
      </c>
      <c r="V472" t="str">
        <f>IFERROR(__xludf.DUMMYFUNCTION("""COMPUTED_VALUE"""),"14404679-K")</f>
        <v>14404679-K</v>
      </c>
      <c r="W472" t="str">
        <f>IFERROR(__xludf.DUMMYFUNCTION("""COMPUTED_VALUE"""),"NO")</f>
        <v>NO</v>
      </c>
      <c r="AA472" s="38">
        <f>IFERROR(__xludf.DUMMYFUNCTION("""COMPUTED_VALUE"""),42068.0)</f>
        <v>42068</v>
      </c>
      <c r="AB472" s="38">
        <f>IFERROR(__xludf.DUMMYFUNCTION("""COMPUTED_VALUE"""),42072.0)</f>
        <v>42072</v>
      </c>
      <c r="AC472">
        <f>IFERROR(__xludf.DUMMYFUNCTION("""COMPUTED_VALUE"""),21.0)</f>
        <v>21</v>
      </c>
      <c r="AD472" t="str">
        <f>IFERROR(__xludf.DUMMYFUNCTION("""COMPUTED_VALUE"""),"AUXILIAR")</f>
        <v>AUXILIAR</v>
      </c>
      <c r="AF472" s="46" t="str">
        <f>IFERROR(__xludf.DUMMYFUNCTION("""COMPUTED_VALUE"""),"FACULTAD DE CIENCIAS MEDICAS")</f>
        <v>FACULTAD DE CIENCIAS MEDICAS</v>
      </c>
      <c r="AH472" t="str">
        <f>IFERROR(__xludf.DUMMYFUNCTION("""COMPUTED_VALUE"""),"PROCESO DE SELECCIÓN")</f>
        <v>PROCESO DE SELECCIÓN</v>
      </c>
      <c r="AI472" t="str">
        <f>IFERROR(__xludf.DUMMYFUNCTION("""COMPUTED_VALUE"""),"-")</f>
        <v>-</v>
      </c>
      <c r="AK472" t="str">
        <f>IFERROR(__xludf.DUMMYFUNCTION("""COMPUTED_VALUE"""),"P")</f>
        <v>P</v>
      </c>
      <c r="AL472">
        <f>IFERROR(__xludf.DUMMYFUNCTION("""COMPUTED_VALUE"""),18.0)</f>
        <v>18</v>
      </c>
      <c r="AM472">
        <f>IFERROR(__xludf.DUMMYFUNCTION("""COMPUTED_VALUE"""),2015.0)</f>
        <v>2015</v>
      </c>
    </row>
    <row r="473">
      <c r="A473">
        <f>IFERROR(__xludf.DUMMYFUNCTION("""COMPUTED_VALUE"""),1.6342033E7)</f>
        <v>16342033</v>
      </c>
      <c r="B473">
        <f>IFERROR(__xludf.DUMMYFUNCTION("""COMPUTED_VALUE"""),9.0)</f>
        <v>9</v>
      </c>
      <c r="D473" t="str">
        <f>IFERROR(__xludf.DUMMYFUNCTION("""COMPUTED_VALUE"""),"15")</f>
        <v>15</v>
      </c>
      <c r="E473" t="str">
        <f>IFERROR(__xludf.DUMMYFUNCTION("""COMPUTED_VALUE"""),"ESCUELA DE ARQUITECTURA")</f>
        <v>ESCUELA DE ARQUITECTURA</v>
      </c>
      <c r="F473" t="str">
        <f>IFERROR(__xludf.DUMMYFUNCTION("""COMPUTED_VALUE"""),"Encargado(a) Técnico(a) de Laboratorio")</f>
        <v>Encargado(a) Técnico(a) de Laboratorio</v>
      </c>
      <c r="G473" t="str">
        <f>IFERROR(__xludf.DUMMYFUNCTION("""COMPUTED_VALUE"""),"ENCARGADO TECNICO DE LABORATORIO")</f>
        <v>ENCARGADO TECNICO DE LABORATORIO</v>
      </c>
      <c r="H473">
        <f>IFERROR(__xludf.DUMMYFUNCTION("""COMPUTED_VALUE"""),14.0)</f>
        <v>14</v>
      </c>
      <c r="I473" t="str">
        <f>IFERROR(__xludf.DUMMYFUNCTION("""COMPUTED_VALUE"""),"Jornada Completa")</f>
        <v>Jornada Completa</v>
      </c>
      <c r="J473" t="str">
        <f>IFERROR(__xludf.DUMMYFUNCTION("""COMPUTED_VALUE"""),"A CONTRATA")</f>
        <v>A CONTRATA</v>
      </c>
      <c r="K473" t="str">
        <f>IFERROR(__xludf.DUMMYFUNCTION("""COMPUTED_VALUE"""),"TECNICO")</f>
        <v>TECNICO</v>
      </c>
      <c r="L473" t="str">
        <f>IFERROR(__xludf.DUMMYFUNCTION("""COMPUTED_VALUE"""),"INTERNO")</f>
        <v>INTERNO</v>
      </c>
      <c r="M473">
        <f>IFERROR(__xludf.DUMMYFUNCTION("""COMPUTED_VALUE"""),0.0)</f>
        <v>0</v>
      </c>
      <c r="N473" t="str">
        <f>IFERROR(__xludf.DUMMYFUNCTION("""COMPUTED_VALUE"""),"EXTERNO")</f>
        <v>EXTERNO</v>
      </c>
      <c r="O473">
        <f>IFERROR(__xludf.DUMMYFUNCTION("""COMPUTED_VALUE"""),2.0)</f>
        <v>2</v>
      </c>
      <c r="P473">
        <f>IFERROR(__xludf.DUMMYFUNCTION("""COMPUTED_VALUE"""),1.0)</f>
        <v>1</v>
      </c>
      <c r="Q473">
        <f>IFERROR(__xludf.DUMMYFUNCTION("""COMPUTED_VALUE"""),3.0)</f>
        <v>3</v>
      </c>
      <c r="R473" s="45" t="str">
        <f>IFERROR(__xludf.DUMMYFUNCTION("""COMPUTED_VALUE"""),"SELECCIONADO")</f>
        <v>SELECCIONADO</v>
      </c>
      <c r="S473" s="38">
        <f>IFERROR(__xludf.DUMMYFUNCTION("""COMPUTED_VALUE"""),42107.0)</f>
        <v>42107</v>
      </c>
      <c r="U473" t="str">
        <f>IFERROR(__xludf.DUMMYFUNCTION("""COMPUTED_VALUE"""),"JUDITH MOYANO FUENTES")</f>
        <v>JUDITH MOYANO FUENTES</v>
      </c>
      <c r="V473" t="str">
        <f>IFERROR(__xludf.DUMMYFUNCTION("""COMPUTED_VALUE"""),"16342033-3")</f>
        <v>16342033-3</v>
      </c>
      <c r="W473" t="str">
        <f>IFERROR(__xludf.DUMMYFUNCTION("""COMPUTED_VALUE"""),"NO")</f>
        <v>NO</v>
      </c>
      <c r="AA473" s="38">
        <f>IFERROR(__xludf.DUMMYFUNCTION("""COMPUTED_VALUE"""),42079.0)</f>
        <v>42079</v>
      </c>
      <c r="AB473" s="38">
        <f>IFERROR(__xludf.DUMMYFUNCTION("""COMPUTED_VALUE"""),42083.0)</f>
        <v>42083</v>
      </c>
      <c r="AH473" t="str">
        <f>IFERROR(__xludf.DUMMYFUNCTION("""COMPUTED_VALUE"""),"PROCESO DE SELECCIÓN")</f>
        <v>PROCESO DE SELECCIÓN</v>
      </c>
      <c r="AI473" t="str">
        <f>IFERROR(__xludf.DUMMYFUNCTION("""COMPUTED_VALUE"""),"FRANCISCA CESPEDES")</f>
        <v>FRANCISCA CESPEDES</v>
      </c>
      <c r="AK473" t="str">
        <f>IFERROR(__xludf.DUMMYFUNCTION("""COMPUTED_VALUE"""),"P")</f>
        <v>P</v>
      </c>
      <c r="AL473">
        <f>IFERROR(__xludf.DUMMYFUNCTION("""COMPUTED_VALUE"""),17.0)</f>
        <v>17</v>
      </c>
      <c r="AM473">
        <f>IFERROR(__xludf.DUMMYFUNCTION("""COMPUTED_VALUE"""),2015.0)</f>
        <v>2015</v>
      </c>
    </row>
    <row r="474">
      <c r="A474">
        <f>IFERROR(__xludf.DUMMYFUNCTION("""COMPUTED_VALUE"""),1.3902432E7)</f>
        <v>13902432</v>
      </c>
      <c r="B474">
        <f>IFERROR(__xludf.DUMMYFUNCTION("""COMPUTED_VALUE"""),10.0)</f>
        <v>10</v>
      </c>
      <c r="D474" t="str">
        <f>IFERROR(__xludf.DUMMYFUNCTION("""COMPUTED_VALUE"""),"22")</f>
        <v>22</v>
      </c>
      <c r="E474" t="str">
        <f>IFERROR(__xludf.DUMMYFUNCTION("""COMPUTED_VALUE"""),"DEPARTAMENTO DE GESTION DEL DEPORTE Y CULTURA")</f>
        <v>DEPARTAMENTO DE GESTION DEL DEPORTE Y CULTURA</v>
      </c>
      <c r="F474" t="str">
        <f>IFERROR(__xludf.DUMMYFUNCTION("""COMPUTED_VALUE"""),"Entrenador(a) Deportivo(a)")</f>
        <v>Entrenador(a) Deportivo(a)</v>
      </c>
      <c r="G474" t="str">
        <f>IFERROR(__xludf.DUMMYFUNCTION("""COMPUTED_VALUE"""),"PROFESOR ENTRENADOR DEPORTIVO BASQUETBOL DAMAS")</f>
        <v>PROFESOR ENTRENADOR DEPORTIVO BASQUETBOL DAMAS</v>
      </c>
      <c r="H474">
        <f>IFERROR(__xludf.DUMMYFUNCTION("""COMPUTED_VALUE"""),13.0)</f>
        <v>13</v>
      </c>
      <c r="I474" t="str">
        <f>IFERROR(__xludf.DUMMYFUNCTION("""COMPUTED_VALUE"""),"1/2 Jornada")</f>
        <v>1/2 Jornada</v>
      </c>
      <c r="J474" t="str">
        <f>IFERROR(__xludf.DUMMYFUNCTION("""COMPUTED_VALUE"""),"A CONTRATA")</f>
        <v>A CONTRATA</v>
      </c>
      <c r="K474" t="str">
        <f>IFERROR(__xludf.DUMMYFUNCTION("""COMPUTED_VALUE"""),"PROFESIONAL")</f>
        <v>PROFESIONAL</v>
      </c>
      <c r="L474" t="str">
        <f>IFERROR(__xludf.DUMMYFUNCTION("""COMPUTED_VALUE"""),"INTERNO")</f>
        <v>INTERNO</v>
      </c>
      <c r="M474">
        <f>IFERROR(__xludf.DUMMYFUNCTION("""COMPUTED_VALUE"""),0.0)</f>
        <v>0</v>
      </c>
      <c r="N474" t="str">
        <f>IFERROR(__xludf.DUMMYFUNCTION("""COMPUTED_VALUE"""),"EXTERNO")</f>
        <v>EXTERNO</v>
      </c>
      <c r="O474">
        <f>IFERROR(__xludf.DUMMYFUNCTION("""COMPUTED_VALUE"""),6.0)</f>
        <v>6</v>
      </c>
      <c r="P474">
        <f>IFERROR(__xludf.DUMMYFUNCTION("""COMPUTED_VALUE"""),2.0)</f>
        <v>2</v>
      </c>
      <c r="Q474">
        <f>IFERROR(__xludf.DUMMYFUNCTION("""COMPUTED_VALUE"""),1.0)</f>
        <v>1</v>
      </c>
      <c r="R474" s="45" t="str">
        <f>IFERROR(__xludf.DUMMYFUNCTION("""COMPUTED_VALUE"""),"SELECCIONADO")</f>
        <v>SELECCIONADO</v>
      </c>
      <c r="S474" s="38">
        <f>IFERROR(__xludf.DUMMYFUNCTION("""COMPUTED_VALUE"""),42087.0)</f>
        <v>42087</v>
      </c>
      <c r="U474" t="str">
        <f>IFERROR(__xludf.DUMMYFUNCTION("""COMPUTED_VALUE"""),"FELIPE FRITZCHMANN SANCHEZ")</f>
        <v>FELIPE FRITZCHMANN SANCHEZ</v>
      </c>
      <c r="V474" t="str">
        <f>IFERROR(__xludf.DUMMYFUNCTION("""COMPUTED_VALUE"""),"13902432-K")</f>
        <v>13902432-K</v>
      </c>
      <c r="W474" t="str">
        <f>IFERROR(__xludf.DUMMYFUNCTION("""COMPUTED_VALUE"""),"NO")</f>
        <v>NO</v>
      </c>
      <c r="AA474" s="38">
        <f>IFERROR(__xludf.DUMMYFUNCTION("""COMPUTED_VALUE"""),42065.0)</f>
        <v>42065</v>
      </c>
      <c r="AB474" s="38">
        <f>IFERROR(__xludf.DUMMYFUNCTION("""COMPUTED_VALUE"""),42068.0)</f>
        <v>42068</v>
      </c>
      <c r="AH474" t="str">
        <f>IFERROR(__xludf.DUMMYFUNCTION("""COMPUTED_VALUE"""),"PROCESO DE SELECCIÓN")</f>
        <v>PROCESO DE SELECCIÓN</v>
      </c>
      <c r="AI474" t="str">
        <f>IFERROR(__xludf.DUMMYFUNCTION("""COMPUTED_VALUE"""),"CHRISTIAN POBLETE SCHNEIDER")</f>
        <v>CHRISTIAN POBLETE SCHNEIDER</v>
      </c>
      <c r="AK474" t="str">
        <f>IFERROR(__xludf.DUMMYFUNCTION("""COMPUTED_VALUE"""),"P")</f>
        <v>P</v>
      </c>
      <c r="AL474">
        <f>IFERROR(__xludf.DUMMYFUNCTION("""COMPUTED_VALUE"""),14.0)</f>
        <v>14</v>
      </c>
      <c r="AM474">
        <f>IFERROR(__xludf.DUMMYFUNCTION("""COMPUTED_VALUE"""),2015.0)</f>
        <v>2015</v>
      </c>
    </row>
    <row r="475">
      <c r="A475">
        <f>IFERROR(__xludf.DUMMYFUNCTION("""COMPUTED_VALUE"""),1.3438026E7)</f>
        <v>13438026</v>
      </c>
      <c r="B475">
        <f>IFERROR(__xludf.DUMMYFUNCTION("""COMPUTED_VALUE"""),11.0)</f>
        <v>11</v>
      </c>
      <c r="D475" t="str">
        <f>IFERROR(__xludf.DUMMYFUNCTION("""COMPUTED_VALUE"""),"3")</f>
        <v>3</v>
      </c>
      <c r="E475" t="str">
        <f>IFERROR(__xludf.DUMMYFUNCTION("""COMPUTED_VALUE"""),"UNIDAD DE COORDINACION INSTITUCIONAL")</f>
        <v>UNIDAD DE COORDINACION INSTITUCIONAL</v>
      </c>
      <c r="F475" t="str">
        <f>IFERROR(__xludf.DUMMYFUNCTION("""COMPUTED_VALUE"""),"Administrativo(a) de Proceso")</f>
        <v>Administrativo(a) de Proceso</v>
      </c>
      <c r="G475" t="str">
        <f>IFERROR(__xludf.DUMMYFUNCTION("""COMPUTED_VALUE"""),"ADMINISTRATIVO DE PROCESO")</f>
        <v>ADMINISTRATIVO DE PROCESO</v>
      </c>
      <c r="H475">
        <f>IFERROR(__xludf.DUMMYFUNCTION("""COMPUTED_VALUE"""),15.0)</f>
        <v>15</v>
      </c>
      <c r="I475" t="str">
        <f>IFERROR(__xludf.DUMMYFUNCTION("""COMPUTED_VALUE"""),"Jornada Completa")</f>
        <v>Jornada Completa</v>
      </c>
      <c r="J475" t="str">
        <f>IFERROR(__xludf.DUMMYFUNCTION("""COMPUTED_VALUE"""),"A CONTRATA")</f>
        <v>A CONTRATA</v>
      </c>
      <c r="K475" t="str">
        <f>IFERROR(__xludf.DUMMYFUNCTION("""COMPUTED_VALUE"""),"ADMINISTRATIVO")</f>
        <v>ADMINISTRATIVO</v>
      </c>
      <c r="L475" t="str">
        <f>IFERROR(__xludf.DUMMYFUNCTION("""COMPUTED_VALUE"""),"INTERNO")</f>
        <v>INTERNO</v>
      </c>
      <c r="M475">
        <f>IFERROR(__xludf.DUMMYFUNCTION("""COMPUTED_VALUE"""),3.0)</f>
        <v>3</v>
      </c>
      <c r="N475" t="str">
        <f>IFERROR(__xludf.DUMMYFUNCTION("""COMPUTED_VALUE"""),"NO")</f>
        <v>NO</v>
      </c>
      <c r="P475">
        <f>IFERROR(__xludf.DUMMYFUNCTION("""COMPUTED_VALUE"""),1.0)</f>
        <v>1</v>
      </c>
      <c r="Q475">
        <f>IFERROR(__xludf.DUMMYFUNCTION("""COMPUTED_VALUE"""),0.0)</f>
        <v>0</v>
      </c>
      <c r="R475" s="45" t="str">
        <f>IFERROR(__xludf.DUMMYFUNCTION("""COMPUTED_VALUE"""),"SELECCIONADA")</f>
        <v>SELECCIONADA</v>
      </c>
      <c r="S475" s="38">
        <f>IFERROR(__xludf.DUMMYFUNCTION("""COMPUTED_VALUE"""),42107.0)</f>
        <v>42107</v>
      </c>
      <c r="T475" t="str">
        <f>IFERROR(__xludf.DUMMYFUNCTION("""COMPUTED_VALUE"""),"JAZMIN AGUILERA SILVA")</f>
        <v>JAZMIN AGUILERA SILVA</v>
      </c>
      <c r="V475" t="str">
        <f>IFERROR(__xludf.DUMMYFUNCTION("""COMPUTED_VALUE"""),"13438026-8")</f>
        <v>13438026-8</v>
      </c>
      <c r="W475" t="str">
        <f>IFERROR(__xludf.DUMMYFUNCTION("""COMPUTED_VALUE"""),"SI")</f>
        <v>SI</v>
      </c>
      <c r="Y475" t="str">
        <f>IFERROR(__xludf.DUMMYFUNCTION("""COMPUTED_VALUE"""),"Orientacion a los Resultados")</f>
        <v>Orientacion a los Resultados</v>
      </c>
      <c r="AA475" s="38">
        <f>IFERROR(__xludf.DUMMYFUNCTION("""COMPUTED_VALUE"""),42079.0)</f>
        <v>42079</v>
      </c>
      <c r="AB475" s="38">
        <f>IFERROR(__xludf.DUMMYFUNCTION("""COMPUTED_VALUE"""),42081.0)</f>
        <v>42081</v>
      </c>
      <c r="AC475">
        <f>IFERROR(__xludf.DUMMYFUNCTION("""COMPUTED_VALUE"""),16.0)</f>
        <v>16</v>
      </c>
      <c r="AD475" t="str">
        <f>IFERROR(__xludf.DUMMYFUNCTION("""COMPUTED_VALUE"""),"ADMINISTRATIVO")</f>
        <v>ADMINISTRATIVO</v>
      </c>
      <c r="AF475" s="46" t="str">
        <f>IFERROR(__xludf.DUMMYFUNCTION("""COMPUTED_VALUE"""),"CECTA")</f>
        <v>CECTA</v>
      </c>
      <c r="AH475" t="str">
        <f>IFERROR(__xludf.DUMMYFUNCTION("""COMPUTED_VALUE"""),"PROCESO DE SELECCIÓN")</f>
        <v>PROCESO DE SELECCIÓN</v>
      </c>
      <c r="AI475" t="str">
        <f>IFERROR(__xludf.DUMMYFUNCTION("""COMPUTED_VALUE"""),"-")</f>
        <v>-</v>
      </c>
      <c r="AK475" t="str">
        <f>IFERROR(__xludf.DUMMYFUNCTION("""COMPUTED_VALUE"""),"P")</f>
        <v>P</v>
      </c>
      <c r="AL475">
        <f>IFERROR(__xludf.DUMMYFUNCTION("""COMPUTED_VALUE"""),19.0)</f>
        <v>19</v>
      </c>
      <c r="AM475">
        <f>IFERROR(__xludf.DUMMYFUNCTION("""COMPUTED_VALUE"""),2015.0)</f>
        <v>2015</v>
      </c>
    </row>
    <row r="476">
      <c r="A476">
        <f>IFERROR(__xludf.DUMMYFUNCTION("""COMPUTED_VALUE"""),1.8339692E7)</f>
        <v>18339692</v>
      </c>
      <c r="B476">
        <f>IFERROR(__xludf.DUMMYFUNCTION("""COMPUTED_VALUE"""),12.0)</f>
        <v>12</v>
      </c>
      <c r="D476" t="str">
        <f>IFERROR(__xludf.DUMMYFUNCTION("""COMPUTED_VALUE"""),"3")</f>
        <v>3</v>
      </c>
      <c r="E476" t="str">
        <f>IFERROR(__xludf.DUMMYFUNCTION("""COMPUTED_VALUE"""),"UNIDAD DE GESTION DEL CAMPUS")</f>
        <v>UNIDAD DE GESTION DEL CAMPUS</v>
      </c>
      <c r="F476" t="str">
        <f>IFERROR(__xludf.DUMMYFUNCTION("""COMPUTED_VALUE"""),"Secretario(a) C")</f>
        <v>Secretario(a) C</v>
      </c>
      <c r="G476" t="str">
        <f>IFERROR(__xludf.DUMMYFUNCTION("""COMPUTED_VALUE"""),"SECRETARIA ADMINISTRATIVA")</f>
        <v>SECRETARIA ADMINISTRATIVA</v>
      </c>
      <c r="H476">
        <f>IFERROR(__xludf.DUMMYFUNCTION("""COMPUTED_VALUE"""),20.0)</f>
        <v>20</v>
      </c>
      <c r="I476" t="str">
        <f>IFERROR(__xludf.DUMMYFUNCTION("""COMPUTED_VALUE"""),"Jornada Completa")</f>
        <v>Jornada Completa</v>
      </c>
      <c r="J476" t="str">
        <f>IFERROR(__xludf.DUMMYFUNCTION("""COMPUTED_VALUE"""),"A CONTRATA")</f>
        <v>A CONTRATA</v>
      </c>
      <c r="K476" t="str">
        <f>IFERROR(__xludf.DUMMYFUNCTION("""COMPUTED_VALUE"""),"ADMINISTRATIVO")</f>
        <v>ADMINISTRATIVO</v>
      </c>
      <c r="L476" t="str">
        <f>IFERROR(__xludf.DUMMYFUNCTION("""COMPUTED_VALUE"""),"INTERNO")</f>
        <v>INTERNO</v>
      </c>
      <c r="M476">
        <f>IFERROR(__xludf.DUMMYFUNCTION("""COMPUTED_VALUE"""),0.0)</f>
        <v>0</v>
      </c>
      <c r="N476" t="str">
        <f>IFERROR(__xludf.DUMMYFUNCTION("""COMPUTED_VALUE"""),"EXTERNO")</f>
        <v>EXTERNO</v>
      </c>
      <c r="O476">
        <f>IFERROR(__xludf.DUMMYFUNCTION("""COMPUTED_VALUE"""),5.0)</f>
        <v>5</v>
      </c>
      <c r="P476">
        <f>IFERROR(__xludf.DUMMYFUNCTION("""COMPUTED_VALUE"""),1.0)</f>
        <v>1</v>
      </c>
      <c r="Q476">
        <f>IFERROR(__xludf.DUMMYFUNCTION("""COMPUTED_VALUE"""),1.0)</f>
        <v>1</v>
      </c>
      <c r="R476" s="45" t="str">
        <f>IFERROR(__xludf.DUMMYFUNCTION("""COMPUTED_VALUE"""),"SELECCIONADA")</f>
        <v>SELECCIONADA</v>
      </c>
      <c r="S476" s="38">
        <f>IFERROR(__xludf.DUMMYFUNCTION("""COMPUTED_VALUE"""),42110.0)</f>
        <v>42110</v>
      </c>
      <c r="U476" t="str">
        <f>IFERROR(__xludf.DUMMYFUNCTION("""COMPUTED_VALUE"""),"MILENA GOMEZ MEDINA")</f>
        <v>MILENA GOMEZ MEDINA</v>
      </c>
      <c r="V476" t="str">
        <f>IFERROR(__xludf.DUMMYFUNCTION("""COMPUTED_VALUE"""),"18339692-7")</f>
        <v>18339692-7</v>
      </c>
      <c r="W476" t="str">
        <f>IFERROR(__xludf.DUMMYFUNCTION("""COMPUTED_VALUE"""),"NO")</f>
        <v>NO</v>
      </c>
      <c r="AA476" s="38">
        <f>IFERROR(__xludf.DUMMYFUNCTION("""COMPUTED_VALUE"""),42090.0)</f>
        <v>42090</v>
      </c>
      <c r="AB476" s="38">
        <f>IFERROR(__xludf.DUMMYFUNCTION("""COMPUTED_VALUE"""),42097.0)</f>
        <v>42097</v>
      </c>
      <c r="AH476" t="str">
        <f>IFERROR(__xludf.DUMMYFUNCTION("""COMPUTED_VALUE"""),"PROCESO DE SELECCIÓN")</f>
        <v>PROCESO DE SELECCIÓN</v>
      </c>
      <c r="AI476" t="str">
        <f>IFERROR(__xludf.DUMMYFUNCTION("""COMPUTED_VALUE"""),"MARIA VALENZUELA")</f>
        <v>MARIA VALENZUELA</v>
      </c>
      <c r="AK476" t="str">
        <f>IFERROR(__xludf.DUMMYFUNCTION("""COMPUTED_VALUE"""),"C")</f>
        <v>C</v>
      </c>
      <c r="AL476">
        <f>IFERROR(__xludf.DUMMYFUNCTION("""COMPUTED_VALUE"""),10.0)</f>
        <v>10</v>
      </c>
      <c r="AM476">
        <f>IFERROR(__xludf.DUMMYFUNCTION("""COMPUTED_VALUE"""),2015.0)</f>
        <v>2015</v>
      </c>
    </row>
    <row r="477">
      <c r="A477">
        <f>IFERROR(__xludf.DUMMYFUNCTION("""COMPUTED_VALUE"""),1.326492E7)</f>
        <v>13264920</v>
      </c>
      <c r="B477">
        <f>IFERROR(__xludf.DUMMYFUNCTION("""COMPUTED_VALUE"""),13.0)</f>
        <v>13</v>
      </c>
      <c r="D477" t="str">
        <f>IFERROR(__xludf.DUMMYFUNCTION("""COMPUTED_VALUE"""),"15")</f>
        <v>15</v>
      </c>
      <c r="E477" t="str">
        <f>IFERROR(__xludf.DUMMYFUNCTION("""COMPUTED_VALUE"""),"UNIDAD DE BIBLIOTECAS")</f>
        <v>UNIDAD DE BIBLIOTECAS</v>
      </c>
      <c r="F477" t="str">
        <f>IFERROR(__xludf.DUMMYFUNCTION("""COMPUTED_VALUE"""),"Técnico(a) de Biblioteca")</f>
        <v>Técnico(a) de Biblioteca</v>
      </c>
      <c r="G477" t="str">
        <f>IFERROR(__xludf.DUMMYFUNCTION("""COMPUTED_VALUE"""),"TECNICO DE BIBLIOTECA")</f>
        <v>TECNICO DE BIBLIOTECA</v>
      </c>
      <c r="H477">
        <f>IFERROR(__xludf.DUMMYFUNCTION("""COMPUTED_VALUE"""),18.0)</f>
        <v>18</v>
      </c>
      <c r="I477" t="str">
        <f>IFERROR(__xludf.DUMMYFUNCTION("""COMPUTED_VALUE"""),"Jornada Completa")</f>
        <v>Jornada Completa</v>
      </c>
      <c r="J477" t="str">
        <f>IFERROR(__xludf.DUMMYFUNCTION("""COMPUTED_VALUE"""),"A CONTRATA")</f>
        <v>A CONTRATA</v>
      </c>
      <c r="K477" t="str">
        <f>IFERROR(__xludf.DUMMYFUNCTION("""COMPUTED_VALUE"""),"TECNICO")</f>
        <v>TECNICO</v>
      </c>
      <c r="L477" t="str">
        <f>IFERROR(__xludf.DUMMYFUNCTION("""COMPUTED_VALUE"""),"INTERNO")</f>
        <v>INTERNO</v>
      </c>
      <c r="M477">
        <f>IFERROR(__xludf.DUMMYFUNCTION("""COMPUTED_VALUE"""),9.0)</f>
        <v>9</v>
      </c>
      <c r="N477" t="str">
        <f>IFERROR(__xludf.DUMMYFUNCTION("""COMPUTED_VALUE"""),"EXTERNO")</f>
        <v>EXTERNO</v>
      </c>
      <c r="O477">
        <f>IFERROR(__xludf.DUMMYFUNCTION("""COMPUTED_VALUE"""),14.0)</f>
        <v>14</v>
      </c>
      <c r="P477">
        <f>IFERROR(__xludf.DUMMYFUNCTION("""COMPUTED_VALUE"""),3.0)</f>
        <v>3</v>
      </c>
      <c r="Q477">
        <f>IFERROR(__xludf.DUMMYFUNCTION("""COMPUTED_VALUE"""),1.0)</f>
        <v>1</v>
      </c>
      <c r="R477" s="45" t="str">
        <f>IFERROR(__xludf.DUMMYFUNCTION("""COMPUTED_VALUE"""),"SELECCIONADA")</f>
        <v>SELECCIONADA</v>
      </c>
      <c r="S477" s="38">
        <f>IFERROR(__xludf.DUMMYFUNCTION("""COMPUTED_VALUE"""),42114.0)</f>
        <v>42114</v>
      </c>
      <c r="U477" t="str">
        <f>IFERROR(__xludf.DUMMYFUNCTION("""COMPUTED_VALUE"""),"CAROLINA ARENAS QUILAN")</f>
        <v>CAROLINA ARENAS QUILAN</v>
      </c>
      <c r="V477" t="str">
        <f>IFERROR(__xludf.DUMMYFUNCTION("""COMPUTED_VALUE"""),"13264920-0")</f>
        <v>13264920-0</v>
      </c>
      <c r="W477" t="str">
        <f>IFERROR(__xludf.DUMMYFUNCTION("""COMPUTED_VALUE"""),"SI")</f>
        <v>SI</v>
      </c>
      <c r="Z477" t="str">
        <f>IFERROR(__xludf.DUMMYFUNCTION("""COMPUTED_VALUE"""),"Comunicacion")</f>
        <v>Comunicacion</v>
      </c>
      <c r="AA477" s="38">
        <f>IFERROR(__xludf.DUMMYFUNCTION("""COMPUTED_VALUE"""),42065.0)</f>
        <v>42065</v>
      </c>
      <c r="AB477" s="38">
        <f>IFERROR(__xludf.DUMMYFUNCTION("""COMPUTED_VALUE"""),42072.0)</f>
        <v>42072</v>
      </c>
      <c r="AH477" t="str">
        <f>IFERROR(__xludf.DUMMYFUNCTION("""COMPUTED_VALUE"""),"PROCESO DE SELECCIÓN")</f>
        <v>PROCESO DE SELECCIÓN</v>
      </c>
      <c r="AI477" t="str">
        <f>IFERROR(__xludf.DUMMYFUNCTION("""COMPUTED_VALUE"""),"CARLOS BARRENECHEA")</f>
        <v>CARLOS BARRENECHEA</v>
      </c>
      <c r="AK477" t="str">
        <f>IFERROR(__xludf.DUMMYFUNCTION("""COMPUTED_VALUE"""),"C")</f>
        <v>C</v>
      </c>
      <c r="AL477">
        <f>IFERROR(__xludf.DUMMYFUNCTION("""COMPUTED_VALUE"""),31.0)</f>
        <v>31</v>
      </c>
      <c r="AM477">
        <f>IFERROR(__xludf.DUMMYFUNCTION("""COMPUTED_VALUE"""),2015.0)</f>
        <v>2015</v>
      </c>
    </row>
    <row r="478">
      <c r="A478">
        <f>IFERROR(__xludf.DUMMYFUNCTION("""COMPUTED_VALUE"""),1.7381281E7)</f>
        <v>17381281</v>
      </c>
      <c r="B478">
        <f>IFERROR(__xludf.DUMMYFUNCTION("""COMPUTED_VALUE"""),14.0)</f>
        <v>14</v>
      </c>
      <c r="D478" t="str">
        <f>IFERROR(__xludf.DUMMYFUNCTION("""COMPUTED_VALUE"""),"60")</f>
        <v>60</v>
      </c>
      <c r="E478" t="str">
        <f>IFERROR(__xludf.DUMMYFUNCTION("""COMPUTED_VALUE"""),"DEPARTAMENTO DE CONTABILIDAD Y AUDITORIA")</f>
        <v>DEPARTAMENTO DE CONTABILIDAD Y AUDITORIA</v>
      </c>
      <c r="F478" t="str">
        <f>IFERROR(__xludf.DUMMYFUNCTION("""COMPUTED_VALUE"""),"Secretario(a) de Apoyo Docente")</f>
        <v>Secretario(a) de Apoyo Docente</v>
      </c>
      <c r="G478" t="str">
        <f>IFERROR(__xludf.DUMMYFUNCTION("""COMPUTED_VALUE"""),"SECRETARIA DE APOYO DOCENTE")</f>
        <v>SECRETARIA DE APOYO DOCENTE</v>
      </c>
      <c r="H478">
        <f>IFERROR(__xludf.DUMMYFUNCTION("""COMPUTED_VALUE"""),17.0)</f>
        <v>17</v>
      </c>
      <c r="I478" t="str">
        <f>IFERROR(__xludf.DUMMYFUNCTION("""COMPUTED_VALUE"""),"Jornada Completa")</f>
        <v>Jornada Completa</v>
      </c>
      <c r="J478" t="str">
        <f>IFERROR(__xludf.DUMMYFUNCTION("""COMPUTED_VALUE"""),"A CONTRATA")</f>
        <v>A CONTRATA</v>
      </c>
      <c r="K478" t="str">
        <f>IFERROR(__xludf.DUMMYFUNCTION("""COMPUTED_VALUE"""),"ADMINISTRATIVO")</f>
        <v>ADMINISTRATIVO</v>
      </c>
      <c r="L478" t="str">
        <f>IFERROR(__xludf.DUMMYFUNCTION("""COMPUTED_VALUE"""),"INTERNO")</f>
        <v>INTERNO</v>
      </c>
      <c r="M478">
        <f>IFERROR(__xludf.DUMMYFUNCTION("""COMPUTED_VALUE"""),0.0)</f>
        <v>0</v>
      </c>
      <c r="N478" t="str">
        <f>IFERROR(__xludf.DUMMYFUNCTION("""COMPUTED_VALUE"""),"EXTERNO")</f>
        <v>EXTERNO</v>
      </c>
      <c r="O478">
        <f>IFERROR(__xludf.DUMMYFUNCTION("""COMPUTED_VALUE"""),5.0)</f>
        <v>5</v>
      </c>
      <c r="P478">
        <f>IFERROR(__xludf.DUMMYFUNCTION("""COMPUTED_VALUE"""),1.0)</f>
        <v>1</v>
      </c>
      <c r="Q478">
        <f>IFERROR(__xludf.DUMMYFUNCTION("""COMPUTED_VALUE"""),1.0)</f>
        <v>1</v>
      </c>
      <c r="R478" s="45" t="str">
        <f>IFERROR(__xludf.DUMMYFUNCTION("""COMPUTED_VALUE"""),"SELECCIONADA")</f>
        <v>SELECCIONADA</v>
      </c>
      <c r="S478" s="38">
        <f>IFERROR(__xludf.DUMMYFUNCTION("""COMPUTED_VALUE"""),42107.0)</f>
        <v>42107</v>
      </c>
      <c r="U478" t="str">
        <f>IFERROR(__xludf.DUMMYFUNCTION("""COMPUTED_VALUE"""),"CATHERINE GONZALEZ VELASQUEZ")</f>
        <v>CATHERINE GONZALEZ VELASQUEZ</v>
      </c>
      <c r="V478" t="str">
        <f>IFERROR(__xludf.DUMMYFUNCTION("""COMPUTED_VALUE"""),"17381281-7")</f>
        <v>17381281-7</v>
      </c>
      <c r="W478" t="str">
        <f>IFERROR(__xludf.DUMMYFUNCTION("""COMPUTED_VALUE"""),"SI")</f>
        <v>SI</v>
      </c>
      <c r="X478" t="str">
        <f>IFERROR(__xludf.DUMMYFUNCTION("""COMPUTED_VALUE"""),"Preocupacion por el Orden y la Claridad")</f>
        <v>Preocupacion por el Orden y la Claridad</v>
      </c>
      <c r="AA478" s="38">
        <f>IFERROR(__xludf.DUMMYFUNCTION("""COMPUTED_VALUE"""),42081.0)</f>
        <v>42081</v>
      </c>
      <c r="AB478" s="38">
        <f>IFERROR(__xludf.DUMMYFUNCTION("""COMPUTED_VALUE"""),42086.0)</f>
        <v>42086</v>
      </c>
      <c r="AH478" t="str">
        <f>IFERROR(__xludf.DUMMYFUNCTION("""COMPUTED_VALUE"""),"PROCESO DE SELECCIÓN")</f>
        <v>PROCESO DE SELECCIÓN</v>
      </c>
      <c r="AI478" t="str">
        <f>IFERROR(__xludf.DUMMYFUNCTION("""COMPUTED_VALUE"""),"-")</f>
        <v>-</v>
      </c>
      <c r="AK478" t="str">
        <f>IFERROR(__xludf.DUMMYFUNCTION("""COMPUTED_VALUE"""),"P")</f>
        <v>P</v>
      </c>
      <c r="AL478">
        <f>IFERROR(__xludf.DUMMYFUNCTION("""COMPUTED_VALUE"""),16.0)</f>
        <v>16</v>
      </c>
      <c r="AM478">
        <f>IFERROR(__xludf.DUMMYFUNCTION("""COMPUTED_VALUE"""),2015.0)</f>
        <v>2015</v>
      </c>
    </row>
    <row r="479">
      <c r="A479">
        <f>IFERROR(__xludf.DUMMYFUNCTION("""COMPUTED_VALUE"""),1.6570996E7)</f>
        <v>16570996</v>
      </c>
      <c r="B479">
        <f>IFERROR(__xludf.DUMMYFUNCTION("""COMPUTED_VALUE"""),15.0)</f>
        <v>15</v>
      </c>
      <c r="D479" t="str">
        <f>IFERROR(__xludf.DUMMYFUNCTION("""COMPUTED_VALUE"""),"3")</f>
        <v>3</v>
      </c>
      <c r="E479" t="str">
        <f>IFERROR(__xludf.DUMMYFUNCTION("""COMPUTED_VALUE"""),"UNIDAD DE GESTION DEL CAMPUS")</f>
        <v>UNIDAD DE GESTION DEL CAMPUS</v>
      </c>
      <c r="F479" t="str">
        <f>IFERROR(__xludf.DUMMYFUNCTION("""COMPUTED_VALUE"""),"Técnico(a) en Prevención de Riesgos")</f>
        <v>Técnico(a) en Prevención de Riesgos</v>
      </c>
      <c r="G479" t="str">
        <f>IFERROR(__xludf.DUMMYFUNCTION("""COMPUTED_VALUE"""),"TECNICO EN PREVENCION DE RIESGOS")</f>
        <v>TECNICO EN PREVENCION DE RIESGOS</v>
      </c>
      <c r="H479">
        <f>IFERROR(__xludf.DUMMYFUNCTION("""COMPUTED_VALUE"""),14.0)</f>
        <v>14</v>
      </c>
      <c r="I479" t="str">
        <f>IFERROR(__xludf.DUMMYFUNCTION("""COMPUTED_VALUE"""),"Jornada Completa")</f>
        <v>Jornada Completa</v>
      </c>
      <c r="J479" t="str">
        <f>IFERROR(__xludf.DUMMYFUNCTION("""COMPUTED_VALUE"""),"A CONTRATA")</f>
        <v>A CONTRATA</v>
      </c>
      <c r="K479" t="str">
        <f>IFERROR(__xludf.DUMMYFUNCTION("""COMPUTED_VALUE"""),"TECNICO")</f>
        <v>TECNICO</v>
      </c>
      <c r="L479" t="str">
        <f>IFERROR(__xludf.DUMMYFUNCTION("""COMPUTED_VALUE"""),"INTERNO")</f>
        <v>INTERNO</v>
      </c>
      <c r="M479">
        <f>IFERROR(__xludf.DUMMYFUNCTION("""COMPUTED_VALUE"""),0.0)</f>
        <v>0</v>
      </c>
      <c r="N479" t="str">
        <f>IFERROR(__xludf.DUMMYFUNCTION("""COMPUTED_VALUE"""),"EXTERNO")</f>
        <v>EXTERNO</v>
      </c>
      <c r="O479">
        <f>IFERROR(__xludf.DUMMYFUNCTION("""COMPUTED_VALUE"""),13.0)</f>
        <v>13</v>
      </c>
      <c r="P479">
        <f>IFERROR(__xludf.DUMMYFUNCTION("""COMPUTED_VALUE"""),2.0)</f>
        <v>2</v>
      </c>
      <c r="Q479">
        <f>IFERROR(__xludf.DUMMYFUNCTION("""COMPUTED_VALUE"""),1.0)</f>
        <v>1</v>
      </c>
      <c r="R479" s="45" t="str">
        <f>IFERROR(__xludf.DUMMYFUNCTION("""COMPUTED_VALUE"""),"SELECCIONADO")</f>
        <v>SELECCIONADO</v>
      </c>
      <c r="S479" s="38">
        <f>IFERROR(__xludf.DUMMYFUNCTION("""COMPUTED_VALUE"""),42125.0)</f>
        <v>42125</v>
      </c>
      <c r="U479" t="str">
        <f>IFERROR(__xludf.DUMMYFUNCTION("""COMPUTED_VALUE"""),"MIGUEL SALAZAR ZAMORANO")</f>
        <v>MIGUEL SALAZAR ZAMORANO</v>
      </c>
      <c r="V479" t="str">
        <f>IFERROR(__xludf.DUMMYFUNCTION("""COMPUTED_VALUE"""),"16570996-9")</f>
        <v>16570996-9</v>
      </c>
      <c r="W479" t="str">
        <f>IFERROR(__xludf.DUMMYFUNCTION("""COMPUTED_VALUE"""),"SI")</f>
        <v>SI</v>
      </c>
      <c r="Z479" t="str">
        <f>IFERROR(__xludf.DUMMYFUNCTION("""COMPUTED_VALUE"""),"Tolerancia a la presion")</f>
        <v>Tolerancia a la presion</v>
      </c>
      <c r="AA479" s="38">
        <f>IFERROR(__xludf.DUMMYFUNCTION("""COMPUTED_VALUE"""),42067.0)</f>
        <v>42067</v>
      </c>
      <c r="AB479" s="38">
        <f>IFERROR(__xludf.DUMMYFUNCTION("""COMPUTED_VALUE"""),42074.0)</f>
        <v>42074</v>
      </c>
      <c r="AH479" t="str">
        <f>IFERROR(__xludf.DUMMYFUNCTION("""COMPUTED_VALUE"""),"PROCESO DE SELECCIÓN")</f>
        <v>PROCESO DE SELECCIÓN</v>
      </c>
      <c r="AI479" t="str">
        <f>IFERROR(__xludf.DUMMYFUNCTION("""COMPUTED_VALUE"""),"-")</f>
        <v>-</v>
      </c>
      <c r="AK479" t="str">
        <f>IFERROR(__xludf.DUMMYFUNCTION("""COMPUTED_VALUE"""),"C")</f>
        <v>C</v>
      </c>
      <c r="AL479">
        <f>IFERROR(__xludf.DUMMYFUNCTION("""COMPUTED_VALUE"""),38.0)</f>
        <v>38</v>
      </c>
      <c r="AM479">
        <f>IFERROR(__xludf.DUMMYFUNCTION("""COMPUTED_VALUE"""),2015.0)</f>
        <v>2015</v>
      </c>
    </row>
    <row r="480">
      <c r="A480">
        <f>IFERROR(__xludf.DUMMYFUNCTION("""COMPUTED_VALUE"""),1.5797419E7)</f>
        <v>15797419</v>
      </c>
      <c r="B480">
        <f>IFERROR(__xludf.DUMMYFUNCTION("""COMPUTED_VALUE"""),16.0)</f>
        <v>16</v>
      </c>
      <c r="D480" t="str">
        <f>IFERROR(__xludf.DUMMYFUNCTION("""COMPUTED_VALUE"""),"11")</f>
        <v>11</v>
      </c>
      <c r="E480" t="str">
        <f>IFERROR(__xludf.DUMMYFUNCTION("""COMPUTED_VALUE"""),"CENTRO DE INNOVACION Y TRANSFERENCIA TECNOLOGICA")</f>
        <v>CENTRO DE INNOVACION Y TRANSFERENCIA TECNOLOGICA</v>
      </c>
      <c r="F480" t="str">
        <f>IFERROR(__xludf.DUMMYFUNCTION("""COMPUTED_VALUE"""),"Jefe(a) de Sección")</f>
        <v>Jefe(a) de Sección</v>
      </c>
      <c r="G480" t="str">
        <f>IFERROR(__xludf.DUMMYFUNCTION("""COMPUTED_VALUE"""),"JEFE DE SECCION")</f>
        <v>JEFE DE SECCION</v>
      </c>
      <c r="H480">
        <f>IFERROR(__xludf.DUMMYFUNCTION("""COMPUTED_VALUE"""),10.0)</f>
        <v>10</v>
      </c>
      <c r="I480" t="str">
        <f>IFERROR(__xludf.DUMMYFUNCTION("""COMPUTED_VALUE"""),"Jornada Completa")</f>
        <v>Jornada Completa</v>
      </c>
      <c r="J480" t="str">
        <f>IFERROR(__xludf.DUMMYFUNCTION("""COMPUTED_VALUE"""),"A CONTRATA")</f>
        <v>A CONTRATA</v>
      </c>
      <c r="K480" t="str">
        <f>IFERROR(__xludf.DUMMYFUNCTION("""COMPUTED_VALUE"""),"PROFESIONAL")</f>
        <v>PROFESIONAL</v>
      </c>
      <c r="L480" t="str">
        <f>IFERROR(__xludf.DUMMYFUNCTION("""COMPUTED_VALUE"""),"INTERNO")</f>
        <v>INTERNO</v>
      </c>
      <c r="M480">
        <f>IFERROR(__xludf.DUMMYFUNCTION("""COMPUTED_VALUE"""),7.0)</f>
        <v>7</v>
      </c>
      <c r="N480" t="str">
        <f>IFERROR(__xludf.DUMMYFUNCTION("""COMPUTED_VALUE"""),"EXTERNO")</f>
        <v>EXTERNO</v>
      </c>
      <c r="O480">
        <f>IFERROR(__xludf.DUMMYFUNCTION("""COMPUTED_VALUE"""),10.0)</f>
        <v>10</v>
      </c>
      <c r="P480">
        <f>IFERROR(__xludf.DUMMYFUNCTION("""COMPUTED_VALUE"""),1.0)</f>
        <v>1</v>
      </c>
      <c r="R480" s="45" t="str">
        <f>IFERROR(__xludf.DUMMYFUNCTION("""COMPUTED_VALUE"""),"SELECCIONADA")</f>
        <v>SELECCIONADA</v>
      </c>
      <c r="S480" s="38">
        <f>IFERROR(__xludf.DUMMYFUNCTION("""COMPUTED_VALUE"""),42156.0)</f>
        <v>42156</v>
      </c>
      <c r="U480" t="str">
        <f>IFERROR(__xludf.DUMMYFUNCTION("""COMPUTED_VALUE"""),"KAREN ARRIAGADA RIVAS")</f>
        <v>KAREN ARRIAGADA RIVAS</v>
      </c>
      <c r="V480" t="str">
        <f>IFERROR(__xludf.DUMMYFUNCTION("""COMPUTED_VALUE"""),"15797419-K")</f>
        <v>15797419-K</v>
      </c>
      <c r="W480" t="str">
        <f>IFERROR(__xludf.DUMMYFUNCTION("""COMPUTED_VALUE"""),"NO")</f>
        <v>NO</v>
      </c>
      <c r="AA480" s="38">
        <f>IFERROR(__xludf.DUMMYFUNCTION("""COMPUTED_VALUE"""),42090.0)</f>
        <v>42090</v>
      </c>
      <c r="AB480" s="38">
        <f>IFERROR(__xludf.DUMMYFUNCTION("""COMPUTED_VALUE"""),42096.0)</f>
        <v>42096</v>
      </c>
      <c r="AH480" t="str">
        <f>IFERROR(__xludf.DUMMYFUNCTION("""COMPUTED_VALUE"""),"PROCESO DE SELECCIÓN")</f>
        <v>PROCESO DE SELECCIÓN</v>
      </c>
      <c r="AI480" t="str">
        <f>IFERROR(__xludf.DUMMYFUNCTION("""COMPUTED_VALUE"""),"MARGARITA LLORENS CORVALAN")</f>
        <v>MARGARITA LLORENS CORVALAN</v>
      </c>
      <c r="AK480" t="str">
        <f>IFERROR(__xludf.DUMMYFUNCTION("""COMPUTED_VALUE"""),"P")</f>
        <v>P</v>
      </c>
      <c r="AL480">
        <f>IFERROR(__xludf.DUMMYFUNCTION("""COMPUTED_VALUE"""),43.0)</f>
        <v>43</v>
      </c>
      <c r="AM480">
        <f>IFERROR(__xludf.DUMMYFUNCTION("""COMPUTED_VALUE"""),2015.0)</f>
        <v>2015</v>
      </c>
    </row>
    <row r="481">
      <c r="A481">
        <f>IFERROR(__xludf.DUMMYFUNCTION("""COMPUTED_VALUE"""),1.0147605E7)</f>
        <v>10147605</v>
      </c>
      <c r="B481">
        <f>IFERROR(__xludf.DUMMYFUNCTION("""COMPUTED_VALUE"""),17.0)</f>
        <v>17</v>
      </c>
      <c r="D481" t="str">
        <f>IFERROR(__xludf.DUMMYFUNCTION("""COMPUTED_VALUE"""),"15")</f>
        <v>15</v>
      </c>
      <c r="E481" t="str">
        <f>IFERROR(__xludf.DUMMYFUNCTION("""COMPUTED_VALUE"""),"UNIDAD DE BIBLIOTECAS")</f>
        <v>UNIDAD DE BIBLIOTECAS</v>
      </c>
      <c r="F481" t="str">
        <f>IFERROR(__xludf.DUMMYFUNCTION("""COMPUTED_VALUE"""),"Asistente de Biblioteca")</f>
        <v>Asistente de Biblioteca</v>
      </c>
      <c r="G481" t="str">
        <f>IFERROR(__xludf.DUMMYFUNCTION("""COMPUTED_VALUE"""),"ASISTENTE DE BIBLIOTECA")</f>
        <v>ASISTENTE DE BIBLIOTECA</v>
      </c>
      <c r="H481">
        <f>IFERROR(__xludf.DUMMYFUNCTION("""COMPUTED_VALUE"""),20.0)</f>
        <v>20</v>
      </c>
      <c r="I481" t="str">
        <f>IFERROR(__xludf.DUMMYFUNCTION("""COMPUTED_VALUE"""),"Jornada Completa")</f>
        <v>Jornada Completa</v>
      </c>
      <c r="J481" t="str">
        <f>IFERROR(__xludf.DUMMYFUNCTION("""COMPUTED_VALUE"""),"A CONTRATA")</f>
        <v>A CONTRATA</v>
      </c>
      <c r="K481" t="str">
        <f>IFERROR(__xludf.DUMMYFUNCTION("""COMPUTED_VALUE"""),"ADMINISTRATIVO")</f>
        <v>ADMINISTRATIVO</v>
      </c>
      <c r="L481" t="str">
        <f>IFERROR(__xludf.DUMMYFUNCTION("""COMPUTED_VALUE"""),"INTERNO")</f>
        <v>INTERNO</v>
      </c>
      <c r="M481">
        <f>IFERROR(__xludf.DUMMYFUNCTION("""COMPUTED_VALUE"""),0.0)</f>
        <v>0</v>
      </c>
      <c r="N481" t="str">
        <f>IFERROR(__xludf.DUMMYFUNCTION("""COMPUTED_VALUE"""),"EXTERNO")</f>
        <v>EXTERNO</v>
      </c>
      <c r="O481">
        <f>IFERROR(__xludf.DUMMYFUNCTION("""COMPUTED_VALUE"""),5.0)</f>
        <v>5</v>
      </c>
      <c r="P481">
        <f>IFERROR(__xludf.DUMMYFUNCTION("""COMPUTED_VALUE"""),2.0)</f>
        <v>2</v>
      </c>
      <c r="Q481">
        <f>IFERROR(__xludf.DUMMYFUNCTION("""COMPUTED_VALUE"""),1.0)</f>
        <v>1</v>
      </c>
      <c r="R481" s="45" t="str">
        <f>IFERROR(__xludf.DUMMYFUNCTION("""COMPUTED_VALUE"""),"SELECCIONADA")</f>
        <v>SELECCIONADA</v>
      </c>
      <c r="S481" s="38">
        <f>IFERROR(__xludf.DUMMYFUNCTION("""COMPUTED_VALUE"""),42128.0)</f>
        <v>42128</v>
      </c>
      <c r="U481" t="str">
        <f>IFERROR(__xludf.DUMMYFUNCTION("""COMPUTED_VALUE"""),"HILDA VERA GONZALEZ")</f>
        <v>HILDA VERA GONZALEZ</v>
      </c>
      <c r="V481" t="str">
        <f>IFERROR(__xludf.DUMMYFUNCTION("""COMPUTED_VALUE"""),"10147605-7")</f>
        <v>10147605-7</v>
      </c>
      <c r="W481" t="str">
        <f>IFERROR(__xludf.DUMMYFUNCTION("""COMPUTED_VALUE"""),"NO")</f>
        <v>NO</v>
      </c>
      <c r="AA481" s="38">
        <f>IFERROR(__xludf.DUMMYFUNCTION("""COMPUTED_VALUE"""),42090.0)</f>
        <v>42090</v>
      </c>
      <c r="AB481" s="38">
        <f>IFERROR(__xludf.DUMMYFUNCTION("""COMPUTED_VALUE"""),42096.0)</f>
        <v>42096</v>
      </c>
      <c r="AH481" t="str">
        <f>IFERROR(__xludf.DUMMYFUNCTION("""COMPUTED_VALUE"""),"PROCESO DE SELECCIÓN")</f>
        <v>PROCESO DE SELECCIÓN</v>
      </c>
      <c r="AI481" t="str">
        <f>IFERROR(__xludf.DUMMYFUNCTION("""COMPUTED_VALUE"""),"ALEXIS ARELLANO FARIAS")</f>
        <v>ALEXIS ARELLANO FARIAS</v>
      </c>
      <c r="AK481" t="str">
        <f>IFERROR(__xludf.DUMMYFUNCTION("""COMPUTED_VALUE"""),"C")</f>
        <v>C</v>
      </c>
      <c r="AL481">
        <f>IFERROR(__xludf.DUMMYFUNCTION("""COMPUTED_VALUE"""),23.0)</f>
        <v>23</v>
      </c>
      <c r="AM481">
        <f>IFERROR(__xludf.DUMMYFUNCTION("""COMPUTED_VALUE"""),2015.0)</f>
        <v>2015</v>
      </c>
    </row>
    <row r="482">
      <c r="A482">
        <f>IFERROR(__xludf.DUMMYFUNCTION("""COMPUTED_VALUE"""),1.4179988E7)</f>
        <v>14179988</v>
      </c>
      <c r="B482">
        <f>IFERROR(__xludf.DUMMYFUNCTION("""COMPUTED_VALUE"""),18.0)</f>
        <v>18</v>
      </c>
      <c r="D482" t="str">
        <f>IFERROR(__xludf.DUMMYFUNCTION("""COMPUTED_VALUE"""),"15")</f>
        <v>15</v>
      </c>
      <c r="E482" t="str">
        <f>IFERROR(__xludf.DUMMYFUNCTION("""COMPUTED_VALUE"""),"UNIDAD DE BIBLIOTECAS")</f>
        <v>UNIDAD DE BIBLIOTECAS</v>
      </c>
      <c r="F482" t="str">
        <f>IFERROR(__xludf.DUMMYFUNCTION("""COMPUTED_VALUE"""),"Encargado(a) de Sala")</f>
        <v>Encargado(a) de Sala</v>
      </c>
      <c r="G482" t="str">
        <f>IFERROR(__xludf.DUMMYFUNCTION("""COMPUTED_VALUE"""),"INSPECTOR  DE SALAS DE LECTURA")</f>
        <v>INSPECTOR  DE SALAS DE LECTURA</v>
      </c>
      <c r="H482">
        <f>IFERROR(__xludf.DUMMYFUNCTION("""COMPUTED_VALUE"""),21.0)</f>
        <v>21</v>
      </c>
      <c r="I482" t="str">
        <f>IFERROR(__xludf.DUMMYFUNCTION("""COMPUTED_VALUE"""),"Jornada Completa")</f>
        <v>Jornada Completa</v>
      </c>
      <c r="J482" t="str">
        <f>IFERROR(__xludf.DUMMYFUNCTION("""COMPUTED_VALUE"""),"A CONTRATA")</f>
        <v>A CONTRATA</v>
      </c>
      <c r="K482" t="str">
        <f>IFERROR(__xludf.DUMMYFUNCTION("""COMPUTED_VALUE"""),"AUXILIAR")</f>
        <v>AUXILIAR</v>
      </c>
      <c r="L482" t="str">
        <f>IFERROR(__xludf.DUMMYFUNCTION("""COMPUTED_VALUE"""),"INTERNO")</f>
        <v>INTERNO</v>
      </c>
      <c r="M482">
        <f>IFERROR(__xludf.DUMMYFUNCTION("""COMPUTED_VALUE"""),1.0)</f>
        <v>1</v>
      </c>
      <c r="N482" t="str">
        <f>IFERROR(__xludf.DUMMYFUNCTION("""COMPUTED_VALUE"""),"EXTERNO")</f>
        <v>EXTERNO</v>
      </c>
      <c r="O482">
        <f>IFERROR(__xludf.DUMMYFUNCTION("""COMPUTED_VALUE"""),8.0)</f>
        <v>8</v>
      </c>
      <c r="P482">
        <f>IFERROR(__xludf.DUMMYFUNCTION("""COMPUTED_VALUE"""),1.0)</f>
        <v>1</v>
      </c>
      <c r="Q482">
        <f>IFERROR(__xludf.DUMMYFUNCTION("""COMPUTED_VALUE"""),1.0)</f>
        <v>1</v>
      </c>
      <c r="R482" s="45" t="str">
        <f>IFERROR(__xludf.DUMMYFUNCTION("""COMPUTED_VALUE"""),"SELECCIONADO")</f>
        <v>SELECCIONADO</v>
      </c>
      <c r="S482" s="38">
        <f>IFERROR(__xludf.DUMMYFUNCTION("""COMPUTED_VALUE"""),42129.0)</f>
        <v>42129</v>
      </c>
      <c r="U482" t="str">
        <f>IFERROR(__xludf.DUMMYFUNCTION("""COMPUTED_VALUE"""),"CARLOS MARTINEZ HERRERA")</f>
        <v>CARLOS MARTINEZ HERRERA</v>
      </c>
      <c r="V482" t="str">
        <f>IFERROR(__xludf.DUMMYFUNCTION("""COMPUTED_VALUE"""),"14179988-6")</f>
        <v>14179988-6</v>
      </c>
      <c r="W482" t="str">
        <f>IFERROR(__xludf.DUMMYFUNCTION("""COMPUTED_VALUE"""),"NO")</f>
        <v>NO</v>
      </c>
      <c r="AA482" s="38">
        <f>IFERROR(__xludf.DUMMYFUNCTION("""COMPUTED_VALUE"""),42095.0)</f>
        <v>42095</v>
      </c>
      <c r="AB482" s="38">
        <f>IFERROR(__xludf.DUMMYFUNCTION("""COMPUTED_VALUE"""),42102.0)</f>
        <v>42102</v>
      </c>
      <c r="AH482" t="str">
        <f>IFERROR(__xludf.DUMMYFUNCTION("""COMPUTED_VALUE"""),"PROCESO DE SELECCIÓN")</f>
        <v>PROCESO DE SELECCIÓN</v>
      </c>
      <c r="AI482" t="str">
        <f>IFERROR(__xludf.DUMMYFUNCTION("""COMPUTED_VALUE"""),"KATHERINE VALLEJOS BARRIENTOS")</f>
        <v>KATHERINE VALLEJOS BARRIENTOS</v>
      </c>
      <c r="AK482" t="str">
        <f>IFERROR(__xludf.DUMMYFUNCTION("""COMPUTED_VALUE"""),"C")</f>
        <v>C</v>
      </c>
      <c r="AL482">
        <f>IFERROR(__xludf.DUMMYFUNCTION("""COMPUTED_VALUE"""),20.0)</f>
        <v>20</v>
      </c>
      <c r="AM482">
        <f>IFERROR(__xludf.DUMMYFUNCTION("""COMPUTED_VALUE"""),2015.0)</f>
        <v>2015</v>
      </c>
    </row>
    <row r="483">
      <c r="A483">
        <f>IFERROR(__xludf.DUMMYFUNCTION("""COMPUTED_VALUE"""),1.6961705E7)</f>
        <v>16961705</v>
      </c>
      <c r="B483">
        <f>IFERROR(__xludf.DUMMYFUNCTION("""COMPUTED_VALUE"""),19.0)</f>
        <v>19</v>
      </c>
      <c r="D483" t="str">
        <f>IFERROR(__xludf.DUMMYFUNCTION("""COMPUTED_VALUE"""),"83")</f>
        <v>83</v>
      </c>
      <c r="E483" t="str">
        <f>IFERROR(__xludf.DUMMYFUNCTION("""COMPUTED_VALUE"""),"FACULTAD DE CIENCIAS MEDICAS")</f>
        <v>FACULTAD DE CIENCIAS MEDICAS</v>
      </c>
      <c r="F483" t="str">
        <f>IFERROR(__xludf.DUMMYFUNCTION("""COMPUTED_VALUE"""),"Encargado(a) de Laboratorio")</f>
        <v>Encargado(a) de Laboratorio</v>
      </c>
      <c r="G483" t="str">
        <f>IFERROR(__xludf.DUMMYFUNCTION("""COMPUTED_VALUE"""),"ENCARGADO DE LABORATORIO DE EMBRIOLOGIA")</f>
        <v>ENCARGADO DE LABORATORIO DE EMBRIOLOGIA</v>
      </c>
      <c r="H483">
        <f>IFERROR(__xludf.DUMMYFUNCTION("""COMPUTED_VALUE"""),13.0)</f>
        <v>13</v>
      </c>
      <c r="I483" t="str">
        <f>IFERROR(__xludf.DUMMYFUNCTION("""COMPUTED_VALUE"""),"Jornada Completa")</f>
        <v>Jornada Completa</v>
      </c>
      <c r="J483" t="str">
        <f>IFERROR(__xludf.DUMMYFUNCTION("""COMPUTED_VALUE"""),"A CONTRATA")</f>
        <v>A CONTRATA</v>
      </c>
      <c r="K483" t="str">
        <f>IFERROR(__xludf.DUMMYFUNCTION("""COMPUTED_VALUE"""),"PROFESIONAL")</f>
        <v>PROFESIONAL</v>
      </c>
      <c r="L483" t="str">
        <f>IFERROR(__xludf.DUMMYFUNCTION("""COMPUTED_VALUE"""),"NO")</f>
        <v>NO</v>
      </c>
      <c r="N483" t="str">
        <f>IFERROR(__xludf.DUMMYFUNCTION("""COMPUTED_VALUE"""),"EXTERNO")</f>
        <v>EXTERNO</v>
      </c>
      <c r="O483">
        <f>IFERROR(__xludf.DUMMYFUNCTION("""COMPUTED_VALUE"""),6.0)</f>
        <v>6</v>
      </c>
      <c r="P483">
        <f>IFERROR(__xludf.DUMMYFUNCTION("""COMPUTED_VALUE"""),2.0)</f>
        <v>2</v>
      </c>
      <c r="Q483">
        <f>IFERROR(__xludf.DUMMYFUNCTION("""COMPUTED_VALUE"""),1.0)</f>
        <v>1</v>
      </c>
      <c r="R483" s="45" t="str">
        <f>IFERROR(__xludf.DUMMYFUNCTION("""COMPUTED_VALUE"""),"SELECCIONADO")</f>
        <v>SELECCIONADO</v>
      </c>
      <c r="S483" s="38">
        <f>IFERROR(__xludf.DUMMYFUNCTION("""COMPUTED_VALUE"""),42121.0)</f>
        <v>42121</v>
      </c>
      <c r="U483" t="str">
        <f>IFERROR(__xludf.DUMMYFUNCTION("""COMPUTED_VALUE"""),"JORGE LILLO CONTRERAS")</f>
        <v>JORGE LILLO CONTRERAS</v>
      </c>
      <c r="V483" t="str">
        <f>IFERROR(__xludf.DUMMYFUNCTION("""COMPUTED_VALUE"""),"16961705-8")</f>
        <v>16961705-8</v>
      </c>
      <c r="W483" t="str">
        <f>IFERROR(__xludf.DUMMYFUNCTION("""COMPUTED_VALUE"""),"SI")</f>
        <v>SI</v>
      </c>
      <c r="X483" t="str">
        <f>IFERROR(__xludf.DUMMYFUNCTION("""COMPUTED_VALUE"""),"TRABAJO EN EQUIPO")</f>
        <v>TRABAJO EN EQUIPO</v>
      </c>
      <c r="AA483" s="38">
        <f>IFERROR(__xludf.DUMMYFUNCTION("""COMPUTED_VALUE"""),42095.0)</f>
        <v>42095</v>
      </c>
      <c r="AB483" s="38">
        <f>IFERROR(__xludf.DUMMYFUNCTION("""COMPUTED_VALUE"""),42102.0)</f>
        <v>42102</v>
      </c>
      <c r="AH483" t="str">
        <f>IFERROR(__xludf.DUMMYFUNCTION("""COMPUTED_VALUE"""),"PROCESO DE SELECCIÓN")</f>
        <v>PROCESO DE SELECCIÓN</v>
      </c>
      <c r="AI483" t="str">
        <f>IFERROR(__xludf.DUMMYFUNCTION("""COMPUTED_VALUE"""),"YESSENIA SAMIT MENARES")</f>
        <v>YESSENIA SAMIT MENARES</v>
      </c>
      <c r="AK483" t="str">
        <f>IFERROR(__xludf.DUMMYFUNCTION("""COMPUTED_VALUE"""),"C")</f>
        <v>C</v>
      </c>
      <c r="AL483">
        <f>IFERROR(__xludf.DUMMYFUNCTION("""COMPUTED_VALUE"""),14.0)</f>
        <v>14</v>
      </c>
      <c r="AM483">
        <f>IFERROR(__xludf.DUMMYFUNCTION("""COMPUTED_VALUE"""),2015.0)</f>
        <v>2015</v>
      </c>
    </row>
    <row r="484">
      <c r="A484">
        <f>IFERROR(__xludf.DUMMYFUNCTION("""COMPUTED_VALUE"""),1.5050864E7)</f>
        <v>15050864</v>
      </c>
      <c r="B484">
        <f>IFERROR(__xludf.DUMMYFUNCTION("""COMPUTED_VALUE"""),20.0)</f>
        <v>20</v>
      </c>
      <c r="D484" t="str">
        <f>IFERROR(__xludf.DUMMYFUNCTION("""COMPUTED_VALUE"""),"40")</f>
        <v>40</v>
      </c>
      <c r="E484" t="str">
        <f>IFERROR(__xludf.DUMMYFUNCTION("""COMPUTED_VALUE"""),"DEPARTAMENTO DE INGENIERIA ELECTRICA")</f>
        <v>DEPARTAMENTO DE INGENIERIA ELECTRICA</v>
      </c>
      <c r="F484" t="str">
        <f>IFERROR(__xludf.DUMMYFUNCTION("""COMPUTED_VALUE"""),"Secretario(a) de Apoyo Docente")</f>
        <v>Secretario(a) de Apoyo Docente</v>
      </c>
      <c r="G484" t="str">
        <f>IFERROR(__xludf.DUMMYFUNCTION("""COMPUTED_VALUE"""),"SECRETARIA DE APOYO DOCENTE")</f>
        <v>SECRETARIA DE APOYO DOCENTE</v>
      </c>
      <c r="H484">
        <f>IFERROR(__xludf.DUMMYFUNCTION("""COMPUTED_VALUE"""),17.0)</f>
        <v>17</v>
      </c>
      <c r="I484" t="str">
        <f>IFERROR(__xludf.DUMMYFUNCTION("""COMPUTED_VALUE"""),"Jornada Completa")</f>
        <v>Jornada Completa</v>
      </c>
      <c r="J484" t="str">
        <f>IFERROR(__xludf.DUMMYFUNCTION("""COMPUTED_VALUE"""),"A CONTRATA")</f>
        <v>A CONTRATA</v>
      </c>
      <c r="K484" t="str">
        <f>IFERROR(__xludf.DUMMYFUNCTION("""COMPUTED_VALUE"""),"ADMINISTRATIVO")</f>
        <v>ADMINISTRATIVO</v>
      </c>
      <c r="L484" t="str">
        <f>IFERROR(__xludf.DUMMYFUNCTION("""COMPUTED_VALUE"""),"INTERNO")</f>
        <v>INTERNO</v>
      </c>
      <c r="M484">
        <f>IFERROR(__xludf.DUMMYFUNCTION("""COMPUTED_VALUE"""),2.0)</f>
        <v>2</v>
      </c>
      <c r="N484" t="str">
        <f>IFERROR(__xludf.DUMMYFUNCTION("""COMPUTED_VALUE"""),"EXTERNO")</f>
        <v>EXTERNO</v>
      </c>
      <c r="O484">
        <f>IFERROR(__xludf.DUMMYFUNCTION("""COMPUTED_VALUE"""),21.0)</f>
        <v>21</v>
      </c>
      <c r="P484">
        <f>IFERROR(__xludf.DUMMYFUNCTION("""COMPUTED_VALUE"""),2.0)</f>
        <v>2</v>
      </c>
      <c r="Q484">
        <f>IFERROR(__xludf.DUMMYFUNCTION("""COMPUTED_VALUE"""),1.0)</f>
        <v>1</v>
      </c>
      <c r="R484" s="45" t="str">
        <f>IFERROR(__xludf.DUMMYFUNCTION("""COMPUTED_VALUE"""),"SELECCIONADA")</f>
        <v>SELECCIONADA</v>
      </c>
      <c r="S484" s="38">
        <f>IFERROR(__xludf.DUMMYFUNCTION("""COMPUTED_VALUE"""),42131.0)</f>
        <v>42131</v>
      </c>
      <c r="U484" t="str">
        <f>IFERROR(__xludf.DUMMYFUNCTION("""COMPUTED_VALUE"""),"ELIZABETH LOPEZ CORTES")</f>
        <v>ELIZABETH LOPEZ CORTES</v>
      </c>
      <c r="V484" t="str">
        <f>IFERROR(__xludf.DUMMYFUNCTION("""COMPUTED_VALUE"""),"15050864-9")</f>
        <v>15050864-9</v>
      </c>
      <c r="W484" t="str">
        <f>IFERROR(__xludf.DUMMYFUNCTION("""COMPUTED_VALUE"""),"SI")</f>
        <v>SI</v>
      </c>
      <c r="X484" t="str">
        <f>IFERROR(__xludf.DUMMYFUNCTION("""COMPUTED_VALUE"""),"Franqueza- Confiabilidad- Integridad")</f>
        <v>Franqueza- Confiabilidad- Integridad</v>
      </c>
      <c r="AA484" s="38">
        <f>IFERROR(__xludf.DUMMYFUNCTION("""COMPUTED_VALUE"""),42066.0)</f>
        <v>42066</v>
      </c>
      <c r="AB484" s="38">
        <f>IFERROR(__xludf.DUMMYFUNCTION("""COMPUTED_VALUE"""),42073.0)</f>
        <v>42073</v>
      </c>
      <c r="AH484" t="str">
        <f>IFERROR(__xludf.DUMMYFUNCTION("""COMPUTED_VALUE"""),"PROCESO DE SELECCIÓN")</f>
        <v>PROCESO DE SELECCIÓN</v>
      </c>
      <c r="AI484" t="str">
        <f>IFERROR(__xludf.DUMMYFUNCTION("""COMPUTED_VALUE"""),"-")</f>
        <v>-</v>
      </c>
      <c r="AK484" t="str">
        <f>IFERROR(__xludf.DUMMYFUNCTION("""COMPUTED_VALUE"""),"C")</f>
        <v>C</v>
      </c>
      <c r="AL484">
        <f>IFERROR(__xludf.DUMMYFUNCTION("""COMPUTED_VALUE"""),43.0)</f>
        <v>43</v>
      </c>
      <c r="AM484">
        <f>IFERROR(__xludf.DUMMYFUNCTION("""COMPUTED_VALUE"""),2015.0)</f>
        <v>2015</v>
      </c>
    </row>
    <row r="485">
      <c r="A485">
        <f>IFERROR(__xludf.DUMMYFUNCTION("""COMPUTED_VALUE"""),1.0059867E7)</f>
        <v>10059867</v>
      </c>
      <c r="B485">
        <f>IFERROR(__xludf.DUMMYFUNCTION("""COMPUTED_VALUE"""),21.0)</f>
        <v>21</v>
      </c>
      <c r="D485" t="str">
        <f>IFERROR(__xludf.DUMMYFUNCTION("""COMPUTED_VALUE"""),"83")</f>
        <v>83</v>
      </c>
      <c r="E485" t="str">
        <f>IFERROR(__xludf.DUMMYFUNCTION("""COMPUTED_VALUE"""),"FACULTAD DE CIENCIAS MEDICAS")</f>
        <v>FACULTAD DE CIENCIAS MEDICAS</v>
      </c>
      <c r="F485" t="str">
        <f>IFERROR(__xludf.DUMMYFUNCTION("""COMPUTED_VALUE"""),"Encargado(a) de Vinculación con el Medio")</f>
        <v>Encargado(a) de Vinculación con el Medio</v>
      </c>
      <c r="G485" t="str">
        <f>IFERROR(__xludf.DUMMYFUNCTION("""COMPUTED_VALUE"""),"ENCARGADO DE VINCULACION CON EL MEDIO")</f>
        <v>ENCARGADO DE VINCULACION CON EL MEDIO</v>
      </c>
      <c r="H485">
        <f>IFERROR(__xludf.DUMMYFUNCTION("""COMPUTED_VALUE"""),13.0)</f>
        <v>13</v>
      </c>
      <c r="I485" t="str">
        <f>IFERROR(__xludf.DUMMYFUNCTION("""COMPUTED_VALUE"""),"Jornada Completa")</f>
        <v>Jornada Completa</v>
      </c>
      <c r="J485" t="str">
        <f>IFERROR(__xludf.DUMMYFUNCTION("""COMPUTED_VALUE"""),"A CONTRATA")</f>
        <v>A CONTRATA</v>
      </c>
      <c r="K485" t="str">
        <f>IFERROR(__xludf.DUMMYFUNCTION("""COMPUTED_VALUE"""),"PROFESIONAL")</f>
        <v>PROFESIONAL</v>
      </c>
      <c r="L485" t="str">
        <f>IFERROR(__xludf.DUMMYFUNCTION("""COMPUTED_VALUE"""),"INTERNO")</f>
        <v>INTERNO</v>
      </c>
      <c r="M485">
        <f>IFERROR(__xludf.DUMMYFUNCTION("""COMPUTED_VALUE"""),4.0)</f>
        <v>4</v>
      </c>
      <c r="N485" t="str">
        <f>IFERROR(__xludf.DUMMYFUNCTION("""COMPUTED_VALUE"""),"EXTERNO")</f>
        <v>EXTERNO</v>
      </c>
      <c r="O485">
        <f>IFERROR(__xludf.DUMMYFUNCTION("""COMPUTED_VALUE"""),17.0)</f>
        <v>17</v>
      </c>
      <c r="P485">
        <f>IFERROR(__xludf.DUMMYFUNCTION("""COMPUTED_VALUE"""),2.0)</f>
        <v>2</v>
      </c>
      <c r="Q485">
        <f>IFERROR(__xludf.DUMMYFUNCTION("""COMPUTED_VALUE"""),1.0)</f>
        <v>1</v>
      </c>
      <c r="R485" s="45" t="str">
        <f>IFERROR(__xludf.DUMMYFUNCTION("""COMPUTED_VALUE"""),"SELECCIONADA")</f>
        <v>SELECCIONADA</v>
      </c>
      <c r="S485" s="38">
        <f>IFERROR(__xludf.DUMMYFUNCTION("""COMPUTED_VALUE"""),42156.0)</f>
        <v>42156</v>
      </c>
      <c r="U485" t="str">
        <f>IFERROR(__xludf.DUMMYFUNCTION("""COMPUTED_VALUE"""),"MARIA PAZ LEMA COLECCHIO")</f>
        <v>MARIA PAZ LEMA COLECCHIO</v>
      </c>
      <c r="V485" t="str">
        <f>IFERROR(__xludf.DUMMYFUNCTION("""COMPUTED_VALUE"""),"10059867-1")</f>
        <v>10059867-1</v>
      </c>
      <c r="W485" t="str">
        <f>IFERROR(__xludf.DUMMYFUNCTION("""COMPUTED_VALUE"""),"NO")</f>
        <v>NO</v>
      </c>
      <c r="AA485" s="38">
        <f>IFERROR(__xludf.DUMMYFUNCTION("""COMPUTED_VALUE"""),42086.0)</f>
        <v>42086</v>
      </c>
      <c r="AB485" s="38">
        <f>IFERROR(__xludf.DUMMYFUNCTION("""COMPUTED_VALUE"""),42094.0)</f>
        <v>42094</v>
      </c>
      <c r="AH485" t="str">
        <f>IFERROR(__xludf.DUMMYFUNCTION("""COMPUTED_VALUE"""),"PROCESO DE SELECCIÓN")</f>
        <v>PROCESO DE SELECCIÓN</v>
      </c>
      <c r="AI485" t="str">
        <f>IFERROR(__xludf.DUMMYFUNCTION("""COMPUTED_VALUE"""),"-")</f>
        <v>-</v>
      </c>
      <c r="AK485" t="str">
        <f>IFERROR(__xludf.DUMMYFUNCTION("""COMPUTED_VALUE"""),"P")</f>
        <v>P</v>
      </c>
      <c r="AL485">
        <f>IFERROR(__xludf.DUMMYFUNCTION("""COMPUTED_VALUE"""),45.0)</f>
        <v>45</v>
      </c>
      <c r="AM485">
        <f>IFERROR(__xludf.DUMMYFUNCTION("""COMPUTED_VALUE"""),2015.0)</f>
        <v>2015</v>
      </c>
    </row>
    <row r="486">
      <c r="A486">
        <f>IFERROR(__xludf.DUMMYFUNCTION("""COMPUTED_VALUE"""),1.1740181E7)</f>
        <v>11740181</v>
      </c>
      <c r="B486">
        <f>IFERROR(__xludf.DUMMYFUNCTION("""COMPUTED_VALUE"""),22.0)</f>
        <v>22</v>
      </c>
      <c r="D486" t="str">
        <f>IFERROR(__xludf.DUMMYFUNCTION("""COMPUTED_VALUE"""),"11")</f>
        <v>11</v>
      </c>
      <c r="E486" t="str">
        <f>IFERROR(__xludf.DUMMYFUNCTION("""COMPUTED_VALUE"""),"CEUS-LLANQUIHUE")</f>
        <v>CEUS-LLANQUIHUE</v>
      </c>
      <c r="F486" t="str">
        <f>IFERROR(__xludf.DUMMYFUNCTION("""COMPUTED_VALUE"""),"Encargado(a) de Laboratorio")</f>
        <v>Encargado(a) de Laboratorio</v>
      </c>
      <c r="G486" t="str">
        <f>IFERROR(__xludf.DUMMYFUNCTION("""COMPUTED_VALUE"""),"ENCARGADO DE LABORATORIO")</f>
        <v>ENCARGADO DE LABORATORIO</v>
      </c>
      <c r="H486">
        <f>IFERROR(__xludf.DUMMYFUNCTION("""COMPUTED_VALUE"""),13.0)</f>
        <v>13</v>
      </c>
      <c r="I486" t="str">
        <f>IFERROR(__xludf.DUMMYFUNCTION("""COMPUTED_VALUE"""),"Jornada Completa")</f>
        <v>Jornada Completa</v>
      </c>
      <c r="J486" t="str">
        <f>IFERROR(__xludf.DUMMYFUNCTION("""COMPUTED_VALUE"""),"A CONTRATA")</f>
        <v>A CONTRATA</v>
      </c>
      <c r="K486" t="str">
        <f>IFERROR(__xludf.DUMMYFUNCTION("""COMPUTED_VALUE"""),"PROFESIONAL")</f>
        <v>PROFESIONAL</v>
      </c>
      <c r="L486" t="str">
        <f>IFERROR(__xludf.DUMMYFUNCTION("""COMPUTED_VALUE"""),"NO")</f>
        <v>NO</v>
      </c>
      <c r="N486" t="str">
        <f>IFERROR(__xludf.DUMMYFUNCTION("""COMPUTED_VALUE"""),"EXTERNO")</f>
        <v>EXTERNO</v>
      </c>
      <c r="O486">
        <f>IFERROR(__xludf.DUMMYFUNCTION("""COMPUTED_VALUE"""),3.0)</f>
        <v>3</v>
      </c>
      <c r="P486">
        <f>IFERROR(__xludf.DUMMYFUNCTION("""COMPUTED_VALUE"""),3.0)</f>
        <v>3</v>
      </c>
      <c r="Q486">
        <f>IFERROR(__xludf.DUMMYFUNCTION("""COMPUTED_VALUE"""),1.0)</f>
        <v>1</v>
      </c>
      <c r="R486" s="45" t="str">
        <f>IFERROR(__xludf.DUMMYFUNCTION("""COMPUTED_VALUE"""),"SELECCIONADO")</f>
        <v>SELECCIONADO</v>
      </c>
      <c r="S486" s="38">
        <f>IFERROR(__xludf.DUMMYFUNCTION("""COMPUTED_VALUE"""),42149.0)</f>
        <v>42149</v>
      </c>
      <c r="U486" t="str">
        <f>IFERROR(__xludf.DUMMYFUNCTION("""COMPUTED_VALUE"""),"FABIAN AGUILERA BARRAZA")</f>
        <v>FABIAN AGUILERA BARRAZA</v>
      </c>
      <c r="V486" t="str">
        <f>IFERROR(__xludf.DUMMYFUNCTION("""COMPUTED_VALUE"""),"11740181-2")</f>
        <v>11740181-2</v>
      </c>
      <c r="W486" t="str">
        <f>IFERROR(__xludf.DUMMYFUNCTION("""COMPUTED_VALUE"""),"NO")</f>
        <v>NO</v>
      </c>
      <c r="AA486" s="38">
        <f>IFERROR(__xludf.DUMMYFUNCTION("""COMPUTED_VALUE"""),42066.0)</f>
        <v>42066</v>
      </c>
      <c r="AB486" s="38">
        <f>IFERROR(__xludf.DUMMYFUNCTION("""COMPUTED_VALUE"""),42069.0)</f>
        <v>42069</v>
      </c>
      <c r="AH486" t="str">
        <f>IFERROR(__xludf.DUMMYFUNCTION("""COMPUTED_VALUE"""),"PROCESO DE SELECCIÓN")</f>
        <v>PROCESO DE SELECCIÓN</v>
      </c>
      <c r="AI486" t="str">
        <f>IFERROR(__xludf.DUMMYFUNCTION("""COMPUTED_VALUE"""),"CESAR LOPEZ RIVEROS")</f>
        <v>CESAR LOPEZ RIVEROS</v>
      </c>
      <c r="AK486" t="str">
        <f>IFERROR(__xludf.DUMMYFUNCTION("""COMPUTED_VALUE"""),"C")</f>
        <v>C</v>
      </c>
      <c r="AL486">
        <f>IFERROR(__xludf.DUMMYFUNCTION("""COMPUTED_VALUE"""),57.0)</f>
        <v>57</v>
      </c>
      <c r="AM486">
        <f>IFERROR(__xludf.DUMMYFUNCTION("""COMPUTED_VALUE"""),2015.0)</f>
        <v>2015</v>
      </c>
    </row>
    <row r="487">
      <c r="A487">
        <f>IFERROR(__xludf.DUMMYFUNCTION("""COMPUTED_VALUE"""),7406583.0)</f>
        <v>7406583</v>
      </c>
      <c r="B487">
        <f>IFERROR(__xludf.DUMMYFUNCTION("""COMPUTED_VALUE"""),23.0)</f>
        <v>23</v>
      </c>
      <c r="D487" t="str">
        <f>IFERROR(__xludf.DUMMYFUNCTION("""COMPUTED_VALUE"""),"60")</f>
        <v>60</v>
      </c>
      <c r="E487" t="str">
        <f>IFERROR(__xludf.DUMMYFUNCTION("""COMPUTED_VALUE"""),"FACULTAD DE ADMINISTRACION Y ECONOMIA")</f>
        <v>FACULTAD DE ADMINISTRACION Y ECONOMIA</v>
      </c>
      <c r="F487" t="str">
        <f>IFERROR(__xludf.DUMMYFUNCTION("""COMPUTED_VALUE"""),"Analista de Gestión I")</f>
        <v>Analista de Gestión I</v>
      </c>
      <c r="G487" t="str">
        <f>IFERROR(__xludf.DUMMYFUNCTION("""COMPUTED_VALUE"""),"ANALISTA I")</f>
        <v>ANALISTA I</v>
      </c>
      <c r="H487">
        <f>IFERROR(__xludf.DUMMYFUNCTION("""COMPUTED_VALUE"""),10.0)</f>
        <v>10</v>
      </c>
      <c r="I487" t="str">
        <f>IFERROR(__xludf.DUMMYFUNCTION("""COMPUTED_VALUE"""),"Jornada Completa")</f>
        <v>Jornada Completa</v>
      </c>
      <c r="J487" t="str">
        <f>IFERROR(__xludf.DUMMYFUNCTION("""COMPUTED_VALUE"""),"A CONTRATA")</f>
        <v>A CONTRATA</v>
      </c>
      <c r="K487" t="str">
        <f>IFERROR(__xludf.DUMMYFUNCTION("""COMPUTED_VALUE"""),"PROFESIONAL")</f>
        <v>PROFESIONAL</v>
      </c>
      <c r="L487" t="str">
        <f>IFERROR(__xludf.DUMMYFUNCTION("""COMPUTED_VALUE"""),"INTERNO")</f>
        <v>INTERNO</v>
      </c>
      <c r="M487">
        <f>IFERROR(__xludf.DUMMYFUNCTION("""COMPUTED_VALUE"""),5.0)</f>
        <v>5</v>
      </c>
      <c r="N487" t="str">
        <f>IFERROR(__xludf.DUMMYFUNCTION("""COMPUTED_VALUE"""),"NO")</f>
        <v>NO</v>
      </c>
      <c r="P487">
        <f>IFERROR(__xludf.DUMMYFUNCTION("""COMPUTED_VALUE"""),1.0)</f>
        <v>1</v>
      </c>
      <c r="R487" s="45" t="str">
        <f>IFERROR(__xludf.DUMMYFUNCTION("""COMPUTED_VALUE"""),"SELECCIONADO")</f>
        <v>SELECCIONADO</v>
      </c>
      <c r="S487" s="38">
        <f>IFERROR(__xludf.DUMMYFUNCTION("""COMPUTED_VALUE"""),42135.0)</f>
        <v>42135</v>
      </c>
      <c r="T487" t="str">
        <f>IFERROR(__xludf.DUMMYFUNCTION("""COMPUTED_VALUE"""),"JOAQUIN CURTZE REYES")</f>
        <v>JOAQUIN CURTZE REYES</v>
      </c>
      <c r="V487" t="str">
        <f>IFERROR(__xludf.DUMMYFUNCTION("""COMPUTED_VALUE"""),"07406583-K")</f>
        <v>07406583-K</v>
      </c>
      <c r="W487" t="str">
        <f>IFERROR(__xludf.DUMMYFUNCTION("""COMPUTED_VALUE"""),"NO")</f>
        <v>NO</v>
      </c>
      <c r="AA487" s="38">
        <f>IFERROR(__xludf.DUMMYFUNCTION("""COMPUTED_VALUE"""),42109.0)</f>
        <v>42109</v>
      </c>
      <c r="AB487" s="38">
        <f>IFERROR(__xludf.DUMMYFUNCTION("""COMPUTED_VALUE"""),42114.0)</f>
        <v>42114</v>
      </c>
      <c r="AD487" t="str">
        <f>IFERROR(__xludf.DUMMYFUNCTION("""COMPUTED_VALUE"""),"PROFESOR HORA")</f>
        <v>PROFESOR HORA</v>
      </c>
      <c r="AH487" t="str">
        <f>IFERROR(__xludf.DUMMYFUNCTION("""COMPUTED_VALUE"""),"PROCESO DE SELECCIÓN")</f>
        <v>PROCESO DE SELECCIÓN</v>
      </c>
      <c r="AI487" t="str">
        <f>IFERROR(__xludf.DUMMYFUNCTION("""COMPUTED_VALUE"""),"PAULINA HIDALGO PEREZ")</f>
        <v>PAULINA HIDALGO PEREZ</v>
      </c>
      <c r="AK487" t="str">
        <f>IFERROR(__xludf.DUMMYFUNCTION("""COMPUTED_VALUE"""),"P")</f>
        <v>P</v>
      </c>
      <c r="AL487">
        <f>IFERROR(__xludf.DUMMYFUNCTION("""COMPUTED_VALUE"""),16.0)</f>
        <v>16</v>
      </c>
      <c r="AM487">
        <f>IFERROR(__xludf.DUMMYFUNCTION("""COMPUTED_VALUE"""),2015.0)</f>
        <v>2015</v>
      </c>
    </row>
    <row r="488">
      <c r="A488">
        <f>IFERROR(__xludf.DUMMYFUNCTION("""COMPUTED_VALUE"""),1.8251296E7)</f>
        <v>18251296</v>
      </c>
      <c r="B488">
        <f>IFERROR(__xludf.DUMMYFUNCTION("""COMPUTED_VALUE"""),24.0)</f>
        <v>24</v>
      </c>
      <c r="D488" t="str">
        <f>IFERROR(__xludf.DUMMYFUNCTION("""COMPUTED_VALUE"""),"3")</f>
        <v>3</v>
      </c>
      <c r="E488" t="str">
        <f>IFERROR(__xludf.DUMMYFUNCTION("""COMPUTED_VALUE"""),"UNIDAD DE GESTION DEL CAMPUS")</f>
        <v>UNIDAD DE GESTION DEL CAMPUS</v>
      </c>
      <c r="F488" t="str">
        <f>IFERROR(__xludf.DUMMYFUNCTION("""COMPUTED_VALUE"""),"Secretario(a) B")</f>
        <v>Secretario(a) B</v>
      </c>
      <c r="G488" t="str">
        <f>IFERROR(__xludf.DUMMYFUNCTION("""COMPUTED_VALUE"""),"SECRETARIA DE UNIDAD")</f>
        <v>SECRETARIA DE UNIDAD</v>
      </c>
      <c r="H488">
        <f>IFERROR(__xludf.DUMMYFUNCTION("""COMPUTED_VALUE"""),17.0)</f>
        <v>17</v>
      </c>
      <c r="I488" t="str">
        <f>IFERROR(__xludf.DUMMYFUNCTION("""COMPUTED_VALUE"""),"Jornada Completa")</f>
        <v>Jornada Completa</v>
      </c>
      <c r="J488" t="str">
        <f>IFERROR(__xludf.DUMMYFUNCTION("""COMPUTED_VALUE"""),"A CONTRATA")</f>
        <v>A CONTRATA</v>
      </c>
      <c r="K488" t="str">
        <f>IFERROR(__xludf.DUMMYFUNCTION("""COMPUTED_VALUE"""),"ADMINISTRATIVO")</f>
        <v>ADMINISTRATIVO</v>
      </c>
      <c r="L488" t="str">
        <f>IFERROR(__xludf.DUMMYFUNCTION("""COMPUTED_VALUE"""),"INTERNO")</f>
        <v>INTERNO</v>
      </c>
      <c r="M488">
        <f>IFERROR(__xludf.DUMMYFUNCTION("""COMPUTED_VALUE"""),0.0)</f>
        <v>0</v>
      </c>
      <c r="N488" t="str">
        <f>IFERROR(__xludf.DUMMYFUNCTION("""COMPUTED_VALUE"""),"EXTERNO")</f>
        <v>EXTERNO</v>
      </c>
      <c r="O488">
        <f>IFERROR(__xludf.DUMMYFUNCTION("""COMPUTED_VALUE"""),8.0)</f>
        <v>8</v>
      </c>
      <c r="P488">
        <f>IFERROR(__xludf.DUMMYFUNCTION("""COMPUTED_VALUE"""),1.0)</f>
        <v>1</v>
      </c>
      <c r="Q488">
        <f>IFERROR(__xludf.DUMMYFUNCTION("""COMPUTED_VALUE"""),1.0)</f>
        <v>1</v>
      </c>
      <c r="R488" s="45" t="str">
        <f>IFERROR(__xludf.DUMMYFUNCTION("""COMPUTED_VALUE"""),"SELECCIONADA")</f>
        <v>SELECCIONADA</v>
      </c>
      <c r="S488" s="38">
        <f>IFERROR(__xludf.DUMMYFUNCTION("""COMPUTED_VALUE"""),42156.0)</f>
        <v>42156</v>
      </c>
      <c r="U488" t="str">
        <f>IFERROR(__xludf.DUMMYFUNCTION("""COMPUTED_VALUE"""),"GABRIELA DIAZ BERTOLI")</f>
        <v>GABRIELA DIAZ BERTOLI</v>
      </c>
      <c r="V488" t="str">
        <f>IFERROR(__xludf.DUMMYFUNCTION("""COMPUTED_VALUE"""),"18251296-6")</f>
        <v>18251296-6</v>
      </c>
      <c r="W488" t="str">
        <f>IFERROR(__xludf.DUMMYFUNCTION("""COMPUTED_VALUE"""),"SI")</f>
        <v>SI</v>
      </c>
      <c r="X488" t="str">
        <f>IFERROR(__xludf.DUMMYFUNCTION("""COMPUTED_VALUE"""),"Franqueza- Confiabilidad- Integridad")</f>
        <v>Franqueza- Confiabilidad- Integridad</v>
      </c>
      <c r="Y488" t="str">
        <f>IFERROR(__xludf.DUMMYFUNCTION("""COMPUTED_VALUE"""),"CONCIENCIA ORGANIZACIONAL")</f>
        <v>CONCIENCIA ORGANIZACIONAL</v>
      </c>
      <c r="AA488" s="38">
        <f>IFERROR(__xludf.DUMMYFUNCTION("""COMPUTED_VALUE"""),42115.0)</f>
        <v>42115</v>
      </c>
      <c r="AB488" s="38">
        <f>IFERROR(__xludf.DUMMYFUNCTION("""COMPUTED_VALUE"""),42117.0)</f>
        <v>42117</v>
      </c>
      <c r="AH488" t="str">
        <f>IFERROR(__xludf.DUMMYFUNCTION("""COMPUTED_VALUE"""),"PROCESO DE SELECCIÓN")</f>
        <v>PROCESO DE SELECCIÓN</v>
      </c>
      <c r="AI488" t="str">
        <f>IFERROR(__xludf.DUMMYFUNCTION("""COMPUTED_VALUE"""),"MARIA VALENZUELA")</f>
        <v>MARIA VALENZUELA</v>
      </c>
      <c r="AK488" t="str">
        <f>IFERROR(__xludf.DUMMYFUNCTION("""COMPUTED_VALUE"""),"C")</f>
        <v>C</v>
      </c>
      <c r="AL488">
        <f>IFERROR(__xludf.DUMMYFUNCTION("""COMPUTED_VALUE"""),28.0)</f>
        <v>28</v>
      </c>
      <c r="AM488">
        <f>IFERROR(__xludf.DUMMYFUNCTION("""COMPUTED_VALUE"""),2015.0)</f>
        <v>2015</v>
      </c>
    </row>
    <row r="489">
      <c r="A489">
        <f>IFERROR(__xludf.DUMMYFUNCTION("""COMPUTED_VALUE"""),1.2812753E7)</f>
        <v>12812753</v>
      </c>
      <c r="B489">
        <f>IFERROR(__xludf.DUMMYFUNCTION("""COMPUTED_VALUE"""),25.0)</f>
        <v>25</v>
      </c>
      <c r="D489" t="str">
        <f>IFERROR(__xludf.DUMMYFUNCTION("""COMPUTED_VALUE"""),"65")</f>
        <v>65</v>
      </c>
      <c r="E489" t="str">
        <f>IFERROR(__xludf.DUMMYFUNCTION("""COMPUTED_VALUE"""),"FACULTAD TECNOLOGICA")</f>
        <v>FACULTAD TECNOLOGICA</v>
      </c>
      <c r="F489" t="str">
        <f>IFERROR(__xludf.DUMMYFUNCTION("""COMPUTED_VALUE"""),"Secretario(a) de Apoyo Docente")</f>
        <v>Secretario(a) de Apoyo Docente</v>
      </c>
      <c r="G489" t="str">
        <f>IFERROR(__xludf.DUMMYFUNCTION("""COMPUTED_VALUE"""),"SECRETARIA DE APOYO DOCENTE")</f>
        <v>SECRETARIA DE APOYO DOCENTE</v>
      </c>
      <c r="H489">
        <f>IFERROR(__xludf.DUMMYFUNCTION("""COMPUTED_VALUE"""),17.0)</f>
        <v>17</v>
      </c>
      <c r="I489" t="str">
        <f>IFERROR(__xludf.DUMMYFUNCTION("""COMPUTED_VALUE"""),"Jornada Completa")</f>
        <v>Jornada Completa</v>
      </c>
      <c r="J489" t="str">
        <f>IFERROR(__xludf.DUMMYFUNCTION("""COMPUTED_VALUE"""),"A CONTRATA")</f>
        <v>A CONTRATA</v>
      </c>
      <c r="K489" t="str">
        <f>IFERROR(__xludf.DUMMYFUNCTION("""COMPUTED_VALUE"""),"ADMINISTRATIVO")</f>
        <v>ADMINISTRATIVO</v>
      </c>
      <c r="L489" t="str">
        <f>IFERROR(__xludf.DUMMYFUNCTION("""COMPUTED_VALUE"""),"INTERNO")</f>
        <v>INTERNO</v>
      </c>
      <c r="M489">
        <f>IFERROR(__xludf.DUMMYFUNCTION("""COMPUTED_VALUE"""),0.0)</f>
        <v>0</v>
      </c>
      <c r="N489" t="str">
        <f>IFERROR(__xludf.DUMMYFUNCTION("""COMPUTED_VALUE"""),"EXTERNO")</f>
        <v>EXTERNO</v>
      </c>
      <c r="O489">
        <f>IFERROR(__xludf.DUMMYFUNCTION("""COMPUTED_VALUE"""),11.0)</f>
        <v>11</v>
      </c>
      <c r="P489">
        <f>IFERROR(__xludf.DUMMYFUNCTION("""COMPUTED_VALUE"""),4.0)</f>
        <v>4</v>
      </c>
      <c r="Q489">
        <f>IFERROR(__xludf.DUMMYFUNCTION("""COMPUTED_VALUE"""),1.0)</f>
        <v>1</v>
      </c>
      <c r="R489" s="45" t="str">
        <f>IFERROR(__xludf.DUMMYFUNCTION("""COMPUTED_VALUE"""),"SELECCIONADA")</f>
        <v>SELECCIONADA</v>
      </c>
      <c r="S489" s="38">
        <f>IFERROR(__xludf.DUMMYFUNCTION("""COMPUTED_VALUE"""),42156.0)</f>
        <v>42156</v>
      </c>
      <c r="U489" t="str">
        <f>IFERROR(__xludf.DUMMYFUNCTION("""COMPUTED_VALUE"""),"CAROL BUSTOS GARCIA")</f>
        <v>CAROL BUSTOS GARCIA</v>
      </c>
      <c r="V489" t="str">
        <f>IFERROR(__xludf.DUMMYFUNCTION("""COMPUTED_VALUE"""),"12812753-4")</f>
        <v>12812753-4</v>
      </c>
      <c r="W489" t="str">
        <f>IFERROR(__xludf.DUMMYFUNCTION("""COMPUTED_VALUE"""),"SI")</f>
        <v>SI</v>
      </c>
      <c r="X489" t="str">
        <f>IFERROR(__xludf.DUMMYFUNCTION("""COMPUTED_VALUE"""),"Franqueza- Confiabilidad- Integridad")</f>
        <v>Franqueza- Confiabilidad- Integridad</v>
      </c>
      <c r="Y489" t="str">
        <f>IFERROR(__xludf.DUMMYFUNCTION("""COMPUTED_VALUE"""),"Preocupacion por el Orden y la Claridad")</f>
        <v>Preocupacion por el Orden y la Claridad</v>
      </c>
      <c r="Z489" t="str">
        <f>IFERROR(__xludf.DUMMYFUNCTION("""COMPUTED_VALUE"""),"INICIATIVA")</f>
        <v>INICIATIVA</v>
      </c>
      <c r="AA489" s="38">
        <f>IFERROR(__xludf.DUMMYFUNCTION("""COMPUTED_VALUE"""),42093.0)</f>
        <v>42093</v>
      </c>
      <c r="AB489" s="38">
        <f>IFERROR(__xludf.DUMMYFUNCTION("""COMPUTED_VALUE"""),42100.0)</f>
        <v>42100</v>
      </c>
      <c r="AH489" t="str">
        <f>IFERROR(__xludf.DUMMYFUNCTION("""COMPUTED_VALUE"""),"PROCESO DE SELECCIÓN")</f>
        <v>PROCESO DE SELECCIÓN</v>
      </c>
      <c r="AI489" t="str">
        <f>IFERROR(__xludf.DUMMYFUNCTION("""COMPUTED_VALUE"""),"-")</f>
        <v>-</v>
      </c>
      <c r="AK489" t="str">
        <f>IFERROR(__xludf.DUMMYFUNCTION("""COMPUTED_VALUE"""),"P")</f>
        <v>P</v>
      </c>
      <c r="AL489">
        <f>IFERROR(__xludf.DUMMYFUNCTION("""COMPUTED_VALUE"""),41.0)</f>
        <v>41</v>
      </c>
      <c r="AM489">
        <f>IFERROR(__xludf.DUMMYFUNCTION("""COMPUTED_VALUE"""),2015.0)</f>
        <v>2015</v>
      </c>
    </row>
    <row r="490">
      <c r="A490">
        <f>IFERROR(__xludf.DUMMYFUNCTION("""COMPUTED_VALUE"""),1.5783465E7)</f>
        <v>15783465</v>
      </c>
      <c r="B490">
        <f>IFERROR(__xludf.DUMMYFUNCTION("""COMPUTED_VALUE"""),26.0)</f>
        <v>26</v>
      </c>
      <c r="D490" t="str">
        <f>IFERROR(__xludf.DUMMYFUNCTION("""COMPUTED_VALUE"""),"3")</f>
        <v>3</v>
      </c>
      <c r="E490" t="str">
        <f>IFERROR(__xludf.DUMMYFUNCTION("""COMPUTED_VALUE"""),"DEPARTAMENTO DE RECURSOS HUMANOS")</f>
        <v>DEPARTAMENTO DE RECURSOS HUMANOS</v>
      </c>
      <c r="F490" t="str">
        <f>IFERROR(__xludf.DUMMYFUNCTION("""COMPUTED_VALUE"""),"Administrativo(a) de Remuneraciones")</f>
        <v>Administrativo(a) de Remuneraciones</v>
      </c>
      <c r="G490" t="str">
        <f>IFERROR(__xludf.DUMMYFUNCTION("""COMPUTED_VALUE"""),"ADMINISTRATIVO DE REMUNERACIONES")</f>
        <v>ADMINISTRATIVO DE REMUNERACIONES</v>
      </c>
      <c r="H490">
        <f>IFERROR(__xludf.DUMMYFUNCTION("""COMPUTED_VALUE"""),17.0)</f>
        <v>17</v>
      </c>
      <c r="I490" t="str">
        <f>IFERROR(__xludf.DUMMYFUNCTION("""COMPUTED_VALUE"""),"Jornada Completa")</f>
        <v>Jornada Completa</v>
      </c>
      <c r="J490" t="str">
        <f>IFERROR(__xludf.DUMMYFUNCTION("""COMPUTED_VALUE"""),"A CONTRATA")</f>
        <v>A CONTRATA</v>
      </c>
      <c r="K490" t="str">
        <f>IFERROR(__xludf.DUMMYFUNCTION("""COMPUTED_VALUE"""),"ADMINISTRATIVO")</f>
        <v>ADMINISTRATIVO</v>
      </c>
      <c r="L490" t="str">
        <f>IFERROR(__xludf.DUMMYFUNCTION("""COMPUTED_VALUE"""),"INTERNO")</f>
        <v>INTERNO</v>
      </c>
      <c r="M490">
        <f>IFERROR(__xludf.DUMMYFUNCTION("""COMPUTED_VALUE"""),0.0)</f>
        <v>0</v>
      </c>
      <c r="N490" t="str">
        <f>IFERROR(__xludf.DUMMYFUNCTION("""COMPUTED_VALUE"""),"EXTERNO")</f>
        <v>EXTERNO</v>
      </c>
      <c r="O490">
        <f>IFERROR(__xludf.DUMMYFUNCTION("""COMPUTED_VALUE"""),12.0)</f>
        <v>12</v>
      </c>
      <c r="P490">
        <f>IFERROR(__xludf.DUMMYFUNCTION("""COMPUTED_VALUE"""),3.0)</f>
        <v>3</v>
      </c>
      <c r="Q490">
        <f>IFERROR(__xludf.DUMMYFUNCTION("""COMPUTED_VALUE"""),1.0)</f>
        <v>1</v>
      </c>
      <c r="R490" s="45" t="str">
        <f>IFERROR(__xludf.DUMMYFUNCTION("""COMPUTED_VALUE"""),"SELECCIONADO")</f>
        <v>SELECCIONADO</v>
      </c>
      <c r="S490" s="38">
        <f>IFERROR(__xludf.DUMMYFUNCTION("""COMPUTED_VALUE"""),42157.0)</f>
        <v>42157</v>
      </c>
      <c r="U490" t="str">
        <f>IFERROR(__xludf.DUMMYFUNCTION("""COMPUTED_VALUE"""),"RENE HUECHE MARTIN")</f>
        <v>RENE HUECHE MARTIN</v>
      </c>
      <c r="V490" t="str">
        <f>IFERROR(__xludf.DUMMYFUNCTION("""COMPUTED_VALUE"""),"15783465-7")</f>
        <v>15783465-7</v>
      </c>
      <c r="W490" t="str">
        <f>IFERROR(__xludf.DUMMYFUNCTION("""COMPUTED_VALUE"""),"NO")</f>
        <v>NO</v>
      </c>
      <c r="AA490" s="38">
        <f>IFERROR(__xludf.DUMMYFUNCTION("""COMPUTED_VALUE"""),42128.0)</f>
        <v>42128</v>
      </c>
      <c r="AB490" s="38">
        <f>IFERROR(__xludf.DUMMYFUNCTION("""COMPUTED_VALUE"""),42135.0)</f>
        <v>42135</v>
      </c>
      <c r="AH490" t="str">
        <f>IFERROR(__xludf.DUMMYFUNCTION("""COMPUTED_VALUE"""),"PROCESO DE SELECCIÓN")</f>
        <v>PROCESO DE SELECCIÓN</v>
      </c>
      <c r="AI490" t="str">
        <f>IFERROR(__xludf.DUMMYFUNCTION("""COMPUTED_VALUE"""),"DANIEL JORDAN CASTRO")</f>
        <v>DANIEL JORDAN CASTRO</v>
      </c>
      <c r="AK490" t="str">
        <f>IFERROR(__xludf.DUMMYFUNCTION("""COMPUTED_VALUE"""),"P")</f>
        <v>P</v>
      </c>
      <c r="AL490">
        <f>IFERROR(__xludf.DUMMYFUNCTION("""COMPUTED_VALUE"""),17.0)</f>
        <v>17</v>
      </c>
      <c r="AM490">
        <f>IFERROR(__xludf.DUMMYFUNCTION("""COMPUTED_VALUE"""),2015.0)</f>
        <v>2015</v>
      </c>
    </row>
    <row r="491">
      <c r="A491">
        <f>IFERROR(__xludf.DUMMYFUNCTION("""COMPUTED_VALUE"""),1.1047452E7)</f>
        <v>11047452</v>
      </c>
      <c r="B491">
        <f>IFERROR(__xludf.DUMMYFUNCTION("""COMPUTED_VALUE"""),27.0)</f>
        <v>27</v>
      </c>
      <c r="D491" t="str">
        <f>IFERROR(__xludf.DUMMYFUNCTION("""COMPUTED_VALUE"""),"11")</f>
        <v>11</v>
      </c>
      <c r="E491" t="str">
        <f>IFERROR(__xludf.DUMMYFUNCTION("""COMPUTED_VALUE"""),"CENTRO DE ESTUDIOS EN CIENCIA Y TECNOLOGIA DE LOS ALIMENTOS")</f>
        <v>CENTRO DE ESTUDIOS EN CIENCIA Y TECNOLOGIA DE LOS ALIMENTOS</v>
      </c>
      <c r="F491" t="str">
        <f>IFERROR(__xludf.DUMMYFUNCTION("""COMPUTED_VALUE"""),"Secretario(a) B")</f>
        <v>Secretario(a) B</v>
      </c>
      <c r="G491" t="str">
        <f>IFERROR(__xludf.DUMMYFUNCTION("""COMPUTED_VALUE"""),"SECRETARIA DE DEPARTAMENTO")</f>
        <v>SECRETARIA DE DEPARTAMENTO</v>
      </c>
      <c r="H491">
        <f>IFERROR(__xludf.DUMMYFUNCTION("""COMPUTED_VALUE"""),17.0)</f>
        <v>17</v>
      </c>
      <c r="I491" t="str">
        <f>IFERROR(__xludf.DUMMYFUNCTION("""COMPUTED_VALUE"""),"Jornada Completa")</f>
        <v>Jornada Completa</v>
      </c>
      <c r="J491" t="str">
        <f>IFERROR(__xludf.DUMMYFUNCTION("""COMPUTED_VALUE"""),"A CONTRATA")</f>
        <v>A CONTRATA</v>
      </c>
      <c r="K491" t="str">
        <f>IFERROR(__xludf.DUMMYFUNCTION("""COMPUTED_VALUE"""),"ADMINISTRATIVO")</f>
        <v>ADMINISTRATIVO</v>
      </c>
      <c r="L491" t="str">
        <f>IFERROR(__xludf.DUMMYFUNCTION("""COMPUTED_VALUE"""),"INTERNO")</f>
        <v>INTERNO</v>
      </c>
      <c r="M491">
        <f>IFERROR(__xludf.DUMMYFUNCTION("""COMPUTED_VALUE"""),0.0)</f>
        <v>0</v>
      </c>
      <c r="N491" t="str">
        <f>IFERROR(__xludf.DUMMYFUNCTION("""COMPUTED_VALUE"""),"EXTERNO")</f>
        <v>EXTERNO</v>
      </c>
      <c r="O491">
        <f>IFERROR(__xludf.DUMMYFUNCTION("""COMPUTED_VALUE"""),11.0)</f>
        <v>11</v>
      </c>
      <c r="P491">
        <f>IFERROR(__xludf.DUMMYFUNCTION("""COMPUTED_VALUE"""),5.0)</f>
        <v>5</v>
      </c>
      <c r="Q491">
        <f>IFERROR(__xludf.DUMMYFUNCTION("""COMPUTED_VALUE"""),1.0)</f>
        <v>1</v>
      </c>
      <c r="R491" s="45" t="str">
        <f>IFERROR(__xludf.DUMMYFUNCTION("""COMPUTED_VALUE"""),"SELECCIONADA")</f>
        <v>SELECCIONADA</v>
      </c>
      <c r="S491" s="38">
        <f>IFERROR(__xludf.DUMMYFUNCTION("""COMPUTED_VALUE"""),42135.0)</f>
        <v>42135</v>
      </c>
      <c r="U491" t="str">
        <f>IFERROR(__xludf.DUMMYFUNCTION("""COMPUTED_VALUE"""),"SANDRA ARREDONDO RIVERA")</f>
        <v>SANDRA ARREDONDO RIVERA</v>
      </c>
      <c r="V491" t="str">
        <f>IFERROR(__xludf.DUMMYFUNCTION("""COMPUTED_VALUE"""),"11047452-0")</f>
        <v>11047452-0</v>
      </c>
      <c r="W491" t="str">
        <f>IFERROR(__xludf.DUMMYFUNCTION("""COMPUTED_VALUE"""),"SI")</f>
        <v>SI</v>
      </c>
      <c r="X491" t="str">
        <f>IFERROR(__xludf.DUMMYFUNCTION("""COMPUTED_VALUE"""),"Franqueza- Confiabilidad- Integridad")</f>
        <v>Franqueza- Confiabilidad- Integridad</v>
      </c>
      <c r="AA491" s="38">
        <f>IFERROR(__xludf.DUMMYFUNCTION("""COMPUTED_VALUE"""),42104.0)</f>
        <v>42104</v>
      </c>
      <c r="AB491" s="38">
        <f>IFERROR(__xludf.DUMMYFUNCTION("""COMPUTED_VALUE"""),42109.0)</f>
        <v>42109</v>
      </c>
      <c r="AH491" t="str">
        <f>IFERROR(__xludf.DUMMYFUNCTION("""COMPUTED_VALUE"""),"PROCESO DE SELECCIÓN")</f>
        <v>PROCESO DE SELECCIÓN</v>
      </c>
      <c r="AI491" t="str">
        <f>IFERROR(__xludf.DUMMYFUNCTION("""COMPUTED_VALUE"""),"JAZMIN AGUILERA")</f>
        <v>JAZMIN AGUILERA</v>
      </c>
      <c r="AK491" t="str">
        <f>IFERROR(__xludf.DUMMYFUNCTION("""COMPUTED_VALUE"""),"C")</f>
        <v>C</v>
      </c>
      <c r="AL491">
        <f>IFERROR(__xludf.DUMMYFUNCTION("""COMPUTED_VALUE"""),19.0)</f>
        <v>19</v>
      </c>
      <c r="AM491">
        <f>IFERROR(__xludf.DUMMYFUNCTION("""COMPUTED_VALUE"""),2015.0)</f>
        <v>2015</v>
      </c>
    </row>
    <row r="492">
      <c r="A492">
        <f>IFERROR(__xludf.DUMMYFUNCTION("""COMPUTED_VALUE"""),9256451.0)</f>
        <v>9256451</v>
      </c>
      <c r="B492">
        <f>IFERROR(__xludf.DUMMYFUNCTION("""COMPUTED_VALUE"""),28.0)</f>
        <v>28</v>
      </c>
      <c r="D492" t="str">
        <f>IFERROR(__xludf.DUMMYFUNCTION("""COMPUTED_VALUE"""),"83")</f>
        <v>83</v>
      </c>
      <c r="E492" t="str">
        <f>IFERROR(__xludf.DUMMYFUNCTION("""COMPUTED_VALUE"""),"FACULTAD DE CIENCIAS MEDICAS")</f>
        <v>FACULTAD DE CIENCIAS MEDICAS</v>
      </c>
      <c r="F492" t="str">
        <f>IFERROR(__xludf.DUMMYFUNCTION("""COMPUTED_VALUE"""),"Mayordomo(a)")</f>
        <v>Mayordomo(a)</v>
      </c>
      <c r="G492" t="str">
        <f>IFERROR(__xludf.DUMMYFUNCTION("""COMPUTED_VALUE"""),"MAYORDOMO")</f>
        <v>MAYORDOMO</v>
      </c>
      <c r="H492">
        <f>IFERROR(__xludf.DUMMYFUNCTION("""COMPUTED_VALUE"""),21.0)</f>
        <v>21</v>
      </c>
      <c r="I492" t="str">
        <f>IFERROR(__xludf.DUMMYFUNCTION("""COMPUTED_VALUE"""),"Jornada Completa")</f>
        <v>Jornada Completa</v>
      </c>
      <c r="J492" t="str">
        <f>IFERROR(__xludf.DUMMYFUNCTION("""COMPUTED_VALUE"""),"A CONTRATA")</f>
        <v>A CONTRATA</v>
      </c>
      <c r="K492" t="str">
        <f>IFERROR(__xludf.DUMMYFUNCTION("""COMPUTED_VALUE"""),"AUXILIAR")</f>
        <v>AUXILIAR</v>
      </c>
      <c r="L492" t="str">
        <f>IFERROR(__xludf.DUMMYFUNCTION("""COMPUTED_VALUE"""),"INTERNO")</f>
        <v>INTERNO</v>
      </c>
      <c r="M492">
        <f>IFERROR(__xludf.DUMMYFUNCTION("""COMPUTED_VALUE"""),2.0)</f>
        <v>2</v>
      </c>
      <c r="N492" t="str">
        <f>IFERROR(__xludf.DUMMYFUNCTION("""COMPUTED_VALUE"""),"NO")</f>
        <v>NO</v>
      </c>
      <c r="P492">
        <f>IFERROR(__xludf.DUMMYFUNCTION("""COMPUTED_VALUE"""),1.0)</f>
        <v>1</v>
      </c>
      <c r="Q492">
        <f>IFERROR(__xludf.DUMMYFUNCTION("""COMPUTED_VALUE"""),0.0)</f>
        <v>0</v>
      </c>
      <c r="R492" s="45" t="str">
        <f>IFERROR(__xludf.DUMMYFUNCTION("""COMPUTED_VALUE"""),"SELECCIONADO")</f>
        <v>SELECCIONADO</v>
      </c>
      <c r="S492" s="38">
        <f>IFERROR(__xludf.DUMMYFUNCTION("""COMPUTED_VALUE"""),42156.0)</f>
        <v>42156</v>
      </c>
      <c r="T492" t="str">
        <f>IFERROR(__xludf.DUMMYFUNCTION("""COMPUTED_VALUE"""),"JAIME ARCE LOPEZ")</f>
        <v>JAIME ARCE LOPEZ</v>
      </c>
      <c r="V492" t="str">
        <f>IFERROR(__xludf.DUMMYFUNCTION("""COMPUTED_VALUE"""),"09256451-7")</f>
        <v>09256451-7</v>
      </c>
      <c r="W492" t="str">
        <f>IFERROR(__xludf.DUMMYFUNCTION("""COMPUTED_VALUE"""),"NO")</f>
        <v>NO</v>
      </c>
      <c r="AA492" s="38">
        <f>IFERROR(__xludf.DUMMYFUNCTION("""COMPUTED_VALUE"""),42115.0)</f>
        <v>42115</v>
      </c>
      <c r="AB492" s="38">
        <f>IFERROR(__xludf.DUMMYFUNCTION("""COMPUTED_VALUE"""),42118.0)</f>
        <v>42118</v>
      </c>
      <c r="AC492">
        <f>IFERROR(__xludf.DUMMYFUNCTION("""COMPUTED_VALUE"""),23.0)</f>
        <v>23</v>
      </c>
      <c r="AD492" t="str">
        <f>IFERROR(__xludf.DUMMYFUNCTION("""COMPUTED_VALUE"""),"AUXILIAR")</f>
        <v>AUXILIAR</v>
      </c>
      <c r="AF492" s="46" t="str">
        <f>IFERROR(__xludf.DUMMYFUNCTION("""COMPUTED_VALUE"""),"ESCUELA DE ENFERMERIA")</f>
        <v>ESCUELA DE ENFERMERIA</v>
      </c>
      <c r="AH492" t="str">
        <f>IFERROR(__xludf.DUMMYFUNCTION("""COMPUTED_VALUE"""),"PROCESO DE SELECCIÓN")</f>
        <v>PROCESO DE SELECCIÓN</v>
      </c>
      <c r="AI492" t="str">
        <f>IFERROR(__xludf.DUMMYFUNCTION("""COMPUTED_VALUE"""),"ALEJANDRO MARTINEZ NAVIA")</f>
        <v>ALEJANDRO MARTINEZ NAVIA</v>
      </c>
      <c r="AK492" t="str">
        <f>IFERROR(__xludf.DUMMYFUNCTION("""COMPUTED_VALUE"""),"P")</f>
        <v>P</v>
      </c>
      <c r="AL492">
        <f>IFERROR(__xludf.DUMMYFUNCTION("""COMPUTED_VALUE"""),27.0)</f>
        <v>27</v>
      </c>
      <c r="AM492">
        <f>IFERROR(__xludf.DUMMYFUNCTION("""COMPUTED_VALUE"""),2015.0)</f>
        <v>2015</v>
      </c>
    </row>
    <row r="493">
      <c r="A493">
        <f>IFERROR(__xludf.DUMMYFUNCTION("""COMPUTED_VALUE"""),8718049.0)</f>
        <v>8718049</v>
      </c>
      <c r="B493">
        <f>IFERROR(__xludf.DUMMYFUNCTION("""COMPUTED_VALUE"""),29.0)</f>
        <v>29</v>
      </c>
      <c r="D493" t="str">
        <f>IFERROR(__xludf.DUMMYFUNCTION("""COMPUTED_VALUE"""),"40")</f>
        <v>40</v>
      </c>
      <c r="E493" t="str">
        <f>IFERROR(__xludf.DUMMYFUNCTION("""COMPUTED_VALUE"""),"DEPARTAMENTO DE INGENIERIA ELECTRICA")</f>
        <v>DEPARTAMENTO DE INGENIERIA ELECTRICA</v>
      </c>
      <c r="F493" t="str">
        <f>IFERROR(__xludf.DUMMYFUNCTION("""COMPUTED_VALUE"""),"Estafeta")</f>
        <v>Estafeta</v>
      </c>
      <c r="G493" t="str">
        <f>IFERROR(__xludf.DUMMYFUNCTION("""COMPUTED_VALUE"""),"ESTAFETA")</f>
        <v>ESTAFETA</v>
      </c>
      <c r="H493">
        <f>IFERROR(__xludf.DUMMYFUNCTION("""COMPUTED_VALUE"""),23.0)</f>
        <v>23</v>
      </c>
      <c r="I493" t="str">
        <f>IFERROR(__xludf.DUMMYFUNCTION("""COMPUTED_VALUE"""),"Jornada Completa")</f>
        <v>Jornada Completa</v>
      </c>
      <c r="J493" t="str">
        <f>IFERROR(__xludf.DUMMYFUNCTION("""COMPUTED_VALUE"""),"A CONTRATA")</f>
        <v>A CONTRATA</v>
      </c>
      <c r="K493" t="str">
        <f>IFERROR(__xludf.DUMMYFUNCTION("""COMPUTED_VALUE"""),"AUXILIAR")</f>
        <v>AUXILIAR</v>
      </c>
      <c r="L493" t="str">
        <f>IFERROR(__xludf.DUMMYFUNCTION("""COMPUTED_VALUE"""),"INTERNO")</f>
        <v>INTERNO</v>
      </c>
      <c r="M493">
        <f>IFERROR(__xludf.DUMMYFUNCTION("""COMPUTED_VALUE"""),0.0)</f>
        <v>0</v>
      </c>
      <c r="N493" t="str">
        <f>IFERROR(__xludf.DUMMYFUNCTION("""COMPUTED_VALUE"""),"EXTERNO")</f>
        <v>EXTERNO</v>
      </c>
      <c r="O493">
        <f>IFERROR(__xludf.DUMMYFUNCTION("""COMPUTED_VALUE"""),10.0)</f>
        <v>10</v>
      </c>
      <c r="P493">
        <f>IFERROR(__xludf.DUMMYFUNCTION("""COMPUTED_VALUE"""),1.0)</f>
        <v>1</v>
      </c>
      <c r="Q493">
        <f>IFERROR(__xludf.DUMMYFUNCTION("""COMPUTED_VALUE"""),1.0)</f>
        <v>1</v>
      </c>
      <c r="R493" s="45" t="str">
        <f>IFERROR(__xludf.DUMMYFUNCTION("""COMPUTED_VALUE"""),"SELECCIONADO")</f>
        <v>SELECCIONADO</v>
      </c>
      <c r="S493" s="38">
        <f>IFERROR(__xludf.DUMMYFUNCTION("""COMPUTED_VALUE"""),42156.0)</f>
        <v>42156</v>
      </c>
      <c r="U493" t="str">
        <f>IFERROR(__xludf.DUMMYFUNCTION("""COMPUTED_VALUE"""),"ROBERTO MORGADO CARRASCO")</f>
        <v>ROBERTO MORGADO CARRASCO</v>
      </c>
      <c r="V493" t="str">
        <f>IFERROR(__xludf.DUMMYFUNCTION("""COMPUTED_VALUE"""),"08718049-2")</f>
        <v>08718049-2</v>
      </c>
      <c r="W493" t="str">
        <f>IFERROR(__xludf.DUMMYFUNCTION("""COMPUTED_VALUE"""),"NO")</f>
        <v>NO</v>
      </c>
      <c r="AA493" s="38">
        <f>IFERROR(__xludf.DUMMYFUNCTION("""COMPUTED_VALUE"""),42086.0)</f>
        <v>42086</v>
      </c>
      <c r="AB493" s="38">
        <f>IFERROR(__xludf.DUMMYFUNCTION("""COMPUTED_VALUE"""),42093.0)</f>
        <v>42093</v>
      </c>
      <c r="AH493" t="str">
        <f>IFERROR(__xludf.DUMMYFUNCTION("""COMPUTED_VALUE"""),"PROCESO DE SELECCIÓN")</f>
        <v>PROCESO DE SELECCIÓN</v>
      </c>
      <c r="AI493" t="str">
        <f>IFERROR(__xludf.DUMMYFUNCTION("""COMPUTED_VALUE"""),"-")</f>
        <v>-</v>
      </c>
      <c r="AK493" t="str">
        <f>IFERROR(__xludf.DUMMYFUNCTION("""COMPUTED_VALUE"""),"C")</f>
        <v>C</v>
      </c>
      <c r="AL493">
        <f>IFERROR(__xludf.DUMMYFUNCTION("""COMPUTED_VALUE"""),46.0)</f>
        <v>46</v>
      </c>
      <c r="AM493">
        <f>IFERROR(__xludf.DUMMYFUNCTION("""COMPUTED_VALUE"""),2015.0)</f>
        <v>2015</v>
      </c>
    </row>
    <row r="494">
      <c r="A494">
        <f>IFERROR(__xludf.DUMMYFUNCTION("""COMPUTED_VALUE"""),1.438167E7)</f>
        <v>14381670</v>
      </c>
      <c r="B494">
        <f>IFERROR(__xludf.DUMMYFUNCTION("""COMPUTED_VALUE"""),30.0)</f>
        <v>30</v>
      </c>
      <c r="D494" t="str">
        <f>IFERROR(__xludf.DUMMYFUNCTION("""COMPUTED_VALUE"""),"3")</f>
        <v>3</v>
      </c>
      <c r="E494" t="str">
        <f>IFERROR(__xludf.DUMMYFUNCTION("""COMPUTED_VALUE"""),"UNIDAD DE BIENESTAR DEL PERSONAL")</f>
        <v>UNIDAD DE BIENESTAR DEL PERSONAL</v>
      </c>
      <c r="F494" t="str">
        <f>IFERROR(__xludf.DUMMYFUNCTION("""COMPUTED_VALUE"""),"Asistente Social Personal")</f>
        <v>Asistente Social Personal</v>
      </c>
      <c r="G494" t="str">
        <f>IFERROR(__xludf.DUMMYFUNCTION("""COMPUTED_VALUE"""),"ASISTENTE SOCIAL")</f>
        <v>ASISTENTE SOCIAL</v>
      </c>
      <c r="H494">
        <f>IFERROR(__xludf.DUMMYFUNCTION("""COMPUTED_VALUE"""),13.0)</f>
        <v>13</v>
      </c>
      <c r="I494" t="str">
        <f>IFERROR(__xludf.DUMMYFUNCTION("""COMPUTED_VALUE"""),"Jornada Completa")</f>
        <v>Jornada Completa</v>
      </c>
      <c r="J494" t="str">
        <f>IFERROR(__xludf.DUMMYFUNCTION("""COMPUTED_VALUE"""),"A CONTRATA")</f>
        <v>A CONTRATA</v>
      </c>
      <c r="K494" t="str">
        <f>IFERROR(__xludf.DUMMYFUNCTION("""COMPUTED_VALUE"""),"PROFESIONAL")</f>
        <v>PROFESIONAL</v>
      </c>
      <c r="L494" t="str">
        <f>IFERROR(__xludf.DUMMYFUNCTION("""COMPUTED_VALUE"""),"INTERNO")</f>
        <v>INTERNO</v>
      </c>
      <c r="M494">
        <f>IFERROR(__xludf.DUMMYFUNCTION("""COMPUTED_VALUE"""),4.0)</f>
        <v>4</v>
      </c>
      <c r="N494" t="str">
        <f>IFERROR(__xludf.DUMMYFUNCTION("""COMPUTED_VALUE"""),"NO")</f>
        <v>NO</v>
      </c>
      <c r="P494">
        <f>IFERROR(__xludf.DUMMYFUNCTION("""COMPUTED_VALUE"""),4.0)</f>
        <v>4</v>
      </c>
      <c r="R494" s="45" t="str">
        <f>IFERROR(__xludf.DUMMYFUNCTION("""COMPUTED_VALUE"""),"SELECCIONADA")</f>
        <v>SELECCIONADA</v>
      </c>
      <c r="S494" s="38">
        <f>IFERROR(__xludf.DUMMYFUNCTION("""COMPUTED_VALUE"""),42167.0)</f>
        <v>42167</v>
      </c>
      <c r="T494" t="str">
        <f>IFERROR(__xludf.DUMMYFUNCTION("""COMPUTED_VALUE"""),"INGRID CANIULEF MENDEZ")</f>
        <v>INGRID CANIULEF MENDEZ</v>
      </c>
      <c r="V494" t="str">
        <f>IFERROR(__xludf.DUMMYFUNCTION("""COMPUTED_VALUE"""),"14381670-2")</f>
        <v>14381670-2</v>
      </c>
      <c r="W494" t="str">
        <f>IFERROR(__xludf.DUMMYFUNCTION("""COMPUTED_VALUE"""),"NO")</f>
        <v>NO</v>
      </c>
      <c r="AA494" s="38">
        <f>IFERROR(__xludf.DUMMYFUNCTION("""COMPUTED_VALUE"""),42115.0)</f>
        <v>42115</v>
      </c>
      <c r="AB494" s="38">
        <f>IFERROR(__xludf.DUMMYFUNCTION("""COMPUTED_VALUE"""),42118.0)</f>
        <v>42118</v>
      </c>
      <c r="AC494">
        <f>IFERROR(__xludf.DUMMYFUNCTION("""COMPUTED_VALUE"""),15.0)</f>
        <v>15</v>
      </c>
      <c r="AD494" t="str">
        <f>IFERROR(__xludf.DUMMYFUNCTION("""COMPUTED_VALUE"""),"ADMINISTRATIVO")</f>
        <v>ADMINISTRATIVO</v>
      </c>
      <c r="AF494" s="46" t="str">
        <f>IFERROR(__xludf.DUMMYFUNCTION("""COMPUTED_VALUE"""),"IDEA")</f>
        <v>IDEA</v>
      </c>
      <c r="AH494" t="str">
        <f>IFERROR(__xludf.DUMMYFUNCTION("""COMPUTED_VALUE"""),"PROCESO DE SELECCIÓN")</f>
        <v>PROCESO DE SELECCIÓN</v>
      </c>
      <c r="AI494" t="str">
        <f>IFERROR(__xludf.DUMMYFUNCTION("""COMPUTED_VALUE"""),"MARIA ANTONIETA GONZALEZ")</f>
        <v>MARIA ANTONIETA GONZALEZ</v>
      </c>
      <c r="AK494" t="str">
        <f>IFERROR(__xludf.DUMMYFUNCTION("""COMPUTED_VALUE"""),"C")</f>
        <v>C</v>
      </c>
      <c r="AL494">
        <f>IFERROR(__xludf.DUMMYFUNCTION("""COMPUTED_VALUE"""),36.0)</f>
        <v>36</v>
      </c>
      <c r="AM494">
        <f>IFERROR(__xludf.DUMMYFUNCTION("""COMPUTED_VALUE"""),2015.0)</f>
        <v>2015</v>
      </c>
    </row>
    <row r="495">
      <c r="A495">
        <f>IFERROR(__xludf.DUMMYFUNCTION("""COMPUTED_VALUE"""),1.2240422E7)</f>
        <v>12240422</v>
      </c>
      <c r="B495">
        <f>IFERROR(__xludf.DUMMYFUNCTION("""COMPUTED_VALUE"""),31.0)</f>
        <v>31</v>
      </c>
      <c r="D495" t="str">
        <f>IFERROR(__xludf.DUMMYFUNCTION("""COMPUTED_VALUE"""),"60")</f>
        <v>60</v>
      </c>
      <c r="E495" t="str">
        <f>IFERROR(__xludf.DUMMYFUNCTION("""COMPUTED_VALUE"""),"FACULTAD DE ADMINISTRACION Y ECONOMIA")</f>
        <v>FACULTAD DE ADMINISTRACION Y ECONOMIA</v>
      </c>
      <c r="F495" t="str">
        <f>IFERROR(__xludf.DUMMYFUNCTION("""COMPUTED_VALUE"""),"Secretario(a) B")</f>
        <v>Secretario(a) B</v>
      </c>
      <c r="G495" t="str">
        <f>IFERROR(__xludf.DUMMYFUNCTION("""COMPUTED_VALUE"""),"SECRETARIA DE VICEDECANATO")</f>
        <v>SECRETARIA DE VICEDECANATO</v>
      </c>
      <c r="H495">
        <f>IFERROR(__xludf.DUMMYFUNCTION("""COMPUTED_VALUE"""),17.0)</f>
        <v>17</v>
      </c>
      <c r="I495" t="str">
        <f>IFERROR(__xludf.DUMMYFUNCTION("""COMPUTED_VALUE"""),"Jornada Completa")</f>
        <v>Jornada Completa</v>
      </c>
      <c r="J495" t="str">
        <f>IFERROR(__xludf.DUMMYFUNCTION("""COMPUTED_VALUE"""),"A CONTRATA")</f>
        <v>A CONTRATA</v>
      </c>
      <c r="K495" t="str">
        <f>IFERROR(__xludf.DUMMYFUNCTION("""COMPUTED_VALUE"""),"ADMINISTRATIVO")</f>
        <v>ADMINISTRATIVO</v>
      </c>
      <c r="L495" t="str">
        <f>IFERROR(__xludf.DUMMYFUNCTION("""COMPUTED_VALUE"""),"INTERNO")</f>
        <v>INTERNO</v>
      </c>
      <c r="M495">
        <f>IFERROR(__xludf.DUMMYFUNCTION("""COMPUTED_VALUE"""),0.0)</f>
        <v>0</v>
      </c>
      <c r="N495" t="str">
        <f>IFERROR(__xludf.DUMMYFUNCTION("""COMPUTED_VALUE"""),"EXTERNO")</f>
        <v>EXTERNO</v>
      </c>
      <c r="O495">
        <f>IFERROR(__xludf.DUMMYFUNCTION("""COMPUTED_VALUE"""),26.0)</f>
        <v>26</v>
      </c>
      <c r="P495">
        <f>IFERROR(__xludf.DUMMYFUNCTION("""COMPUTED_VALUE"""),4.0)</f>
        <v>4</v>
      </c>
      <c r="Q495">
        <f>IFERROR(__xludf.DUMMYFUNCTION("""COMPUTED_VALUE"""),2.0)</f>
        <v>2</v>
      </c>
      <c r="R495" s="45" t="str">
        <f>IFERROR(__xludf.DUMMYFUNCTION("""COMPUTED_VALUE"""),"SELECCIONADA")</f>
        <v>SELECCIONADA</v>
      </c>
      <c r="S495" s="38">
        <f>IFERROR(__xludf.DUMMYFUNCTION("""COMPUTED_VALUE"""),42170.0)</f>
        <v>42170</v>
      </c>
      <c r="U495" t="str">
        <f>IFERROR(__xludf.DUMMYFUNCTION("""COMPUTED_VALUE"""),"VANESA CONTRERAS URBINA")</f>
        <v>VANESA CONTRERAS URBINA</v>
      </c>
      <c r="V495" t="str">
        <f>IFERROR(__xludf.DUMMYFUNCTION("""COMPUTED_VALUE"""),"12240422-6")</f>
        <v>12240422-6</v>
      </c>
      <c r="W495" t="str">
        <f>IFERROR(__xludf.DUMMYFUNCTION("""COMPUTED_VALUE"""),"SI")</f>
        <v>SI</v>
      </c>
      <c r="X495" t="str">
        <f>IFERROR(__xludf.DUMMYFUNCTION("""COMPUTED_VALUE"""),"Franqueza- Confiabilidad- Integridad")</f>
        <v>Franqueza- Confiabilidad- Integridad</v>
      </c>
      <c r="AA495" s="38">
        <f>IFERROR(__xludf.DUMMYFUNCTION("""COMPUTED_VALUE"""),42132.0)</f>
        <v>42132</v>
      </c>
      <c r="AB495" s="38">
        <f>IFERROR(__xludf.DUMMYFUNCTION("""COMPUTED_VALUE"""),42139.0)</f>
        <v>42139</v>
      </c>
      <c r="AH495" t="str">
        <f>IFERROR(__xludf.DUMMYFUNCTION("""COMPUTED_VALUE"""),"PROCESO DE SELECCIÓN")</f>
        <v>PROCESO DE SELECCIÓN</v>
      </c>
      <c r="AI495" t="str">
        <f>IFERROR(__xludf.DUMMYFUNCTION("""COMPUTED_VALUE"""),"PATRICIA ROJAS")</f>
        <v>PATRICIA ROJAS</v>
      </c>
      <c r="AK495" t="str">
        <f>IFERROR(__xludf.DUMMYFUNCTION("""COMPUTED_VALUE"""),"C")</f>
        <v>C</v>
      </c>
      <c r="AL495">
        <f>IFERROR(__xludf.DUMMYFUNCTION("""COMPUTED_VALUE"""),22.0)</f>
        <v>22</v>
      </c>
      <c r="AM495">
        <f>IFERROR(__xludf.DUMMYFUNCTION("""COMPUTED_VALUE"""),2015.0)</f>
        <v>2015</v>
      </c>
    </row>
    <row r="496">
      <c r="A496">
        <f>IFERROR(__xludf.DUMMYFUNCTION("""COMPUTED_VALUE"""),1.4044448E7)</f>
        <v>14044448</v>
      </c>
      <c r="B496">
        <f>IFERROR(__xludf.DUMMYFUNCTION("""COMPUTED_VALUE"""),32.0)</f>
        <v>32</v>
      </c>
      <c r="D496" t="str">
        <f>IFERROR(__xludf.DUMMYFUNCTION("""COMPUTED_VALUE"""),"3")</f>
        <v>3</v>
      </c>
      <c r="E496" t="str">
        <f>IFERROR(__xludf.DUMMYFUNCTION("""COMPUTED_VALUE"""),"DEPARTAMENTO DE PLANIFICACION PRESUPUESTARIA")</f>
        <v>DEPARTAMENTO DE PLANIFICACION PRESUPUESTARIA</v>
      </c>
      <c r="F496" t="str">
        <f>IFERROR(__xludf.DUMMYFUNCTION("""COMPUTED_VALUE"""),"Analista de Planificación y Análisis")</f>
        <v>Analista de Planificación y Análisis</v>
      </c>
      <c r="G496" t="str">
        <f>IFERROR(__xludf.DUMMYFUNCTION("""COMPUTED_VALUE"""),"ANALISTA DE PLANIFICACION PRESUPUESTARIA")</f>
        <v>ANALISTA DE PLANIFICACION PRESUPUESTARIA</v>
      </c>
      <c r="H496">
        <f>IFERROR(__xludf.DUMMYFUNCTION("""COMPUTED_VALUE"""),10.0)</f>
        <v>10</v>
      </c>
      <c r="I496" t="str">
        <f>IFERROR(__xludf.DUMMYFUNCTION("""COMPUTED_VALUE"""),"Jornada Completa")</f>
        <v>Jornada Completa</v>
      </c>
      <c r="J496" t="str">
        <f>IFERROR(__xludf.DUMMYFUNCTION("""COMPUTED_VALUE"""),"A CONTRATA")</f>
        <v>A CONTRATA</v>
      </c>
      <c r="K496" t="str">
        <f>IFERROR(__xludf.DUMMYFUNCTION("""COMPUTED_VALUE"""),"PROFESIONAL")</f>
        <v>PROFESIONAL</v>
      </c>
      <c r="L496" t="str">
        <f>IFERROR(__xludf.DUMMYFUNCTION("""COMPUTED_VALUE"""),"INTERNO")</f>
        <v>INTERNO</v>
      </c>
      <c r="M496">
        <f>IFERROR(__xludf.DUMMYFUNCTION("""COMPUTED_VALUE"""),5.0)</f>
        <v>5</v>
      </c>
      <c r="N496" t="str">
        <f>IFERROR(__xludf.DUMMYFUNCTION("""COMPUTED_VALUE"""),"EXTERNO")</f>
        <v>EXTERNO</v>
      </c>
      <c r="O496">
        <f>IFERROR(__xludf.DUMMYFUNCTION("""COMPUTED_VALUE"""),14.0)</f>
        <v>14</v>
      </c>
      <c r="P496">
        <f>IFERROR(__xludf.DUMMYFUNCTION("""COMPUTED_VALUE"""),2.0)</f>
        <v>2</v>
      </c>
      <c r="Q496">
        <f>IFERROR(__xludf.DUMMYFUNCTION("""COMPUTED_VALUE"""),1.0)</f>
        <v>1</v>
      </c>
      <c r="R496" s="45" t="str">
        <f>IFERROR(__xludf.DUMMYFUNCTION("""COMPUTED_VALUE"""),"SELECCIONADA")</f>
        <v>SELECCIONADA</v>
      </c>
      <c r="S496" s="38">
        <f>IFERROR(__xludf.DUMMYFUNCTION("""COMPUTED_VALUE"""),42170.0)</f>
        <v>42170</v>
      </c>
      <c r="U496" t="str">
        <f>IFERROR(__xludf.DUMMYFUNCTION("""COMPUTED_VALUE"""),"ELSA CARRASCO FERNANDEZ")</f>
        <v>ELSA CARRASCO FERNANDEZ</v>
      </c>
      <c r="V496" t="str">
        <f>IFERROR(__xludf.DUMMYFUNCTION("""COMPUTED_VALUE"""),"14044448-0")</f>
        <v>14044448-0</v>
      </c>
      <c r="W496" t="str">
        <f>IFERROR(__xludf.DUMMYFUNCTION("""COMPUTED_VALUE"""),"NO")</f>
        <v>NO</v>
      </c>
      <c r="AA496" s="38">
        <f>IFERROR(__xludf.DUMMYFUNCTION("""COMPUTED_VALUE"""),42101.0)</f>
        <v>42101</v>
      </c>
      <c r="AB496" s="38">
        <f>IFERROR(__xludf.DUMMYFUNCTION("""COMPUTED_VALUE"""),42108.0)</f>
        <v>42108</v>
      </c>
      <c r="AH496" t="str">
        <f>IFERROR(__xludf.DUMMYFUNCTION("""COMPUTED_VALUE"""),"PROCESO DE SELECCIÓN")</f>
        <v>PROCESO DE SELECCIÓN</v>
      </c>
      <c r="AI496" t="str">
        <f>IFERROR(__xludf.DUMMYFUNCTION("""COMPUTED_VALUE"""),"-")</f>
        <v>-</v>
      </c>
      <c r="AK496" t="str">
        <f>IFERROR(__xludf.DUMMYFUNCTION("""COMPUTED_VALUE"""),"C")</f>
        <v>C</v>
      </c>
      <c r="AL496">
        <f>IFERROR(__xludf.DUMMYFUNCTION("""COMPUTED_VALUE"""),45.0)</f>
        <v>45</v>
      </c>
      <c r="AM496">
        <f>IFERROR(__xludf.DUMMYFUNCTION("""COMPUTED_VALUE"""),2015.0)</f>
        <v>2015</v>
      </c>
    </row>
    <row r="497">
      <c r="A497">
        <f>IFERROR(__xludf.DUMMYFUNCTION("""COMPUTED_VALUE"""),1.7050435E7)</f>
        <v>17050435</v>
      </c>
      <c r="B497">
        <f>IFERROR(__xludf.DUMMYFUNCTION("""COMPUTED_VALUE"""),33.0)</f>
        <v>33</v>
      </c>
      <c r="D497" t="str">
        <f>IFERROR(__xludf.DUMMYFUNCTION("""COMPUTED_VALUE"""),"83")</f>
        <v>83</v>
      </c>
      <c r="E497" t="str">
        <f>IFERROR(__xludf.DUMMYFUNCTION("""COMPUTED_VALUE"""),"FACULTAD DE CIENCIAS MEDICAS")</f>
        <v>FACULTAD DE CIENCIAS MEDICAS</v>
      </c>
      <c r="F497" t="str">
        <f>IFERROR(__xludf.DUMMYFUNCTION("""COMPUTED_VALUE"""),"Secretario(a) C")</f>
        <v>Secretario(a) C</v>
      </c>
      <c r="G497" t="str">
        <f>IFERROR(__xludf.DUMMYFUNCTION("""COMPUTED_VALUE"""),"SECRETARIA ADMINISTRATIVA")</f>
        <v>SECRETARIA ADMINISTRATIVA</v>
      </c>
      <c r="H497">
        <f>IFERROR(__xludf.DUMMYFUNCTION("""COMPUTED_VALUE"""),20.0)</f>
        <v>20</v>
      </c>
      <c r="I497" t="str">
        <f>IFERROR(__xludf.DUMMYFUNCTION("""COMPUTED_VALUE"""),"Jornada Completa")</f>
        <v>Jornada Completa</v>
      </c>
      <c r="J497" t="str">
        <f>IFERROR(__xludf.DUMMYFUNCTION("""COMPUTED_VALUE"""),"A CONTRATA")</f>
        <v>A CONTRATA</v>
      </c>
      <c r="K497" t="str">
        <f>IFERROR(__xludf.DUMMYFUNCTION("""COMPUTED_VALUE"""),"ADMINISTRATIVO")</f>
        <v>ADMINISTRATIVO</v>
      </c>
      <c r="L497" t="str">
        <f>IFERROR(__xludf.DUMMYFUNCTION("""COMPUTED_VALUE"""),"INTERNO")</f>
        <v>INTERNO</v>
      </c>
      <c r="M497">
        <f>IFERROR(__xludf.DUMMYFUNCTION("""COMPUTED_VALUE"""),0.0)</f>
        <v>0</v>
      </c>
      <c r="N497" t="str">
        <f>IFERROR(__xludf.DUMMYFUNCTION("""COMPUTED_VALUE"""),"EXTERNO")</f>
        <v>EXTERNO</v>
      </c>
      <c r="O497">
        <f>IFERROR(__xludf.DUMMYFUNCTION("""COMPUTED_VALUE"""),4.0)</f>
        <v>4</v>
      </c>
      <c r="P497">
        <f>IFERROR(__xludf.DUMMYFUNCTION("""COMPUTED_VALUE"""),1.0)</f>
        <v>1</v>
      </c>
      <c r="Q497">
        <f>IFERROR(__xludf.DUMMYFUNCTION("""COMPUTED_VALUE"""),2.0)</f>
        <v>2</v>
      </c>
      <c r="R497" s="45" t="str">
        <f>IFERROR(__xludf.DUMMYFUNCTION("""COMPUTED_VALUE"""),"SELECCIONADA")</f>
        <v>SELECCIONADA</v>
      </c>
      <c r="S497" s="38">
        <f>IFERROR(__xludf.DUMMYFUNCTION("""COMPUTED_VALUE"""),42163.0)</f>
        <v>42163</v>
      </c>
      <c r="U497" t="str">
        <f>IFERROR(__xludf.DUMMYFUNCTION("""COMPUTED_VALUE"""),"VALERIA ULLOA DAVIS")</f>
        <v>VALERIA ULLOA DAVIS</v>
      </c>
      <c r="V497" t="str">
        <f>IFERROR(__xludf.DUMMYFUNCTION("""COMPUTED_VALUE"""),"17050435-6")</f>
        <v>17050435-6</v>
      </c>
      <c r="W497" t="str">
        <f>IFERROR(__xludf.DUMMYFUNCTION("""COMPUTED_VALUE"""),"NO")</f>
        <v>NO</v>
      </c>
      <c r="AA497" s="38">
        <f>IFERROR(__xludf.DUMMYFUNCTION("""COMPUTED_VALUE"""),42137.0)</f>
        <v>42137</v>
      </c>
      <c r="AB497" s="38">
        <f>IFERROR(__xludf.DUMMYFUNCTION("""COMPUTED_VALUE"""),42142.0)</f>
        <v>42142</v>
      </c>
      <c r="AH497" t="str">
        <f>IFERROR(__xludf.DUMMYFUNCTION("""COMPUTED_VALUE"""),"PROCESO DE SELECCIÓN")</f>
        <v>PROCESO DE SELECCIÓN</v>
      </c>
      <c r="AI497" t="str">
        <f>IFERROR(__xludf.DUMMYFUNCTION("""COMPUTED_VALUE"""),"-")</f>
        <v>-</v>
      </c>
      <c r="AK497" t="str">
        <f>IFERROR(__xludf.DUMMYFUNCTION("""COMPUTED_VALUE"""),"C")</f>
        <v>C</v>
      </c>
      <c r="AL497">
        <f>IFERROR(__xludf.DUMMYFUNCTION("""COMPUTED_VALUE"""),16.0)</f>
        <v>16</v>
      </c>
      <c r="AM497">
        <f>IFERROR(__xludf.DUMMYFUNCTION("""COMPUTED_VALUE"""),2015.0)</f>
        <v>2015</v>
      </c>
    </row>
    <row r="498">
      <c r="A498">
        <f>IFERROR(__xludf.DUMMYFUNCTION("""COMPUTED_VALUE"""),8039104.0)</f>
        <v>8039104</v>
      </c>
      <c r="B498">
        <f>IFERROR(__xludf.DUMMYFUNCTION("""COMPUTED_VALUE"""),34.0)</f>
        <v>34</v>
      </c>
      <c r="D498" t="str">
        <f>IFERROR(__xludf.DUMMYFUNCTION("""COMPUTED_VALUE"""),"15")</f>
        <v>15</v>
      </c>
      <c r="E498" t="str">
        <f>IFERROR(__xludf.DUMMYFUNCTION("""COMPUTED_VALUE"""),"UNIE-CITECAMP")</f>
        <v>UNIE-CITECAMP</v>
      </c>
      <c r="F498" t="str">
        <f>IFERROR(__xludf.DUMMYFUNCTION("""COMPUTED_VALUE"""),"Administrativo(a) de Apoyo")</f>
        <v>Administrativo(a) de Apoyo</v>
      </c>
      <c r="G498" t="str">
        <f>IFERROR(__xludf.DUMMYFUNCTION("""COMPUTED_VALUE"""),"ADMINISTRATIVO DE APOYO")</f>
        <v>ADMINISTRATIVO DE APOYO</v>
      </c>
      <c r="H498">
        <f>IFERROR(__xludf.DUMMYFUNCTION("""COMPUTED_VALUE"""),20.0)</f>
        <v>20</v>
      </c>
      <c r="I498" t="str">
        <f>IFERROR(__xludf.DUMMYFUNCTION("""COMPUTED_VALUE"""),"Jornada Completa")</f>
        <v>Jornada Completa</v>
      </c>
      <c r="J498" t="str">
        <f>IFERROR(__xludf.DUMMYFUNCTION("""COMPUTED_VALUE"""),"A CONTRATA")</f>
        <v>A CONTRATA</v>
      </c>
      <c r="K498" t="str">
        <f>IFERROR(__xludf.DUMMYFUNCTION("""COMPUTED_VALUE"""),"ADMINISTRATIVO")</f>
        <v>ADMINISTRATIVO</v>
      </c>
      <c r="L498" t="str">
        <f>IFERROR(__xludf.DUMMYFUNCTION("""COMPUTED_VALUE"""),"INTERNO")</f>
        <v>INTERNO</v>
      </c>
      <c r="M498">
        <f>IFERROR(__xludf.DUMMYFUNCTION("""COMPUTED_VALUE"""),0.0)</f>
        <v>0</v>
      </c>
      <c r="N498" t="str">
        <f>IFERROR(__xludf.DUMMYFUNCTION("""COMPUTED_VALUE"""),"EXTERNO")</f>
        <v>EXTERNO</v>
      </c>
      <c r="O498">
        <f>IFERROR(__xludf.DUMMYFUNCTION("""COMPUTED_VALUE"""),10.0)</f>
        <v>10</v>
      </c>
      <c r="P498">
        <f>IFERROR(__xludf.DUMMYFUNCTION("""COMPUTED_VALUE"""),2.0)</f>
        <v>2</v>
      </c>
      <c r="Q498">
        <f>IFERROR(__xludf.DUMMYFUNCTION("""COMPUTED_VALUE"""),1.0)</f>
        <v>1</v>
      </c>
      <c r="R498" s="45" t="str">
        <f>IFERROR(__xludf.DUMMYFUNCTION("""COMPUTED_VALUE"""),"SELECCIONADA")</f>
        <v>SELECCIONADA</v>
      </c>
      <c r="S498" s="38">
        <f>IFERROR(__xludf.DUMMYFUNCTION("""COMPUTED_VALUE"""),42180.0)</f>
        <v>42180</v>
      </c>
      <c r="U498" t="str">
        <f>IFERROR(__xludf.DUMMYFUNCTION("""COMPUTED_VALUE"""),"PAOLA SIRANDONI POLITIS")</f>
        <v>PAOLA SIRANDONI POLITIS</v>
      </c>
      <c r="V498" t="str">
        <f>IFERROR(__xludf.DUMMYFUNCTION("""COMPUTED_VALUE"""),"08039104-8")</f>
        <v>08039104-8</v>
      </c>
      <c r="W498" t="str">
        <f>IFERROR(__xludf.DUMMYFUNCTION("""COMPUTED_VALUE"""),"NO")</f>
        <v>NO</v>
      </c>
      <c r="AA498" s="38">
        <f>IFERROR(__xludf.DUMMYFUNCTION("""COMPUTED_VALUE"""),42142.0)</f>
        <v>42142</v>
      </c>
      <c r="AB498" s="38">
        <f>IFERROR(__xludf.DUMMYFUNCTION("""COMPUTED_VALUE"""),42149.0)</f>
        <v>42149</v>
      </c>
      <c r="AH498" t="str">
        <f>IFERROR(__xludf.DUMMYFUNCTION("""COMPUTED_VALUE"""),"PROCESO DE SELECCIÓN")</f>
        <v>PROCESO DE SELECCIÓN</v>
      </c>
      <c r="AI498" t="str">
        <f>IFERROR(__xludf.DUMMYFUNCTION("""COMPUTED_VALUE"""),"ANDREA SEPULVEDA PADILLA")</f>
        <v>ANDREA SEPULVEDA PADILLA</v>
      </c>
      <c r="AK498" t="str">
        <f>IFERROR(__xludf.DUMMYFUNCTION("""COMPUTED_VALUE"""),"C")</f>
        <v>C</v>
      </c>
      <c r="AL498">
        <f>IFERROR(__xludf.DUMMYFUNCTION("""COMPUTED_VALUE"""),24.0)</f>
        <v>24</v>
      </c>
      <c r="AM498">
        <f>IFERROR(__xludf.DUMMYFUNCTION("""COMPUTED_VALUE"""),2015.0)</f>
        <v>2015</v>
      </c>
    </row>
    <row r="499">
      <c r="A499">
        <f>IFERROR(__xludf.DUMMYFUNCTION("""COMPUTED_VALUE"""),1.288913E7)</f>
        <v>12889130</v>
      </c>
      <c r="B499">
        <f>IFERROR(__xludf.DUMMYFUNCTION("""COMPUTED_VALUE"""),35.0)</f>
        <v>35</v>
      </c>
      <c r="D499" t="str">
        <f>IFERROR(__xludf.DUMMYFUNCTION("""COMPUTED_VALUE"""),"15")</f>
        <v>15</v>
      </c>
      <c r="E499" t="str">
        <f>IFERROR(__xludf.DUMMYFUNCTION("""COMPUTED_VALUE"""),"UNIDAD DE BIBLIOTECAS")</f>
        <v>UNIDAD DE BIBLIOTECAS</v>
      </c>
      <c r="F499" t="str">
        <f>IFERROR(__xludf.DUMMYFUNCTION("""COMPUTED_VALUE"""),"Técnico(a) de Biblioteca")</f>
        <v>Técnico(a) de Biblioteca</v>
      </c>
      <c r="G499" t="str">
        <f>IFERROR(__xludf.DUMMYFUNCTION("""COMPUTED_VALUE"""),"TECNICO DE BIBLIOTECA")</f>
        <v>TECNICO DE BIBLIOTECA</v>
      </c>
      <c r="H499">
        <f>IFERROR(__xludf.DUMMYFUNCTION("""COMPUTED_VALUE"""),18.0)</f>
        <v>18</v>
      </c>
      <c r="I499" t="str">
        <f>IFERROR(__xludf.DUMMYFUNCTION("""COMPUTED_VALUE"""),"Jornada Completa")</f>
        <v>Jornada Completa</v>
      </c>
      <c r="J499" t="str">
        <f>IFERROR(__xludf.DUMMYFUNCTION("""COMPUTED_VALUE"""),"A CONTRATA")</f>
        <v>A CONTRATA</v>
      </c>
      <c r="K499" t="str">
        <f>IFERROR(__xludf.DUMMYFUNCTION("""COMPUTED_VALUE"""),"TECNICO")</f>
        <v>TECNICO</v>
      </c>
      <c r="L499" t="str">
        <f>IFERROR(__xludf.DUMMYFUNCTION("""COMPUTED_VALUE"""),"INTERNO")</f>
        <v>INTERNO</v>
      </c>
      <c r="M499">
        <f>IFERROR(__xludf.DUMMYFUNCTION("""COMPUTED_VALUE"""),0.0)</f>
        <v>0</v>
      </c>
      <c r="N499" t="str">
        <f>IFERROR(__xludf.DUMMYFUNCTION("""COMPUTED_VALUE"""),"EXTERNO")</f>
        <v>EXTERNO</v>
      </c>
      <c r="O499">
        <f>IFERROR(__xludf.DUMMYFUNCTION("""COMPUTED_VALUE"""),1.0)</f>
        <v>1</v>
      </c>
      <c r="P499">
        <f>IFERROR(__xludf.DUMMYFUNCTION("""COMPUTED_VALUE"""),1.0)</f>
        <v>1</v>
      </c>
      <c r="Q499">
        <f>IFERROR(__xludf.DUMMYFUNCTION("""COMPUTED_VALUE"""),1.0)</f>
        <v>1</v>
      </c>
      <c r="R499" s="45" t="str">
        <f>IFERROR(__xludf.DUMMYFUNCTION("""COMPUTED_VALUE"""),"SELECCIONADO")</f>
        <v>SELECCIONADO</v>
      </c>
      <c r="S499" s="38">
        <f>IFERROR(__xludf.DUMMYFUNCTION("""COMPUTED_VALUE"""),42186.0)</f>
        <v>42186</v>
      </c>
      <c r="U499" t="str">
        <f>IFERROR(__xludf.DUMMYFUNCTION("""COMPUTED_VALUE"""),"GLORIA MATTA BECERRA")</f>
        <v>GLORIA MATTA BECERRA</v>
      </c>
      <c r="V499" t="str">
        <f>IFERROR(__xludf.DUMMYFUNCTION("""COMPUTED_VALUE"""),"12889130-7")</f>
        <v>12889130-7</v>
      </c>
      <c r="W499" t="str">
        <f>IFERROR(__xludf.DUMMYFUNCTION("""COMPUTED_VALUE"""),"NO")</f>
        <v>NO</v>
      </c>
      <c r="AA499" s="38">
        <f>IFERROR(__xludf.DUMMYFUNCTION("""COMPUTED_VALUE"""),42166.0)</f>
        <v>42166</v>
      </c>
      <c r="AB499" s="38">
        <f>IFERROR(__xludf.DUMMYFUNCTION("""COMPUTED_VALUE"""),42172.0)</f>
        <v>42172</v>
      </c>
      <c r="AH499" t="str">
        <f>IFERROR(__xludf.DUMMYFUNCTION("""COMPUTED_VALUE"""),"PROCESO DE SELECCIÓN")</f>
        <v>PROCESO DE SELECCIÓN</v>
      </c>
      <c r="AI499" t="str">
        <f>IFERROR(__xludf.DUMMYFUNCTION("""COMPUTED_VALUE"""),"SUSANA BRAVO FUENTES")</f>
        <v>SUSANA BRAVO FUENTES</v>
      </c>
      <c r="AK499" t="str">
        <f>IFERROR(__xludf.DUMMYFUNCTION("""COMPUTED_VALUE"""),"P")</f>
        <v>P</v>
      </c>
      <c r="AL499">
        <f>IFERROR(__xludf.DUMMYFUNCTION("""COMPUTED_VALUE"""),11.0)</f>
        <v>11</v>
      </c>
      <c r="AM499">
        <f>IFERROR(__xludf.DUMMYFUNCTION("""COMPUTED_VALUE"""),2015.0)</f>
        <v>2015</v>
      </c>
    </row>
    <row r="500">
      <c r="A500">
        <f>IFERROR(__xludf.DUMMYFUNCTION("""COMPUTED_VALUE"""),1.6628961E7)</f>
        <v>16628961</v>
      </c>
      <c r="B500">
        <f>IFERROR(__xludf.DUMMYFUNCTION("""COMPUTED_VALUE"""),36.0)</f>
        <v>36</v>
      </c>
      <c r="D500" t="str">
        <f>IFERROR(__xludf.DUMMYFUNCTION("""COMPUTED_VALUE"""),"3")</f>
        <v>3</v>
      </c>
      <c r="E500" t="str">
        <f>IFERROR(__xludf.DUMMYFUNCTION("""COMPUTED_VALUE"""),"UNIDAD DE GESTION DEL CAMPUS")</f>
        <v>UNIDAD DE GESTION DEL CAMPUS</v>
      </c>
      <c r="F500" t="str">
        <f>IFERROR(__xludf.DUMMYFUNCTION("""COMPUTED_VALUE"""),"Analista de Gestión I")</f>
        <v>Analista de Gestión I</v>
      </c>
      <c r="G500" t="str">
        <f>IFERROR(__xludf.DUMMYFUNCTION("""COMPUTED_VALUE"""),"ANALISTA I")</f>
        <v>ANALISTA I</v>
      </c>
      <c r="H500">
        <f>IFERROR(__xludf.DUMMYFUNCTION("""COMPUTED_VALUE"""),10.0)</f>
        <v>10</v>
      </c>
      <c r="I500" t="str">
        <f>IFERROR(__xludf.DUMMYFUNCTION("""COMPUTED_VALUE"""),"Jornada Completa")</f>
        <v>Jornada Completa</v>
      </c>
      <c r="J500" t="str">
        <f>IFERROR(__xludf.DUMMYFUNCTION("""COMPUTED_VALUE"""),"A CONTRATA")</f>
        <v>A CONTRATA</v>
      </c>
      <c r="K500" t="str">
        <f>IFERROR(__xludf.DUMMYFUNCTION("""COMPUTED_VALUE"""),"PROFESIONAL")</f>
        <v>PROFESIONAL</v>
      </c>
      <c r="L500" t="str">
        <f>IFERROR(__xludf.DUMMYFUNCTION("""COMPUTED_VALUE"""),"INTERNO")</f>
        <v>INTERNO</v>
      </c>
      <c r="M500">
        <f>IFERROR(__xludf.DUMMYFUNCTION("""COMPUTED_VALUE"""),3.0)</f>
        <v>3</v>
      </c>
      <c r="N500" t="str">
        <f>IFERROR(__xludf.DUMMYFUNCTION("""COMPUTED_VALUE"""),"EXTERNO")</f>
        <v>EXTERNO</v>
      </c>
      <c r="O500">
        <f>IFERROR(__xludf.DUMMYFUNCTION("""COMPUTED_VALUE"""),19.0)</f>
        <v>19</v>
      </c>
      <c r="P500">
        <f>IFERROR(__xludf.DUMMYFUNCTION("""COMPUTED_VALUE"""),4.0)</f>
        <v>4</v>
      </c>
      <c r="Q500">
        <f>IFERROR(__xludf.DUMMYFUNCTION("""COMPUTED_VALUE"""),2.0)</f>
        <v>2</v>
      </c>
      <c r="R500" s="45" t="str">
        <f>IFERROR(__xludf.DUMMYFUNCTION("""COMPUTED_VALUE"""),"SELECCIONADO")</f>
        <v>SELECCIONADO</v>
      </c>
      <c r="S500" s="38">
        <f>IFERROR(__xludf.DUMMYFUNCTION("""COMPUTED_VALUE"""),42177.0)</f>
        <v>42177</v>
      </c>
      <c r="U500" t="str">
        <f>IFERROR(__xludf.DUMMYFUNCTION("""COMPUTED_VALUE"""),"PEDRO SAAVEDRA SANCHEZ")</f>
        <v>PEDRO SAAVEDRA SANCHEZ</v>
      </c>
      <c r="V500" t="str">
        <f>IFERROR(__xludf.DUMMYFUNCTION("""COMPUTED_VALUE"""),"16628961-0")</f>
        <v>16628961-0</v>
      </c>
      <c r="W500" t="str">
        <f>IFERROR(__xludf.DUMMYFUNCTION("""COMPUTED_VALUE"""),"SI")</f>
        <v>SI</v>
      </c>
      <c r="Y500" t="str">
        <f>IFERROR(__xludf.DUMMYFUNCTION("""COMPUTED_VALUE"""),"TRABAJO EN EQUIPO")</f>
        <v>TRABAJO EN EQUIPO</v>
      </c>
      <c r="AA500" s="38">
        <f>IFERROR(__xludf.DUMMYFUNCTION("""COMPUTED_VALUE"""),42150.0)</f>
        <v>42150</v>
      </c>
      <c r="AB500" s="38">
        <f>IFERROR(__xludf.DUMMYFUNCTION("""COMPUTED_VALUE"""),42152.0)</f>
        <v>42152</v>
      </c>
      <c r="AH500" t="str">
        <f>IFERROR(__xludf.DUMMYFUNCTION("""COMPUTED_VALUE"""),"PROCESO DE SELECCIÓN")</f>
        <v>PROCESO DE SELECCIÓN</v>
      </c>
      <c r="AI500" t="str">
        <f>IFERROR(__xludf.DUMMYFUNCTION("""COMPUTED_VALUE"""),"-")</f>
        <v>-</v>
      </c>
      <c r="AK500" t="str">
        <f>IFERROR(__xludf.DUMMYFUNCTION("""COMPUTED_VALUE"""),"P")</f>
        <v>P</v>
      </c>
      <c r="AL500">
        <f>IFERROR(__xludf.DUMMYFUNCTION("""COMPUTED_VALUE"""),18.0)</f>
        <v>18</v>
      </c>
      <c r="AM500">
        <f>IFERROR(__xludf.DUMMYFUNCTION("""COMPUTED_VALUE"""),2015.0)</f>
        <v>2015</v>
      </c>
    </row>
    <row r="501">
      <c r="A501">
        <f>IFERROR(__xludf.DUMMYFUNCTION("""COMPUTED_VALUE"""),1.1852318E7)</f>
        <v>11852318</v>
      </c>
      <c r="B501">
        <f>IFERROR(__xludf.DUMMYFUNCTION("""COMPUTED_VALUE"""),37.0)</f>
        <v>37</v>
      </c>
      <c r="D501" t="str">
        <f>IFERROR(__xludf.DUMMYFUNCTION("""COMPUTED_VALUE"""),"40")</f>
        <v>40</v>
      </c>
      <c r="E501" t="str">
        <f>IFERROR(__xludf.DUMMYFUNCTION("""COMPUTED_VALUE"""),"FACULTAD DE INGENIERIA")</f>
        <v>FACULTAD DE INGENIERIA</v>
      </c>
      <c r="F501" t="str">
        <f>IFERROR(__xludf.DUMMYFUNCTION("""COMPUTED_VALUE"""),"Administrativo(a) de Apoyo")</f>
        <v>Administrativo(a) de Apoyo</v>
      </c>
      <c r="G501" t="str">
        <f>IFERROR(__xludf.DUMMYFUNCTION("""COMPUTED_VALUE"""),"ADMINISTRATIVO DE APOYO")</f>
        <v>ADMINISTRATIVO DE APOYO</v>
      </c>
      <c r="H501">
        <f>IFERROR(__xludf.DUMMYFUNCTION("""COMPUTED_VALUE"""),20.0)</f>
        <v>20</v>
      </c>
      <c r="I501" t="str">
        <f>IFERROR(__xludf.DUMMYFUNCTION("""COMPUTED_VALUE"""),"Jornada Completa")</f>
        <v>Jornada Completa</v>
      </c>
      <c r="J501" t="str">
        <f>IFERROR(__xludf.DUMMYFUNCTION("""COMPUTED_VALUE"""),"A CONTRATA")</f>
        <v>A CONTRATA</v>
      </c>
      <c r="K501" t="str">
        <f>IFERROR(__xludf.DUMMYFUNCTION("""COMPUTED_VALUE"""),"ADMINISTRATIVO")</f>
        <v>ADMINISTRATIVO</v>
      </c>
      <c r="L501" t="str">
        <f>IFERROR(__xludf.DUMMYFUNCTION("""COMPUTED_VALUE"""),"INTERNO")</f>
        <v>INTERNO</v>
      </c>
      <c r="M501">
        <f>IFERROR(__xludf.DUMMYFUNCTION("""COMPUTED_VALUE"""),2.0)</f>
        <v>2</v>
      </c>
      <c r="N501" t="str">
        <f>IFERROR(__xludf.DUMMYFUNCTION("""COMPUTED_VALUE"""),"EXTERNO")</f>
        <v>EXTERNO</v>
      </c>
      <c r="O501">
        <f>IFERROR(__xludf.DUMMYFUNCTION("""COMPUTED_VALUE"""),13.0)</f>
        <v>13</v>
      </c>
      <c r="P501">
        <f>IFERROR(__xludf.DUMMYFUNCTION("""COMPUTED_VALUE"""),1.0)</f>
        <v>1</v>
      </c>
      <c r="Q501">
        <f>IFERROR(__xludf.DUMMYFUNCTION("""COMPUTED_VALUE"""),1.0)</f>
        <v>1</v>
      </c>
      <c r="R501" s="45" t="str">
        <f>IFERROR(__xludf.DUMMYFUNCTION("""COMPUTED_VALUE"""),"SELECCIONADA")</f>
        <v>SELECCIONADA</v>
      </c>
      <c r="S501" s="38">
        <f>IFERROR(__xludf.DUMMYFUNCTION("""COMPUTED_VALUE"""),42186.0)</f>
        <v>42186</v>
      </c>
      <c r="U501" t="str">
        <f>IFERROR(__xludf.DUMMYFUNCTION("""COMPUTED_VALUE"""),"ELISA ESPINOZA ABRIGO")</f>
        <v>ELISA ESPINOZA ABRIGO</v>
      </c>
      <c r="V501" t="str">
        <f>IFERROR(__xludf.DUMMYFUNCTION("""COMPUTED_VALUE"""),"11852318-0")</f>
        <v>11852318-0</v>
      </c>
      <c r="W501" t="str">
        <f>IFERROR(__xludf.DUMMYFUNCTION("""COMPUTED_VALUE"""),"SI")</f>
        <v>SI</v>
      </c>
      <c r="X501" t="str">
        <f>IFERROR(__xludf.DUMMYFUNCTION("""COMPUTED_VALUE"""),"COMUNICACION")</f>
        <v>COMUNICACION</v>
      </c>
      <c r="AA501" s="38">
        <f>IFERROR(__xludf.DUMMYFUNCTION("""COMPUTED_VALUE"""),42142.0)</f>
        <v>42142</v>
      </c>
      <c r="AB501" s="38">
        <f>IFERROR(__xludf.DUMMYFUNCTION("""COMPUTED_VALUE"""),42149.0)</f>
        <v>42149</v>
      </c>
      <c r="AH501" t="str">
        <f>IFERROR(__xludf.DUMMYFUNCTION("""COMPUTED_VALUE"""),"PROCESO DE SELECCIÓN")</f>
        <v>PROCESO DE SELECCIÓN</v>
      </c>
      <c r="AI501" t="str">
        <f>IFERROR(__xludf.DUMMYFUNCTION("""COMPUTED_VALUE"""),"MARIA ANGELICA VALENZUELA GOMEZ")</f>
        <v>MARIA ANGELICA VALENZUELA GOMEZ</v>
      </c>
      <c r="AK501" t="str">
        <f>IFERROR(__xludf.DUMMYFUNCTION("""COMPUTED_VALUE"""),"P")</f>
        <v>P</v>
      </c>
      <c r="AL501">
        <f>IFERROR(__xludf.DUMMYFUNCTION("""COMPUTED_VALUE"""),28.0)</f>
        <v>28</v>
      </c>
      <c r="AM501">
        <f>IFERROR(__xludf.DUMMYFUNCTION("""COMPUTED_VALUE"""),2015.0)</f>
        <v>2015</v>
      </c>
    </row>
    <row r="502">
      <c r="A502">
        <f>IFERROR(__xludf.DUMMYFUNCTION("""COMPUTED_VALUE"""),1.7349924E7)</f>
        <v>17349924</v>
      </c>
      <c r="B502">
        <f>IFERROR(__xludf.DUMMYFUNCTION("""COMPUTED_VALUE"""),38.0)</f>
        <v>38</v>
      </c>
      <c r="D502" t="str">
        <f>IFERROR(__xludf.DUMMYFUNCTION("""COMPUTED_VALUE"""),"22")</f>
        <v>22</v>
      </c>
      <c r="E502" t="str">
        <f>IFERROR(__xludf.DUMMYFUNCTION("""COMPUTED_VALUE"""),"UNIDAD DE ATENCION DE SALUD")</f>
        <v>UNIDAD DE ATENCION DE SALUD</v>
      </c>
      <c r="F502" t="str">
        <f>IFERROR(__xludf.DUMMYFUNCTION("""COMPUTED_VALUE"""),"Médicos(as) y Dentistas")</f>
        <v>Médicos(as) y Dentistas</v>
      </c>
      <c r="G502" t="str">
        <f>IFERROR(__xludf.DUMMYFUNCTION("""COMPUTED_VALUE"""),"MEDICO CIRUJANO")</f>
        <v>MEDICO CIRUJANO</v>
      </c>
      <c r="I502" t="str">
        <f>IFERROR(__xludf.DUMMYFUNCTION("""COMPUTED_VALUE"""),"1/4 Jornada ")</f>
        <v>1/4 Jornada </v>
      </c>
      <c r="J502" t="str">
        <f>IFERROR(__xludf.DUMMYFUNCTION("""COMPUTED_VALUE"""),"Por 11 hrs. Ley 15.076")</f>
        <v>Por 11 hrs. Ley 15.076</v>
      </c>
      <c r="K502" t="str">
        <f>IFERROR(__xludf.DUMMYFUNCTION("""COMPUTED_VALUE"""),"PROFESIONAL")</f>
        <v>PROFESIONAL</v>
      </c>
      <c r="L502" t="str">
        <f>IFERROR(__xludf.DUMMYFUNCTION("""COMPUTED_VALUE"""),"NO")</f>
        <v>NO</v>
      </c>
      <c r="N502" t="str">
        <f>IFERROR(__xludf.DUMMYFUNCTION("""COMPUTED_VALUE"""),"EXTERNO")</f>
        <v>EXTERNO</v>
      </c>
      <c r="O502">
        <f>IFERROR(__xludf.DUMMYFUNCTION("""COMPUTED_VALUE"""),1.0)</f>
        <v>1</v>
      </c>
      <c r="P502">
        <f>IFERROR(__xludf.DUMMYFUNCTION("""COMPUTED_VALUE"""),1.0)</f>
        <v>1</v>
      </c>
      <c r="Q502">
        <f>IFERROR(__xludf.DUMMYFUNCTION("""COMPUTED_VALUE"""),2.0)</f>
        <v>2</v>
      </c>
      <c r="R502" s="45" t="str">
        <f>IFERROR(__xludf.DUMMYFUNCTION("""COMPUTED_VALUE"""),"SELECCIONADA")</f>
        <v>SELECCIONADA</v>
      </c>
      <c r="S502" s="38">
        <f>IFERROR(__xludf.DUMMYFUNCTION("""COMPUTED_VALUE"""),42174.0)</f>
        <v>42174</v>
      </c>
      <c r="U502" t="str">
        <f>IFERROR(__xludf.DUMMYFUNCTION("""COMPUTED_VALUE"""),"CATHERINE DIAZ SANHUEZA")</f>
        <v>CATHERINE DIAZ SANHUEZA</v>
      </c>
      <c r="V502" t="str">
        <f>IFERROR(__xludf.DUMMYFUNCTION("""COMPUTED_VALUE"""),"17349924-8")</f>
        <v>17349924-8</v>
      </c>
      <c r="W502" t="str">
        <f>IFERROR(__xludf.DUMMYFUNCTION("""COMPUTED_VALUE"""),"SI")</f>
        <v>SI</v>
      </c>
      <c r="AA502" s="38">
        <f>IFERROR(__xludf.DUMMYFUNCTION("""COMPUTED_VALUE"""),42151.0)</f>
        <v>42151</v>
      </c>
      <c r="AB502" s="38">
        <f>IFERROR(__xludf.DUMMYFUNCTION("""COMPUTED_VALUE"""),42179.0)</f>
        <v>42179</v>
      </c>
      <c r="AH502" t="str">
        <f>IFERROR(__xludf.DUMMYFUNCTION("""COMPUTED_VALUE"""),"PROCESO DE SELECCIÓN")</f>
        <v>PROCESO DE SELECCIÓN</v>
      </c>
      <c r="AI502" t="str">
        <f>IFERROR(__xludf.DUMMYFUNCTION("""COMPUTED_VALUE"""),"MARIO VALENZUELA OLEA")</f>
        <v>MARIO VALENZUELA OLEA</v>
      </c>
      <c r="AK502" t="str">
        <f>IFERROR(__xludf.DUMMYFUNCTION("""COMPUTED_VALUE"""),"C")</f>
        <v>C</v>
      </c>
      <c r="AL502">
        <f>IFERROR(__xludf.DUMMYFUNCTION("""COMPUTED_VALUE"""),-4.0)</f>
        <v>-4</v>
      </c>
      <c r="AM502">
        <f>IFERROR(__xludf.DUMMYFUNCTION("""COMPUTED_VALUE"""),2015.0)</f>
        <v>2015</v>
      </c>
    </row>
    <row r="503">
      <c r="A503">
        <f>IFERROR(__xludf.DUMMYFUNCTION("""COMPUTED_VALUE"""),1.0071458E7)</f>
        <v>10071458</v>
      </c>
      <c r="B503">
        <f>IFERROR(__xludf.DUMMYFUNCTION("""COMPUTED_VALUE"""),42.0)</f>
        <v>42</v>
      </c>
      <c r="D503" t="str">
        <f>IFERROR(__xludf.DUMMYFUNCTION("""COMPUTED_VALUE"""),"3")</f>
        <v>3</v>
      </c>
      <c r="E503" t="str">
        <f>IFERROR(__xludf.DUMMYFUNCTION("""COMPUTED_VALUE"""),"UNIDAD DE GESTION DEL CAMPUS")</f>
        <v>UNIDAD DE GESTION DEL CAMPUS</v>
      </c>
      <c r="F503" t="str">
        <f>IFERROR(__xludf.DUMMYFUNCTION("""COMPUTED_VALUE"""),"Operador(a) de Caldera")</f>
        <v>Operador(a) de Caldera</v>
      </c>
      <c r="G503" t="str">
        <f>IFERROR(__xludf.DUMMYFUNCTION("""COMPUTED_VALUE"""),"OPERADOR DE CALDERA")</f>
        <v>OPERADOR DE CALDERA</v>
      </c>
      <c r="H503">
        <f>IFERROR(__xludf.DUMMYFUNCTION("""COMPUTED_VALUE"""),17.0)</f>
        <v>17</v>
      </c>
      <c r="I503" t="str">
        <f>IFERROR(__xludf.DUMMYFUNCTION("""COMPUTED_VALUE"""),"Jornada Completa")</f>
        <v>Jornada Completa</v>
      </c>
      <c r="J503" t="str">
        <f>IFERROR(__xludf.DUMMYFUNCTION("""COMPUTED_VALUE"""),"A CONTRATA")</f>
        <v>A CONTRATA</v>
      </c>
      <c r="K503" t="str">
        <f>IFERROR(__xludf.DUMMYFUNCTION("""COMPUTED_VALUE"""),"TECNICO")</f>
        <v>TECNICO</v>
      </c>
      <c r="L503" t="str">
        <f>IFERROR(__xludf.DUMMYFUNCTION("""COMPUTED_VALUE"""),"INTERNO")</f>
        <v>INTERNO</v>
      </c>
      <c r="M503">
        <f>IFERROR(__xludf.DUMMYFUNCTION("""COMPUTED_VALUE"""),0.0)</f>
        <v>0</v>
      </c>
      <c r="N503" t="str">
        <f>IFERROR(__xludf.DUMMYFUNCTION("""COMPUTED_VALUE"""),"EXTERNO")</f>
        <v>EXTERNO</v>
      </c>
      <c r="O503">
        <f>IFERROR(__xludf.DUMMYFUNCTION("""COMPUTED_VALUE"""),2.0)</f>
        <v>2</v>
      </c>
      <c r="P503">
        <f>IFERROR(__xludf.DUMMYFUNCTION("""COMPUTED_VALUE"""),1.0)</f>
        <v>1</v>
      </c>
      <c r="Q503">
        <f>IFERROR(__xludf.DUMMYFUNCTION("""COMPUTED_VALUE"""),2.0)</f>
        <v>2</v>
      </c>
      <c r="R503" s="45" t="str">
        <f>IFERROR(__xludf.DUMMYFUNCTION("""COMPUTED_VALUE"""),"SELECCIONADO")</f>
        <v>SELECCIONADO</v>
      </c>
      <c r="S503" s="38">
        <f>IFERROR(__xludf.DUMMYFUNCTION("""COMPUTED_VALUE"""),42170.0)</f>
        <v>42170</v>
      </c>
      <c r="U503" t="str">
        <f>IFERROR(__xludf.DUMMYFUNCTION("""COMPUTED_VALUE"""),"ERICH RAMIREZ ALMARZA")</f>
        <v>ERICH RAMIREZ ALMARZA</v>
      </c>
      <c r="V503" t="str">
        <f>IFERROR(__xludf.DUMMYFUNCTION("""COMPUTED_VALUE"""),"10071458-2")</f>
        <v>10071458-2</v>
      </c>
      <c r="W503" t="str">
        <f>IFERROR(__xludf.DUMMYFUNCTION("""COMPUTED_VALUE"""),"SI")</f>
        <v>SI</v>
      </c>
      <c r="X503" t="str">
        <f>IFERROR(__xludf.DUMMYFUNCTION("""COMPUTED_VALUE"""),"COMUNICACION")</f>
        <v>COMUNICACION</v>
      </c>
      <c r="AA503" s="38">
        <f>IFERROR(__xludf.DUMMYFUNCTION("""COMPUTED_VALUE"""),42150.0)</f>
        <v>42150</v>
      </c>
      <c r="AB503" s="38">
        <f>IFERROR(__xludf.DUMMYFUNCTION("""COMPUTED_VALUE"""),42153.0)</f>
        <v>42153</v>
      </c>
      <c r="AH503" t="str">
        <f>IFERROR(__xludf.DUMMYFUNCTION("""COMPUTED_VALUE"""),"PROCESO DE SELECCIÓN")</f>
        <v>PROCESO DE SELECCIÓN</v>
      </c>
      <c r="AI503" t="str">
        <f>IFERROR(__xludf.DUMMYFUNCTION("""COMPUTED_VALUE"""),"-")</f>
        <v>-</v>
      </c>
      <c r="AK503" t="str">
        <f>IFERROR(__xludf.DUMMYFUNCTION("""COMPUTED_VALUE"""),"C")</f>
        <v>C</v>
      </c>
      <c r="AL503">
        <f>IFERROR(__xludf.DUMMYFUNCTION("""COMPUTED_VALUE"""),12.0)</f>
        <v>12</v>
      </c>
      <c r="AM503">
        <f>IFERROR(__xludf.DUMMYFUNCTION("""COMPUTED_VALUE"""),2015.0)</f>
        <v>2015</v>
      </c>
    </row>
    <row r="504">
      <c r="A504">
        <f>IFERROR(__xludf.DUMMYFUNCTION("""COMPUTED_VALUE"""),1.1902612E7)</f>
        <v>11902612</v>
      </c>
      <c r="B504">
        <f>IFERROR(__xludf.DUMMYFUNCTION("""COMPUTED_VALUE"""),48.0)</f>
        <v>48</v>
      </c>
      <c r="D504" t="str">
        <f>IFERROR(__xludf.DUMMYFUNCTION("""COMPUTED_VALUE"""),"55")</f>
        <v>55</v>
      </c>
      <c r="E504" t="str">
        <f>IFERROR(__xludf.DUMMYFUNCTION("""COMPUTED_VALUE"""),"DEPARTAMENTO DE LINGÜÍSTICA Y LITERATURA")</f>
        <v>DEPARTAMENTO DE LINGÜÍSTICA Y LITERATURA</v>
      </c>
      <c r="F504" t="str">
        <f>IFERROR(__xludf.DUMMYFUNCTION("""COMPUTED_VALUE"""),"Estafeta")</f>
        <v>Estafeta</v>
      </c>
      <c r="G504" t="str">
        <f>IFERROR(__xludf.DUMMYFUNCTION("""COMPUTED_VALUE"""),"ESTAFETA")</f>
        <v>ESTAFETA</v>
      </c>
      <c r="H504">
        <f>IFERROR(__xludf.DUMMYFUNCTION("""COMPUTED_VALUE"""),23.0)</f>
        <v>23</v>
      </c>
      <c r="I504" t="str">
        <f>IFERROR(__xludf.DUMMYFUNCTION("""COMPUTED_VALUE"""),"Jornada Completa")</f>
        <v>Jornada Completa</v>
      </c>
      <c r="J504" t="str">
        <f>IFERROR(__xludf.DUMMYFUNCTION("""COMPUTED_VALUE"""),"A CONTRATA")</f>
        <v>A CONTRATA</v>
      </c>
      <c r="K504" t="str">
        <f>IFERROR(__xludf.DUMMYFUNCTION("""COMPUTED_VALUE"""),"AUXILIAR")</f>
        <v>AUXILIAR</v>
      </c>
      <c r="L504" t="str">
        <f>IFERROR(__xludf.DUMMYFUNCTION("""COMPUTED_VALUE"""),"INTERNO")</f>
        <v>INTERNO</v>
      </c>
      <c r="M504">
        <f>IFERROR(__xludf.DUMMYFUNCTION("""COMPUTED_VALUE"""),0.0)</f>
        <v>0</v>
      </c>
      <c r="N504" t="str">
        <f>IFERROR(__xludf.DUMMYFUNCTION("""COMPUTED_VALUE"""),"EXTERNO")</f>
        <v>EXTERNO</v>
      </c>
      <c r="O504">
        <f>IFERROR(__xludf.DUMMYFUNCTION("""COMPUTED_VALUE"""),9.0)</f>
        <v>9</v>
      </c>
      <c r="P504">
        <f>IFERROR(__xludf.DUMMYFUNCTION("""COMPUTED_VALUE"""),2.0)</f>
        <v>2</v>
      </c>
      <c r="Q504">
        <f>IFERROR(__xludf.DUMMYFUNCTION("""COMPUTED_VALUE"""),1.0)</f>
        <v>1</v>
      </c>
      <c r="R504" s="45" t="str">
        <f>IFERROR(__xludf.DUMMYFUNCTION("""COMPUTED_VALUE"""),"SELECCIONADA")</f>
        <v>SELECCIONADA</v>
      </c>
      <c r="S504" s="38">
        <f>IFERROR(__xludf.DUMMYFUNCTION("""COMPUTED_VALUE"""),42156.0)</f>
        <v>42156</v>
      </c>
      <c r="U504" t="str">
        <f>IFERROR(__xludf.DUMMYFUNCTION("""COMPUTED_VALUE"""),"GERALDINE ASTETE IBARRA")</f>
        <v>GERALDINE ASTETE IBARRA</v>
      </c>
      <c r="V504" t="str">
        <f>IFERROR(__xludf.DUMMYFUNCTION("""COMPUTED_VALUE"""),"11902612-1")</f>
        <v>11902612-1</v>
      </c>
      <c r="W504" t="str">
        <f>IFERROR(__xludf.DUMMYFUNCTION("""COMPUTED_VALUE"""),"NO")</f>
        <v>NO</v>
      </c>
      <c r="AA504" s="38">
        <f>IFERROR(__xludf.DUMMYFUNCTION("""COMPUTED_VALUE"""),42142.0)</f>
        <v>42142</v>
      </c>
      <c r="AB504" s="38">
        <f>IFERROR(__xludf.DUMMYFUNCTION("""COMPUTED_VALUE"""),42149.0)</f>
        <v>42149</v>
      </c>
      <c r="AH504" t="str">
        <f>IFERROR(__xludf.DUMMYFUNCTION("""COMPUTED_VALUE"""),"PROCESO DE SELECCIÓN")</f>
        <v>PROCESO DE SELECCIÓN</v>
      </c>
      <c r="AI504" t="str">
        <f>IFERROR(__xludf.DUMMYFUNCTION("""COMPUTED_VALUE"""),"JOSE ORTEGA PINO")</f>
        <v>JOSE ORTEGA PINO</v>
      </c>
      <c r="AK504" t="str">
        <f>IFERROR(__xludf.DUMMYFUNCTION("""COMPUTED_VALUE"""),"C")</f>
        <v>C</v>
      </c>
      <c r="AL504">
        <f>IFERROR(__xludf.DUMMYFUNCTION("""COMPUTED_VALUE"""),6.0)</f>
        <v>6</v>
      </c>
      <c r="AM504">
        <f>IFERROR(__xludf.DUMMYFUNCTION("""COMPUTED_VALUE"""),2015.0)</f>
        <v>2015</v>
      </c>
    </row>
    <row r="505">
      <c r="A505">
        <f>IFERROR(__xludf.DUMMYFUNCTION("""COMPUTED_VALUE"""),9993392.0)</f>
        <v>9993392</v>
      </c>
      <c r="B505">
        <f>IFERROR(__xludf.DUMMYFUNCTION("""COMPUTED_VALUE"""),49.0)</f>
        <v>49</v>
      </c>
      <c r="D505" t="str">
        <f>IFERROR(__xludf.DUMMYFUNCTION("""COMPUTED_VALUE"""),"55")</f>
        <v>55</v>
      </c>
      <c r="E505" t="str">
        <f>IFERROR(__xludf.DUMMYFUNCTION("""COMPUTED_VALUE"""),"FACULTAD DE HUMANIDADES")</f>
        <v>FACULTAD DE HUMANIDADES</v>
      </c>
      <c r="F505" t="str">
        <f>IFERROR(__xludf.DUMMYFUNCTION("""COMPUTED_VALUE"""),"Administrativo(a) de Registro Curricular")</f>
        <v>Administrativo(a) de Registro Curricular</v>
      </c>
      <c r="G505" t="str">
        <f>IFERROR(__xludf.DUMMYFUNCTION("""COMPUTED_VALUE"""),"ADMINISTRATIVO DE REGISTRO CURRICULAR")</f>
        <v>ADMINISTRATIVO DE REGISTRO CURRICULAR</v>
      </c>
      <c r="H505">
        <f>IFERROR(__xludf.DUMMYFUNCTION("""COMPUTED_VALUE"""),17.0)</f>
        <v>17</v>
      </c>
      <c r="I505" t="str">
        <f>IFERROR(__xludf.DUMMYFUNCTION("""COMPUTED_VALUE"""),"Jornada Completa")</f>
        <v>Jornada Completa</v>
      </c>
      <c r="J505" t="str">
        <f>IFERROR(__xludf.DUMMYFUNCTION("""COMPUTED_VALUE"""),"A CONTRATA")</f>
        <v>A CONTRATA</v>
      </c>
      <c r="K505" t="str">
        <f>IFERROR(__xludf.DUMMYFUNCTION("""COMPUTED_VALUE"""),"ADMINISTRATIVO")</f>
        <v>ADMINISTRATIVO</v>
      </c>
      <c r="L505" t="str">
        <f>IFERROR(__xludf.DUMMYFUNCTION("""COMPUTED_VALUE"""),"INTERNO")</f>
        <v>INTERNO</v>
      </c>
      <c r="M505">
        <f>IFERROR(__xludf.DUMMYFUNCTION("""COMPUTED_VALUE"""),1.0)</f>
        <v>1</v>
      </c>
      <c r="N505" t="str">
        <f>IFERROR(__xludf.DUMMYFUNCTION("""COMPUTED_VALUE"""),"EXTERNO")</f>
        <v>EXTERNO</v>
      </c>
      <c r="O505">
        <f>IFERROR(__xludf.DUMMYFUNCTION("""COMPUTED_VALUE"""),6.0)</f>
        <v>6</v>
      </c>
      <c r="P505">
        <f>IFERROR(__xludf.DUMMYFUNCTION("""COMPUTED_VALUE"""),1.0)</f>
        <v>1</v>
      </c>
      <c r="Q505">
        <f>IFERROR(__xludf.DUMMYFUNCTION("""COMPUTED_VALUE"""),1.0)</f>
        <v>1</v>
      </c>
      <c r="R505" s="45" t="str">
        <f>IFERROR(__xludf.DUMMYFUNCTION("""COMPUTED_VALUE"""),"SELECCIONADA")</f>
        <v>SELECCIONADA</v>
      </c>
      <c r="S505" s="38">
        <f>IFERROR(__xludf.DUMMYFUNCTION("""COMPUTED_VALUE"""),42186.0)</f>
        <v>42186</v>
      </c>
      <c r="U505" t="str">
        <f>IFERROR(__xludf.DUMMYFUNCTION("""COMPUTED_VALUE"""),"MARIANELA MUNOZ CARVAJAL")</f>
        <v>MARIANELA MUNOZ CARVAJAL</v>
      </c>
      <c r="V505" t="str">
        <f>IFERROR(__xludf.DUMMYFUNCTION("""COMPUTED_VALUE"""),"09993392-5")</f>
        <v>09993392-5</v>
      </c>
      <c r="W505" t="str">
        <f>IFERROR(__xludf.DUMMYFUNCTION("""COMPUTED_VALUE"""),"SI")</f>
        <v>SI</v>
      </c>
      <c r="Y505" t="str">
        <f>IFERROR(__xludf.DUMMYFUNCTION("""COMPUTED_VALUE"""),"TRABAJO EN EQUIPO")</f>
        <v>TRABAJO EN EQUIPO</v>
      </c>
      <c r="AA505" s="38">
        <f>IFERROR(__xludf.DUMMYFUNCTION("""COMPUTED_VALUE"""),42090.0)</f>
        <v>42090</v>
      </c>
      <c r="AB505" s="38">
        <f>IFERROR(__xludf.DUMMYFUNCTION("""COMPUTED_VALUE"""),42095.0)</f>
        <v>42095</v>
      </c>
      <c r="AH505" t="str">
        <f>IFERROR(__xludf.DUMMYFUNCTION("""COMPUTED_VALUE"""),"PROCESO DE SELECCIÓN")</f>
        <v>PROCESO DE SELECCIÓN</v>
      </c>
      <c r="AI505" t="str">
        <f>IFERROR(__xludf.DUMMYFUNCTION("""COMPUTED_VALUE"""),"MARICEL CEA PINO")</f>
        <v>MARICEL CEA PINO</v>
      </c>
      <c r="AK505" t="str">
        <f>IFERROR(__xludf.DUMMYFUNCTION("""COMPUTED_VALUE"""),"C")</f>
        <v>C</v>
      </c>
      <c r="AL505">
        <f>IFERROR(__xludf.DUMMYFUNCTION("""COMPUTED_VALUE"""),66.0)</f>
        <v>66</v>
      </c>
      <c r="AM505">
        <f>IFERROR(__xludf.DUMMYFUNCTION("""COMPUTED_VALUE"""),2015.0)</f>
        <v>2015</v>
      </c>
    </row>
    <row r="506">
      <c r="A506">
        <f>IFERROR(__xludf.DUMMYFUNCTION("""COMPUTED_VALUE"""),1.3042684E7)</f>
        <v>13042684</v>
      </c>
      <c r="B506">
        <f>IFERROR(__xludf.DUMMYFUNCTION("""COMPUTED_VALUE"""),50.0)</f>
        <v>50</v>
      </c>
      <c r="D506" t="str">
        <f>IFERROR(__xludf.DUMMYFUNCTION("""COMPUTED_VALUE"""),"15")</f>
        <v>15</v>
      </c>
      <c r="E506" t="str">
        <f>IFERROR(__xludf.DUMMYFUNCTION("""COMPUTED_VALUE"""),"UNIDAD DE REGISTRO ACADEMICO Y CURRICULAR")</f>
        <v>UNIDAD DE REGISTRO ACADEMICO Y CURRICULAR</v>
      </c>
      <c r="F506" t="str">
        <f>IFERROR(__xludf.DUMMYFUNCTION("""COMPUTED_VALUE"""),"Administrativo(a) de Proceso")</f>
        <v>Administrativo(a) de Proceso</v>
      </c>
      <c r="G506" t="str">
        <f>IFERROR(__xludf.DUMMYFUNCTION("""COMPUTED_VALUE"""),"ADMINISTRATIVO DE PROCESOS")</f>
        <v>ADMINISTRATIVO DE PROCESOS</v>
      </c>
      <c r="H506">
        <f>IFERROR(__xludf.DUMMYFUNCTION("""COMPUTED_VALUE"""),17.0)</f>
        <v>17</v>
      </c>
      <c r="I506" t="str">
        <f>IFERROR(__xludf.DUMMYFUNCTION("""COMPUTED_VALUE"""),"Jornada Completa")</f>
        <v>Jornada Completa</v>
      </c>
      <c r="J506" t="str">
        <f>IFERROR(__xludf.DUMMYFUNCTION("""COMPUTED_VALUE"""),"A CONTRATA")</f>
        <v>A CONTRATA</v>
      </c>
      <c r="K506" t="str">
        <f>IFERROR(__xludf.DUMMYFUNCTION("""COMPUTED_VALUE"""),"ADMINISTRATIVO")</f>
        <v>ADMINISTRATIVO</v>
      </c>
      <c r="L506" t="str">
        <f>IFERROR(__xludf.DUMMYFUNCTION("""COMPUTED_VALUE"""),"INTERNO")</f>
        <v>INTERNO</v>
      </c>
      <c r="M506">
        <f>IFERROR(__xludf.DUMMYFUNCTION("""COMPUTED_VALUE"""),3.0)</f>
        <v>3</v>
      </c>
      <c r="N506" t="str">
        <f>IFERROR(__xludf.DUMMYFUNCTION("""COMPUTED_VALUE"""),"NO")</f>
        <v>NO</v>
      </c>
      <c r="O506">
        <f>IFERROR(__xludf.DUMMYFUNCTION("""COMPUTED_VALUE"""),3.0)</f>
        <v>3</v>
      </c>
      <c r="P506">
        <f>IFERROR(__xludf.DUMMYFUNCTION("""COMPUTED_VALUE"""),1.0)</f>
        <v>1</v>
      </c>
      <c r="Q506">
        <f>IFERROR(__xludf.DUMMYFUNCTION("""COMPUTED_VALUE"""),0.0)</f>
        <v>0</v>
      </c>
      <c r="R506" s="45" t="str">
        <f>IFERROR(__xludf.DUMMYFUNCTION("""COMPUTED_VALUE"""),"SELECCIONADA")</f>
        <v>SELECCIONADA</v>
      </c>
      <c r="S506" s="38">
        <f>IFERROR(__xludf.DUMMYFUNCTION("""COMPUTED_VALUE"""),42206.0)</f>
        <v>42206</v>
      </c>
      <c r="T506" t="str">
        <f>IFERROR(__xludf.DUMMYFUNCTION("""COMPUTED_VALUE"""),"PAULA LEIVA DURAN")</f>
        <v>PAULA LEIVA DURAN</v>
      </c>
      <c r="V506" t="str">
        <f>IFERROR(__xludf.DUMMYFUNCTION("""COMPUTED_VALUE"""),"13042684-0")</f>
        <v>13042684-0</v>
      </c>
      <c r="W506" t="str">
        <f>IFERROR(__xludf.DUMMYFUNCTION("""COMPUTED_VALUE"""),"SI")</f>
        <v>SI</v>
      </c>
      <c r="X506" t="str">
        <f>IFERROR(__xludf.DUMMYFUNCTION("""COMPUTED_VALUE"""),"TRABAJO EN EQUIPO")</f>
        <v>TRABAJO EN EQUIPO</v>
      </c>
      <c r="AA506" s="38">
        <f>IFERROR(__xludf.DUMMYFUNCTION("""COMPUTED_VALUE"""),42143.0)</f>
        <v>42143</v>
      </c>
      <c r="AB506" s="38">
        <f>IFERROR(__xludf.DUMMYFUNCTION("""COMPUTED_VALUE"""),42149.0)</f>
        <v>42149</v>
      </c>
      <c r="AC506">
        <f>IFERROR(__xludf.DUMMYFUNCTION("""COMPUTED_VALUE"""),17.0)</f>
        <v>17</v>
      </c>
      <c r="AD506" t="str">
        <f>IFERROR(__xludf.DUMMYFUNCTION("""COMPUTED_VALUE"""),"ADMINISTRATIVO")</f>
        <v>ADMINISTRATIVO</v>
      </c>
      <c r="AF506" s="46" t="str">
        <f>IFERROR(__xludf.DUMMYFUNCTION("""COMPUTED_VALUE"""),"DIRECCION DE ADMINISTRACION Y FINANZAS")</f>
        <v>DIRECCION DE ADMINISTRACION Y FINANZAS</v>
      </c>
      <c r="AH506" t="str">
        <f>IFERROR(__xludf.DUMMYFUNCTION("""COMPUTED_VALUE"""),"PROCESO DE SELECCIÓN")</f>
        <v>PROCESO DE SELECCIÓN</v>
      </c>
      <c r="AI506" t="str">
        <f>IFERROR(__xludf.DUMMYFUNCTION("""COMPUTED_VALUE"""),"JOSE HUENUQUEO MALLEO")</f>
        <v>JOSE HUENUQUEO MALLEO</v>
      </c>
      <c r="AK506" t="str">
        <f>IFERROR(__xludf.DUMMYFUNCTION("""COMPUTED_VALUE"""),"C")</f>
        <v>C</v>
      </c>
      <c r="AL506">
        <f>IFERROR(__xludf.DUMMYFUNCTION("""COMPUTED_VALUE"""),42.0)</f>
        <v>42</v>
      </c>
      <c r="AM506">
        <f>IFERROR(__xludf.DUMMYFUNCTION("""COMPUTED_VALUE"""),2015.0)</f>
        <v>2015</v>
      </c>
    </row>
    <row r="507">
      <c r="A507">
        <f>IFERROR(__xludf.DUMMYFUNCTION("""COMPUTED_VALUE"""),1.7767682E7)</f>
        <v>17767682</v>
      </c>
      <c r="B507">
        <f>IFERROR(__xludf.DUMMYFUNCTION("""COMPUTED_VALUE"""),51.0)</f>
        <v>51</v>
      </c>
      <c r="D507" t="str">
        <f>IFERROR(__xludf.DUMMYFUNCTION("""COMPUTED_VALUE"""),"40")</f>
        <v>40</v>
      </c>
      <c r="E507" t="str">
        <f>IFERROR(__xludf.DUMMYFUNCTION("""COMPUTED_VALUE"""),"DEPARTAMENTO DE INGENIERIA ELECTRICA")</f>
        <v>DEPARTAMENTO DE INGENIERIA ELECTRICA</v>
      </c>
      <c r="F507" t="str">
        <f>IFERROR(__xludf.DUMMYFUNCTION("""COMPUTED_VALUE"""),"Técnico(a) de Soporte Básico en Computación")</f>
        <v>Técnico(a) de Soporte Básico en Computación</v>
      </c>
      <c r="G507" t="str">
        <f>IFERROR(__xludf.DUMMYFUNCTION("""COMPUTED_VALUE"""),"TECNICO DE SOPORTE BASICO EN COMPUTACION")</f>
        <v>TECNICO DE SOPORTE BASICO EN COMPUTACION</v>
      </c>
      <c r="H507">
        <f>IFERROR(__xludf.DUMMYFUNCTION("""COMPUTED_VALUE"""),17.0)</f>
        <v>17</v>
      </c>
      <c r="I507" t="str">
        <f>IFERROR(__xludf.DUMMYFUNCTION("""COMPUTED_VALUE"""),"Jornada Completa")</f>
        <v>Jornada Completa</v>
      </c>
      <c r="J507" t="str">
        <f>IFERROR(__xludf.DUMMYFUNCTION("""COMPUTED_VALUE"""),"A CONTRATA")</f>
        <v>A CONTRATA</v>
      </c>
      <c r="K507" t="str">
        <f>IFERROR(__xludf.DUMMYFUNCTION("""COMPUTED_VALUE"""),"TECNICO")</f>
        <v>TECNICO</v>
      </c>
      <c r="L507" t="str">
        <f>IFERROR(__xludf.DUMMYFUNCTION("""COMPUTED_VALUE"""),"INTERNO")</f>
        <v>INTERNO</v>
      </c>
      <c r="M507">
        <f>IFERROR(__xludf.DUMMYFUNCTION("""COMPUTED_VALUE"""),2.0)</f>
        <v>2</v>
      </c>
      <c r="N507" t="str">
        <f>IFERROR(__xludf.DUMMYFUNCTION("""COMPUTED_VALUE"""),"EXTERNO")</f>
        <v>EXTERNO</v>
      </c>
      <c r="O507">
        <f>IFERROR(__xludf.DUMMYFUNCTION("""COMPUTED_VALUE"""),10.0)</f>
        <v>10</v>
      </c>
      <c r="P507">
        <f>IFERROR(__xludf.DUMMYFUNCTION("""COMPUTED_VALUE"""),1.0)</f>
        <v>1</v>
      </c>
      <c r="Q507">
        <f>IFERROR(__xludf.DUMMYFUNCTION("""COMPUTED_VALUE"""),2.0)</f>
        <v>2</v>
      </c>
      <c r="R507" s="45" t="str">
        <f>IFERROR(__xludf.DUMMYFUNCTION("""COMPUTED_VALUE"""),"SELECCIONADO")</f>
        <v>SELECCIONADO</v>
      </c>
      <c r="S507" s="38">
        <f>IFERROR(__xludf.DUMMYFUNCTION("""COMPUTED_VALUE"""),42198.0)</f>
        <v>42198</v>
      </c>
      <c r="U507" t="str">
        <f>IFERROR(__xludf.DUMMYFUNCTION("""COMPUTED_VALUE"""),"JOSE CONTRERAS MUNOZ")</f>
        <v>JOSE CONTRERAS MUNOZ</v>
      </c>
      <c r="V507" t="str">
        <f>IFERROR(__xludf.DUMMYFUNCTION("""COMPUTED_VALUE"""),"17767682-9")</f>
        <v>17767682-9</v>
      </c>
      <c r="W507" t="str">
        <f>IFERROR(__xludf.DUMMYFUNCTION("""COMPUTED_VALUE"""),"NO")</f>
        <v>NO</v>
      </c>
      <c r="AA507" s="38">
        <f>IFERROR(__xludf.DUMMYFUNCTION("""COMPUTED_VALUE"""),42129.0)</f>
        <v>42129</v>
      </c>
      <c r="AB507" s="38">
        <f>IFERROR(__xludf.DUMMYFUNCTION("""COMPUTED_VALUE"""),42136.0)</f>
        <v>42136</v>
      </c>
      <c r="AH507" t="str">
        <f>IFERROR(__xludf.DUMMYFUNCTION("""COMPUTED_VALUE"""),"PROCESO DE SELECCIÓN")</f>
        <v>PROCESO DE SELECCIÓN</v>
      </c>
      <c r="AI507" t="str">
        <f>IFERROR(__xludf.DUMMYFUNCTION("""COMPUTED_VALUE"""),"-")</f>
        <v>-</v>
      </c>
      <c r="AK507" t="str">
        <f>IFERROR(__xludf.DUMMYFUNCTION("""COMPUTED_VALUE"""),"C")</f>
        <v>C</v>
      </c>
      <c r="AL507">
        <f>IFERROR(__xludf.DUMMYFUNCTION("""COMPUTED_VALUE"""),45.0)</f>
        <v>45</v>
      </c>
      <c r="AM507">
        <f>IFERROR(__xludf.DUMMYFUNCTION("""COMPUTED_VALUE"""),2015.0)</f>
        <v>2015</v>
      </c>
    </row>
    <row r="508">
      <c r="A508">
        <f>IFERROR(__xludf.DUMMYFUNCTION("""COMPUTED_VALUE"""),1.5428031E7)</f>
        <v>15428031</v>
      </c>
      <c r="B508">
        <f>IFERROR(__xludf.DUMMYFUNCTION("""COMPUTED_VALUE"""),52.0)</f>
        <v>52</v>
      </c>
      <c r="D508" t="str">
        <f>IFERROR(__xludf.DUMMYFUNCTION("""COMPUTED_VALUE"""),"60")</f>
        <v>60</v>
      </c>
      <c r="E508" t="str">
        <f>IFERROR(__xludf.DUMMYFUNCTION("""COMPUTED_VALUE"""),"FACULTAD DE ADMINISTRACION Y ECONOMIA")</f>
        <v>FACULTAD DE ADMINISTRACION Y ECONOMIA</v>
      </c>
      <c r="F508" t="str">
        <f>IFERROR(__xludf.DUMMYFUNCTION("""COMPUTED_VALUE"""),"Analista Informático")</f>
        <v>Analista Informático</v>
      </c>
      <c r="G508" t="str">
        <f>IFERROR(__xludf.DUMMYFUNCTION("""COMPUTED_VALUE"""),"ANALISTA INFORMATICO")</f>
        <v>ANALISTA INFORMATICO</v>
      </c>
      <c r="H508">
        <f>IFERROR(__xludf.DUMMYFUNCTION("""COMPUTED_VALUE"""),10.0)</f>
        <v>10</v>
      </c>
      <c r="I508" t="str">
        <f>IFERROR(__xludf.DUMMYFUNCTION("""COMPUTED_VALUE"""),"Jornada Completa")</f>
        <v>Jornada Completa</v>
      </c>
      <c r="J508" t="str">
        <f>IFERROR(__xludf.DUMMYFUNCTION("""COMPUTED_VALUE"""),"A CONTRATA")</f>
        <v>A CONTRATA</v>
      </c>
      <c r="K508" t="str">
        <f>IFERROR(__xludf.DUMMYFUNCTION("""COMPUTED_VALUE"""),"PROFESIONAL")</f>
        <v>PROFESIONAL</v>
      </c>
      <c r="L508" t="str">
        <f>IFERROR(__xludf.DUMMYFUNCTION("""COMPUTED_VALUE"""),"INTERNO")</f>
        <v>INTERNO</v>
      </c>
      <c r="M508">
        <f>IFERROR(__xludf.DUMMYFUNCTION("""COMPUTED_VALUE"""),0.0)</f>
        <v>0</v>
      </c>
      <c r="N508" t="str">
        <f>IFERROR(__xludf.DUMMYFUNCTION("""COMPUTED_VALUE"""),"EXTERNO")</f>
        <v>EXTERNO</v>
      </c>
      <c r="O508">
        <f>IFERROR(__xludf.DUMMYFUNCTION("""COMPUTED_VALUE"""),10.0)</f>
        <v>10</v>
      </c>
      <c r="P508">
        <f>IFERROR(__xludf.DUMMYFUNCTION("""COMPUTED_VALUE"""),1.0)</f>
        <v>1</v>
      </c>
      <c r="Q508">
        <f>IFERROR(__xludf.DUMMYFUNCTION("""COMPUTED_VALUE"""),1.0)</f>
        <v>1</v>
      </c>
      <c r="R508" s="45" t="str">
        <f>IFERROR(__xludf.DUMMYFUNCTION("""COMPUTED_VALUE"""),"SELECCIONADO")</f>
        <v>SELECCIONADO</v>
      </c>
      <c r="S508" s="38">
        <f>IFERROR(__xludf.DUMMYFUNCTION("""COMPUTED_VALUE"""),42200.0)</f>
        <v>42200</v>
      </c>
      <c r="U508" t="str">
        <f>IFERROR(__xludf.DUMMYFUNCTION("""COMPUTED_VALUE"""),"MAURICIO LOPEZ TAPIA")</f>
        <v>MAURICIO LOPEZ TAPIA</v>
      </c>
      <c r="V508" t="str">
        <f>IFERROR(__xludf.DUMMYFUNCTION("""COMPUTED_VALUE"""),"15428031-6")</f>
        <v>15428031-6</v>
      </c>
      <c r="W508" t="str">
        <f>IFERROR(__xludf.DUMMYFUNCTION("""COMPUTED_VALUE"""),"NO")</f>
        <v>NO</v>
      </c>
      <c r="AA508" s="38">
        <f>IFERROR(__xludf.DUMMYFUNCTION("""COMPUTED_VALUE"""),42177.0)</f>
        <v>42177</v>
      </c>
      <c r="AB508" s="38">
        <f>IFERROR(__xludf.DUMMYFUNCTION("""COMPUTED_VALUE"""),42181.0)</f>
        <v>42181</v>
      </c>
      <c r="AH508" t="str">
        <f>IFERROR(__xludf.DUMMYFUNCTION("""COMPUTED_VALUE"""),"PROCESO DE SELECCIÓN")</f>
        <v>PROCESO DE SELECCIÓN</v>
      </c>
      <c r="AI508" t="str">
        <f>IFERROR(__xludf.DUMMYFUNCTION("""COMPUTED_VALUE"""),"-")</f>
        <v>-</v>
      </c>
      <c r="AK508" t="str">
        <f>IFERROR(__xludf.DUMMYFUNCTION("""COMPUTED_VALUE"""),"P")</f>
        <v>P</v>
      </c>
      <c r="AL508">
        <f>IFERROR(__xludf.DUMMYFUNCTION("""COMPUTED_VALUE"""),14.0)</f>
        <v>14</v>
      </c>
      <c r="AM508">
        <f>IFERROR(__xludf.DUMMYFUNCTION("""COMPUTED_VALUE"""),2015.0)</f>
        <v>2015</v>
      </c>
    </row>
    <row r="509">
      <c r="A509">
        <f>IFERROR(__xludf.DUMMYFUNCTION("""COMPUTED_VALUE"""),9098074.0)</f>
        <v>9098074</v>
      </c>
      <c r="B509">
        <f>IFERROR(__xludf.DUMMYFUNCTION("""COMPUTED_VALUE"""),53.0)</f>
        <v>53</v>
      </c>
      <c r="D509" t="str">
        <f>IFERROR(__xludf.DUMMYFUNCTION("""COMPUTED_VALUE"""),"3")</f>
        <v>3</v>
      </c>
      <c r="E509" t="str">
        <f>IFERROR(__xludf.DUMMYFUNCTION("""COMPUTED_VALUE"""),"UNIDAD DE ADQUISICIONES")</f>
        <v>UNIDAD DE ADQUISICIONES</v>
      </c>
      <c r="F509" t="str">
        <f>IFERROR(__xludf.DUMMYFUNCTION("""COMPUTED_VALUE"""),"Analista de Gestión II")</f>
        <v>Analista de Gestión II</v>
      </c>
      <c r="G509" t="str">
        <f>IFERROR(__xludf.DUMMYFUNCTION("""COMPUTED_VALUE"""),"ANALISTA II")</f>
        <v>ANALISTA II</v>
      </c>
      <c r="H509">
        <f>IFERROR(__xludf.DUMMYFUNCTION("""COMPUTED_VALUE"""),13.0)</f>
        <v>13</v>
      </c>
      <c r="I509" t="str">
        <f>IFERROR(__xludf.DUMMYFUNCTION("""COMPUTED_VALUE"""),"Jornada Completa")</f>
        <v>Jornada Completa</v>
      </c>
      <c r="J509" t="str">
        <f>IFERROR(__xludf.DUMMYFUNCTION("""COMPUTED_VALUE"""),"A CONTRATA")</f>
        <v>A CONTRATA</v>
      </c>
      <c r="K509" t="str">
        <f>IFERROR(__xludf.DUMMYFUNCTION("""COMPUTED_VALUE"""),"PROFESIONAL")</f>
        <v>PROFESIONAL</v>
      </c>
      <c r="L509" t="str">
        <f>IFERROR(__xludf.DUMMYFUNCTION("""COMPUTED_VALUE"""),"INTERNO")</f>
        <v>INTERNO</v>
      </c>
      <c r="M509">
        <f>IFERROR(__xludf.DUMMYFUNCTION("""COMPUTED_VALUE"""),3.0)</f>
        <v>3</v>
      </c>
      <c r="N509" t="str">
        <f>IFERROR(__xludf.DUMMYFUNCTION("""COMPUTED_VALUE"""),"NO")</f>
        <v>NO</v>
      </c>
      <c r="P509">
        <f>IFERROR(__xludf.DUMMYFUNCTION("""COMPUTED_VALUE"""),1.0)</f>
        <v>1</v>
      </c>
      <c r="R509" s="45" t="str">
        <f>IFERROR(__xludf.DUMMYFUNCTION("""COMPUTED_VALUE"""),"SELECCIONADA")</f>
        <v>SELECCIONADA</v>
      </c>
      <c r="S509" s="38">
        <f>IFERROR(__xludf.DUMMYFUNCTION("""COMPUTED_VALUE"""),42191.0)</f>
        <v>42191</v>
      </c>
      <c r="T509" t="str">
        <f>IFERROR(__xludf.DUMMYFUNCTION("""COMPUTED_VALUE"""),"ELIANA BAEZ SOTO")</f>
        <v>ELIANA BAEZ SOTO</v>
      </c>
      <c r="V509" t="str">
        <f>IFERROR(__xludf.DUMMYFUNCTION("""COMPUTED_VALUE"""),"09098074-2")</f>
        <v>09098074-2</v>
      </c>
      <c r="W509" t="str">
        <f>IFERROR(__xludf.DUMMYFUNCTION("""COMPUTED_VALUE"""),"SI")</f>
        <v>SI</v>
      </c>
      <c r="X509" t="str">
        <f>IFERROR(__xludf.DUMMYFUNCTION("""COMPUTED_VALUE"""),"Capacidad de Planificacion y Organizacion")</f>
        <v>Capacidad de Planificacion y Organizacion</v>
      </c>
      <c r="Y509" t="str">
        <f>IFERROR(__xludf.DUMMYFUNCTION("""COMPUTED_VALUE"""),"PENSAMIENTO ANALITICO")</f>
        <v>PENSAMIENTO ANALITICO</v>
      </c>
      <c r="AA509" s="38">
        <f>IFERROR(__xludf.DUMMYFUNCTION("""COMPUTED_VALUE"""),42128.0)</f>
        <v>42128</v>
      </c>
      <c r="AB509" s="38">
        <f>IFERROR(__xludf.DUMMYFUNCTION("""COMPUTED_VALUE"""),42132.0)</f>
        <v>42132</v>
      </c>
      <c r="AC509">
        <f>IFERROR(__xludf.DUMMYFUNCTION("""COMPUTED_VALUE"""),12.0)</f>
        <v>12</v>
      </c>
      <c r="AD509" t="str">
        <f>IFERROR(__xludf.DUMMYFUNCTION("""COMPUTED_VALUE"""),"ADMINISTRATIVO")</f>
        <v>ADMINISTRATIVO</v>
      </c>
      <c r="AF509" s="46" t="str">
        <f>IFERROR(__xludf.DUMMYFUNCTION("""COMPUTED_VALUE"""),"UNIDAD DE ADQUISICIONES")</f>
        <v>UNIDAD DE ADQUISICIONES</v>
      </c>
      <c r="AH509" t="str">
        <f>IFERROR(__xludf.DUMMYFUNCTION("""COMPUTED_VALUE"""),"PROCESO DE SELECCIÓN")</f>
        <v>PROCESO DE SELECCIÓN</v>
      </c>
      <c r="AI509" t="str">
        <f>IFERROR(__xludf.DUMMYFUNCTION("""COMPUTED_VALUE"""),"MONICA RIVERA")</f>
        <v>MONICA RIVERA</v>
      </c>
      <c r="AK509" t="str">
        <f>IFERROR(__xludf.DUMMYFUNCTION("""COMPUTED_VALUE"""),"P")</f>
        <v>P</v>
      </c>
      <c r="AL509">
        <f>IFERROR(__xludf.DUMMYFUNCTION("""COMPUTED_VALUE"""),42.0)</f>
        <v>42</v>
      </c>
      <c r="AM509">
        <f>IFERROR(__xludf.DUMMYFUNCTION("""COMPUTED_VALUE"""),2015.0)</f>
        <v>2015</v>
      </c>
    </row>
    <row r="510">
      <c r="A510">
        <f>IFERROR(__xludf.DUMMYFUNCTION("""COMPUTED_VALUE"""),1.0526735E7)</f>
        <v>10526735</v>
      </c>
      <c r="B510">
        <f>IFERROR(__xludf.DUMMYFUNCTION("""COMPUTED_VALUE"""),54.0)</f>
        <v>54</v>
      </c>
      <c r="D510" t="str">
        <f>IFERROR(__xludf.DUMMYFUNCTION("""COMPUTED_VALUE"""),"22")</f>
        <v>22</v>
      </c>
      <c r="E510" t="str">
        <f>IFERROR(__xludf.DUMMYFUNCTION("""COMPUTED_VALUE"""),"UNIDAD DE ATENCION DE SALUD")</f>
        <v>UNIDAD DE ATENCION DE SALUD</v>
      </c>
      <c r="F510" t="str">
        <f>IFERROR(__xludf.DUMMYFUNCTION("""COMPUTED_VALUE"""),"Auxiliar de Servicios")</f>
        <v>Auxiliar de Servicios</v>
      </c>
      <c r="G510" t="str">
        <f>IFERROR(__xludf.DUMMYFUNCTION("""COMPUTED_VALUE"""),"AUXILIAR DE SERVICIOS")</f>
        <v>AUXILIAR DE SERVICIOS</v>
      </c>
      <c r="H510">
        <f>IFERROR(__xludf.DUMMYFUNCTION("""COMPUTED_VALUE"""),23.0)</f>
        <v>23</v>
      </c>
      <c r="I510" t="str">
        <f>IFERROR(__xludf.DUMMYFUNCTION("""COMPUTED_VALUE"""),"Jornada Completa")</f>
        <v>Jornada Completa</v>
      </c>
      <c r="J510" t="str">
        <f>IFERROR(__xludf.DUMMYFUNCTION("""COMPUTED_VALUE"""),"A CONTRATA")</f>
        <v>A CONTRATA</v>
      </c>
      <c r="K510" t="str">
        <f>IFERROR(__xludf.DUMMYFUNCTION("""COMPUTED_VALUE"""),"AUXILIAR")</f>
        <v>AUXILIAR</v>
      </c>
      <c r="L510" t="str">
        <f>IFERROR(__xludf.DUMMYFUNCTION("""COMPUTED_VALUE"""),"INTERNO")</f>
        <v>INTERNO</v>
      </c>
      <c r="M510">
        <f>IFERROR(__xludf.DUMMYFUNCTION("""COMPUTED_VALUE"""),0.0)</f>
        <v>0</v>
      </c>
      <c r="N510" t="str">
        <f>IFERROR(__xludf.DUMMYFUNCTION("""COMPUTED_VALUE"""),"EXTERNO")</f>
        <v>EXTERNO</v>
      </c>
      <c r="O510">
        <f>IFERROR(__xludf.DUMMYFUNCTION("""COMPUTED_VALUE"""),28.0)</f>
        <v>28</v>
      </c>
      <c r="P510">
        <f>IFERROR(__xludf.DUMMYFUNCTION("""COMPUTED_VALUE"""),3.0)</f>
        <v>3</v>
      </c>
      <c r="Q510">
        <f>IFERROR(__xludf.DUMMYFUNCTION("""COMPUTED_VALUE"""),6.0)</f>
        <v>6</v>
      </c>
      <c r="R510" s="45" t="str">
        <f>IFERROR(__xludf.DUMMYFUNCTION("""COMPUTED_VALUE"""),"SELECCIONADA")</f>
        <v>SELECCIONADA</v>
      </c>
      <c r="S510" s="38">
        <f>IFERROR(__xludf.DUMMYFUNCTION("""COMPUTED_VALUE"""),42220.0)</f>
        <v>42220</v>
      </c>
      <c r="U510" t="str">
        <f>IFERROR(__xludf.DUMMYFUNCTION("""COMPUTED_VALUE"""),"ALEJANDRA GONZALEZ SARAVIA")</f>
        <v>ALEJANDRA GONZALEZ SARAVIA</v>
      </c>
      <c r="V510" t="str">
        <f>IFERROR(__xludf.DUMMYFUNCTION("""COMPUTED_VALUE"""),"10526735-5")</f>
        <v>10526735-5</v>
      </c>
      <c r="W510" t="str">
        <f>IFERROR(__xludf.DUMMYFUNCTION("""COMPUTED_VALUE"""),"NO")</f>
        <v>NO</v>
      </c>
      <c r="AA510" s="38">
        <f>IFERROR(__xludf.DUMMYFUNCTION("""COMPUTED_VALUE"""),42206.0)</f>
        <v>42206</v>
      </c>
      <c r="AB510" s="38">
        <f>IFERROR(__xludf.DUMMYFUNCTION("""COMPUTED_VALUE"""),42209.0)</f>
        <v>42209</v>
      </c>
      <c r="AH510" t="str">
        <f>IFERROR(__xludf.DUMMYFUNCTION("""COMPUTED_VALUE"""),"PROCESO DE SELECCIÓN")</f>
        <v>PROCESO DE SELECCIÓN</v>
      </c>
      <c r="AI510" t="str">
        <f>IFERROR(__xludf.DUMMYFUNCTION("""COMPUTED_VALUE"""),"FANNY FARIAS")</f>
        <v>FANNY FARIAS</v>
      </c>
      <c r="AK510" t="str">
        <f>IFERROR(__xludf.DUMMYFUNCTION("""COMPUTED_VALUE"""),"C")</f>
        <v>C</v>
      </c>
      <c r="AL510">
        <f>IFERROR(__xludf.DUMMYFUNCTION("""COMPUTED_VALUE"""),8.0)</f>
        <v>8</v>
      </c>
      <c r="AM510">
        <f>IFERROR(__xludf.DUMMYFUNCTION("""COMPUTED_VALUE"""),2015.0)</f>
        <v>2015</v>
      </c>
    </row>
    <row r="511">
      <c r="A511">
        <f>IFERROR(__xludf.DUMMYFUNCTION("""COMPUTED_VALUE"""),1.3496946E7)</f>
        <v>13496946</v>
      </c>
      <c r="B511">
        <f>IFERROR(__xludf.DUMMYFUNCTION("""COMPUTED_VALUE"""),55.0)</f>
        <v>55</v>
      </c>
      <c r="D511" t="str">
        <f>IFERROR(__xludf.DUMMYFUNCTION("""COMPUTED_VALUE"""),"40")</f>
        <v>40</v>
      </c>
      <c r="E511" t="str">
        <f>IFERROR(__xludf.DUMMYFUNCTION("""COMPUTED_VALUE"""),"DEPARTAMENTO DE INGENIERIA INFORMATICA")</f>
        <v>DEPARTAMENTO DE INGENIERIA INFORMATICA</v>
      </c>
      <c r="F511" t="str">
        <f>IFERROR(__xludf.DUMMYFUNCTION("""COMPUTED_VALUE"""),"Estafeta")</f>
        <v>Estafeta</v>
      </c>
      <c r="G511" t="str">
        <f>IFERROR(__xludf.DUMMYFUNCTION("""COMPUTED_VALUE"""),"ESTAFETA")</f>
        <v>ESTAFETA</v>
      </c>
      <c r="H511">
        <f>IFERROR(__xludf.DUMMYFUNCTION("""COMPUTED_VALUE"""),23.0)</f>
        <v>23</v>
      </c>
      <c r="I511" t="str">
        <f>IFERROR(__xludf.DUMMYFUNCTION("""COMPUTED_VALUE"""),"Jornada Completa")</f>
        <v>Jornada Completa</v>
      </c>
      <c r="J511" t="str">
        <f>IFERROR(__xludf.DUMMYFUNCTION("""COMPUTED_VALUE"""),"A CONTRATA")</f>
        <v>A CONTRATA</v>
      </c>
      <c r="K511" t="str">
        <f>IFERROR(__xludf.DUMMYFUNCTION("""COMPUTED_VALUE"""),"AUXILIAR")</f>
        <v>AUXILIAR</v>
      </c>
      <c r="L511" t="str">
        <f>IFERROR(__xludf.DUMMYFUNCTION("""COMPUTED_VALUE"""),"INTERNO")</f>
        <v>INTERNO</v>
      </c>
      <c r="M511">
        <f>IFERROR(__xludf.DUMMYFUNCTION("""COMPUTED_VALUE"""),1.0)</f>
        <v>1</v>
      </c>
      <c r="N511" t="str">
        <f>IFERROR(__xludf.DUMMYFUNCTION("""COMPUTED_VALUE"""),"NO")</f>
        <v>NO</v>
      </c>
      <c r="P511">
        <f>IFERROR(__xludf.DUMMYFUNCTION("""COMPUTED_VALUE"""),1.0)</f>
        <v>1</v>
      </c>
      <c r="Q511">
        <f>IFERROR(__xludf.DUMMYFUNCTION("""COMPUTED_VALUE"""),0.0)</f>
        <v>0</v>
      </c>
      <c r="R511" s="45" t="str">
        <f>IFERROR(__xludf.DUMMYFUNCTION("""COMPUTED_VALUE"""),"SELECCIONADO")</f>
        <v>SELECCIONADO</v>
      </c>
      <c r="S511" s="38">
        <f>IFERROR(__xludf.DUMMYFUNCTION("""COMPUTED_VALUE"""),42235.0)</f>
        <v>42235</v>
      </c>
      <c r="T511" t="str">
        <f>IFERROR(__xludf.DUMMYFUNCTION("""COMPUTED_VALUE"""),"ARNALDO PEREZ CONTRERAS")</f>
        <v>ARNALDO PEREZ CONTRERAS</v>
      </c>
      <c r="V511" t="str">
        <f>IFERROR(__xludf.DUMMYFUNCTION("""COMPUTED_VALUE"""),"13496946-6")</f>
        <v>13496946-6</v>
      </c>
      <c r="W511" t="str">
        <f>IFERROR(__xludf.DUMMYFUNCTION("""COMPUTED_VALUE"""),"SI")</f>
        <v>SI</v>
      </c>
      <c r="Y511" t="str">
        <f>IFERROR(__xludf.DUMMYFUNCTION("""COMPUTED_VALUE"""),"Comunicacion")</f>
        <v>Comunicacion</v>
      </c>
      <c r="AA511" s="38">
        <f>IFERROR(__xludf.DUMMYFUNCTION("""COMPUTED_VALUE"""),42220.0)</f>
        <v>42220</v>
      </c>
      <c r="AB511" s="38">
        <f>IFERROR(__xludf.DUMMYFUNCTION("""COMPUTED_VALUE"""),42222.0)</f>
        <v>42222</v>
      </c>
      <c r="AC511">
        <f>IFERROR(__xludf.DUMMYFUNCTION("""COMPUTED_VALUE"""),24.0)</f>
        <v>24</v>
      </c>
      <c r="AD511" t="str">
        <f>IFERROR(__xludf.DUMMYFUNCTION("""COMPUTED_VALUE"""),"AUXILIAR")</f>
        <v>AUXILIAR</v>
      </c>
      <c r="AF511" s="46" t="str">
        <f>IFERROR(__xludf.DUMMYFUNCTION("""COMPUTED_VALUE"""),"DEPARTAMENTO DE INGENIERIA INFORMATICA")</f>
        <v>DEPARTAMENTO DE INGENIERIA INFORMATICA</v>
      </c>
      <c r="AH511" t="str">
        <f>IFERROR(__xludf.DUMMYFUNCTION("""COMPUTED_VALUE"""),"PROCESO DE SELECCIÓN")</f>
        <v>PROCESO DE SELECCIÓN</v>
      </c>
      <c r="AI511" t="str">
        <f>IFERROR(__xludf.DUMMYFUNCTION("""COMPUTED_VALUE"""),"CARLOS BUSTAMANTE HENRIQUEZ")</f>
        <v>CARLOS BUSTAMANTE HENRIQUEZ</v>
      </c>
      <c r="AK511" t="str">
        <f>IFERROR(__xludf.DUMMYFUNCTION("""COMPUTED_VALUE"""),"P")</f>
        <v>P</v>
      </c>
      <c r="AL511">
        <f>IFERROR(__xludf.DUMMYFUNCTION("""COMPUTED_VALUE"""),10.0)</f>
        <v>10</v>
      </c>
      <c r="AM511">
        <f>IFERROR(__xludf.DUMMYFUNCTION("""COMPUTED_VALUE"""),2015.0)</f>
        <v>2015</v>
      </c>
    </row>
    <row r="512">
      <c r="A512">
        <f>IFERROR(__xludf.DUMMYFUNCTION("""COMPUTED_VALUE"""),1.2513939E7)</f>
        <v>12513939</v>
      </c>
      <c r="B512">
        <f>IFERROR(__xludf.DUMMYFUNCTION("""COMPUTED_VALUE"""),56.0)</f>
        <v>56</v>
      </c>
      <c r="D512" t="str">
        <f>IFERROR(__xludf.DUMMYFUNCTION("""COMPUTED_VALUE"""),"83")</f>
        <v>83</v>
      </c>
      <c r="E512" t="str">
        <f>IFERROR(__xludf.DUMMYFUNCTION("""COMPUTED_VALUE"""),"ESCUELA DE ENFERMERIA")</f>
        <v>ESCUELA DE ENFERMERIA</v>
      </c>
      <c r="F512" t="str">
        <f>IFERROR(__xludf.DUMMYFUNCTION("""COMPUTED_VALUE"""),"Mayordomo(a)")</f>
        <v>Mayordomo(a)</v>
      </c>
      <c r="G512" t="str">
        <f>IFERROR(__xludf.DUMMYFUNCTION("""COMPUTED_VALUE"""),"MAYORDOMO")</f>
        <v>MAYORDOMO</v>
      </c>
      <c r="H512">
        <f>IFERROR(__xludf.DUMMYFUNCTION("""COMPUTED_VALUE"""),21.0)</f>
        <v>21</v>
      </c>
      <c r="I512" t="str">
        <f>IFERROR(__xludf.DUMMYFUNCTION("""COMPUTED_VALUE"""),"Jornada Completa")</f>
        <v>Jornada Completa</v>
      </c>
      <c r="J512" t="str">
        <f>IFERROR(__xludf.DUMMYFUNCTION("""COMPUTED_VALUE"""),"A CONTRATA")</f>
        <v>A CONTRATA</v>
      </c>
      <c r="K512" t="str">
        <f>IFERROR(__xludf.DUMMYFUNCTION("""COMPUTED_VALUE"""),"AUXILIAR")</f>
        <v>AUXILIAR</v>
      </c>
      <c r="L512" t="str">
        <f>IFERROR(__xludf.DUMMYFUNCTION("""COMPUTED_VALUE"""),"INTERNO")</f>
        <v>INTERNO</v>
      </c>
      <c r="M512">
        <f>IFERROR(__xludf.DUMMYFUNCTION("""COMPUTED_VALUE"""),0.0)</f>
        <v>0</v>
      </c>
      <c r="N512" t="str">
        <f>IFERROR(__xludf.DUMMYFUNCTION("""COMPUTED_VALUE"""),"EXTERNO")</f>
        <v>EXTERNO</v>
      </c>
      <c r="O512">
        <f>IFERROR(__xludf.DUMMYFUNCTION("""COMPUTED_VALUE"""),19.0)</f>
        <v>19</v>
      </c>
      <c r="P512">
        <f>IFERROR(__xludf.DUMMYFUNCTION("""COMPUTED_VALUE"""),1.0)</f>
        <v>1</v>
      </c>
      <c r="Q512">
        <f>IFERROR(__xludf.DUMMYFUNCTION("""COMPUTED_VALUE"""),2.0)</f>
        <v>2</v>
      </c>
      <c r="R512" s="45" t="str">
        <f>IFERROR(__xludf.DUMMYFUNCTION("""COMPUTED_VALUE"""),"SELECCIONADO")</f>
        <v>SELECCIONADO</v>
      </c>
      <c r="S512" s="38">
        <f>IFERROR(__xludf.DUMMYFUNCTION("""COMPUTED_VALUE"""),42226.0)</f>
        <v>42226</v>
      </c>
      <c r="U512" t="str">
        <f>IFERROR(__xludf.DUMMYFUNCTION("""COMPUTED_VALUE"""),"RODRIGO CAROCA MARTINEZ")</f>
        <v>RODRIGO CAROCA MARTINEZ</v>
      </c>
      <c r="V512" t="str">
        <f>IFERROR(__xludf.DUMMYFUNCTION("""COMPUTED_VALUE"""),"12513939-6")</f>
        <v>12513939-6</v>
      </c>
      <c r="W512" t="str">
        <f>IFERROR(__xludf.DUMMYFUNCTION("""COMPUTED_VALUE"""),"NO")</f>
        <v>NO</v>
      </c>
      <c r="AA512" s="38">
        <f>IFERROR(__xludf.DUMMYFUNCTION("""COMPUTED_VALUE"""),42178.0)</f>
        <v>42178</v>
      </c>
      <c r="AB512" s="38">
        <f>IFERROR(__xludf.DUMMYFUNCTION("""COMPUTED_VALUE"""),42183.0)</f>
        <v>42183</v>
      </c>
      <c r="AH512" t="str">
        <f>IFERROR(__xludf.DUMMYFUNCTION("""COMPUTED_VALUE"""),"PROCESO DE SELECCIÓN")</f>
        <v>PROCESO DE SELECCIÓN</v>
      </c>
      <c r="AI512" t="str">
        <f>IFERROR(__xludf.DUMMYFUNCTION("""COMPUTED_VALUE"""),"JAIME ARCE LOPEZ")</f>
        <v>JAIME ARCE LOPEZ</v>
      </c>
      <c r="AK512" t="str">
        <f>IFERROR(__xludf.DUMMYFUNCTION("""COMPUTED_VALUE"""),"C")</f>
        <v>C</v>
      </c>
      <c r="AL512">
        <f>IFERROR(__xludf.DUMMYFUNCTION("""COMPUTED_VALUE"""),31.0)</f>
        <v>31</v>
      </c>
      <c r="AM512">
        <f>IFERROR(__xludf.DUMMYFUNCTION("""COMPUTED_VALUE"""),2015.0)</f>
        <v>2015</v>
      </c>
    </row>
    <row r="513">
      <c r="A513">
        <f>IFERROR(__xludf.DUMMYFUNCTION("""COMPUTED_VALUE"""),1.5415292E7)</f>
        <v>15415292</v>
      </c>
      <c r="B513">
        <f>IFERROR(__xludf.DUMMYFUNCTION("""COMPUTED_VALUE"""),57.0)</f>
        <v>57</v>
      </c>
      <c r="D513" t="str">
        <f>IFERROR(__xludf.DUMMYFUNCTION("""COMPUTED_VALUE"""),"40")</f>
        <v>40</v>
      </c>
      <c r="E513" t="str">
        <f>IFERROR(__xludf.DUMMYFUNCTION("""COMPUTED_VALUE"""),"FACULTAD DE INGENIERIA")</f>
        <v>FACULTAD DE INGENIERIA</v>
      </c>
      <c r="F513" t="str">
        <f>IFERROR(__xludf.DUMMYFUNCTION("""COMPUTED_VALUE"""),"Analista de Gestión I")</f>
        <v>Analista de Gestión I</v>
      </c>
      <c r="G513" t="str">
        <f>IFERROR(__xludf.DUMMYFUNCTION("""COMPUTED_VALUE"""),"ANALISTA I")</f>
        <v>ANALISTA I</v>
      </c>
      <c r="H513">
        <f>IFERROR(__xludf.DUMMYFUNCTION("""COMPUTED_VALUE"""),10.0)</f>
        <v>10</v>
      </c>
      <c r="I513" t="str">
        <f>IFERROR(__xludf.DUMMYFUNCTION("""COMPUTED_VALUE"""),"Jornada Completa")</f>
        <v>Jornada Completa</v>
      </c>
      <c r="J513" t="str">
        <f>IFERROR(__xludf.DUMMYFUNCTION("""COMPUTED_VALUE"""),"A CONTRATA")</f>
        <v>A CONTRATA</v>
      </c>
      <c r="K513" t="str">
        <f>IFERROR(__xludf.DUMMYFUNCTION("""COMPUTED_VALUE"""),"PROFESIONAL")</f>
        <v>PROFESIONAL</v>
      </c>
      <c r="L513" t="str">
        <f>IFERROR(__xludf.DUMMYFUNCTION("""COMPUTED_VALUE"""),"INTERNO")</f>
        <v>INTERNO</v>
      </c>
      <c r="M513">
        <f>IFERROR(__xludf.DUMMYFUNCTION("""COMPUTED_VALUE"""),4.0)</f>
        <v>4</v>
      </c>
      <c r="N513" t="str">
        <f>IFERROR(__xludf.DUMMYFUNCTION("""COMPUTED_VALUE"""),"NO")</f>
        <v>NO</v>
      </c>
      <c r="P513">
        <f>IFERROR(__xludf.DUMMYFUNCTION("""COMPUTED_VALUE"""),3.0)</f>
        <v>3</v>
      </c>
      <c r="Q513">
        <f>IFERROR(__xludf.DUMMYFUNCTION("""COMPUTED_VALUE"""),0.0)</f>
        <v>0</v>
      </c>
      <c r="R513" s="45" t="str">
        <f>IFERROR(__xludf.DUMMYFUNCTION("""COMPUTED_VALUE"""),"SELECCIONADA")</f>
        <v>SELECCIONADA</v>
      </c>
      <c r="S513" s="38">
        <f>IFERROR(__xludf.DUMMYFUNCTION("""COMPUTED_VALUE"""),42223.0)</f>
        <v>42223</v>
      </c>
      <c r="T513" t="str">
        <f>IFERROR(__xludf.DUMMYFUNCTION("""COMPUTED_VALUE"""),"BERNARDA DIAZ DIAZ")</f>
        <v>BERNARDA DIAZ DIAZ</v>
      </c>
      <c r="V513" t="str">
        <f>IFERROR(__xludf.DUMMYFUNCTION("""COMPUTED_VALUE"""),"15415292-K")</f>
        <v>15415292-K</v>
      </c>
      <c r="W513" t="str">
        <f>IFERROR(__xludf.DUMMYFUNCTION("""COMPUTED_VALUE"""),"SI")</f>
        <v>SI</v>
      </c>
      <c r="X513" t="str">
        <f>IFERROR(__xludf.DUMMYFUNCTION("""COMPUTED_VALUE"""),"Capacidad de Planificacion y Organizacion")</f>
        <v>Capacidad de Planificacion y Organizacion</v>
      </c>
      <c r="Y513" t="str">
        <f>IFERROR(__xludf.DUMMYFUNCTION("""COMPUTED_VALUE"""),"TRABAJO EN EQUIPO")</f>
        <v>TRABAJO EN EQUIPO</v>
      </c>
      <c r="Z513" t="str">
        <f>IFERROR(__xludf.DUMMYFUNCTION("""COMPUTED_VALUE"""),"PENSAMIENTO ANALITICO")</f>
        <v>PENSAMIENTO ANALITICO</v>
      </c>
      <c r="AA513" s="38">
        <f>IFERROR(__xludf.DUMMYFUNCTION("""COMPUTED_VALUE"""),42181.0)</f>
        <v>42181</v>
      </c>
      <c r="AB513" s="38">
        <f>IFERROR(__xludf.DUMMYFUNCTION("""COMPUTED_VALUE"""),42187.0)</f>
        <v>42187</v>
      </c>
      <c r="AC513">
        <f>IFERROR(__xludf.DUMMYFUNCTION("""COMPUTED_VALUE"""),17.0)</f>
        <v>17</v>
      </c>
      <c r="AD513" t="str">
        <f>IFERROR(__xludf.DUMMYFUNCTION("""COMPUTED_VALUE"""),"ADMINISTRATIVO")</f>
        <v>ADMINISTRATIVO</v>
      </c>
      <c r="AF513" s="46" t="str">
        <f>IFERROR(__xludf.DUMMYFUNCTION("""COMPUTED_VALUE"""),"FACULTAD DE INGENIERIA")</f>
        <v>FACULTAD DE INGENIERIA</v>
      </c>
      <c r="AH513" t="str">
        <f>IFERROR(__xludf.DUMMYFUNCTION("""COMPUTED_VALUE"""),"PROCESO DE SELECCIÓN")</f>
        <v>PROCESO DE SELECCIÓN</v>
      </c>
      <c r="AI513" t="str">
        <f>IFERROR(__xludf.DUMMYFUNCTION("""COMPUTED_VALUE"""),"-")</f>
        <v>-</v>
      </c>
      <c r="AK513" t="str">
        <f>IFERROR(__xludf.DUMMYFUNCTION("""COMPUTED_VALUE"""),"P")</f>
        <v>P</v>
      </c>
      <c r="AL513">
        <f>IFERROR(__xludf.DUMMYFUNCTION("""COMPUTED_VALUE"""),27.0)</f>
        <v>27</v>
      </c>
      <c r="AM513">
        <f>IFERROR(__xludf.DUMMYFUNCTION("""COMPUTED_VALUE"""),2015.0)</f>
        <v>2015</v>
      </c>
    </row>
    <row r="514">
      <c r="A514">
        <f>IFERROR(__xludf.DUMMYFUNCTION("""COMPUTED_VALUE"""),1.639066E7)</f>
        <v>16390660</v>
      </c>
      <c r="B514">
        <f>IFERROR(__xludf.DUMMYFUNCTION("""COMPUTED_VALUE"""),58.0)</f>
        <v>58</v>
      </c>
      <c r="D514" t="str">
        <f>IFERROR(__xludf.DUMMYFUNCTION("""COMPUTED_VALUE"""),"22")</f>
        <v>22</v>
      </c>
      <c r="E514" t="str">
        <f>IFERROR(__xludf.DUMMYFUNCTION("""COMPUTED_VALUE"""),"DEPARTAMENTO DE GESTION DEL DEPORTE Y CULTURA")</f>
        <v>DEPARTAMENTO DE GESTION DEL DEPORTE Y CULTURA</v>
      </c>
      <c r="F514" t="str">
        <f>IFERROR(__xludf.DUMMYFUNCTION("""COMPUTED_VALUE"""),"Entrenador(a) Deportivo(a)")</f>
        <v>Entrenador(a) Deportivo(a)</v>
      </c>
      <c r="G514" t="str">
        <f>IFERROR(__xludf.DUMMYFUNCTION("""COMPUTED_VALUE"""),"PROFESOR ENTRENADOR DEPORTIVO FUTBOL")</f>
        <v>PROFESOR ENTRENADOR DEPORTIVO FUTBOL</v>
      </c>
      <c r="H514">
        <f>IFERROR(__xludf.DUMMYFUNCTION("""COMPUTED_VALUE"""),13.0)</f>
        <v>13</v>
      </c>
      <c r="I514" t="str">
        <f>IFERROR(__xludf.DUMMYFUNCTION("""COMPUTED_VALUE"""),"1/2 Jornada")</f>
        <v>1/2 Jornada</v>
      </c>
      <c r="J514" t="str">
        <f>IFERROR(__xludf.DUMMYFUNCTION("""COMPUTED_VALUE"""),"A CONTRATA")</f>
        <v>A CONTRATA</v>
      </c>
      <c r="K514" t="str">
        <f>IFERROR(__xludf.DUMMYFUNCTION("""COMPUTED_VALUE"""),"PROFESIONAL")</f>
        <v>PROFESIONAL</v>
      </c>
      <c r="L514" t="str">
        <f>IFERROR(__xludf.DUMMYFUNCTION("""COMPUTED_VALUE"""),"INTERNO")</f>
        <v>INTERNO</v>
      </c>
      <c r="M514">
        <f>IFERROR(__xludf.DUMMYFUNCTION("""COMPUTED_VALUE"""),1.0)</f>
        <v>1</v>
      </c>
      <c r="N514" t="str">
        <f>IFERROR(__xludf.DUMMYFUNCTION("""COMPUTED_VALUE"""),"EXTERNO")</f>
        <v>EXTERNO</v>
      </c>
      <c r="O514">
        <f>IFERROR(__xludf.DUMMYFUNCTION("""COMPUTED_VALUE"""),6.0)</f>
        <v>6</v>
      </c>
      <c r="P514">
        <f>IFERROR(__xludf.DUMMYFUNCTION("""COMPUTED_VALUE"""),3.0)</f>
        <v>3</v>
      </c>
      <c r="Q514">
        <f>IFERROR(__xludf.DUMMYFUNCTION("""COMPUTED_VALUE"""),1.0)</f>
        <v>1</v>
      </c>
      <c r="R514" s="45" t="str">
        <f>IFERROR(__xludf.DUMMYFUNCTION("""COMPUTED_VALUE"""),"SELECCIONADO")</f>
        <v>SELECCIONADO</v>
      </c>
      <c r="S514" s="38">
        <f>IFERROR(__xludf.DUMMYFUNCTION("""COMPUTED_VALUE"""),42248.0)</f>
        <v>42248</v>
      </c>
      <c r="T514" t="str">
        <f>IFERROR(__xludf.DUMMYFUNCTION("""COMPUTED_VALUE"""),"GIOVANNI NATALI FLANDEZ")</f>
        <v>GIOVANNI NATALI FLANDEZ</v>
      </c>
      <c r="V514" t="str">
        <f>IFERROR(__xludf.DUMMYFUNCTION("""COMPUTED_VALUE"""),"16390660-0")</f>
        <v>16390660-0</v>
      </c>
      <c r="W514" t="str">
        <f>IFERROR(__xludf.DUMMYFUNCTION("""COMPUTED_VALUE"""),"SI")</f>
        <v>SI</v>
      </c>
      <c r="X514" t="str">
        <f>IFERROR(__xludf.DUMMYFUNCTION("""COMPUTED_VALUE"""),"LIDERAZGO")</f>
        <v>LIDERAZGO</v>
      </c>
      <c r="Y514" t="str">
        <f>IFERROR(__xludf.DUMMYFUNCTION("""COMPUTED_VALUE"""),"TRABAJO EN EQUIPO")</f>
        <v>TRABAJO EN EQUIPO</v>
      </c>
      <c r="AA514" s="38">
        <f>IFERROR(__xludf.DUMMYFUNCTION("""COMPUTED_VALUE"""),42208.0)</f>
        <v>42208</v>
      </c>
      <c r="AB514" s="38">
        <f>IFERROR(__xludf.DUMMYFUNCTION("""COMPUTED_VALUE"""),42214.0)</f>
        <v>42214</v>
      </c>
      <c r="AD514" t="str">
        <f>IFERROR(__xludf.DUMMYFUNCTION("""COMPUTED_VALUE"""),"PROFESOR HORA")</f>
        <v>PROFESOR HORA</v>
      </c>
      <c r="AH514" t="str">
        <f>IFERROR(__xludf.DUMMYFUNCTION("""COMPUTED_VALUE"""),"PROCESO DE SELECCIÓN")</f>
        <v>PROCESO DE SELECCIÓN</v>
      </c>
      <c r="AI514" t="str">
        <f>IFERROR(__xludf.DUMMYFUNCTION("""COMPUTED_VALUE"""),"JORGE ZELADA ALLENDE")</f>
        <v>JORGE ZELADA ALLENDE</v>
      </c>
      <c r="AK514" t="str">
        <f>IFERROR(__xludf.DUMMYFUNCTION("""COMPUTED_VALUE"""),"C")</f>
        <v>C</v>
      </c>
      <c r="AL514">
        <f>IFERROR(__xludf.DUMMYFUNCTION("""COMPUTED_VALUE"""),25.0)</f>
        <v>25</v>
      </c>
      <c r="AM514">
        <f>IFERROR(__xludf.DUMMYFUNCTION("""COMPUTED_VALUE"""),2015.0)</f>
        <v>2015</v>
      </c>
    </row>
    <row r="515">
      <c r="A515">
        <f>IFERROR(__xludf.DUMMYFUNCTION("""COMPUTED_VALUE"""),1.4526364E7)</f>
        <v>14526364</v>
      </c>
      <c r="B515">
        <f>IFERROR(__xludf.DUMMYFUNCTION("""COMPUTED_VALUE"""),59.0)</f>
        <v>59</v>
      </c>
      <c r="D515" t="str">
        <f>IFERROR(__xludf.DUMMYFUNCTION("""COMPUTED_VALUE"""),"15")</f>
        <v>15</v>
      </c>
      <c r="E515" t="str">
        <f>IFERROR(__xludf.DUMMYFUNCTION("""COMPUTED_VALUE"""),"VICERRECTORIA ACADEMICA")</f>
        <v>VICERRECTORIA ACADEMICA</v>
      </c>
      <c r="F515" t="str">
        <f>IFERROR(__xludf.DUMMYFUNCTION("""COMPUTED_VALUE"""),"Mayordomo(a)")</f>
        <v>Mayordomo(a)</v>
      </c>
      <c r="G515" t="str">
        <f>IFERROR(__xludf.DUMMYFUNCTION("""COMPUTED_VALUE"""),"MAYORDOMO")</f>
        <v>MAYORDOMO</v>
      </c>
      <c r="H515">
        <f>IFERROR(__xludf.DUMMYFUNCTION("""COMPUTED_VALUE"""),21.0)</f>
        <v>21</v>
      </c>
      <c r="I515" t="str">
        <f>IFERROR(__xludf.DUMMYFUNCTION("""COMPUTED_VALUE"""),"Jornada Completa")</f>
        <v>Jornada Completa</v>
      </c>
      <c r="J515" t="str">
        <f>IFERROR(__xludf.DUMMYFUNCTION("""COMPUTED_VALUE"""),"A CONTRATA")</f>
        <v>A CONTRATA</v>
      </c>
      <c r="K515" t="str">
        <f>IFERROR(__xludf.DUMMYFUNCTION("""COMPUTED_VALUE"""),"AUXILIAR")</f>
        <v>AUXILIAR</v>
      </c>
      <c r="L515" t="str">
        <f>IFERROR(__xludf.DUMMYFUNCTION("""COMPUTED_VALUE"""),"INTERNO")</f>
        <v>INTERNO</v>
      </c>
      <c r="M515">
        <f>IFERROR(__xludf.DUMMYFUNCTION("""COMPUTED_VALUE"""),0.0)</f>
        <v>0</v>
      </c>
      <c r="N515" t="str">
        <f>IFERROR(__xludf.DUMMYFUNCTION("""COMPUTED_VALUE"""),"EXTERNO")</f>
        <v>EXTERNO</v>
      </c>
      <c r="O515">
        <f>IFERROR(__xludf.DUMMYFUNCTION("""COMPUTED_VALUE"""),2.0)</f>
        <v>2</v>
      </c>
      <c r="P515">
        <f>IFERROR(__xludf.DUMMYFUNCTION("""COMPUTED_VALUE"""),2.0)</f>
        <v>2</v>
      </c>
      <c r="Q515">
        <f>IFERROR(__xludf.DUMMYFUNCTION("""COMPUTED_VALUE"""),1.0)</f>
        <v>1</v>
      </c>
      <c r="R515" s="45" t="str">
        <f>IFERROR(__xludf.DUMMYFUNCTION("""COMPUTED_VALUE"""),"SELECCIONADO")</f>
        <v>SELECCIONADO</v>
      </c>
      <c r="S515" s="38">
        <f>IFERROR(__xludf.DUMMYFUNCTION("""COMPUTED_VALUE"""),42254.0)</f>
        <v>42254</v>
      </c>
      <c r="U515" t="str">
        <f>IFERROR(__xludf.DUMMYFUNCTION("""COMPUTED_VALUE"""),"HUGO MULCHI COSSIO")</f>
        <v>HUGO MULCHI COSSIO</v>
      </c>
      <c r="V515" t="str">
        <f>IFERROR(__xludf.DUMMYFUNCTION("""COMPUTED_VALUE"""),"14526364-6")</f>
        <v>14526364-6</v>
      </c>
      <c r="W515" t="str">
        <f>IFERROR(__xludf.DUMMYFUNCTION("""COMPUTED_VALUE"""),"NO")</f>
        <v>NO</v>
      </c>
      <c r="AA515" s="38">
        <f>IFERROR(__xludf.DUMMYFUNCTION("""COMPUTED_VALUE"""),42235.0)</f>
        <v>42235</v>
      </c>
      <c r="AB515" s="38">
        <f>IFERROR(__xludf.DUMMYFUNCTION("""COMPUTED_VALUE"""),42243.0)</f>
        <v>42243</v>
      </c>
      <c r="AH515" t="str">
        <f>IFERROR(__xludf.DUMMYFUNCTION("""COMPUTED_VALUE"""),"PROCESO DE SELECCIÓN")</f>
        <v>PROCESO DE SELECCIÓN</v>
      </c>
      <c r="AI515" t="str">
        <f>IFERROR(__xludf.DUMMYFUNCTION("""COMPUTED_VALUE"""),"-")</f>
        <v>-</v>
      </c>
      <c r="AK515" t="str">
        <f>IFERROR(__xludf.DUMMYFUNCTION("""COMPUTED_VALUE"""),"C")</f>
        <v>C</v>
      </c>
      <c r="AL515">
        <f>IFERROR(__xludf.DUMMYFUNCTION("""COMPUTED_VALUE"""),8.0)</f>
        <v>8</v>
      </c>
      <c r="AM515">
        <f>IFERROR(__xludf.DUMMYFUNCTION("""COMPUTED_VALUE"""),2015.0)</f>
        <v>2015</v>
      </c>
    </row>
    <row r="516">
      <c r="A516">
        <f>IFERROR(__xludf.DUMMYFUNCTION("""COMPUTED_VALUE"""),1.0506791E7)</f>
        <v>10506791</v>
      </c>
      <c r="B516">
        <f>IFERROR(__xludf.DUMMYFUNCTION("""COMPUTED_VALUE"""),60.0)</f>
        <v>60</v>
      </c>
      <c r="D516" t="str">
        <f>IFERROR(__xludf.DUMMYFUNCTION("""COMPUTED_VALUE"""),"15")</f>
        <v>15</v>
      </c>
      <c r="E516" t="str">
        <f>IFERROR(__xludf.DUMMYFUNCTION("""COMPUTED_VALUE"""),"VICERRECTORIA ACADEMICA")</f>
        <v>VICERRECTORIA ACADEMICA</v>
      </c>
      <c r="F516" t="str">
        <f>IFERROR(__xludf.DUMMYFUNCTION("""COMPUTED_VALUE"""),"Mayordomo(a)")</f>
        <v>Mayordomo(a)</v>
      </c>
      <c r="G516" t="str">
        <f>IFERROR(__xludf.DUMMYFUNCTION("""COMPUTED_VALUE"""),"MAYORDOMO")</f>
        <v>MAYORDOMO</v>
      </c>
      <c r="H516">
        <f>IFERROR(__xludf.DUMMYFUNCTION("""COMPUTED_VALUE"""),21.0)</f>
        <v>21</v>
      </c>
      <c r="I516" t="str">
        <f>IFERROR(__xludf.DUMMYFUNCTION("""COMPUTED_VALUE"""),"Jornada Completa")</f>
        <v>Jornada Completa</v>
      </c>
      <c r="J516" t="str">
        <f>IFERROR(__xludf.DUMMYFUNCTION("""COMPUTED_VALUE"""),"A CONTRATA")</f>
        <v>A CONTRATA</v>
      </c>
      <c r="K516" t="str">
        <f>IFERROR(__xludf.DUMMYFUNCTION("""COMPUTED_VALUE"""),"AUXILIAR")</f>
        <v>AUXILIAR</v>
      </c>
      <c r="L516" t="str">
        <f>IFERROR(__xludf.DUMMYFUNCTION("""COMPUTED_VALUE"""),"INTERNO")</f>
        <v>INTERNO</v>
      </c>
      <c r="M516">
        <f>IFERROR(__xludf.DUMMYFUNCTION("""COMPUTED_VALUE"""),0.0)</f>
        <v>0</v>
      </c>
      <c r="N516" t="str">
        <f>IFERROR(__xludf.DUMMYFUNCTION("""COMPUTED_VALUE"""),"EXTERNO")</f>
        <v>EXTERNO</v>
      </c>
      <c r="O516">
        <f>IFERROR(__xludf.DUMMYFUNCTION("""COMPUTED_VALUE"""),2.0)</f>
        <v>2</v>
      </c>
      <c r="P516">
        <f>IFERROR(__xludf.DUMMYFUNCTION("""COMPUTED_VALUE"""),2.0)</f>
        <v>2</v>
      </c>
      <c r="Q516">
        <f>IFERROR(__xludf.DUMMYFUNCTION("""COMPUTED_VALUE"""),1.0)</f>
        <v>1</v>
      </c>
      <c r="R516" s="45" t="str">
        <f>IFERROR(__xludf.DUMMYFUNCTION("""COMPUTED_VALUE"""),"SELECCIONADO")</f>
        <v>SELECCIONADO</v>
      </c>
      <c r="S516" s="38">
        <f>IFERROR(__xludf.DUMMYFUNCTION("""COMPUTED_VALUE"""),42254.0)</f>
        <v>42254</v>
      </c>
      <c r="U516" t="str">
        <f>IFERROR(__xludf.DUMMYFUNCTION("""COMPUTED_VALUE"""),"JUAN MORENO HUICHIPANE")</f>
        <v>JUAN MORENO HUICHIPANE</v>
      </c>
      <c r="V516" t="str">
        <f>IFERROR(__xludf.DUMMYFUNCTION("""COMPUTED_VALUE"""),"10506791-7")</f>
        <v>10506791-7</v>
      </c>
      <c r="W516" t="str">
        <f>IFERROR(__xludf.DUMMYFUNCTION("""COMPUTED_VALUE"""),"NO")</f>
        <v>NO</v>
      </c>
      <c r="AA516" s="38">
        <f>IFERROR(__xludf.DUMMYFUNCTION("""COMPUTED_VALUE"""),42235.0)</f>
        <v>42235</v>
      </c>
      <c r="AB516" s="38">
        <f>IFERROR(__xludf.DUMMYFUNCTION("""COMPUTED_VALUE"""),42243.0)</f>
        <v>42243</v>
      </c>
      <c r="AH516" t="str">
        <f>IFERROR(__xludf.DUMMYFUNCTION("""COMPUTED_VALUE"""),"PROCESO DE SELECCIÓN")</f>
        <v>PROCESO DE SELECCIÓN</v>
      </c>
      <c r="AI516" t="str">
        <f>IFERROR(__xludf.DUMMYFUNCTION("""COMPUTED_VALUE"""),"-")</f>
        <v>-</v>
      </c>
      <c r="AK516" t="str">
        <f>IFERROR(__xludf.DUMMYFUNCTION("""COMPUTED_VALUE"""),"C")</f>
        <v>C</v>
      </c>
      <c r="AL516">
        <f>IFERROR(__xludf.DUMMYFUNCTION("""COMPUTED_VALUE"""),8.0)</f>
        <v>8</v>
      </c>
      <c r="AM516">
        <f>IFERROR(__xludf.DUMMYFUNCTION("""COMPUTED_VALUE"""),2015.0)</f>
        <v>2015</v>
      </c>
    </row>
    <row r="517">
      <c r="A517">
        <f>IFERROR(__xludf.DUMMYFUNCTION("""COMPUTED_VALUE"""),1.431063E7)</f>
        <v>14310630</v>
      </c>
      <c r="B517">
        <f>IFERROR(__xludf.DUMMYFUNCTION("""COMPUTED_VALUE"""),61.0)</f>
        <v>61</v>
      </c>
      <c r="D517" t="str">
        <f>IFERROR(__xludf.DUMMYFUNCTION("""COMPUTED_VALUE"""),"3")</f>
        <v>3</v>
      </c>
      <c r="E517" t="str">
        <f>IFERROR(__xludf.DUMMYFUNCTION("""COMPUTED_VALUE"""),"DEPARTAMENTO DE GESTION Y CONTROL DE CONTRATOS")</f>
        <v>DEPARTAMENTO DE GESTION Y CONTROL DE CONTRATOS</v>
      </c>
      <c r="F517" t="str">
        <f>IFERROR(__xludf.DUMMYFUNCTION("""COMPUTED_VALUE"""),"Abogado(a) Control de Contratos")</f>
        <v>Abogado(a) Control de Contratos</v>
      </c>
      <c r="G517" t="str">
        <f>IFERROR(__xludf.DUMMYFUNCTION("""COMPUTED_VALUE"""),"ABOGADO")</f>
        <v>ABOGADO</v>
      </c>
      <c r="H517">
        <f>IFERROR(__xludf.DUMMYFUNCTION("""COMPUTED_VALUE"""),6.0)</f>
        <v>6</v>
      </c>
      <c r="I517" t="str">
        <f>IFERROR(__xludf.DUMMYFUNCTION("""COMPUTED_VALUE"""),"Jornada Completa")</f>
        <v>Jornada Completa</v>
      </c>
      <c r="J517" t="str">
        <f>IFERROR(__xludf.DUMMYFUNCTION("""COMPUTED_VALUE"""),"A CONTRATA")</f>
        <v>A CONTRATA</v>
      </c>
      <c r="K517" t="str">
        <f>IFERROR(__xludf.DUMMYFUNCTION("""COMPUTED_VALUE"""),"PROFESIONAL")</f>
        <v>PROFESIONAL</v>
      </c>
      <c r="L517" t="str">
        <f>IFERROR(__xludf.DUMMYFUNCTION("""COMPUTED_VALUE"""),"INTERNO")</f>
        <v>INTERNO</v>
      </c>
      <c r="M517">
        <f>IFERROR(__xludf.DUMMYFUNCTION("""COMPUTED_VALUE"""),1.0)</f>
        <v>1</v>
      </c>
      <c r="N517" t="str">
        <f>IFERROR(__xludf.DUMMYFUNCTION("""COMPUTED_VALUE"""),"EXTERNO")</f>
        <v>EXTERNO</v>
      </c>
      <c r="O517">
        <f>IFERROR(__xludf.DUMMYFUNCTION("""COMPUTED_VALUE"""),19.0)</f>
        <v>19</v>
      </c>
      <c r="P517">
        <f>IFERROR(__xludf.DUMMYFUNCTION("""COMPUTED_VALUE"""),3.0)</f>
        <v>3</v>
      </c>
      <c r="Q517">
        <f>IFERROR(__xludf.DUMMYFUNCTION("""COMPUTED_VALUE"""),2.0)</f>
        <v>2</v>
      </c>
      <c r="R517" s="45" t="str">
        <f>IFERROR(__xludf.DUMMYFUNCTION("""COMPUTED_VALUE"""),"SELECCIONADO")</f>
        <v>SELECCIONADO</v>
      </c>
      <c r="S517" s="38">
        <f>IFERROR(__xludf.DUMMYFUNCTION("""COMPUTED_VALUE"""),42219.0)</f>
        <v>42219</v>
      </c>
      <c r="U517" t="str">
        <f>IFERROR(__xludf.DUMMYFUNCTION("""COMPUTED_VALUE"""),"GERMAN LEDEZMA URTUBIA")</f>
        <v>GERMAN LEDEZMA URTUBIA</v>
      </c>
      <c r="V517" t="str">
        <f>IFERROR(__xludf.DUMMYFUNCTION("""COMPUTED_VALUE"""),"14310630-6")</f>
        <v>14310630-6</v>
      </c>
      <c r="W517" t="str">
        <f>IFERROR(__xludf.DUMMYFUNCTION("""COMPUTED_VALUE"""),"NO")</f>
        <v>NO</v>
      </c>
      <c r="AA517" s="38">
        <f>IFERROR(__xludf.DUMMYFUNCTION("""COMPUTED_VALUE"""),42178.0)</f>
        <v>42178</v>
      </c>
      <c r="AB517" s="38">
        <f>IFERROR(__xludf.DUMMYFUNCTION("""COMPUTED_VALUE"""),42185.0)</f>
        <v>42185</v>
      </c>
      <c r="AH517" t="str">
        <f>IFERROR(__xludf.DUMMYFUNCTION("""COMPUTED_VALUE"""),"PROCESO DE SELECCIÓN")</f>
        <v>PROCESO DE SELECCIÓN</v>
      </c>
      <c r="AI517" t="str">
        <f>IFERROR(__xludf.DUMMYFUNCTION("""COMPUTED_VALUE"""),"-")</f>
        <v>-</v>
      </c>
      <c r="AK517" t="str">
        <f>IFERROR(__xludf.DUMMYFUNCTION("""COMPUTED_VALUE"""),"E")</f>
        <v>E</v>
      </c>
      <c r="AL517">
        <f>IFERROR(__xludf.DUMMYFUNCTION("""COMPUTED_VALUE"""),25.0)</f>
        <v>25</v>
      </c>
      <c r="AM517">
        <f>IFERROR(__xludf.DUMMYFUNCTION("""COMPUTED_VALUE"""),2015.0)</f>
        <v>2015</v>
      </c>
    </row>
    <row r="518">
      <c r="A518">
        <f>IFERROR(__xludf.DUMMYFUNCTION("""COMPUTED_VALUE"""),1.4123013E7)</f>
        <v>14123013</v>
      </c>
      <c r="B518">
        <f>IFERROR(__xludf.DUMMYFUNCTION("""COMPUTED_VALUE"""),62.0)</f>
        <v>62</v>
      </c>
      <c r="D518" t="str">
        <f>IFERROR(__xludf.DUMMYFUNCTION("""COMPUTED_VALUE"""),"120")</f>
        <v>120</v>
      </c>
      <c r="E518" t="str">
        <f>IFERROR(__xludf.DUMMYFUNCTION("""COMPUTED_VALUE"""),"DEPARTAMENTO DE COMUNICACIONES ")</f>
        <v>DEPARTAMENTO DE COMUNICACIONES </v>
      </c>
      <c r="F518" t="str">
        <f>IFERROR(__xludf.DUMMYFUNCTION("""COMPUTED_VALUE"""),"Periodista")</f>
        <v>Periodista</v>
      </c>
      <c r="G518" t="str">
        <f>IFERROR(__xludf.DUMMYFUNCTION("""COMPUTED_VALUE"""),"PERIODISTA ")</f>
        <v>PERIODISTA </v>
      </c>
      <c r="H518">
        <f>IFERROR(__xludf.DUMMYFUNCTION("""COMPUTED_VALUE"""),14.0)</f>
        <v>14</v>
      </c>
      <c r="I518" t="str">
        <f>IFERROR(__xludf.DUMMYFUNCTION("""COMPUTED_VALUE"""),"Jornada Completa")</f>
        <v>Jornada Completa</v>
      </c>
      <c r="J518" t="str">
        <f>IFERROR(__xludf.DUMMYFUNCTION("""COMPUTED_VALUE"""),"A CONTRATA")</f>
        <v>A CONTRATA</v>
      </c>
      <c r="K518" t="str">
        <f>IFERROR(__xludf.DUMMYFUNCTION("""COMPUTED_VALUE"""),"PROFESIONAL")</f>
        <v>PROFESIONAL</v>
      </c>
      <c r="L518" t="str">
        <f>IFERROR(__xludf.DUMMYFUNCTION("""COMPUTED_VALUE"""),"INTERNO")</f>
        <v>INTERNO</v>
      </c>
      <c r="M518">
        <f>IFERROR(__xludf.DUMMYFUNCTION("""COMPUTED_VALUE"""),0.0)</f>
        <v>0</v>
      </c>
      <c r="N518" t="str">
        <f>IFERROR(__xludf.DUMMYFUNCTION("""COMPUTED_VALUE"""),"EXTERNO")</f>
        <v>EXTERNO</v>
      </c>
      <c r="O518">
        <f>IFERROR(__xludf.DUMMYFUNCTION("""COMPUTED_VALUE"""),16.0)</f>
        <v>16</v>
      </c>
      <c r="P518">
        <f>IFERROR(__xludf.DUMMYFUNCTION("""COMPUTED_VALUE"""),2.0)</f>
        <v>2</v>
      </c>
      <c r="Q518">
        <f>IFERROR(__xludf.DUMMYFUNCTION("""COMPUTED_VALUE"""),1.0)</f>
        <v>1</v>
      </c>
      <c r="R518" s="45" t="str">
        <f>IFERROR(__xludf.DUMMYFUNCTION("""COMPUTED_VALUE"""),"SELECCIONADO")</f>
        <v>SELECCIONADO</v>
      </c>
      <c r="S518" s="38">
        <f>IFERROR(__xludf.DUMMYFUNCTION("""COMPUTED_VALUE"""),42222.0)</f>
        <v>42222</v>
      </c>
      <c r="U518" t="str">
        <f>IFERROR(__xludf.DUMMYFUNCTION("""COMPUTED_VALUE"""),"TOMAS PARKER CERDA")</f>
        <v>TOMAS PARKER CERDA</v>
      </c>
      <c r="V518" t="str">
        <f>IFERROR(__xludf.DUMMYFUNCTION("""COMPUTED_VALUE"""),"14123013-1")</f>
        <v>14123013-1</v>
      </c>
      <c r="W518" t="str">
        <f>IFERROR(__xludf.DUMMYFUNCTION("""COMPUTED_VALUE"""),"SI")</f>
        <v>SI</v>
      </c>
      <c r="X518" t="str">
        <f>IFERROR(__xludf.DUMMYFUNCTION("""COMPUTED_VALUE"""),"TRABAJO EN EQUIPO")</f>
        <v>TRABAJO EN EQUIPO</v>
      </c>
      <c r="AA518" s="38">
        <f>IFERROR(__xludf.DUMMYFUNCTION("""COMPUTED_VALUE"""),42178.0)</f>
        <v>42178</v>
      </c>
      <c r="AB518" s="38">
        <f>IFERROR(__xludf.DUMMYFUNCTION("""COMPUTED_VALUE"""),42185.0)</f>
        <v>42185</v>
      </c>
      <c r="AH518" t="str">
        <f>IFERROR(__xludf.DUMMYFUNCTION("""COMPUTED_VALUE"""),"PROCESO DE SELECCIÓN")</f>
        <v>PROCESO DE SELECCIÓN</v>
      </c>
      <c r="AI518" t="str">
        <f>IFERROR(__xludf.DUMMYFUNCTION("""COMPUTED_VALUE"""),"SANDRA GOMEZ SOTO")</f>
        <v>SANDRA GOMEZ SOTO</v>
      </c>
      <c r="AK518" t="str">
        <f>IFERROR(__xludf.DUMMYFUNCTION("""COMPUTED_VALUE"""),"P")</f>
        <v>P</v>
      </c>
      <c r="AL518">
        <f>IFERROR(__xludf.DUMMYFUNCTION("""COMPUTED_VALUE"""),28.0)</f>
        <v>28</v>
      </c>
      <c r="AM518">
        <f>IFERROR(__xludf.DUMMYFUNCTION("""COMPUTED_VALUE"""),2015.0)</f>
        <v>2015</v>
      </c>
    </row>
    <row r="519">
      <c r="A519">
        <f>IFERROR(__xludf.DUMMYFUNCTION("""COMPUTED_VALUE"""),1.3898274E7)</f>
        <v>13898274</v>
      </c>
      <c r="B519">
        <f>IFERROR(__xludf.DUMMYFUNCTION("""COMPUTED_VALUE"""),63.0)</f>
        <v>63</v>
      </c>
      <c r="D519" t="str">
        <f>IFERROR(__xludf.DUMMYFUNCTION("""COMPUTED_VALUE"""),"3")</f>
        <v>3</v>
      </c>
      <c r="E519" t="str">
        <f>IFERROR(__xludf.DUMMYFUNCTION("""COMPUTED_VALUE"""),"DEPARTAMENTO DE RECURSOS HUMANOS")</f>
        <v>DEPARTAMENTO DE RECURSOS HUMANOS</v>
      </c>
      <c r="F519" t="str">
        <f>IFERROR(__xludf.DUMMYFUNCTION("""COMPUTED_VALUE"""),"Administrativo(a) de Recursos Humanos")</f>
        <v>Administrativo(a) de Recursos Humanos</v>
      </c>
      <c r="G519" t="str">
        <f>IFERROR(__xludf.DUMMYFUNCTION("""COMPUTED_VALUE"""),"ADMINISTRATIVO DE RECURSOS HUMANOS")</f>
        <v>ADMINISTRATIVO DE RECURSOS HUMANOS</v>
      </c>
      <c r="H519">
        <f>IFERROR(__xludf.DUMMYFUNCTION("""COMPUTED_VALUE"""),17.0)</f>
        <v>17</v>
      </c>
      <c r="I519" t="str">
        <f>IFERROR(__xludf.DUMMYFUNCTION("""COMPUTED_VALUE"""),"Jornada Completa")</f>
        <v>Jornada Completa</v>
      </c>
      <c r="J519" t="str">
        <f>IFERROR(__xludf.DUMMYFUNCTION("""COMPUTED_VALUE"""),"A CONTRATA")</f>
        <v>A CONTRATA</v>
      </c>
      <c r="K519" t="str">
        <f>IFERROR(__xludf.DUMMYFUNCTION("""COMPUTED_VALUE"""),"ADMINISTRATIVO")</f>
        <v>ADMINISTRATIVO</v>
      </c>
      <c r="L519" t="str">
        <f>IFERROR(__xludf.DUMMYFUNCTION("""COMPUTED_VALUE"""),"INTERNO")</f>
        <v>INTERNO</v>
      </c>
      <c r="M519">
        <f>IFERROR(__xludf.DUMMYFUNCTION("""COMPUTED_VALUE"""),2.0)</f>
        <v>2</v>
      </c>
      <c r="N519" t="str">
        <f>IFERROR(__xludf.DUMMYFUNCTION("""COMPUTED_VALUE"""),"NO")</f>
        <v>NO</v>
      </c>
      <c r="P519">
        <f>IFERROR(__xludf.DUMMYFUNCTION("""COMPUTED_VALUE"""),2.0)</f>
        <v>2</v>
      </c>
      <c r="Q519">
        <f>IFERROR(__xludf.DUMMYFUNCTION("""COMPUTED_VALUE"""),1.0)</f>
        <v>1</v>
      </c>
      <c r="R519" s="45" t="str">
        <f>IFERROR(__xludf.DUMMYFUNCTION("""COMPUTED_VALUE"""),"SELECCIONADO")</f>
        <v>SELECCIONADO</v>
      </c>
      <c r="S519" s="38">
        <f>IFERROR(__xludf.DUMMYFUNCTION("""COMPUTED_VALUE"""),42226.0)</f>
        <v>42226</v>
      </c>
      <c r="T519" t="str">
        <f>IFERROR(__xludf.DUMMYFUNCTION("""COMPUTED_VALUE"""),"CARLOS BUSTAMANTE HENRIQUEZ")</f>
        <v>CARLOS BUSTAMANTE HENRIQUEZ</v>
      </c>
      <c r="V519" t="str">
        <f>IFERROR(__xludf.DUMMYFUNCTION("""COMPUTED_VALUE"""),"13898274-2")</f>
        <v>13898274-2</v>
      </c>
      <c r="W519" t="str">
        <f>IFERROR(__xludf.DUMMYFUNCTION("""COMPUTED_VALUE"""),"SI")</f>
        <v>SI</v>
      </c>
      <c r="X519" t="str">
        <f>IFERROR(__xludf.DUMMYFUNCTION("""COMPUTED_VALUE"""),"TRABAJO EN EQUIPO")</f>
        <v>TRABAJO EN EQUIPO</v>
      </c>
      <c r="Y519" t="str">
        <f>IFERROR(__xludf.DUMMYFUNCTION("""COMPUTED_VALUE"""),"Preocupacion por el Orden y la Claridad")</f>
        <v>Preocupacion por el Orden y la Claridad</v>
      </c>
      <c r="Z519" t="str">
        <f>IFERROR(__xludf.DUMMYFUNCTION("""COMPUTED_VALUE"""),"ORIENTACION A LOS RESULTADOS")</f>
        <v>ORIENTACION A LOS RESULTADOS</v>
      </c>
      <c r="AA519" s="38">
        <f>IFERROR(__xludf.DUMMYFUNCTION("""COMPUTED_VALUE"""),42186.0)</f>
        <v>42186</v>
      </c>
      <c r="AB519" s="38">
        <f>IFERROR(__xludf.DUMMYFUNCTION("""COMPUTED_VALUE"""),42188.0)</f>
        <v>42188</v>
      </c>
      <c r="AC519">
        <f>IFERROR(__xludf.DUMMYFUNCTION("""COMPUTED_VALUE"""),24.0)</f>
        <v>24</v>
      </c>
      <c r="AD519" t="str">
        <f>IFERROR(__xludf.DUMMYFUNCTION("""COMPUTED_VALUE"""),"AUXILIAR")</f>
        <v>AUXILIAR</v>
      </c>
      <c r="AE519" t="str">
        <f>IFERROR(__xludf.DUMMYFUNCTION("""COMPUTED_VALUE"""),"ESTAFETA")</f>
        <v>ESTAFETA</v>
      </c>
      <c r="AF519" s="46" t="str">
        <f>IFERROR(__xludf.DUMMYFUNCTION("""COMPUTED_VALUE"""),"DEPARTAMENTO DE INGENIERIA INFORMATICA")</f>
        <v>DEPARTAMENTO DE INGENIERIA INFORMATICA</v>
      </c>
      <c r="AH519" t="str">
        <f>IFERROR(__xludf.DUMMYFUNCTION("""COMPUTED_VALUE"""),"PROCESO DE SELECCIÓN")</f>
        <v>PROCESO DE SELECCIÓN</v>
      </c>
      <c r="AI519" t="str">
        <f>IFERROR(__xludf.DUMMYFUNCTION("""COMPUTED_VALUE"""),"JAIME BASAEZ")</f>
        <v>JAIME BASAEZ</v>
      </c>
      <c r="AK519" t="str">
        <f>IFERROR(__xludf.DUMMYFUNCTION("""COMPUTED_VALUE"""),"P")</f>
        <v>P</v>
      </c>
      <c r="AL519">
        <f>IFERROR(__xludf.DUMMYFUNCTION("""COMPUTED_VALUE"""),27.0)</f>
        <v>27</v>
      </c>
      <c r="AM519">
        <f>IFERROR(__xludf.DUMMYFUNCTION("""COMPUTED_VALUE"""),2015.0)</f>
        <v>2015</v>
      </c>
    </row>
    <row r="520">
      <c r="A520">
        <f>IFERROR(__xludf.DUMMYFUNCTION("""COMPUTED_VALUE"""),1.8767118E7)</f>
        <v>18767118</v>
      </c>
      <c r="B520">
        <f>IFERROR(__xludf.DUMMYFUNCTION("""COMPUTED_VALUE"""),64.0)</f>
        <v>64</v>
      </c>
      <c r="D520" t="str">
        <f>IFERROR(__xludf.DUMMYFUNCTION("""COMPUTED_VALUE"""),"120")</f>
        <v>120</v>
      </c>
      <c r="E520" t="str">
        <f>IFERROR(__xludf.DUMMYFUNCTION("""COMPUTED_VALUE"""),"DEPARTAMENTO DE SELLO EDITORIAL")</f>
        <v>DEPARTAMENTO DE SELLO EDITORIAL</v>
      </c>
      <c r="F520" t="str">
        <f>IFERROR(__xludf.DUMMYFUNCTION("""COMPUTED_VALUE"""),"Administrativo(a) de Apoyo")</f>
        <v>Administrativo(a) de Apoyo</v>
      </c>
      <c r="G520" t="str">
        <f>IFERROR(__xludf.DUMMYFUNCTION("""COMPUTED_VALUE"""),"ADMINISTRATIVO DE APOYO")</f>
        <v>ADMINISTRATIVO DE APOYO</v>
      </c>
      <c r="H520">
        <f>IFERROR(__xludf.DUMMYFUNCTION("""COMPUTED_VALUE"""),21.0)</f>
        <v>21</v>
      </c>
      <c r="I520" t="str">
        <f>IFERROR(__xludf.DUMMYFUNCTION("""COMPUTED_VALUE"""),"Jornada Completa")</f>
        <v>Jornada Completa</v>
      </c>
      <c r="J520" t="str">
        <f>IFERROR(__xludf.DUMMYFUNCTION("""COMPUTED_VALUE"""),"A CONTRATA")</f>
        <v>A CONTRATA</v>
      </c>
      <c r="K520" t="str">
        <f>IFERROR(__xludf.DUMMYFUNCTION("""COMPUTED_VALUE"""),"ADMINISTRATIVO")</f>
        <v>ADMINISTRATIVO</v>
      </c>
      <c r="L520" t="str">
        <f>IFERROR(__xludf.DUMMYFUNCTION("""COMPUTED_VALUE"""),"INTERNO")</f>
        <v>INTERNO</v>
      </c>
      <c r="M520">
        <f>IFERROR(__xludf.DUMMYFUNCTION("""COMPUTED_VALUE"""),24.0)</f>
        <v>24</v>
      </c>
      <c r="N520" t="str">
        <f>IFERROR(__xludf.DUMMYFUNCTION("""COMPUTED_VALUE"""),"EXTERNO")</f>
        <v>EXTERNO</v>
      </c>
      <c r="O520">
        <f>IFERROR(__xludf.DUMMYFUNCTION("""COMPUTED_VALUE"""),24.0)</f>
        <v>24</v>
      </c>
      <c r="P520">
        <f>IFERROR(__xludf.DUMMYFUNCTION("""COMPUTED_VALUE"""),1.0)</f>
        <v>1</v>
      </c>
      <c r="Q520">
        <f>IFERROR(__xludf.DUMMYFUNCTION("""COMPUTED_VALUE"""),3.0)</f>
        <v>3</v>
      </c>
      <c r="R520" s="45" t="str">
        <f>IFERROR(__xludf.DUMMYFUNCTION("""COMPUTED_VALUE"""),"SELECCIONADO")</f>
        <v>SELECCIONADO</v>
      </c>
      <c r="S520" s="38">
        <f>IFERROR(__xludf.DUMMYFUNCTION("""COMPUTED_VALUE"""),42268.0)</f>
        <v>42268</v>
      </c>
      <c r="U520" t="str">
        <f>IFERROR(__xludf.DUMMYFUNCTION("""COMPUTED_VALUE"""),"ARIEL ALMONACID MOLINA")</f>
        <v>ARIEL ALMONACID MOLINA</v>
      </c>
      <c r="V520" t="str">
        <f>IFERROR(__xludf.DUMMYFUNCTION("""COMPUTED_VALUE"""),"18767118-3")</f>
        <v>18767118-3</v>
      </c>
      <c r="W520" t="str">
        <f>IFERROR(__xludf.DUMMYFUNCTION("""COMPUTED_VALUE"""),"NO")</f>
        <v>NO</v>
      </c>
      <c r="AA520" s="38">
        <f>IFERROR(__xludf.DUMMYFUNCTION("""COMPUTED_VALUE"""),42226.0)</f>
        <v>42226</v>
      </c>
      <c r="AB520" s="38">
        <f>IFERROR(__xludf.DUMMYFUNCTION("""COMPUTED_VALUE"""),42233.0)</f>
        <v>42233</v>
      </c>
      <c r="AH520" t="str">
        <f>IFERROR(__xludf.DUMMYFUNCTION("""COMPUTED_VALUE"""),"PROCESO DE SELECCIÓN")</f>
        <v>PROCESO DE SELECCIÓN</v>
      </c>
      <c r="AI520" t="str">
        <f>IFERROR(__xludf.DUMMYFUNCTION("""COMPUTED_VALUE"""),"JOSE ARROYO MANCILLA")</f>
        <v>JOSE ARROYO MANCILLA</v>
      </c>
      <c r="AK520" t="str">
        <f>IFERROR(__xludf.DUMMYFUNCTION("""COMPUTED_VALUE"""),"E")</f>
        <v>E</v>
      </c>
      <c r="AL520">
        <f>IFERROR(__xludf.DUMMYFUNCTION("""COMPUTED_VALUE"""),26.0)</f>
        <v>26</v>
      </c>
      <c r="AM520">
        <f>IFERROR(__xludf.DUMMYFUNCTION("""COMPUTED_VALUE"""),2015.0)</f>
        <v>2015</v>
      </c>
    </row>
    <row r="521">
      <c r="A521">
        <f>IFERROR(__xludf.DUMMYFUNCTION("""COMPUTED_VALUE"""),1.3665776E7)</f>
        <v>13665776</v>
      </c>
      <c r="B521">
        <f>IFERROR(__xludf.DUMMYFUNCTION("""COMPUTED_VALUE"""),65.0)</f>
        <v>65</v>
      </c>
      <c r="D521" t="str">
        <f>IFERROR(__xludf.DUMMYFUNCTION("""COMPUTED_VALUE"""),"40")</f>
        <v>40</v>
      </c>
      <c r="E521" t="str">
        <f>IFERROR(__xludf.DUMMYFUNCTION("""COMPUTED_VALUE"""),"DEPARTAMENTO DE INGENIERIA GEOGRAFICA")</f>
        <v>DEPARTAMENTO DE INGENIERIA GEOGRAFICA</v>
      </c>
      <c r="F521" t="str">
        <f>IFERROR(__xludf.DUMMYFUNCTION("""COMPUTED_VALUE"""),"Técnico(a) de Soporte Básico en Computación")</f>
        <v>Técnico(a) de Soporte Básico en Computación</v>
      </c>
      <c r="G521" t="str">
        <f>IFERROR(__xludf.DUMMYFUNCTION("""COMPUTED_VALUE"""),"TÉCNICO DE SOPORTE BÁSICO EN COMPUTACIÓN")</f>
        <v>TÉCNICO DE SOPORTE BÁSICO EN COMPUTACIÓN</v>
      </c>
      <c r="H521">
        <f>IFERROR(__xludf.DUMMYFUNCTION("""COMPUTED_VALUE"""),17.0)</f>
        <v>17</v>
      </c>
      <c r="I521" t="str">
        <f>IFERROR(__xludf.DUMMYFUNCTION("""COMPUTED_VALUE"""),"Jornada Completa")</f>
        <v>Jornada Completa</v>
      </c>
      <c r="J521" t="str">
        <f>IFERROR(__xludf.DUMMYFUNCTION("""COMPUTED_VALUE"""),"A CONTRATA")</f>
        <v>A CONTRATA</v>
      </c>
      <c r="K521" t="str">
        <f>IFERROR(__xludf.DUMMYFUNCTION("""COMPUTED_VALUE"""),"TECNICO")</f>
        <v>TECNICO</v>
      </c>
      <c r="L521" t="str">
        <f>IFERROR(__xludf.DUMMYFUNCTION("""COMPUTED_VALUE"""),"INTERNO")</f>
        <v>INTERNO</v>
      </c>
      <c r="M521">
        <f>IFERROR(__xludf.DUMMYFUNCTION("""COMPUTED_VALUE"""),2.0)</f>
        <v>2</v>
      </c>
      <c r="N521" t="str">
        <f>IFERROR(__xludf.DUMMYFUNCTION("""COMPUTED_VALUE"""),"NO")</f>
        <v>NO</v>
      </c>
      <c r="P521">
        <f>IFERROR(__xludf.DUMMYFUNCTION("""COMPUTED_VALUE"""),1.0)</f>
        <v>1</v>
      </c>
      <c r="Q521">
        <f>IFERROR(__xludf.DUMMYFUNCTION("""COMPUTED_VALUE"""),0.0)</f>
        <v>0</v>
      </c>
      <c r="R521" s="45" t="str">
        <f>IFERROR(__xludf.DUMMYFUNCTION("""COMPUTED_VALUE"""),"SELECCIONADO")</f>
        <v>SELECCIONADO</v>
      </c>
      <c r="S521" s="38">
        <f>IFERROR(__xludf.DUMMYFUNCTION("""COMPUTED_VALUE"""),42278.0)</f>
        <v>42278</v>
      </c>
      <c r="T521" t="str">
        <f>IFERROR(__xludf.DUMMYFUNCTION("""COMPUTED_VALUE"""),"CRISTIAN ROJAS CABALLERO")</f>
        <v>CRISTIAN ROJAS CABALLERO</v>
      </c>
      <c r="V521" t="str">
        <f>IFERROR(__xludf.DUMMYFUNCTION("""COMPUTED_VALUE"""),"13665776-3")</f>
        <v>13665776-3</v>
      </c>
      <c r="W521" t="str">
        <f>IFERROR(__xludf.DUMMYFUNCTION("""COMPUTED_VALUE"""),"SI")</f>
        <v>SI</v>
      </c>
      <c r="Z521" t="str">
        <f>IFERROR(__xludf.DUMMYFUNCTION("""COMPUTED_VALUE"""),"ORIENTACION A LOS RESULTADOS")</f>
        <v>ORIENTACION A LOS RESULTADOS</v>
      </c>
      <c r="AA521" s="38">
        <f>IFERROR(__xludf.DUMMYFUNCTION("""COMPUTED_VALUE"""),42241.0)</f>
        <v>42241</v>
      </c>
      <c r="AB521" s="38">
        <f>IFERROR(__xludf.DUMMYFUNCTION("""COMPUTED_VALUE"""),42243.0)</f>
        <v>42243</v>
      </c>
      <c r="AC521">
        <f>IFERROR(__xludf.DUMMYFUNCTION("""COMPUTED_VALUE"""),20.0)</f>
        <v>20</v>
      </c>
      <c r="AD521" t="str">
        <f>IFERROR(__xludf.DUMMYFUNCTION("""COMPUTED_VALUE"""),"AUXILIAR")</f>
        <v>AUXILIAR</v>
      </c>
      <c r="AE521" t="str">
        <f>IFERROR(__xludf.DUMMYFUNCTION("""COMPUTED_VALUE"""),"AUXILIAR DE SERVICIOS")</f>
        <v>AUXILIAR DE SERVICIOS</v>
      </c>
      <c r="AF521" s="46" t="str">
        <f>IFERROR(__xludf.DUMMYFUNCTION("""COMPUTED_VALUE"""),"DEPARTAMENTO DE INGENIERIA GEOGRAFICA")</f>
        <v>DEPARTAMENTO DE INGENIERIA GEOGRAFICA</v>
      </c>
      <c r="AH521" t="str">
        <f>IFERROR(__xludf.DUMMYFUNCTION("""COMPUTED_VALUE"""),"PROCESO DE SELECCIÓN")</f>
        <v>PROCESO DE SELECCIÓN</v>
      </c>
      <c r="AI521" t="str">
        <f>IFERROR(__xludf.DUMMYFUNCTION("""COMPUTED_VALUE"""),"CLAUDIO YOTSUMOTO")</f>
        <v>CLAUDIO YOTSUMOTO</v>
      </c>
      <c r="AK521" t="str">
        <f>IFERROR(__xludf.DUMMYFUNCTION("""COMPUTED_VALUE"""),"P")</f>
        <v>P</v>
      </c>
      <c r="AL521">
        <f>IFERROR(__xludf.DUMMYFUNCTION("""COMPUTED_VALUE"""),26.0)</f>
        <v>26</v>
      </c>
      <c r="AM521">
        <f>IFERROR(__xludf.DUMMYFUNCTION("""COMPUTED_VALUE"""),2015.0)</f>
        <v>2015</v>
      </c>
    </row>
    <row r="522">
      <c r="A522">
        <f>IFERROR(__xludf.DUMMYFUNCTION("""COMPUTED_VALUE"""),1.6749757E7)</f>
        <v>16749757</v>
      </c>
      <c r="B522">
        <f>IFERROR(__xludf.DUMMYFUNCTION("""COMPUTED_VALUE"""),66.0)</f>
        <v>66</v>
      </c>
      <c r="D522" t="str">
        <f>IFERROR(__xludf.DUMMYFUNCTION("""COMPUTED_VALUE"""),"40")</f>
        <v>40</v>
      </c>
      <c r="E522" t="str">
        <f>IFERROR(__xludf.DUMMYFUNCTION("""COMPUTED_VALUE"""),"FACULTAD DE INGENIERIA")</f>
        <v>FACULTAD DE INGENIERIA</v>
      </c>
      <c r="F522" t="str">
        <f>IFERROR(__xludf.DUMMYFUNCTION("""COMPUTED_VALUE"""),"Analista de Proyectos I")</f>
        <v>Analista de Proyectos I</v>
      </c>
      <c r="G522" t="str">
        <f>IFERROR(__xludf.DUMMYFUNCTION("""COMPUTED_VALUE"""),"ANALISTA DE PROYECTOS")</f>
        <v>ANALISTA DE PROYECTOS</v>
      </c>
      <c r="H522">
        <f>IFERROR(__xludf.DUMMYFUNCTION("""COMPUTED_VALUE"""),10.0)</f>
        <v>10</v>
      </c>
      <c r="I522" t="str">
        <f>IFERROR(__xludf.DUMMYFUNCTION("""COMPUTED_VALUE"""),"1/2 Jornada")</f>
        <v>1/2 Jornada</v>
      </c>
      <c r="J522" t="str">
        <f>IFERROR(__xludf.DUMMYFUNCTION("""COMPUTED_VALUE"""),"A CONTRATA")</f>
        <v>A CONTRATA</v>
      </c>
      <c r="K522" t="str">
        <f>IFERROR(__xludf.DUMMYFUNCTION("""COMPUTED_VALUE"""),"PROFESIONAL")</f>
        <v>PROFESIONAL</v>
      </c>
      <c r="L522" t="str">
        <f>IFERROR(__xludf.DUMMYFUNCTION("""COMPUTED_VALUE"""),"INTERNO")</f>
        <v>INTERNO</v>
      </c>
      <c r="M522">
        <f>IFERROR(__xludf.DUMMYFUNCTION("""COMPUTED_VALUE"""),2.0)</f>
        <v>2</v>
      </c>
      <c r="N522" t="str">
        <f>IFERROR(__xludf.DUMMYFUNCTION("""COMPUTED_VALUE"""),"NO")</f>
        <v>NO</v>
      </c>
      <c r="P522">
        <f>IFERROR(__xludf.DUMMYFUNCTION("""COMPUTED_VALUE"""),1.0)</f>
        <v>1</v>
      </c>
      <c r="Q522">
        <f>IFERROR(__xludf.DUMMYFUNCTION("""COMPUTED_VALUE"""),0.0)</f>
        <v>0</v>
      </c>
      <c r="R522" s="45" t="str">
        <f>IFERROR(__xludf.DUMMYFUNCTION("""COMPUTED_VALUE"""),"SELECCIONADO")</f>
        <v>SELECCIONADO</v>
      </c>
      <c r="S522" s="38">
        <f>IFERROR(__xludf.DUMMYFUNCTION("""COMPUTED_VALUE"""),42278.0)</f>
        <v>42278</v>
      </c>
      <c r="T522" t="str">
        <f>IFERROR(__xludf.DUMMYFUNCTION("""COMPUTED_VALUE"""),"LUCIANO HIDALGO SEPULVEDA")</f>
        <v>LUCIANO HIDALGO SEPULVEDA</v>
      </c>
      <c r="V522" t="str">
        <f>IFERROR(__xludf.DUMMYFUNCTION("""COMPUTED_VALUE"""),"16749757-8")</f>
        <v>16749757-8</v>
      </c>
      <c r="W522" t="str">
        <f>IFERROR(__xludf.DUMMYFUNCTION("""COMPUTED_VALUE"""),"NO")</f>
        <v>NO</v>
      </c>
      <c r="AA522" s="38">
        <f>IFERROR(__xludf.DUMMYFUNCTION("""COMPUTED_VALUE"""),42208.0)</f>
        <v>42208</v>
      </c>
      <c r="AB522" s="38">
        <f>IFERROR(__xludf.DUMMYFUNCTION("""COMPUTED_VALUE"""),42212.0)</f>
        <v>42212</v>
      </c>
      <c r="AD522" t="str">
        <f>IFERROR(__xludf.DUMMYFUNCTION("""COMPUTED_VALUE"""),"PROFESOR HORA")</f>
        <v>PROFESOR HORA</v>
      </c>
      <c r="AH522" t="str">
        <f>IFERROR(__xludf.DUMMYFUNCTION("""COMPUTED_VALUE"""),"PROCESO DE SELECCIÓN")</f>
        <v>PROCESO DE SELECCIÓN</v>
      </c>
      <c r="AI522" t="str">
        <f>IFERROR(__xludf.DUMMYFUNCTION("""COMPUTED_VALUE"""),"-")</f>
        <v>-</v>
      </c>
      <c r="AK522" t="str">
        <f>IFERROR(__xludf.DUMMYFUNCTION("""COMPUTED_VALUE"""),"P")</f>
        <v>P</v>
      </c>
      <c r="AL522">
        <f>IFERROR(__xludf.DUMMYFUNCTION("""COMPUTED_VALUE"""),49.0)</f>
        <v>49</v>
      </c>
      <c r="AM522">
        <f>IFERROR(__xludf.DUMMYFUNCTION("""COMPUTED_VALUE"""),2015.0)</f>
        <v>2015</v>
      </c>
    </row>
    <row r="523">
      <c r="A523">
        <f>IFERROR(__xludf.DUMMYFUNCTION("""COMPUTED_VALUE"""),1.6006444E7)</f>
        <v>16006444</v>
      </c>
      <c r="B523">
        <f>IFERROR(__xludf.DUMMYFUNCTION("""COMPUTED_VALUE"""),67.0)</f>
        <v>67</v>
      </c>
      <c r="D523" t="str">
        <f>IFERROR(__xludf.DUMMYFUNCTION("""COMPUTED_VALUE"""),"50")</f>
        <v>50</v>
      </c>
      <c r="E523" t="str">
        <f>IFERROR(__xludf.DUMMYFUNCTION("""COMPUTED_VALUE"""),"FACULTAD DE CIENCIA")</f>
        <v>FACULTAD DE CIENCIA</v>
      </c>
      <c r="F523" t="str">
        <f>IFERROR(__xludf.DUMMYFUNCTION("""COMPUTED_VALUE"""),"Encargado(a) de Vinculación con el Medio")</f>
        <v>Encargado(a) de Vinculación con el Medio</v>
      </c>
      <c r="G523" t="str">
        <f>IFERROR(__xludf.DUMMYFUNCTION("""COMPUTED_VALUE"""),"ENCARGADO DE VINCULACION CON EL MEDIO")</f>
        <v>ENCARGADO DE VINCULACION CON EL MEDIO</v>
      </c>
      <c r="H523">
        <f>IFERROR(__xludf.DUMMYFUNCTION("""COMPUTED_VALUE"""),13.0)</f>
        <v>13</v>
      </c>
      <c r="I523" t="str">
        <f>IFERROR(__xludf.DUMMYFUNCTION("""COMPUTED_VALUE"""),"Jornada Completa")</f>
        <v>Jornada Completa</v>
      </c>
      <c r="J523" t="str">
        <f>IFERROR(__xludf.DUMMYFUNCTION("""COMPUTED_VALUE"""),"A CONTRATA")</f>
        <v>A CONTRATA</v>
      </c>
      <c r="K523" t="str">
        <f>IFERROR(__xludf.DUMMYFUNCTION("""COMPUTED_VALUE"""),"PROFESIONAL")</f>
        <v>PROFESIONAL</v>
      </c>
      <c r="L523" t="str">
        <f>IFERROR(__xludf.DUMMYFUNCTION("""COMPUTED_VALUE"""),"INTERNO")</f>
        <v>INTERNO</v>
      </c>
      <c r="M523">
        <f>IFERROR(__xludf.DUMMYFUNCTION("""COMPUTED_VALUE"""),4.0)</f>
        <v>4</v>
      </c>
      <c r="N523" t="str">
        <f>IFERROR(__xludf.DUMMYFUNCTION("""COMPUTED_VALUE"""),"EXTERNO")</f>
        <v>EXTERNO</v>
      </c>
      <c r="O523">
        <f>IFERROR(__xludf.DUMMYFUNCTION("""COMPUTED_VALUE"""),33.0)</f>
        <v>33</v>
      </c>
      <c r="P523">
        <f>IFERROR(__xludf.DUMMYFUNCTION("""COMPUTED_VALUE"""),1.0)</f>
        <v>1</v>
      </c>
      <c r="Q523">
        <f>IFERROR(__xludf.DUMMYFUNCTION("""COMPUTED_VALUE"""),3.0)</f>
        <v>3</v>
      </c>
      <c r="R523" s="45" t="str">
        <f>IFERROR(__xludf.DUMMYFUNCTION("""COMPUTED_VALUE"""),"SELECCIONADO")</f>
        <v>SELECCIONADO</v>
      </c>
      <c r="S523" s="38">
        <f>IFERROR(__xludf.DUMMYFUNCTION("""COMPUTED_VALUE"""),42278.0)</f>
        <v>42278</v>
      </c>
      <c r="U523" t="str">
        <f>IFERROR(__xludf.DUMMYFUNCTION("""COMPUTED_VALUE"""),"FRANCISCA MIRANDA REYES")</f>
        <v>FRANCISCA MIRANDA REYES</v>
      </c>
      <c r="V523" t="str">
        <f>IFERROR(__xludf.DUMMYFUNCTION("""COMPUTED_VALUE"""),"16006444-7")</f>
        <v>16006444-7</v>
      </c>
      <c r="W523" t="str">
        <f>IFERROR(__xludf.DUMMYFUNCTION("""COMPUTED_VALUE"""),"NO")</f>
        <v>NO</v>
      </c>
      <c r="X523" t="str">
        <f>IFERROR(__xludf.DUMMYFUNCTION("""COMPUTED_VALUE"""),"Capacidad de Planificacion y Organizacion")</f>
        <v>Capacidad de Planificacion y Organizacion</v>
      </c>
      <c r="AA523" s="38">
        <f>IFERROR(__xludf.DUMMYFUNCTION("""COMPUTED_VALUE"""),42216.0)</f>
        <v>42216</v>
      </c>
      <c r="AB523" s="38">
        <f>IFERROR(__xludf.DUMMYFUNCTION("""COMPUTED_VALUE"""),42223.0)</f>
        <v>42223</v>
      </c>
      <c r="AH523" t="str">
        <f>IFERROR(__xludf.DUMMYFUNCTION("""COMPUTED_VALUE"""),"PROCESO DE SELECCIÓN")</f>
        <v>PROCESO DE SELECCIÓN</v>
      </c>
      <c r="AI523" t="str">
        <f>IFERROR(__xludf.DUMMYFUNCTION("""COMPUTED_VALUE"""),"-")</f>
        <v>-</v>
      </c>
      <c r="AK523" t="str">
        <f>IFERROR(__xludf.DUMMYFUNCTION("""COMPUTED_VALUE"""),"P")</f>
        <v>P</v>
      </c>
      <c r="AL523">
        <f>IFERROR(__xludf.DUMMYFUNCTION("""COMPUTED_VALUE"""),40.0)</f>
        <v>40</v>
      </c>
      <c r="AM523">
        <f>IFERROR(__xludf.DUMMYFUNCTION("""COMPUTED_VALUE"""),2015.0)</f>
        <v>2015</v>
      </c>
    </row>
    <row r="524">
      <c r="A524">
        <f>IFERROR(__xludf.DUMMYFUNCTION("""COMPUTED_VALUE"""),1.306823E7)</f>
        <v>13068230</v>
      </c>
      <c r="B524">
        <f>IFERROR(__xludf.DUMMYFUNCTION("""COMPUTED_VALUE"""),68.0)</f>
        <v>68</v>
      </c>
      <c r="D524" t="str">
        <f>IFERROR(__xludf.DUMMYFUNCTION("""COMPUTED_VALUE"""),"15")</f>
        <v>15</v>
      </c>
      <c r="E524" t="str">
        <f>IFERROR(__xludf.DUMMYFUNCTION("""COMPUTED_VALUE"""),"VICERRECTORIA ACADEMICA")</f>
        <v>VICERRECTORIA ACADEMICA</v>
      </c>
      <c r="F524" t="str">
        <f>IFERROR(__xludf.DUMMYFUNCTION("""COMPUTED_VALUE"""),"Auxiliar de Servicios")</f>
        <v>Auxiliar de Servicios</v>
      </c>
      <c r="G524" t="str">
        <f>IFERROR(__xludf.DUMMYFUNCTION("""COMPUTED_VALUE"""),"AUXILIAR DE SERVICIOS")</f>
        <v>AUXILIAR DE SERVICIOS</v>
      </c>
      <c r="H524">
        <f>IFERROR(__xludf.DUMMYFUNCTION("""COMPUTED_VALUE"""),23.0)</f>
        <v>23</v>
      </c>
      <c r="I524" t="str">
        <f>IFERROR(__xludf.DUMMYFUNCTION("""COMPUTED_VALUE"""),"Jornada Completa")</f>
        <v>Jornada Completa</v>
      </c>
      <c r="J524" t="str">
        <f>IFERROR(__xludf.DUMMYFUNCTION("""COMPUTED_VALUE"""),"A CONTRATA")</f>
        <v>A CONTRATA</v>
      </c>
      <c r="K524" t="str">
        <f>IFERROR(__xludf.DUMMYFUNCTION("""COMPUTED_VALUE"""),"AUXILIAR")</f>
        <v>AUXILIAR</v>
      </c>
      <c r="L524" t="str">
        <f>IFERROR(__xludf.DUMMYFUNCTION("""COMPUTED_VALUE"""),"INTERNO")</f>
        <v>INTERNO</v>
      </c>
      <c r="M524">
        <f>IFERROR(__xludf.DUMMYFUNCTION("""COMPUTED_VALUE"""),0.0)</f>
        <v>0</v>
      </c>
      <c r="N524" t="str">
        <f>IFERROR(__xludf.DUMMYFUNCTION("""COMPUTED_VALUE"""),"EXTERNO")</f>
        <v>EXTERNO</v>
      </c>
      <c r="O524">
        <f>IFERROR(__xludf.DUMMYFUNCTION("""COMPUTED_VALUE"""),26.0)</f>
        <v>26</v>
      </c>
      <c r="P524">
        <f>IFERROR(__xludf.DUMMYFUNCTION("""COMPUTED_VALUE"""),2.0)</f>
        <v>2</v>
      </c>
      <c r="Q524">
        <f>IFERROR(__xludf.DUMMYFUNCTION("""COMPUTED_VALUE"""),4.0)</f>
        <v>4</v>
      </c>
      <c r="R524" s="45" t="str">
        <f>IFERROR(__xludf.DUMMYFUNCTION("""COMPUTED_VALUE"""),"SELECCIONADO")</f>
        <v>SELECCIONADO</v>
      </c>
      <c r="S524" s="38">
        <f>IFERROR(__xludf.DUMMYFUNCTION("""COMPUTED_VALUE"""),42296.0)</f>
        <v>42296</v>
      </c>
      <c r="U524" t="str">
        <f>IFERROR(__xludf.DUMMYFUNCTION("""COMPUTED_VALUE"""),"JUAN HERNANDEZ HERNANDEZ")</f>
        <v>JUAN HERNANDEZ HERNANDEZ</v>
      </c>
      <c r="V524" t="str">
        <f>IFERROR(__xludf.DUMMYFUNCTION("""COMPUTED_VALUE"""),"13068230-8")</f>
        <v>13068230-8</v>
      </c>
      <c r="W524" t="str">
        <f>IFERROR(__xludf.DUMMYFUNCTION("""COMPUTED_VALUE"""),"NO")</f>
        <v>NO</v>
      </c>
      <c r="AA524" s="38">
        <f>IFERROR(__xludf.DUMMYFUNCTION("""COMPUTED_VALUE"""),42269.0)</f>
        <v>42269</v>
      </c>
      <c r="AB524" s="38">
        <f>IFERROR(__xludf.DUMMYFUNCTION("""COMPUTED_VALUE"""),42277.0)</f>
        <v>42277</v>
      </c>
      <c r="AH524" t="str">
        <f>IFERROR(__xludf.DUMMYFUNCTION("""COMPUTED_VALUE"""),"PROCESO DE SELECCIÓN")</f>
        <v>PROCESO DE SELECCIÓN</v>
      </c>
      <c r="AI524" t="str">
        <f>IFERROR(__xludf.DUMMYFUNCTION("""COMPUTED_VALUE"""),"-")</f>
        <v>-</v>
      </c>
      <c r="AK524" t="str">
        <f>IFERROR(__xludf.DUMMYFUNCTION("""COMPUTED_VALUE"""),"E")</f>
        <v>E</v>
      </c>
      <c r="AL524">
        <f>IFERROR(__xludf.DUMMYFUNCTION("""COMPUTED_VALUE"""),14.0)</f>
        <v>14</v>
      </c>
      <c r="AM524">
        <f>IFERROR(__xludf.DUMMYFUNCTION("""COMPUTED_VALUE"""),2015.0)</f>
        <v>2015</v>
      </c>
    </row>
    <row r="525">
      <c r="A525">
        <f>IFERROR(__xludf.DUMMYFUNCTION("""COMPUTED_VALUE"""),1.666616E7)</f>
        <v>16666160</v>
      </c>
      <c r="B525">
        <f>IFERROR(__xludf.DUMMYFUNCTION("""COMPUTED_VALUE"""),69.0)</f>
        <v>69</v>
      </c>
      <c r="D525" t="str">
        <f>IFERROR(__xludf.DUMMYFUNCTION("""COMPUTED_VALUE"""),"3")</f>
        <v>3</v>
      </c>
      <c r="E525" t="str">
        <f>IFERROR(__xludf.DUMMYFUNCTION("""COMPUTED_VALUE"""),"DEPARTAMENTO DE RECURSOS HUMANOS")</f>
        <v>DEPARTAMENTO DE RECURSOS HUMANOS</v>
      </c>
      <c r="F525" t="str">
        <f>IFERROR(__xludf.DUMMYFUNCTION("""COMPUTED_VALUE"""),"Administrativo(a) de Recursos Humanos")</f>
        <v>Administrativo(a) de Recursos Humanos</v>
      </c>
      <c r="G525" t="str">
        <f>IFERROR(__xludf.DUMMYFUNCTION("""COMPUTED_VALUE"""),"ADMINISTRATIVO DE RECURSOS HUMANOS")</f>
        <v>ADMINISTRATIVO DE RECURSOS HUMANOS</v>
      </c>
      <c r="H525">
        <f>IFERROR(__xludf.DUMMYFUNCTION("""COMPUTED_VALUE"""),17.0)</f>
        <v>17</v>
      </c>
      <c r="I525" t="str">
        <f>IFERROR(__xludf.DUMMYFUNCTION("""COMPUTED_VALUE"""),"Jornada Completa")</f>
        <v>Jornada Completa</v>
      </c>
      <c r="J525" t="str">
        <f>IFERROR(__xludf.DUMMYFUNCTION("""COMPUTED_VALUE"""),"A CONTRATA")</f>
        <v>A CONTRATA</v>
      </c>
      <c r="K525" t="str">
        <f>IFERROR(__xludf.DUMMYFUNCTION("""COMPUTED_VALUE"""),"ADMINISTRATIVO")</f>
        <v>ADMINISTRATIVO</v>
      </c>
      <c r="L525" t="str">
        <f>IFERROR(__xludf.DUMMYFUNCTION("""COMPUTED_VALUE"""),"INTERNO")</f>
        <v>INTERNO</v>
      </c>
      <c r="M525">
        <f>IFERROR(__xludf.DUMMYFUNCTION("""COMPUTED_VALUE"""),1.0)</f>
        <v>1</v>
      </c>
      <c r="N525" t="str">
        <f>IFERROR(__xludf.DUMMYFUNCTION("""COMPUTED_VALUE"""),"EXTERNO")</f>
        <v>EXTERNO</v>
      </c>
      <c r="O525">
        <f>IFERROR(__xludf.DUMMYFUNCTION("""COMPUTED_VALUE"""),13.0)</f>
        <v>13</v>
      </c>
      <c r="P525">
        <f>IFERROR(__xludf.DUMMYFUNCTION("""COMPUTED_VALUE"""),1.0)</f>
        <v>1</v>
      </c>
      <c r="Q525">
        <f>IFERROR(__xludf.DUMMYFUNCTION("""COMPUTED_VALUE"""),1.0)</f>
        <v>1</v>
      </c>
      <c r="R525" s="45" t="str">
        <f>IFERROR(__xludf.DUMMYFUNCTION("""COMPUTED_VALUE"""),"SELECCIONADA")</f>
        <v>SELECCIONADA</v>
      </c>
      <c r="S525" s="38">
        <f>IFERROR(__xludf.DUMMYFUNCTION("""COMPUTED_VALUE"""),42278.0)</f>
        <v>42278</v>
      </c>
      <c r="U525" t="str">
        <f>IFERROR(__xludf.DUMMYFUNCTION("""COMPUTED_VALUE"""),"JOSELYN MAULEN MANRIQUEZ")</f>
        <v>JOSELYN MAULEN MANRIQUEZ</v>
      </c>
      <c r="V525" t="str">
        <f>IFERROR(__xludf.DUMMYFUNCTION("""COMPUTED_VALUE"""),"16666160-9")</f>
        <v>16666160-9</v>
      </c>
      <c r="W525" t="str">
        <f>IFERROR(__xludf.DUMMYFUNCTION("""COMPUTED_VALUE"""),"NO")</f>
        <v>NO</v>
      </c>
      <c r="AA525" s="38">
        <f>IFERROR(__xludf.DUMMYFUNCTION("""COMPUTED_VALUE"""),42199.0)</f>
        <v>42199</v>
      </c>
      <c r="AB525" s="38">
        <f>IFERROR(__xludf.DUMMYFUNCTION("""COMPUTED_VALUE"""),42207.0)</f>
        <v>42207</v>
      </c>
      <c r="AH525" t="str">
        <f>IFERROR(__xludf.DUMMYFUNCTION("""COMPUTED_VALUE"""),"PROCESO DE SELECCIÓN")</f>
        <v>PROCESO DE SELECCIÓN</v>
      </c>
      <c r="AI525" t="str">
        <f>IFERROR(__xludf.DUMMYFUNCTION("""COMPUTED_VALUE"""),"JUAN SALINAS")</f>
        <v>JUAN SALINAS</v>
      </c>
      <c r="AK525" t="str">
        <f>IFERROR(__xludf.DUMMYFUNCTION("""COMPUTED_VALUE"""),"P")</f>
        <v>P</v>
      </c>
      <c r="AL525">
        <f>IFERROR(__xludf.DUMMYFUNCTION("""COMPUTED_VALUE"""),52.0)</f>
        <v>52</v>
      </c>
      <c r="AM525">
        <f>IFERROR(__xludf.DUMMYFUNCTION("""COMPUTED_VALUE"""),2015.0)</f>
        <v>2015</v>
      </c>
    </row>
    <row r="526">
      <c r="A526">
        <f>IFERROR(__xludf.DUMMYFUNCTION("""COMPUTED_VALUE"""),1.6951912E7)</f>
        <v>16951912</v>
      </c>
      <c r="B526">
        <f>IFERROR(__xludf.DUMMYFUNCTION("""COMPUTED_VALUE"""),70.0)</f>
        <v>70</v>
      </c>
      <c r="D526" t="str">
        <f>IFERROR(__xludf.DUMMYFUNCTION("""COMPUTED_VALUE"""),"11")</f>
        <v>11</v>
      </c>
      <c r="E526" t="str">
        <f>IFERROR(__xludf.DUMMYFUNCTION("""COMPUTED_VALUE"""),"VICERRECTORIA DE INVESTIGACION, DESARROLLO E INNOVACION")</f>
        <v>VICERRECTORIA DE INVESTIGACION, DESARROLLO E INNOVACION</v>
      </c>
      <c r="F526" t="str">
        <f>IFERROR(__xludf.DUMMYFUNCTION("""COMPUTED_VALUE"""),"Mayordomo(a)")</f>
        <v>Mayordomo(a)</v>
      </c>
      <c r="G526" t="str">
        <f>IFERROR(__xludf.DUMMYFUNCTION("""COMPUTED_VALUE"""),"MAYORDOMO")</f>
        <v>MAYORDOMO</v>
      </c>
      <c r="H526">
        <f>IFERROR(__xludf.DUMMYFUNCTION("""COMPUTED_VALUE"""),21.0)</f>
        <v>21</v>
      </c>
      <c r="I526" t="str">
        <f>IFERROR(__xludf.DUMMYFUNCTION("""COMPUTED_VALUE"""),"Jornada Completa")</f>
        <v>Jornada Completa</v>
      </c>
      <c r="J526" t="str">
        <f>IFERROR(__xludf.DUMMYFUNCTION("""COMPUTED_VALUE"""),"A CONTRATA")</f>
        <v>A CONTRATA</v>
      </c>
      <c r="K526" t="str">
        <f>IFERROR(__xludf.DUMMYFUNCTION("""COMPUTED_VALUE"""),"AUXILIAR")</f>
        <v>AUXILIAR</v>
      </c>
      <c r="L526" t="str">
        <f>IFERROR(__xludf.DUMMYFUNCTION("""COMPUTED_VALUE"""),"INTERNO")</f>
        <v>INTERNO</v>
      </c>
      <c r="M526">
        <f>IFERROR(__xludf.DUMMYFUNCTION("""COMPUTED_VALUE"""),0.0)</f>
        <v>0</v>
      </c>
      <c r="N526" t="str">
        <f>IFERROR(__xludf.DUMMYFUNCTION("""COMPUTED_VALUE"""),"EXTERNO")</f>
        <v>EXTERNO</v>
      </c>
      <c r="O526">
        <f>IFERROR(__xludf.DUMMYFUNCTION("""COMPUTED_VALUE"""),4.0)</f>
        <v>4</v>
      </c>
      <c r="P526">
        <f>IFERROR(__xludf.DUMMYFUNCTION("""COMPUTED_VALUE"""),2.0)</f>
        <v>2</v>
      </c>
      <c r="Q526">
        <f>IFERROR(__xludf.DUMMYFUNCTION("""COMPUTED_VALUE"""),1.0)</f>
        <v>1</v>
      </c>
      <c r="R526" s="45" t="str">
        <f>IFERROR(__xludf.DUMMYFUNCTION("""COMPUTED_VALUE"""),"SELECCIONADO")</f>
        <v>SELECCIONADO</v>
      </c>
      <c r="S526" s="38">
        <f>IFERROR(__xludf.DUMMYFUNCTION("""COMPUTED_VALUE"""),42240.0)</f>
        <v>42240</v>
      </c>
      <c r="U526" t="str">
        <f>IFERROR(__xludf.DUMMYFUNCTION("""COMPUTED_VALUE"""),"ALEXIS CABELLO ARAVENA")</f>
        <v>ALEXIS CABELLO ARAVENA</v>
      </c>
      <c r="V526" t="str">
        <f>IFERROR(__xludf.DUMMYFUNCTION("""COMPUTED_VALUE"""),"16951912-9")</f>
        <v>16951912-9</v>
      </c>
      <c r="W526" t="str">
        <f>IFERROR(__xludf.DUMMYFUNCTION("""COMPUTED_VALUE"""),"NO")</f>
        <v>NO</v>
      </c>
      <c r="AA526" s="38">
        <f>IFERROR(__xludf.DUMMYFUNCTION("""COMPUTED_VALUE"""),42223.0)</f>
        <v>42223</v>
      </c>
      <c r="AB526" s="38">
        <f>IFERROR(__xludf.DUMMYFUNCTION("""COMPUTED_VALUE"""),42226.0)</f>
        <v>42226</v>
      </c>
      <c r="AH526" t="str">
        <f>IFERROR(__xludf.DUMMYFUNCTION("""COMPUTED_VALUE"""),"PROCESO DE SELECCIÓN")</f>
        <v>PROCESO DE SELECCIÓN</v>
      </c>
      <c r="AI526" t="str">
        <f>IFERROR(__xludf.DUMMYFUNCTION("""COMPUTED_VALUE"""),"-")</f>
        <v>-</v>
      </c>
      <c r="AK526" t="str">
        <f>IFERROR(__xludf.DUMMYFUNCTION("""COMPUTED_VALUE"""),"P")</f>
        <v>P</v>
      </c>
      <c r="AL526">
        <f>IFERROR(__xludf.DUMMYFUNCTION("""COMPUTED_VALUE"""),11.0)</f>
        <v>11</v>
      </c>
      <c r="AM526">
        <f>IFERROR(__xludf.DUMMYFUNCTION("""COMPUTED_VALUE"""),2015.0)</f>
        <v>2015</v>
      </c>
    </row>
    <row r="527">
      <c r="A527">
        <f>IFERROR(__xludf.DUMMYFUNCTION("""COMPUTED_VALUE"""),1.6924975E7)</f>
        <v>16924975</v>
      </c>
      <c r="B527">
        <f>IFERROR(__xludf.DUMMYFUNCTION("""COMPUTED_VALUE"""),71.0)</f>
        <v>71</v>
      </c>
      <c r="D527" t="str">
        <f>IFERROR(__xludf.DUMMYFUNCTION("""COMPUTED_VALUE"""),"11")</f>
        <v>11</v>
      </c>
      <c r="E527" t="str">
        <f>IFERROR(__xludf.DUMMYFUNCTION("""COMPUTED_VALUE"""),"VICERRECTORIA DE INVESTIGACION, DESARROLLO E INNOVACION")</f>
        <v>VICERRECTORIA DE INVESTIGACION, DESARROLLO E INNOVACION</v>
      </c>
      <c r="F527" t="str">
        <f>IFERROR(__xludf.DUMMYFUNCTION("""COMPUTED_VALUE"""),"Mayordomo(a)")</f>
        <v>Mayordomo(a)</v>
      </c>
      <c r="G527" t="str">
        <f>IFERROR(__xludf.DUMMYFUNCTION("""COMPUTED_VALUE"""),"MAYORDOMO")</f>
        <v>MAYORDOMO</v>
      </c>
      <c r="H527">
        <f>IFERROR(__xludf.DUMMYFUNCTION("""COMPUTED_VALUE"""),21.0)</f>
        <v>21</v>
      </c>
      <c r="I527" t="str">
        <f>IFERROR(__xludf.DUMMYFUNCTION("""COMPUTED_VALUE"""),"Jornada Completa")</f>
        <v>Jornada Completa</v>
      </c>
      <c r="J527" t="str">
        <f>IFERROR(__xludf.DUMMYFUNCTION("""COMPUTED_VALUE"""),"A CONTRATA")</f>
        <v>A CONTRATA</v>
      </c>
      <c r="K527" t="str">
        <f>IFERROR(__xludf.DUMMYFUNCTION("""COMPUTED_VALUE"""),"AUXILIAR")</f>
        <v>AUXILIAR</v>
      </c>
      <c r="L527" t="str">
        <f>IFERROR(__xludf.DUMMYFUNCTION("""COMPUTED_VALUE"""),"INTERNO")</f>
        <v>INTERNO</v>
      </c>
      <c r="M527">
        <f>IFERROR(__xludf.DUMMYFUNCTION("""COMPUTED_VALUE"""),0.0)</f>
        <v>0</v>
      </c>
      <c r="N527" t="str">
        <f>IFERROR(__xludf.DUMMYFUNCTION("""COMPUTED_VALUE"""),"EXTERNO")</f>
        <v>EXTERNO</v>
      </c>
      <c r="O527">
        <f>IFERROR(__xludf.DUMMYFUNCTION("""COMPUTED_VALUE"""),4.0)</f>
        <v>4</v>
      </c>
      <c r="P527">
        <f>IFERROR(__xludf.DUMMYFUNCTION("""COMPUTED_VALUE"""),2.0)</f>
        <v>2</v>
      </c>
      <c r="Q527">
        <f>IFERROR(__xludf.DUMMYFUNCTION("""COMPUTED_VALUE"""),1.0)</f>
        <v>1</v>
      </c>
      <c r="R527" s="45" t="str">
        <f>IFERROR(__xludf.DUMMYFUNCTION("""COMPUTED_VALUE"""),"SELECCIONADO")</f>
        <v>SELECCIONADO</v>
      </c>
      <c r="S527" s="38">
        <f>IFERROR(__xludf.DUMMYFUNCTION("""COMPUTED_VALUE"""),42240.0)</f>
        <v>42240</v>
      </c>
      <c r="U527" t="str">
        <f>IFERROR(__xludf.DUMMYFUNCTION("""COMPUTED_VALUE"""),"BRIAN LUNA MARTINEZ")</f>
        <v>BRIAN LUNA MARTINEZ</v>
      </c>
      <c r="V527" t="str">
        <f>IFERROR(__xludf.DUMMYFUNCTION("""COMPUTED_VALUE"""),"16924975-K")</f>
        <v>16924975-K</v>
      </c>
      <c r="W527" t="str">
        <f>IFERROR(__xludf.DUMMYFUNCTION("""COMPUTED_VALUE"""),"NO")</f>
        <v>NO</v>
      </c>
      <c r="AA527" s="38">
        <f>IFERROR(__xludf.DUMMYFUNCTION("""COMPUTED_VALUE"""),42223.0)</f>
        <v>42223</v>
      </c>
      <c r="AB527" s="38">
        <f>IFERROR(__xludf.DUMMYFUNCTION("""COMPUTED_VALUE"""),42226.0)</f>
        <v>42226</v>
      </c>
      <c r="AH527" t="str">
        <f>IFERROR(__xludf.DUMMYFUNCTION("""COMPUTED_VALUE"""),"PROCESO DE SELECCIÓN")</f>
        <v>PROCESO DE SELECCIÓN</v>
      </c>
      <c r="AI527" t="str">
        <f>IFERROR(__xludf.DUMMYFUNCTION("""COMPUTED_VALUE"""),"-")</f>
        <v>-</v>
      </c>
      <c r="AK527" t="str">
        <f>IFERROR(__xludf.DUMMYFUNCTION("""COMPUTED_VALUE"""),"E")</f>
        <v>E</v>
      </c>
      <c r="AL527">
        <f>IFERROR(__xludf.DUMMYFUNCTION("""COMPUTED_VALUE"""),11.0)</f>
        <v>11</v>
      </c>
      <c r="AM527">
        <f>IFERROR(__xludf.DUMMYFUNCTION("""COMPUTED_VALUE"""),2015.0)</f>
        <v>2015</v>
      </c>
    </row>
    <row r="528">
      <c r="A528">
        <f>IFERROR(__xludf.DUMMYFUNCTION("""COMPUTED_VALUE"""),5900912.0)</f>
        <v>5900912</v>
      </c>
      <c r="B528">
        <f>IFERROR(__xludf.DUMMYFUNCTION("""COMPUTED_VALUE"""),72.0)</f>
        <v>72</v>
      </c>
      <c r="D528" t="str">
        <f>IFERROR(__xludf.DUMMYFUNCTION("""COMPUTED_VALUE"""),"95")</f>
        <v>95</v>
      </c>
      <c r="E528" t="str">
        <f>IFERROR(__xludf.DUMMYFUNCTION("""COMPUTED_VALUE"""),"FACULTAD DE QUIMICA Y BIOLOGIA")</f>
        <v>FACULTAD DE QUIMICA Y BIOLOGIA</v>
      </c>
      <c r="F528" t="str">
        <f>IFERROR(__xludf.DUMMYFUNCTION("""COMPUTED_VALUE"""),"Encargado(a) de Laboratorio")</f>
        <v>Encargado(a) de Laboratorio</v>
      </c>
      <c r="G528" t="str">
        <f>IFERROR(__xludf.DUMMYFUNCTION("""COMPUTED_VALUE"""),"ENCARGADO DE LABORATORIO")</f>
        <v>ENCARGADO DE LABORATORIO</v>
      </c>
      <c r="H528">
        <f>IFERROR(__xludf.DUMMYFUNCTION("""COMPUTED_VALUE"""),13.0)</f>
        <v>13</v>
      </c>
      <c r="I528" t="str">
        <f>IFERROR(__xludf.DUMMYFUNCTION("""COMPUTED_VALUE"""),"1/2 Jornada")</f>
        <v>1/2 Jornada</v>
      </c>
      <c r="J528" t="str">
        <f>IFERROR(__xludf.DUMMYFUNCTION("""COMPUTED_VALUE"""),"A CONTRATA")</f>
        <v>A CONTRATA</v>
      </c>
      <c r="K528" t="str">
        <f>IFERROR(__xludf.DUMMYFUNCTION("""COMPUTED_VALUE"""),"PROFESIONAL")</f>
        <v>PROFESIONAL</v>
      </c>
      <c r="L528" t="str">
        <f>IFERROR(__xludf.DUMMYFUNCTION("""COMPUTED_VALUE"""),"INTERNO")</f>
        <v>INTERNO</v>
      </c>
      <c r="M528">
        <f>IFERROR(__xludf.DUMMYFUNCTION("""COMPUTED_VALUE"""),0.0)</f>
        <v>0</v>
      </c>
      <c r="N528" t="str">
        <f>IFERROR(__xludf.DUMMYFUNCTION("""COMPUTED_VALUE"""),"EXTERNO")</f>
        <v>EXTERNO</v>
      </c>
      <c r="O528">
        <f>IFERROR(__xludf.DUMMYFUNCTION("""COMPUTED_VALUE"""),8.0)</f>
        <v>8</v>
      </c>
      <c r="P528">
        <f>IFERROR(__xludf.DUMMYFUNCTION("""COMPUTED_VALUE"""),2.0)</f>
        <v>2</v>
      </c>
      <c r="Q528">
        <f>IFERROR(__xludf.DUMMYFUNCTION("""COMPUTED_VALUE"""),1.0)</f>
        <v>1</v>
      </c>
      <c r="R528" s="45" t="str">
        <f>IFERROR(__xludf.DUMMYFUNCTION("""COMPUTED_VALUE"""),"SELECCIONADO")</f>
        <v>SELECCIONADO</v>
      </c>
      <c r="S528" s="38">
        <f>IFERROR(__xludf.DUMMYFUNCTION("""COMPUTED_VALUE"""),42296.0)</f>
        <v>42296</v>
      </c>
      <c r="U528" t="str">
        <f>IFERROR(__xludf.DUMMYFUNCTION("""COMPUTED_VALUE"""),"SERGIO ALEGRIA NUNEZ")</f>
        <v>SERGIO ALEGRIA NUNEZ</v>
      </c>
      <c r="V528" t="str">
        <f>IFERROR(__xludf.DUMMYFUNCTION("""COMPUTED_VALUE"""),"05900912-5")</f>
        <v>05900912-5</v>
      </c>
      <c r="W528" t="str">
        <f>IFERROR(__xludf.DUMMYFUNCTION("""COMPUTED_VALUE"""),"NO")</f>
        <v>NO</v>
      </c>
      <c r="AA528" s="38">
        <f>IFERROR(__xludf.DUMMYFUNCTION("""COMPUTED_VALUE"""),42192.0)</f>
        <v>42192</v>
      </c>
      <c r="AB528" s="38">
        <f>IFERROR(__xludf.DUMMYFUNCTION("""COMPUTED_VALUE"""),42199.0)</f>
        <v>42199</v>
      </c>
      <c r="AH528" t="str">
        <f>IFERROR(__xludf.DUMMYFUNCTION("""COMPUTED_VALUE"""),"PROCESO DE SELECCIÓN")</f>
        <v>PROCESO DE SELECCIÓN</v>
      </c>
      <c r="AI528" t="str">
        <f>IFERROR(__xludf.DUMMYFUNCTION("""COMPUTED_VALUE"""),"-")</f>
        <v>-</v>
      </c>
      <c r="AK528" t="str">
        <f>IFERROR(__xludf.DUMMYFUNCTION("""COMPUTED_VALUE"""),"P")</f>
        <v>P</v>
      </c>
      <c r="AL528">
        <f>IFERROR(__xludf.DUMMYFUNCTION("""COMPUTED_VALUE"""),70.0)</f>
        <v>70</v>
      </c>
      <c r="AM528">
        <f>IFERROR(__xludf.DUMMYFUNCTION("""COMPUTED_VALUE"""),2015.0)</f>
        <v>2015</v>
      </c>
    </row>
    <row r="529">
      <c r="A529">
        <f>IFERROR(__xludf.DUMMYFUNCTION("""COMPUTED_VALUE"""),1.3937544E7)</f>
        <v>13937544</v>
      </c>
      <c r="B529">
        <f>IFERROR(__xludf.DUMMYFUNCTION("""COMPUTED_VALUE"""),73.0)</f>
        <v>73</v>
      </c>
      <c r="D529" t="str">
        <f>IFERROR(__xludf.DUMMYFUNCTION("""COMPUTED_VALUE"""),"60")</f>
        <v>60</v>
      </c>
      <c r="E529" t="str">
        <f>IFERROR(__xludf.DUMMYFUNCTION("""COMPUTED_VALUE"""),"FACULTAD DE ADMINISTRACION Y ECONOMIA")</f>
        <v>FACULTAD DE ADMINISTRACION Y ECONOMIA</v>
      </c>
      <c r="F529" t="str">
        <f>IFERROR(__xludf.DUMMYFUNCTION("""COMPUTED_VALUE"""),"Auxiliar de Servicios")</f>
        <v>Auxiliar de Servicios</v>
      </c>
      <c r="G529" t="str">
        <f>IFERROR(__xludf.DUMMYFUNCTION("""COMPUTED_VALUE"""),"AUXILIAR DE SERVICIOS")</f>
        <v>AUXILIAR DE SERVICIOS</v>
      </c>
      <c r="H529">
        <f>IFERROR(__xludf.DUMMYFUNCTION("""COMPUTED_VALUE"""),23.0)</f>
        <v>23</v>
      </c>
      <c r="I529" t="str">
        <f>IFERROR(__xludf.DUMMYFUNCTION("""COMPUTED_VALUE"""),"Jornada Completa")</f>
        <v>Jornada Completa</v>
      </c>
      <c r="J529" t="str">
        <f>IFERROR(__xludf.DUMMYFUNCTION("""COMPUTED_VALUE"""),"A CONTRATA")</f>
        <v>A CONTRATA</v>
      </c>
      <c r="K529" t="str">
        <f>IFERROR(__xludf.DUMMYFUNCTION("""COMPUTED_VALUE"""),"AUXILIAR")</f>
        <v>AUXILIAR</v>
      </c>
      <c r="L529" t="str">
        <f>IFERROR(__xludf.DUMMYFUNCTION("""COMPUTED_VALUE"""),"INTERNO")</f>
        <v>INTERNO</v>
      </c>
      <c r="M529">
        <f>IFERROR(__xludf.DUMMYFUNCTION("""COMPUTED_VALUE"""),0.0)</f>
        <v>0</v>
      </c>
      <c r="N529" t="str">
        <f>IFERROR(__xludf.DUMMYFUNCTION("""COMPUTED_VALUE"""),"EXTERNO")</f>
        <v>EXTERNO</v>
      </c>
      <c r="O529">
        <f>IFERROR(__xludf.DUMMYFUNCTION("""COMPUTED_VALUE"""),5.0)</f>
        <v>5</v>
      </c>
      <c r="P529">
        <f>IFERROR(__xludf.DUMMYFUNCTION("""COMPUTED_VALUE"""),1.0)</f>
        <v>1</v>
      </c>
      <c r="Q529">
        <f>IFERROR(__xludf.DUMMYFUNCTION("""COMPUTED_VALUE"""),1.0)</f>
        <v>1</v>
      </c>
      <c r="R529" s="45" t="str">
        <f>IFERROR(__xludf.DUMMYFUNCTION("""COMPUTED_VALUE"""),"SELECCIONADA")</f>
        <v>SELECCIONADA</v>
      </c>
      <c r="S529" s="38">
        <f>IFERROR(__xludf.DUMMYFUNCTION("""COMPUTED_VALUE"""),42275.0)</f>
        <v>42275</v>
      </c>
      <c r="U529" t="str">
        <f>IFERROR(__xludf.DUMMYFUNCTION("""COMPUTED_VALUE"""),"MIRIAM MORALES RIVERA")</f>
        <v>MIRIAM MORALES RIVERA</v>
      </c>
      <c r="V529" t="str">
        <f>IFERROR(__xludf.DUMMYFUNCTION("""COMPUTED_VALUE"""),"13937544-0")</f>
        <v>13937544-0</v>
      </c>
      <c r="W529" t="str">
        <f>IFERROR(__xludf.DUMMYFUNCTION("""COMPUTED_VALUE"""),"NO")</f>
        <v>NO</v>
      </c>
      <c r="Z529" t="str">
        <f>IFERROR(__xludf.DUMMYFUNCTION("""COMPUTED_VALUE"""),"Comunicacion")</f>
        <v>Comunicacion</v>
      </c>
      <c r="AA529" s="38">
        <f>IFERROR(__xludf.DUMMYFUNCTION("""COMPUTED_VALUE"""),42228.0)</f>
        <v>42228</v>
      </c>
      <c r="AB529" s="38">
        <f>IFERROR(__xludf.DUMMYFUNCTION("""COMPUTED_VALUE"""),42235.0)</f>
        <v>42235</v>
      </c>
      <c r="AH529" t="str">
        <f>IFERROR(__xludf.DUMMYFUNCTION("""COMPUTED_VALUE"""),"PROCESO DE SELECCIÓN")</f>
        <v>PROCESO DE SELECCIÓN</v>
      </c>
      <c r="AI529" t="str">
        <f>IFERROR(__xludf.DUMMYFUNCTION("""COMPUTED_VALUE"""),"-")</f>
        <v>-</v>
      </c>
      <c r="AK529" t="str">
        <f>IFERROR(__xludf.DUMMYFUNCTION("""COMPUTED_VALUE"""),"P")</f>
        <v>P</v>
      </c>
      <c r="AL529">
        <f>IFERROR(__xludf.DUMMYFUNCTION("""COMPUTED_VALUE"""),29.0)</f>
        <v>29</v>
      </c>
      <c r="AM529">
        <f>IFERROR(__xludf.DUMMYFUNCTION("""COMPUTED_VALUE"""),2015.0)</f>
        <v>2015</v>
      </c>
    </row>
    <row r="530">
      <c r="A530">
        <f>IFERROR(__xludf.DUMMYFUNCTION("""COMPUTED_VALUE"""),9063120.0)</f>
        <v>9063120</v>
      </c>
      <c r="B530">
        <f>IFERROR(__xludf.DUMMYFUNCTION("""COMPUTED_VALUE"""),74.0)</f>
        <v>74</v>
      </c>
      <c r="D530" t="str">
        <f>IFERROR(__xludf.DUMMYFUNCTION("""COMPUTED_VALUE"""),"60")</f>
        <v>60</v>
      </c>
      <c r="E530" t="str">
        <f>IFERROR(__xludf.DUMMYFUNCTION("""COMPUTED_VALUE"""),"FACULTAD DE ADMINISTRACION Y ECONOMIA")</f>
        <v>FACULTAD DE ADMINISTRACION Y ECONOMIA</v>
      </c>
      <c r="F530" t="str">
        <f>IFERROR(__xludf.DUMMYFUNCTION("""COMPUTED_VALUE"""),"Encargado(a) de Vinculación con el Medio")</f>
        <v>Encargado(a) de Vinculación con el Medio</v>
      </c>
      <c r="G530" t="str">
        <f>IFERROR(__xludf.DUMMYFUNCTION("""COMPUTED_VALUE"""),"ENCARGADO DE VINCULACION CON EL MEDIO")</f>
        <v>ENCARGADO DE VINCULACION CON EL MEDIO</v>
      </c>
      <c r="H530">
        <f>IFERROR(__xludf.DUMMYFUNCTION("""COMPUTED_VALUE"""),13.0)</f>
        <v>13</v>
      </c>
      <c r="I530" t="str">
        <f>IFERROR(__xludf.DUMMYFUNCTION("""COMPUTED_VALUE"""),"1/2 Jornada")</f>
        <v>1/2 Jornada</v>
      </c>
      <c r="J530" t="str">
        <f>IFERROR(__xludf.DUMMYFUNCTION("""COMPUTED_VALUE"""),"A CONTRATA")</f>
        <v>A CONTRATA</v>
      </c>
      <c r="K530" t="str">
        <f>IFERROR(__xludf.DUMMYFUNCTION("""COMPUTED_VALUE"""),"PROFESIONAL")</f>
        <v>PROFESIONAL</v>
      </c>
      <c r="L530" t="str">
        <f>IFERROR(__xludf.DUMMYFUNCTION("""COMPUTED_VALUE"""),"INTERNO")</f>
        <v>INTERNO</v>
      </c>
      <c r="M530">
        <f>IFERROR(__xludf.DUMMYFUNCTION("""COMPUTED_VALUE"""),0.0)</f>
        <v>0</v>
      </c>
      <c r="N530" t="str">
        <f>IFERROR(__xludf.DUMMYFUNCTION("""COMPUTED_VALUE"""),"EXTERNO")</f>
        <v>EXTERNO</v>
      </c>
      <c r="O530">
        <f>IFERROR(__xludf.DUMMYFUNCTION("""COMPUTED_VALUE"""),3.0)</f>
        <v>3</v>
      </c>
      <c r="P530">
        <f>IFERROR(__xludf.DUMMYFUNCTION("""COMPUTED_VALUE"""),1.0)</f>
        <v>1</v>
      </c>
      <c r="Q530">
        <f>IFERROR(__xludf.DUMMYFUNCTION("""COMPUTED_VALUE"""),1.0)</f>
        <v>1</v>
      </c>
      <c r="R530" s="45" t="str">
        <f>IFERROR(__xludf.DUMMYFUNCTION("""COMPUTED_VALUE"""),"SELECCIONADA")</f>
        <v>SELECCIONADA</v>
      </c>
      <c r="S530" s="38">
        <f>IFERROR(__xludf.DUMMYFUNCTION("""COMPUTED_VALUE"""),42243.0)</f>
        <v>42243</v>
      </c>
      <c r="U530" t="str">
        <f>IFERROR(__xludf.DUMMYFUNCTION("""COMPUTED_VALUE"""),"VALENTINA DEL CAMPO ESCARATE")</f>
        <v>VALENTINA DEL CAMPO ESCARATE</v>
      </c>
      <c r="V530" t="str">
        <f>IFERROR(__xludf.DUMMYFUNCTION("""COMPUTED_VALUE"""),"09063120-9")</f>
        <v>09063120-9</v>
      </c>
      <c r="W530" t="str">
        <f>IFERROR(__xludf.DUMMYFUNCTION("""COMPUTED_VALUE"""),"NO")</f>
        <v>NO</v>
      </c>
      <c r="X530" t="str">
        <f>IFERROR(__xludf.DUMMYFUNCTION("""COMPUTED_VALUE"""),"Capacidad de Planificacion y Organizacion")</f>
        <v>Capacidad de Planificacion y Organizacion</v>
      </c>
      <c r="AA530" s="38">
        <f>IFERROR(__xludf.DUMMYFUNCTION("""COMPUTED_VALUE"""),42222.0)</f>
        <v>42222</v>
      </c>
      <c r="AB530" s="38">
        <f>IFERROR(__xludf.DUMMYFUNCTION("""COMPUTED_VALUE"""),42229.0)</f>
        <v>42229</v>
      </c>
      <c r="AH530" t="str">
        <f>IFERROR(__xludf.DUMMYFUNCTION("""COMPUTED_VALUE"""),"PROCESO DE SELECCIÓN")</f>
        <v>PROCESO DE SELECCIÓN</v>
      </c>
      <c r="AI530" t="str">
        <f>IFERROR(__xludf.DUMMYFUNCTION("""COMPUTED_VALUE"""),"CRISTINA BARRIA")</f>
        <v>CRISTINA BARRIA</v>
      </c>
      <c r="AK530" t="str">
        <f>IFERROR(__xludf.DUMMYFUNCTION("""COMPUTED_VALUE"""),"P")</f>
        <v>P</v>
      </c>
      <c r="AL530">
        <f>IFERROR(__xludf.DUMMYFUNCTION("""COMPUTED_VALUE"""),11.0)</f>
        <v>11</v>
      </c>
      <c r="AM530">
        <f>IFERROR(__xludf.DUMMYFUNCTION("""COMPUTED_VALUE"""),2015.0)</f>
        <v>2015</v>
      </c>
    </row>
    <row r="531">
      <c r="A531">
        <f>IFERROR(__xludf.DUMMYFUNCTION("""COMPUTED_VALUE"""),1.400322E7)</f>
        <v>14003220</v>
      </c>
      <c r="B531">
        <f>IFERROR(__xludf.DUMMYFUNCTION("""COMPUTED_VALUE"""),75.0)</f>
        <v>75</v>
      </c>
      <c r="D531" t="str">
        <f>IFERROR(__xludf.DUMMYFUNCTION("""COMPUTED_VALUE"""),"15")</f>
        <v>15</v>
      </c>
      <c r="E531" t="str">
        <f>IFERROR(__xludf.DUMMYFUNCTION("""COMPUTED_VALUE"""),"UNIDAD DE BIBLIOTECAS")</f>
        <v>UNIDAD DE BIBLIOTECAS</v>
      </c>
      <c r="F531" t="str">
        <f>IFERROR(__xludf.DUMMYFUNCTION("""COMPUTED_VALUE"""),"Bibliotecario(a)")</f>
        <v>Bibliotecario(a)</v>
      </c>
      <c r="G531" t="str">
        <f>IFERROR(__xludf.DUMMYFUNCTION("""COMPUTED_VALUE"""),"BIBLIOTECARIO")</f>
        <v>BIBLIOTECARIO</v>
      </c>
      <c r="H531">
        <f>IFERROR(__xludf.DUMMYFUNCTION("""COMPUTED_VALUE"""),14.0)</f>
        <v>14</v>
      </c>
      <c r="I531" t="str">
        <f>IFERROR(__xludf.DUMMYFUNCTION("""COMPUTED_VALUE"""),"Jornada Completa")</f>
        <v>Jornada Completa</v>
      </c>
      <c r="J531" t="str">
        <f>IFERROR(__xludf.DUMMYFUNCTION("""COMPUTED_VALUE"""),"A CONTRATA")</f>
        <v>A CONTRATA</v>
      </c>
      <c r="K531" t="str">
        <f>IFERROR(__xludf.DUMMYFUNCTION("""COMPUTED_VALUE"""),"PROFESIONAL")</f>
        <v>PROFESIONAL</v>
      </c>
      <c r="L531" t="str">
        <f>IFERROR(__xludf.DUMMYFUNCTION("""COMPUTED_VALUE"""),"INTERNO")</f>
        <v>INTERNO</v>
      </c>
      <c r="M531">
        <f>IFERROR(__xludf.DUMMYFUNCTION("""COMPUTED_VALUE"""),0.0)</f>
        <v>0</v>
      </c>
      <c r="N531" t="str">
        <f>IFERROR(__xludf.DUMMYFUNCTION("""COMPUTED_VALUE"""),"EXTERNO")</f>
        <v>EXTERNO</v>
      </c>
      <c r="O531">
        <f>IFERROR(__xludf.DUMMYFUNCTION("""COMPUTED_VALUE"""),12.0)</f>
        <v>12</v>
      </c>
      <c r="P531">
        <f>IFERROR(__xludf.DUMMYFUNCTION("""COMPUTED_VALUE"""),2.0)</f>
        <v>2</v>
      </c>
      <c r="Q531">
        <f>IFERROR(__xludf.DUMMYFUNCTION("""COMPUTED_VALUE"""),1.0)</f>
        <v>1</v>
      </c>
      <c r="R531" s="45" t="str">
        <f>IFERROR(__xludf.DUMMYFUNCTION("""COMPUTED_VALUE"""),"SELECCIONADA")</f>
        <v>SELECCIONADA</v>
      </c>
      <c r="S531" s="38">
        <f>IFERROR(__xludf.DUMMYFUNCTION("""COMPUTED_VALUE"""),42296.0)</f>
        <v>42296</v>
      </c>
      <c r="U531" t="str">
        <f>IFERROR(__xludf.DUMMYFUNCTION("""COMPUTED_VALUE"""),"MABEL MATSUMOTO JIMENEZ")</f>
        <v>MABEL MATSUMOTO JIMENEZ</v>
      </c>
      <c r="V531" t="str">
        <f>IFERROR(__xludf.DUMMYFUNCTION("""COMPUTED_VALUE"""),"14003220-4")</f>
        <v>14003220-4</v>
      </c>
      <c r="W531" t="str">
        <f>IFERROR(__xludf.DUMMYFUNCTION("""COMPUTED_VALUE"""),"SI")</f>
        <v>SI</v>
      </c>
      <c r="Z531" t="str">
        <f>IFERROR(__xludf.DUMMYFUNCTION("""COMPUTED_VALUE"""),"Capacidad de Planificacion y Organizacion")</f>
        <v>Capacidad de Planificacion y Organizacion</v>
      </c>
      <c r="AA531" s="38">
        <f>IFERROR(__xludf.DUMMYFUNCTION("""COMPUTED_VALUE"""),42205.0)</f>
        <v>42205</v>
      </c>
      <c r="AB531" s="38">
        <f>IFERROR(__xludf.DUMMYFUNCTION("""COMPUTED_VALUE"""),42212.0)</f>
        <v>42212</v>
      </c>
      <c r="AH531" t="str">
        <f>IFERROR(__xludf.DUMMYFUNCTION("""COMPUTED_VALUE"""),"PROCESO DE SELECCIÓN")</f>
        <v>PROCESO DE SELECCIÓN</v>
      </c>
      <c r="AI531" t="str">
        <f>IFERROR(__xludf.DUMMYFUNCTION("""COMPUTED_VALUE"""),"-")</f>
        <v>-</v>
      </c>
      <c r="AK531" t="str">
        <f>IFERROR(__xludf.DUMMYFUNCTION("""COMPUTED_VALUE"""),"E")</f>
        <v>E</v>
      </c>
      <c r="AL531">
        <f>IFERROR(__xludf.DUMMYFUNCTION("""COMPUTED_VALUE"""),61.0)</f>
        <v>61</v>
      </c>
      <c r="AM531">
        <f>IFERROR(__xludf.DUMMYFUNCTION("""COMPUTED_VALUE"""),2015.0)</f>
        <v>2015</v>
      </c>
    </row>
    <row r="532">
      <c r="A532">
        <f>IFERROR(__xludf.DUMMYFUNCTION("""COMPUTED_VALUE"""),7687205.0)</f>
        <v>7687205</v>
      </c>
      <c r="B532">
        <f>IFERROR(__xludf.DUMMYFUNCTION("""COMPUTED_VALUE"""),76.0)</f>
        <v>76</v>
      </c>
      <c r="D532" t="str">
        <f>IFERROR(__xludf.DUMMYFUNCTION("""COMPUTED_VALUE"""),"40")</f>
        <v>40</v>
      </c>
      <c r="E532" t="str">
        <f>IFERROR(__xludf.DUMMYFUNCTION("""COMPUTED_VALUE"""),"DEPARTAMENTO DE INGENIERIA INFORMATICA")</f>
        <v>DEPARTAMENTO DE INGENIERIA INFORMATICA</v>
      </c>
      <c r="F532" t="str">
        <f>IFERROR(__xludf.DUMMYFUNCTION("""COMPUTED_VALUE"""),"Auxiliar de Servicios")</f>
        <v>Auxiliar de Servicios</v>
      </c>
      <c r="G532" t="str">
        <f>IFERROR(__xludf.DUMMYFUNCTION("""COMPUTED_VALUE"""),"AUXILIAR DE SERVICIOS")</f>
        <v>AUXILIAR DE SERVICIOS</v>
      </c>
      <c r="H532">
        <f>IFERROR(__xludf.DUMMYFUNCTION("""COMPUTED_VALUE"""),23.0)</f>
        <v>23</v>
      </c>
      <c r="I532" t="str">
        <f>IFERROR(__xludf.DUMMYFUNCTION("""COMPUTED_VALUE"""),"Jornada Completa")</f>
        <v>Jornada Completa</v>
      </c>
      <c r="J532" t="str">
        <f>IFERROR(__xludf.DUMMYFUNCTION("""COMPUTED_VALUE"""),"A CONTRATA")</f>
        <v>A CONTRATA</v>
      </c>
      <c r="K532" t="str">
        <f>IFERROR(__xludf.DUMMYFUNCTION("""COMPUTED_VALUE"""),"AUXILIAR")</f>
        <v>AUXILIAR</v>
      </c>
      <c r="L532" t="str">
        <f>IFERROR(__xludf.DUMMYFUNCTION("""COMPUTED_VALUE"""),"INTERNO")</f>
        <v>INTERNO</v>
      </c>
      <c r="M532">
        <f>IFERROR(__xludf.DUMMYFUNCTION("""COMPUTED_VALUE"""),1.0)</f>
        <v>1</v>
      </c>
      <c r="N532" t="str">
        <f>IFERROR(__xludf.DUMMYFUNCTION("""COMPUTED_VALUE"""),"EXTERNO")</f>
        <v>EXTERNO</v>
      </c>
      <c r="O532">
        <f>IFERROR(__xludf.DUMMYFUNCTION("""COMPUTED_VALUE"""),4.0)</f>
        <v>4</v>
      </c>
      <c r="P532">
        <f>IFERROR(__xludf.DUMMYFUNCTION("""COMPUTED_VALUE"""),2.0)</f>
        <v>2</v>
      </c>
      <c r="Q532">
        <f>IFERROR(__xludf.DUMMYFUNCTION("""COMPUTED_VALUE"""),1.0)</f>
        <v>1</v>
      </c>
      <c r="R532" s="45" t="str">
        <f>IFERROR(__xludf.DUMMYFUNCTION("""COMPUTED_VALUE"""),"SELECCIONADO")</f>
        <v>SELECCIONADO</v>
      </c>
      <c r="S532" s="38">
        <f>IFERROR(__xludf.DUMMYFUNCTION("""COMPUTED_VALUE"""),42310.0)</f>
        <v>42310</v>
      </c>
      <c r="U532" t="str">
        <f>IFERROR(__xludf.DUMMYFUNCTION("""COMPUTED_VALUE"""),"PEDRO CASTRO AGUSTO")</f>
        <v>PEDRO CASTRO AGUSTO</v>
      </c>
      <c r="V532" t="str">
        <f>IFERROR(__xludf.DUMMYFUNCTION("""COMPUTED_VALUE"""),"07687205-8")</f>
        <v>07687205-8</v>
      </c>
      <c r="W532" t="str">
        <f>IFERROR(__xludf.DUMMYFUNCTION("""COMPUTED_VALUE"""),"NO")</f>
        <v>NO</v>
      </c>
      <c r="AA532" s="38">
        <f>IFERROR(__xludf.DUMMYFUNCTION("""COMPUTED_VALUE"""),42284.0)</f>
        <v>42284</v>
      </c>
      <c r="AB532" s="38">
        <f>IFERROR(__xludf.DUMMYFUNCTION("""COMPUTED_VALUE"""),42291.0)</f>
        <v>42291</v>
      </c>
      <c r="AH532" t="str">
        <f>IFERROR(__xludf.DUMMYFUNCTION("""COMPUTED_VALUE"""),"PROCESO DE SELECCIÓN")</f>
        <v>PROCESO DE SELECCIÓN</v>
      </c>
      <c r="AI532" t="str">
        <f>IFERROR(__xludf.DUMMYFUNCTION("""COMPUTED_VALUE"""),"ARNALDO PEREZ")</f>
        <v>ARNALDO PEREZ</v>
      </c>
      <c r="AK532" t="str">
        <f>IFERROR(__xludf.DUMMYFUNCTION("""COMPUTED_VALUE"""),"C")</f>
        <v>C</v>
      </c>
      <c r="AL532">
        <f>IFERROR(__xludf.DUMMYFUNCTION("""COMPUTED_VALUE"""),14.0)</f>
        <v>14</v>
      </c>
      <c r="AM532">
        <f>IFERROR(__xludf.DUMMYFUNCTION("""COMPUTED_VALUE"""),2015.0)</f>
        <v>2015</v>
      </c>
    </row>
    <row r="533">
      <c r="A533">
        <f>IFERROR(__xludf.DUMMYFUNCTION("""COMPUTED_VALUE"""),1.3353713E7)</f>
        <v>13353713</v>
      </c>
      <c r="B533">
        <f>IFERROR(__xludf.DUMMYFUNCTION("""COMPUTED_VALUE"""),77.0)</f>
        <v>77</v>
      </c>
      <c r="D533" t="str">
        <f>IFERROR(__xludf.DUMMYFUNCTION("""COMPUTED_VALUE"""),"3")</f>
        <v>3</v>
      </c>
      <c r="E533" t="str">
        <f>IFERROR(__xludf.DUMMYFUNCTION("""COMPUTED_VALUE"""),"UNIDAD DE GESTION DEL CAMPUS")</f>
        <v>UNIDAD DE GESTION DEL CAMPUS</v>
      </c>
      <c r="F533" t="str">
        <f>IFERROR(__xludf.DUMMYFUNCTION("""COMPUTED_VALUE"""),"Técnico(a) Eléctrico")</f>
        <v>Técnico(a) Eléctrico</v>
      </c>
      <c r="G533" t="str">
        <f>IFERROR(__xludf.DUMMYFUNCTION("""COMPUTED_VALUE"""),"TECNICO ELECTRICO")</f>
        <v>TECNICO ELECTRICO</v>
      </c>
      <c r="H533">
        <f>IFERROR(__xludf.DUMMYFUNCTION("""COMPUTED_VALUE"""),17.0)</f>
        <v>17</v>
      </c>
      <c r="I533" t="str">
        <f>IFERROR(__xludf.DUMMYFUNCTION("""COMPUTED_VALUE"""),"Jornada Completa")</f>
        <v>Jornada Completa</v>
      </c>
      <c r="J533" t="str">
        <f>IFERROR(__xludf.DUMMYFUNCTION("""COMPUTED_VALUE"""),"A CONTRATA")</f>
        <v>A CONTRATA</v>
      </c>
      <c r="K533" t="str">
        <f>IFERROR(__xludf.DUMMYFUNCTION("""COMPUTED_VALUE"""),"TECNICO")</f>
        <v>TECNICO</v>
      </c>
      <c r="L533" t="str">
        <f>IFERROR(__xludf.DUMMYFUNCTION("""COMPUTED_VALUE"""),"INTERNO")</f>
        <v>INTERNO</v>
      </c>
      <c r="M533">
        <f>IFERROR(__xludf.DUMMYFUNCTION("""COMPUTED_VALUE"""),1.0)</f>
        <v>1</v>
      </c>
      <c r="N533" t="str">
        <f>IFERROR(__xludf.DUMMYFUNCTION("""COMPUTED_VALUE"""),"NO")</f>
        <v>NO</v>
      </c>
      <c r="Q533">
        <f>IFERROR(__xludf.DUMMYFUNCTION("""COMPUTED_VALUE"""),0.0)</f>
        <v>0</v>
      </c>
      <c r="R533" s="45" t="str">
        <f>IFERROR(__xludf.DUMMYFUNCTION("""COMPUTED_VALUE"""),"SELECCIONADO")</f>
        <v>SELECCIONADO</v>
      </c>
      <c r="S533" s="38">
        <f>IFERROR(__xludf.DUMMYFUNCTION("""COMPUTED_VALUE"""),42248.0)</f>
        <v>42248</v>
      </c>
      <c r="T533" t="str">
        <f>IFERROR(__xludf.DUMMYFUNCTION("""COMPUTED_VALUE"""),"MAURICIO PIZARRO GONZALEZ")</f>
        <v>MAURICIO PIZARRO GONZALEZ</v>
      </c>
      <c r="V533" t="str">
        <f>IFERROR(__xludf.DUMMYFUNCTION("""COMPUTED_VALUE"""),"13353713-9")</f>
        <v>13353713-9</v>
      </c>
      <c r="W533" t="str">
        <f>IFERROR(__xludf.DUMMYFUNCTION("""COMPUTED_VALUE"""),"NO")</f>
        <v>NO</v>
      </c>
      <c r="AA533" s="38">
        <f>IFERROR(__xludf.DUMMYFUNCTION("""COMPUTED_VALUE"""),42221.0)</f>
        <v>42221</v>
      </c>
      <c r="AB533" s="38">
        <f>IFERROR(__xludf.DUMMYFUNCTION("""COMPUTED_VALUE"""),42226.0)</f>
        <v>42226</v>
      </c>
      <c r="AC533">
        <f>IFERROR(__xludf.DUMMYFUNCTION("""COMPUTED_VALUE"""),21.0)</f>
        <v>21</v>
      </c>
      <c r="AD533" t="str">
        <f>IFERROR(__xludf.DUMMYFUNCTION("""COMPUTED_VALUE"""),"TECNICO")</f>
        <v>TECNICO</v>
      </c>
      <c r="AF533" s="46" t="str">
        <f>IFERROR(__xludf.DUMMYFUNCTION("""COMPUTED_VALUE"""),"UNIDAD DE GESTION DEL CAMPUS")</f>
        <v>UNIDAD DE GESTION DEL CAMPUS</v>
      </c>
      <c r="AH533" t="str">
        <f>IFERROR(__xludf.DUMMYFUNCTION("""COMPUTED_VALUE"""),"PROCESO DE SELECCIÓN")</f>
        <v>PROCESO DE SELECCIÓN</v>
      </c>
      <c r="AI533" t="str">
        <f>IFERROR(__xludf.DUMMYFUNCTION("""COMPUTED_VALUE"""),"EGOR MONTECINOS")</f>
        <v>EGOR MONTECINOS</v>
      </c>
      <c r="AK533" t="str">
        <f>IFERROR(__xludf.DUMMYFUNCTION("""COMPUTED_VALUE"""),"P")</f>
        <v>P</v>
      </c>
      <c r="AL533">
        <f>IFERROR(__xludf.DUMMYFUNCTION("""COMPUTED_VALUE"""),17.0)</f>
        <v>17</v>
      </c>
      <c r="AM533">
        <f>IFERROR(__xludf.DUMMYFUNCTION("""COMPUTED_VALUE"""),2015.0)</f>
        <v>2015</v>
      </c>
    </row>
    <row r="534">
      <c r="A534">
        <f>IFERROR(__xludf.DUMMYFUNCTION("""COMPUTED_VALUE"""),1.0874837E7)</f>
        <v>10874837</v>
      </c>
      <c r="B534">
        <f>IFERROR(__xludf.DUMMYFUNCTION("""COMPUTED_VALUE"""),78.0)</f>
        <v>78</v>
      </c>
      <c r="D534" t="str">
        <f>IFERROR(__xludf.DUMMYFUNCTION("""COMPUTED_VALUE"""),"15")</f>
        <v>15</v>
      </c>
      <c r="E534" t="str">
        <f>IFERROR(__xludf.DUMMYFUNCTION("""COMPUTED_VALUE"""),"VICERRECTORIA ACADEMICA")</f>
        <v>VICERRECTORIA ACADEMICA</v>
      </c>
      <c r="F534" t="str">
        <f>IFERROR(__xludf.DUMMYFUNCTION("""COMPUTED_VALUE"""),"Auxiliar de Servicios")</f>
        <v>Auxiliar de Servicios</v>
      </c>
      <c r="G534" t="str">
        <f>IFERROR(__xludf.DUMMYFUNCTION("""COMPUTED_VALUE"""),"AUXILIAR DE SERVICIOS")</f>
        <v>AUXILIAR DE SERVICIOS</v>
      </c>
      <c r="H534">
        <f>IFERROR(__xludf.DUMMYFUNCTION("""COMPUTED_VALUE"""),23.0)</f>
        <v>23</v>
      </c>
      <c r="I534" t="str">
        <f>IFERROR(__xludf.DUMMYFUNCTION("""COMPUTED_VALUE"""),"Jornada Completa")</f>
        <v>Jornada Completa</v>
      </c>
      <c r="J534" t="str">
        <f>IFERROR(__xludf.DUMMYFUNCTION("""COMPUTED_VALUE"""),"A CONTRATA")</f>
        <v>A CONTRATA</v>
      </c>
      <c r="K534" t="str">
        <f>IFERROR(__xludf.DUMMYFUNCTION("""COMPUTED_VALUE"""),"AUXILIAR")</f>
        <v>AUXILIAR</v>
      </c>
      <c r="L534" t="str">
        <f>IFERROR(__xludf.DUMMYFUNCTION("""COMPUTED_VALUE"""),"INTERNO")</f>
        <v>INTERNO</v>
      </c>
      <c r="M534">
        <f>IFERROR(__xludf.DUMMYFUNCTION("""COMPUTED_VALUE"""),0.0)</f>
        <v>0</v>
      </c>
      <c r="N534" t="str">
        <f>IFERROR(__xludf.DUMMYFUNCTION("""COMPUTED_VALUE"""),"EXTERNO")</f>
        <v>EXTERNO</v>
      </c>
      <c r="O534">
        <f>IFERROR(__xludf.DUMMYFUNCTION("""COMPUTED_VALUE"""),1.0)</f>
        <v>1</v>
      </c>
      <c r="P534">
        <f>IFERROR(__xludf.DUMMYFUNCTION("""COMPUTED_VALUE"""),1.0)</f>
        <v>1</v>
      </c>
      <c r="Q534">
        <f>IFERROR(__xludf.DUMMYFUNCTION("""COMPUTED_VALUE"""),1.0)</f>
        <v>1</v>
      </c>
      <c r="R534" s="45" t="str">
        <f>IFERROR(__xludf.DUMMYFUNCTION("""COMPUTED_VALUE"""),"SELECCIONADA")</f>
        <v>SELECCIONADA</v>
      </c>
      <c r="S534" s="38">
        <f>IFERROR(__xludf.DUMMYFUNCTION("""COMPUTED_VALUE"""),42303.0)</f>
        <v>42303</v>
      </c>
      <c r="U534" t="str">
        <f>IFERROR(__xludf.DUMMYFUNCTION("""COMPUTED_VALUE"""),"ANGELICA FLORES FERNANDEZ")</f>
        <v>ANGELICA FLORES FERNANDEZ</v>
      </c>
      <c r="V534" t="str">
        <f>IFERROR(__xludf.DUMMYFUNCTION("""COMPUTED_VALUE"""),"10874837-0")</f>
        <v>10874837-0</v>
      </c>
      <c r="W534" t="str">
        <f>IFERROR(__xludf.DUMMYFUNCTION("""COMPUTED_VALUE"""),"NO")</f>
        <v>NO</v>
      </c>
      <c r="AA534" s="38">
        <f>IFERROR(__xludf.DUMMYFUNCTION("""COMPUTED_VALUE"""),42269.0)</f>
        <v>42269</v>
      </c>
      <c r="AB534" s="38">
        <f>IFERROR(__xludf.DUMMYFUNCTION("""COMPUTED_VALUE"""),42277.0)</f>
        <v>42277</v>
      </c>
      <c r="AH534" t="str">
        <f>IFERROR(__xludf.DUMMYFUNCTION("""COMPUTED_VALUE"""),"PROCESO DE SELECCIÓN")</f>
        <v>PROCESO DE SELECCIÓN</v>
      </c>
      <c r="AI534" t="str">
        <f>IFERROR(__xludf.DUMMYFUNCTION("""COMPUTED_VALUE"""),"-")</f>
        <v>-</v>
      </c>
      <c r="AK534" t="str">
        <f>IFERROR(__xludf.DUMMYFUNCTION("""COMPUTED_VALUE"""),"C")</f>
        <v>C</v>
      </c>
      <c r="AL534">
        <f>IFERROR(__xludf.DUMMYFUNCTION("""COMPUTED_VALUE"""),19.0)</f>
        <v>19</v>
      </c>
      <c r="AM534">
        <f>IFERROR(__xludf.DUMMYFUNCTION("""COMPUTED_VALUE"""),2015.0)</f>
        <v>2015</v>
      </c>
    </row>
    <row r="535">
      <c r="A535">
        <f>IFERROR(__xludf.DUMMYFUNCTION("""COMPUTED_VALUE"""),1.5617714E7)</f>
        <v>15617714</v>
      </c>
      <c r="B535">
        <f>IFERROR(__xludf.DUMMYFUNCTION("""COMPUTED_VALUE"""),79.0)</f>
        <v>79</v>
      </c>
      <c r="D535" t="str">
        <f>IFERROR(__xludf.DUMMYFUNCTION("""COMPUTED_VALUE"""),"22")</f>
        <v>22</v>
      </c>
      <c r="E535" t="str">
        <f>IFERROR(__xludf.DUMMYFUNCTION("""COMPUTED_VALUE"""),"UNIDAD DE ATENCION DE SALUD")</f>
        <v>UNIDAD DE ATENCION DE SALUD</v>
      </c>
      <c r="F535" t="str">
        <f>IFERROR(__xludf.DUMMYFUNCTION("""COMPUTED_VALUE"""),"Matrón(a)")</f>
        <v>Matrón(a)</v>
      </c>
      <c r="G535" t="str">
        <f>IFERROR(__xludf.DUMMYFUNCTION("""COMPUTED_VALUE"""),"MATRONA")</f>
        <v>MATRONA</v>
      </c>
      <c r="H535">
        <f>IFERROR(__xludf.DUMMYFUNCTION("""COMPUTED_VALUE"""),13.0)</f>
        <v>13</v>
      </c>
      <c r="I535" t="str">
        <f>IFERROR(__xludf.DUMMYFUNCTION("""COMPUTED_VALUE"""),"Jornada Completa")</f>
        <v>Jornada Completa</v>
      </c>
      <c r="J535" t="str">
        <f>IFERROR(__xludf.DUMMYFUNCTION("""COMPUTED_VALUE"""),"A CONTRATA")</f>
        <v>A CONTRATA</v>
      </c>
      <c r="K535" t="str">
        <f>IFERROR(__xludf.DUMMYFUNCTION("""COMPUTED_VALUE"""),"PROFESIONAL")</f>
        <v>PROFESIONAL</v>
      </c>
      <c r="L535" t="str">
        <f>IFERROR(__xludf.DUMMYFUNCTION("""COMPUTED_VALUE"""),"INTERNO")</f>
        <v>INTERNO</v>
      </c>
      <c r="M535">
        <f>IFERROR(__xludf.DUMMYFUNCTION("""COMPUTED_VALUE"""),0.0)</f>
        <v>0</v>
      </c>
      <c r="N535" t="str">
        <f>IFERROR(__xludf.DUMMYFUNCTION("""COMPUTED_VALUE"""),"EXTERNO")</f>
        <v>EXTERNO</v>
      </c>
      <c r="O535">
        <f>IFERROR(__xludf.DUMMYFUNCTION("""COMPUTED_VALUE"""),10.0)</f>
        <v>10</v>
      </c>
      <c r="P535">
        <f>IFERROR(__xludf.DUMMYFUNCTION("""COMPUTED_VALUE"""),1.0)</f>
        <v>1</v>
      </c>
      <c r="Q535">
        <f>IFERROR(__xludf.DUMMYFUNCTION("""COMPUTED_VALUE"""),3.0)</f>
        <v>3</v>
      </c>
      <c r="R535" s="45" t="str">
        <f>IFERROR(__xludf.DUMMYFUNCTION("""COMPUTED_VALUE"""),"SELECCIONADA")</f>
        <v>SELECCIONADA</v>
      </c>
      <c r="S535" s="38">
        <f>IFERROR(__xludf.DUMMYFUNCTION("""COMPUTED_VALUE"""),42310.0)</f>
        <v>42310</v>
      </c>
      <c r="U535" t="str">
        <f>IFERROR(__xludf.DUMMYFUNCTION("""COMPUTED_VALUE"""),"ESTEFANIA DE LA PENA PARADA")</f>
        <v>ESTEFANIA DE LA PENA PARADA</v>
      </c>
      <c r="V535" t="str">
        <f>IFERROR(__xludf.DUMMYFUNCTION("""COMPUTED_VALUE"""),"15617714-8")</f>
        <v>15617714-8</v>
      </c>
      <c r="W535" t="str">
        <f>IFERROR(__xludf.DUMMYFUNCTION("""COMPUTED_VALUE"""),"NO")</f>
        <v>NO</v>
      </c>
      <c r="AA535" s="38">
        <f>IFERROR(__xludf.DUMMYFUNCTION("""COMPUTED_VALUE"""),42283.0)</f>
        <v>42283</v>
      </c>
      <c r="AB535" s="38">
        <f>IFERROR(__xludf.DUMMYFUNCTION("""COMPUTED_VALUE"""),42290.0)</f>
        <v>42290</v>
      </c>
      <c r="AH535" t="str">
        <f>IFERROR(__xludf.DUMMYFUNCTION("""COMPUTED_VALUE"""),"PROCESO DE SELECCIÓN")</f>
        <v>PROCESO DE SELECCIÓN</v>
      </c>
      <c r="AI535" t="str">
        <f>IFERROR(__xludf.DUMMYFUNCTION("""COMPUTED_VALUE"""),"PAULINA DIAZ ROZAS")</f>
        <v>PAULINA DIAZ ROZAS</v>
      </c>
      <c r="AK535" t="str">
        <f>IFERROR(__xludf.DUMMYFUNCTION("""COMPUTED_VALUE"""),"E")</f>
        <v>E</v>
      </c>
      <c r="AL535">
        <f>IFERROR(__xludf.DUMMYFUNCTION("""COMPUTED_VALUE"""),15.0)</f>
        <v>15</v>
      </c>
      <c r="AM535">
        <f>IFERROR(__xludf.DUMMYFUNCTION("""COMPUTED_VALUE"""),2015.0)</f>
        <v>2015</v>
      </c>
    </row>
    <row r="536">
      <c r="A536">
        <f>IFERROR(__xludf.DUMMYFUNCTION("""COMPUTED_VALUE"""),1.4201293E7)</f>
        <v>14201293</v>
      </c>
      <c r="B536">
        <f>IFERROR(__xludf.DUMMYFUNCTION("""COMPUTED_VALUE"""),80.0)</f>
        <v>80</v>
      </c>
      <c r="D536" t="str">
        <f>IFERROR(__xludf.DUMMYFUNCTION("""COMPUTED_VALUE"""),"22")</f>
        <v>22</v>
      </c>
      <c r="E536" t="str">
        <f>IFERROR(__xludf.DUMMYFUNCTION("""COMPUTED_VALUE"""),"DEPARTAMENTO DE ASIGNACION DE BENEFICIOS ESTUDIANTILES")</f>
        <v>DEPARTAMENTO DE ASIGNACION DE BENEFICIOS ESTUDIANTILES</v>
      </c>
      <c r="F536" t="str">
        <f>IFERROR(__xludf.DUMMYFUNCTION("""COMPUTED_VALUE"""),"Analista de Gestión II")</f>
        <v>Analista de Gestión II</v>
      </c>
      <c r="G536" t="str">
        <f>IFERROR(__xludf.DUMMYFUNCTION("""COMPUTED_VALUE"""),"ANALISTA II")</f>
        <v>ANALISTA II</v>
      </c>
      <c r="H536">
        <f>IFERROR(__xludf.DUMMYFUNCTION("""COMPUTED_VALUE"""),11.0)</f>
        <v>11</v>
      </c>
      <c r="I536" t="str">
        <f>IFERROR(__xludf.DUMMYFUNCTION("""COMPUTED_VALUE"""),"Jornada Completa")</f>
        <v>Jornada Completa</v>
      </c>
      <c r="J536" t="str">
        <f>IFERROR(__xludf.DUMMYFUNCTION("""COMPUTED_VALUE"""),"A CONTRATA")</f>
        <v>A CONTRATA</v>
      </c>
      <c r="K536" t="str">
        <f>IFERROR(__xludf.DUMMYFUNCTION("""COMPUTED_VALUE"""),"PROFESIONAL")</f>
        <v>PROFESIONAL</v>
      </c>
      <c r="L536" t="str">
        <f>IFERROR(__xludf.DUMMYFUNCTION("""COMPUTED_VALUE"""),"INTERNO")</f>
        <v>INTERNO</v>
      </c>
      <c r="M536">
        <f>IFERROR(__xludf.DUMMYFUNCTION("""COMPUTED_VALUE"""),0.0)</f>
        <v>0</v>
      </c>
      <c r="N536" t="str">
        <f>IFERROR(__xludf.DUMMYFUNCTION("""COMPUTED_VALUE"""),"EXTERNO")</f>
        <v>EXTERNO</v>
      </c>
      <c r="Q536">
        <f>IFERROR(__xludf.DUMMYFUNCTION("""COMPUTED_VALUE"""),6.0)</f>
        <v>6</v>
      </c>
      <c r="R536" s="45" t="str">
        <f>IFERROR(__xludf.DUMMYFUNCTION("""COMPUTED_VALUE"""),"SELECCIONADO")</f>
        <v>SELECCIONADO</v>
      </c>
      <c r="S536" s="38">
        <f>IFERROR(__xludf.DUMMYFUNCTION("""COMPUTED_VALUE"""),42317.0)</f>
        <v>42317</v>
      </c>
      <c r="U536" t="str">
        <f>IFERROR(__xludf.DUMMYFUNCTION("""COMPUTED_VALUE"""),"RODRIGO HUERTA GATICA")</f>
        <v>RODRIGO HUERTA GATICA</v>
      </c>
      <c r="V536" t="str">
        <f>IFERROR(__xludf.DUMMYFUNCTION("""COMPUTED_VALUE"""),"14201293-6")</f>
        <v>14201293-6</v>
      </c>
      <c r="W536" t="str">
        <f>IFERROR(__xludf.DUMMYFUNCTION("""COMPUTED_VALUE"""),"NO")</f>
        <v>NO</v>
      </c>
      <c r="AA536" s="38">
        <f>IFERROR(__xludf.DUMMYFUNCTION("""COMPUTED_VALUE"""),42242.0)</f>
        <v>42242</v>
      </c>
      <c r="AB536" s="38">
        <f>IFERROR(__xludf.DUMMYFUNCTION("""COMPUTED_VALUE"""),42268.0)</f>
        <v>42268</v>
      </c>
      <c r="AH536" t="str">
        <f>IFERROR(__xludf.DUMMYFUNCTION("""COMPUTED_VALUE"""),"PROCESO DE SELECCIÓN")</f>
        <v>PROCESO DE SELECCIÓN</v>
      </c>
      <c r="AI536" t="str">
        <f>IFERROR(__xludf.DUMMYFUNCTION("""COMPUTED_VALUE"""),"-")</f>
        <v>-</v>
      </c>
      <c r="AK536" t="str">
        <f>IFERROR(__xludf.DUMMYFUNCTION("""COMPUTED_VALUE"""),"E")</f>
        <v>E</v>
      </c>
      <c r="AL536">
        <f>IFERROR(__xludf.DUMMYFUNCTION("""COMPUTED_VALUE"""),36.0)</f>
        <v>36</v>
      </c>
      <c r="AM536">
        <f>IFERROR(__xludf.DUMMYFUNCTION("""COMPUTED_VALUE"""),2015.0)</f>
        <v>2015</v>
      </c>
    </row>
    <row r="537">
      <c r="A537">
        <f>IFERROR(__xludf.DUMMYFUNCTION("""COMPUTED_VALUE"""),1.0275145E7)</f>
        <v>10275145</v>
      </c>
      <c r="B537">
        <f>IFERROR(__xludf.DUMMYFUNCTION("""COMPUTED_VALUE"""),81.0)</f>
        <v>81</v>
      </c>
      <c r="D537" t="str">
        <f>IFERROR(__xludf.DUMMYFUNCTION("""COMPUTED_VALUE"""),"60")</f>
        <v>60</v>
      </c>
      <c r="E537" t="str">
        <f>IFERROR(__xludf.DUMMYFUNCTION("""COMPUTED_VALUE"""),"FACULTAD DE ADMINISTRACION Y ECONOMIA")</f>
        <v>FACULTAD DE ADMINISTRACION Y ECONOMIA</v>
      </c>
      <c r="F537" t="str">
        <f>IFERROR(__xludf.DUMMYFUNCTION("""COMPUTED_VALUE"""),"Encargado(a) de Bodega, Bienes y Servicios")</f>
        <v>Encargado(a) de Bodega, Bienes y Servicios</v>
      </c>
      <c r="G537" t="str">
        <f>IFERROR(__xludf.DUMMYFUNCTION("""COMPUTED_VALUE"""),"ENCARGADO DE BODEGA")</f>
        <v>ENCARGADO DE BODEGA</v>
      </c>
      <c r="H537">
        <f>IFERROR(__xludf.DUMMYFUNCTION("""COMPUTED_VALUE"""),20.0)</f>
        <v>20</v>
      </c>
      <c r="I537" t="str">
        <f>IFERROR(__xludf.DUMMYFUNCTION("""COMPUTED_VALUE"""),"Jornada Completa")</f>
        <v>Jornada Completa</v>
      </c>
      <c r="J537" t="str">
        <f>IFERROR(__xludf.DUMMYFUNCTION("""COMPUTED_VALUE"""),"A CONTRATA")</f>
        <v>A CONTRATA</v>
      </c>
      <c r="K537" t="str">
        <f>IFERROR(__xludf.DUMMYFUNCTION("""COMPUTED_VALUE"""),"ADMINISTRATIVO")</f>
        <v>ADMINISTRATIVO</v>
      </c>
      <c r="L537" t="str">
        <f>IFERROR(__xludf.DUMMYFUNCTION("""COMPUTED_VALUE"""),"INTERNO")</f>
        <v>INTERNO</v>
      </c>
      <c r="M537">
        <f>IFERROR(__xludf.DUMMYFUNCTION("""COMPUTED_VALUE"""),0.0)</f>
        <v>0</v>
      </c>
      <c r="N537" t="str">
        <f>IFERROR(__xludf.DUMMYFUNCTION("""COMPUTED_VALUE"""),"EXTERNO")</f>
        <v>EXTERNO</v>
      </c>
      <c r="O537">
        <f>IFERROR(__xludf.DUMMYFUNCTION("""COMPUTED_VALUE"""),13.0)</f>
        <v>13</v>
      </c>
      <c r="P537">
        <f>IFERROR(__xludf.DUMMYFUNCTION("""COMPUTED_VALUE"""),1.0)</f>
        <v>1</v>
      </c>
      <c r="Q537">
        <f>IFERROR(__xludf.DUMMYFUNCTION("""COMPUTED_VALUE"""),2.0)</f>
        <v>2</v>
      </c>
      <c r="R537" s="45" t="str">
        <f>IFERROR(__xludf.DUMMYFUNCTION("""COMPUTED_VALUE"""),"SELECCIONADO")</f>
        <v>SELECCIONADO</v>
      </c>
      <c r="S537" s="38">
        <f>IFERROR(__xludf.DUMMYFUNCTION("""COMPUTED_VALUE"""),42304.0)</f>
        <v>42304</v>
      </c>
      <c r="U537" t="str">
        <f>IFERROR(__xludf.DUMMYFUNCTION("""COMPUTED_VALUE"""),"FERNANDO VASQUEZ RAMIREZ")</f>
        <v>FERNANDO VASQUEZ RAMIREZ</v>
      </c>
      <c r="V537" t="str">
        <f>IFERROR(__xludf.DUMMYFUNCTION("""COMPUTED_VALUE"""),"10275145-0")</f>
        <v>10275145-0</v>
      </c>
      <c r="W537" t="str">
        <f>IFERROR(__xludf.DUMMYFUNCTION("""COMPUTED_VALUE"""),"SI")</f>
        <v>SI</v>
      </c>
      <c r="Z537" t="str">
        <f>IFERROR(__xludf.DUMMYFUNCTION("""COMPUTED_VALUE"""),"INICIATIVA")</f>
        <v>INICIATIVA</v>
      </c>
      <c r="AA537" s="38">
        <f>IFERROR(__xludf.DUMMYFUNCTION("""COMPUTED_VALUE"""),42230.0)</f>
        <v>42230</v>
      </c>
      <c r="AB537" s="38">
        <f>IFERROR(__xludf.DUMMYFUNCTION("""COMPUTED_VALUE"""),42233.0)</f>
        <v>42233</v>
      </c>
      <c r="AH537" t="str">
        <f>IFERROR(__xludf.DUMMYFUNCTION("""COMPUTED_VALUE"""),"PROCESO DE SELECCIÓN")</f>
        <v>PROCESO DE SELECCIÓN</v>
      </c>
      <c r="AI537" t="str">
        <f>IFERROR(__xludf.DUMMYFUNCTION("""COMPUTED_VALUE"""),"ALEJANDRO GOMEZ")</f>
        <v>ALEJANDRO GOMEZ</v>
      </c>
      <c r="AK537" t="str">
        <f>IFERROR(__xludf.DUMMYFUNCTION("""COMPUTED_VALUE"""),"P")</f>
        <v>P</v>
      </c>
      <c r="AL537">
        <f>IFERROR(__xludf.DUMMYFUNCTION("""COMPUTED_VALUE"""),52.0)</f>
        <v>52</v>
      </c>
      <c r="AM537">
        <f>IFERROR(__xludf.DUMMYFUNCTION("""COMPUTED_VALUE"""),2015.0)</f>
        <v>2015</v>
      </c>
    </row>
    <row r="538">
      <c r="A538">
        <f>IFERROR(__xludf.DUMMYFUNCTION("""COMPUTED_VALUE"""),1.7879933E7)</f>
        <v>17879933</v>
      </c>
      <c r="B538">
        <f>IFERROR(__xludf.DUMMYFUNCTION("""COMPUTED_VALUE"""),82.0)</f>
        <v>82</v>
      </c>
      <c r="D538" t="str">
        <f>IFERROR(__xludf.DUMMYFUNCTION("""COMPUTED_VALUE"""),"15")</f>
        <v>15</v>
      </c>
      <c r="E538" t="str">
        <f>IFERROR(__xludf.DUMMYFUNCTION("""COMPUTED_VALUE"""),"UNIDAD DE BIBLIOTECAS")</f>
        <v>UNIDAD DE BIBLIOTECAS</v>
      </c>
      <c r="F538" t="str">
        <f>IFERROR(__xludf.DUMMYFUNCTION("""COMPUTED_VALUE"""),"Estafeta")</f>
        <v>Estafeta</v>
      </c>
      <c r="G538" t="str">
        <f>IFERROR(__xludf.DUMMYFUNCTION("""COMPUTED_VALUE"""),"ESTAFETA")</f>
        <v>ESTAFETA</v>
      </c>
      <c r="H538">
        <f>IFERROR(__xludf.DUMMYFUNCTION("""COMPUTED_VALUE"""),23.0)</f>
        <v>23</v>
      </c>
      <c r="I538" t="str">
        <f>IFERROR(__xludf.DUMMYFUNCTION("""COMPUTED_VALUE"""),"Jornada Completa")</f>
        <v>Jornada Completa</v>
      </c>
      <c r="J538" t="str">
        <f>IFERROR(__xludf.DUMMYFUNCTION("""COMPUTED_VALUE"""),"A CONTRATA")</f>
        <v>A CONTRATA</v>
      </c>
      <c r="K538" t="str">
        <f>IFERROR(__xludf.DUMMYFUNCTION("""COMPUTED_VALUE"""),"AUXILIAR")</f>
        <v>AUXILIAR</v>
      </c>
      <c r="L538" t="str">
        <f>IFERROR(__xludf.DUMMYFUNCTION("""COMPUTED_VALUE"""),"INTERNO")</f>
        <v>INTERNO</v>
      </c>
      <c r="M538">
        <f>IFERROR(__xludf.DUMMYFUNCTION("""COMPUTED_VALUE"""),0.0)</f>
        <v>0</v>
      </c>
      <c r="N538" t="str">
        <f>IFERROR(__xludf.DUMMYFUNCTION("""COMPUTED_VALUE"""),"EXTERNO")</f>
        <v>EXTERNO</v>
      </c>
      <c r="O538">
        <f>IFERROR(__xludf.DUMMYFUNCTION("""COMPUTED_VALUE"""),9.0)</f>
        <v>9</v>
      </c>
      <c r="P538">
        <f>IFERROR(__xludf.DUMMYFUNCTION("""COMPUTED_VALUE"""),1.0)</f>
        <v>1</v>
      </c>
      <c r="Q538">
        <f>IFERROR(__xludf.DUMMYFUNCTION("""COMPUTED_VALUE"""),1.0)</f>
        <v>1</v>
      </c>
      <c r="R538" s="45" t="str">
        <f>IFERROR(__xludf.DUMMYFUNCTION("""COMPUTED_VALUE"""),"SELECCIONADA")</f>
        <v>SELECCIONADA</v>
      </c>
      <c r="S538" s="38">
        <f>IFERROR(__xludf.DUMMYFUNCTION("""COMPUTED_VALUE"""),42310.0)</f>
        <v>42310</v>
      </c>
      <c r="U538" t="str">
        <f>IFERROR(__xludf.DUMMYFUNCTION("""COMPUTED_VALUE"""),"SUSANA CERDA ARANCIBIA")</f>
        <v>SUSANA CERDA ARANCIBIA</v>
      </c>
      <c r="V538" t="str">
        <f>IFERROR(__xludf.DUMMYFUNCTION("""COMPUTED_VALUE"""),"17879933-9")</f>
        <v>17879933-9</v>
      </c>
      <c r="W538" t="str">
        <f>IFERROR(__xludf.DUMMYFUNCTION("""COMPUTED_VALUE"""),"NO")</f>
        <v>NO</v>
      </c>
      <c r="AA538" s="38">
        <f>IFERROR(__xludf.DUMMYFUNCTION("""COMPUTED_VALUE"""),42283.0)</f>
        <v>42283</v>
      </c>
      <c r="AB538" s="38">
        <f>IFERROR(__xludf.DUMMYFUNCTION("""COMPUTED_VALUE"""),42290.0)</f>
        <v>42290</v>
      </c>
      <c r="AH538" t="str">
        <f>IFERROR(__xludf.DUMMYFUNCTION("""COMPUTED_VALUE"""),"PROCESO DE SELECCIÓN")</f>
        <v>PROCESO DE SELECCIÓN</v>
      </c>
      <c r="AI538" t="str">
        <f>IFERROR(__xludf.DUMMYFUNCTION("""COMPUTED_VALUE"""),"JACOB BORQUEZ SOTO")</f>
        <v>JACOB BORQUEZ SOTO</v>
      </c>
      <c r="AK538" t="str">
        <f>IFERROR(__xludf.DUMMYFUNCTION("""COMPUTED_VALUE"""),"P")</f>
        <v>P</v>
      </c>
      <c r="AL538">
        <f>IFERROR(__xludf.DUMMYFUNCTION("""COMPUTED_VALUE"""),15.0)</f>
        <v>15</v>
      </c>
      <c r="AM538">
        <f>IFERROR(__xludf.DUMMYFUNCTION("""COMPUTED_VALUE"""),2015.0)</f>
        <v>2015</v>
      </c>
    </row>
    <row r="539">
      <c r="A539">
        <f>IFERROR(__xludf.DUMMYFUNCTION("""COMPUTED_VALUE"""),1.7663754E7)</f>
        <v>17663754</v>
      </c>
      <c r="B539">
        <f>IFERROR(__xludf.DUMMYFUNCTION("""COMPUTED_VALUE"""),83.0)</f>
        <v>83</v>
      </c>
      <c r="D539" t="str">
        <f>IFERROR(__xludf.DUMMYFUNCTION("""COMPUTED_VALUE"""),"3")</f>
        <v>3</v>
      </c>
      <c r="E539" t="str">
        <f>IFERROR(__xludf.DUMMYFUNCTION("""COMPUTED_VALUE"""),"DEPARTAMENTO DE FINANZAS Y TESORERIA")</f>
        <v>DEPARTAMENTO DE FINANZAS Y TESORERIA</v>
      </c>
      <c r="F539" t="str">
        <f>IFERROR(__xludf.DUMMYFUNCTION("""COMPUTED_VALUE"""),"Administrativo(a) Contable")</f>
        <v>Administrativo(a) Contable</v>
      </c>
      <c r="G539" t="str">
        <f>IFERROR(__xludf.DUMMYFUNCTION("""COMPUTED_VALUE"""),"ADMINISTRATIVO CONTABLE")</f>
        <v>ADMINISTRATIVO CONTABLE</v>
      </c>
      <c r="H539">
        <f>IFERROR(__xludf.DUMMYFUNCTION("""COMPUTED_VALUE"""),17.0)</f>
        <v>17</v>
      </c>
      <c r="I539" t="str">
        <f>IFERROR(__xludf.DUMMYFUNCTION("""COMPUTED_VALUE"""),"Jornada Completa")</f>
        <v>Jornada Completa</v>
      </c>
      <c r="J539" t="str">
        <f>IFERROR(__xludf.DUMMYFUNCTION("""COMPUTED_VALUE"""),"A CONTRATA")</f>
        <v>A CONTRATA</v>
      </c>
      <c r="K539" t="str">
        <f>IFERROR(__xludf.DUMMYFUNCTION("""COMPUTED_VALUE"""),"TECNICO")</f>
        <v>TECNICO</v>
      </c>
      <c r="L539" t="str">
        <f>IFERROR(__xludf.DUMMYFUNCTION("""COMPUTED_VALUE"""),"INTERNO")</f>
        <v>INTERNO</v>
      </c>
      <c r="M539">
        <f>IFERROR(__xludf.DUMMYFUNCTION("""COMPUTED_VALUE"""),0.0)</f>
        <v>0</v>
      </c>
      <c r="N539" t="str">
        <f>IFERROR(__xludf.DUMMYFUNCTION("""COMPUTED_VALUE"""),"EXTERNO")</f>
        <v>EXTERNO</v>
      </c>
      <c r="O539">
        <f>IFERROR(__xludf.DUMMYFUNCTION("""COMPUTED_VALUE"""),13.0)</f>
        <v>13</v>
      </c>
      <c r="P539">
        <f>IFERROR(__xludf.DUMMYFUNCTION("""COMPUTED_VALUE"""),1.0)</f>
        <v>1</v>
      </c>
      <c r="Q539">
        <f>IFERROR(__xludf.DUMMYFUNCTION("""COMPUTED_VALUE"""),2.0)</f>
        <v>2</v>
      </c>
      <c r="R539" s="45" t="str">
        <f>IFERROR(__xludf.DUMMYFUNCTION("""COMPUTED_VALUE"""),"SELECCIONADA")</f>
        <v>SELECCIONADA</v>
      </c>
      <c r="S539" s="38">
        <f>IFERROR(__xludf.DUMMYFUNCTION("""COMPUTED_VALUE"""),42324.0)</f>
        <v>42324</v>
      </c>
      <c r="U539" t="str">
        <f>IFERROR(__xludf.DUMMYFUNCTION("""COMPUTED_VALUE"""),"MARIA PAZ CUBILLOS CASTRO")</f>
        <v>MARIA PAZ CUBILLOS CASTRO</v>
      </c>
      <c r="V539" t="str">
        <f>IFERROR(__xludf.DUMMYFUNCTION("""COMPUTED_VALUE"""),"17663754-4")</f>
        <v>17663754-4</v>
      </c>
      <c r="W539" t="str">
        <f>IFERROR(__xludf.DUMMYFUNCTION("""COMPUTED_VALUE"""),"NO")</f>
        <v>NO</v>
      </c>
      <c r="AA539" s="38">
        <f>IFERROR(__xludf.DUMMYFUNCTION("""COMPUTED_VALUE"""),42278.0)</f>
        <v>42278</v>
      </c>
      <c r="AB539" s="38">
        <f>IFERROR(__xludf.DUMMYFUNCTION("""COMPUTED_VALUE"""),42285.0)</f>
        <v>42285</v>
      </c>
      <c r="AH539" t="str">
        <f>IFERROR(__xludf.DUMMYFUNCTION("""COMPUTED_VALUE"""),"PROCESO DE SELECCIÓN")</f>
        <v>PROCESO DE SELECCIÓN</v>
      </c>
      <c r="AI539" t="str">
        <f>IFERROR(__xludf.DUMMYFUNCTION("""COMPUTED_VALUE"""),"PAULA LEIVA")</f>
        <v>PAULA LEIVA</v>
      </c>
      <c r="AK539" t="str">
        <f>IFERROR(__xludf.DUMMYFUNCTION("""COMPUTED_VALUE"""),"P")</f>
        <v>P</v>
      </c>
      <c r="AL539">
        <f>IFERROR(__xludf.DUMMYFUNCTION("""COMPUTED_VALUE"""),28.0)</f>
        <v>28</v>
      </c>
      <c r="AM539">
        <f>IFERROR(__xludf.DUMMYFUNCTION("""COMPUTED_VALUE"""),2015.0)</f>
        <v>2015</v>
      </c>
    </row>
    <row r="540">
      <c r="A540">
        <f>IFERROR(__xludf.DUMMYFUNCTION("""COMPUTED_VALUE"""),1.6660591E7)</f>
        <v>16660591</v>
      </c>
      <c r="B540">
        <f>IFERROR(__xludf.DUMMYFUNCTION("""COMPUTED_VALUE"""),84.0)</f>
        <v>84</v>
      </c>
      <c r="D540" t="str">
        <f>IFERROR(__xludf.DUMMYFUNCTION("""COMPUTED_VALUE"""),"15")</f>
        <v>15</v>
      </c>
      <c r="E540" t="str">
        <f>IFERROR(__xludf.DUMMYFUNCTION("""COMPUTED_VALUE"""),"INSTITUTO DE ESTUDIOS AVANZADOS")</f>
        <v>INSTITUTO DE ESTUDIOS AVANZADOS</v>
      </c>
      <c r="F540" t="str">
        <f>IFERROR(__xludf.DUMMYFUNCTION("""COMPUTED_VALUE"""),"Secretario(a) de Apoyo Docente")</f>
        <v>Secretario(a) de Apoyo Docente</v>
      </c>
      <c r="G540" t="str">
        <f>IFERROR(__xludf.DUMMYFUNCTION("""COMPUTED_VALUE"""),"SECRETARIA DE APOYO DOCENTE")</f>
        <v>SECRETARIA DE APOYO DOCENTE</v>
      </c>
      <c r="H540">
        <f>IFERROR(__xludf.DUMMYFUNCTION("""COMPUTED_VALUE"""),17.0)</f>
        <v>17</v>
      </c>
      <c r="I540" t="str">
        <f>IFERROR(__xludf.DUMMYFUNCTION("""COMPUTED_VALUE"""),"Jornada Completa")</f>
        <v>Jornada Completa</v>
      </c>
      <c r="J540" t="str">
        <f>IFERROR(__xludf.DUMMYFUNCTION("""COMPUTED_VALUE"""),"A CONTRATA")</f>
        <v>A CONTRATA</v>
      </c>
      <c r="K540" t="str">
        <f>IFERROR(__xludf.DUMMYFUNCTION("""COMPUTED_VALUE"""),"TECNICO")</f>
        <v>TECNICO</v>
      </c>
      <c r="L540" t="str">
        <f>IFERROR(__xludf.DUMMYFUNCTION("""COMPUTED_VALUE"""),"INTERNO")</f>
        <v>INTERNO</v>
      </c>
      <c r="M540">
        <f>IFERROR(__xludf.DUMMYFUNCTION("""COMPUTED_VALUE"""),0.0)</f>
        <v>0</v>
      </c>
      <c r="N540" t="str">
        <f>IFERROR(__xludf.DUMMYFUNCTION("""COMPUTED_VALUE"""),"EXTERNO")</f>
        <v>EXTERNO</v>
      </c>
      <c r="O540">
        <f>IFERROR(__xludf.DUMMYFUNCTION("""COMPUTED_VALUE"""),7.0)</f>
        <v>7</v>
      </c>
      <c r="P540">
        <f>IFERROR(__xludf.DUMMYFUNCTION("""COMPUTED_VALUE"""),1.0)</f>
        <v>1</v>
      </c>
      <c r="Q540">
        <f>IFERROR(__xludf.DUMMYFUNCTION("""COMPUTED_VALUE"""),1.0)</f>
        <v>1</v>
      </c>
      <c r="R540" s="45" t="str">
        <f>IFERROR(__xludf.DUMMYFUNCTION("""COMPUTED_VALUE"""),"SELECCIONADA")</f>
        <v>SELECCIONADA</v>
      </c>
      <c r="S540" s="38">
        <f>IFERROR(__xludf.DUMMYFUNCTION("""COMPUTED_VALUE"""),42268.0)</f>
        <v>42268</v>
      </c>
      <c r="U540" t="str">
        <f>IFERROR(__xludf.DUMMYFUNCTION("""COMPUTED_VALUE"""),"DANIELA OLATE SALINAS")</f>
        <v>DANIELA OLATE SALINAS</v>
      </c>
      <c r="V540" t="str">
        <f>IFERROR(__xludf.DUMMYFUNCTION("""COMPUTED_VALUE"""),"16660591-1")</f>
        <v>16660591-1</v>
      </c>
      <c r="W540" t="str">
        <f>IFERROR(__xludf.DUMMYFUNCTION("""COMPUTED_VALUE"""),"NO")</f>
        <v>NO</v>
      </c>
      <c r="AA540" s="38">
        <f>IFERROR(__xludf.DUMMYFUNCTION("""COMPUTED_VALUE"""),42200.0)</f>
        <v>42200</v>
      </c>
      <c r="AB540" s="38">
        <f>IFERROR(__xludf.DUMMYFUNCTION("""COMPUTED_VALUE"""),42207.0)</f>
        <v>42207</v>
      </c>
      <c r="AH540" t="str">
        <f>IFERROR(__xludf.DUMMYFUNCTION("""COMPUTED_VALUE"""),"PROCESO DE SELECCIÓN")</f>
        <v>PROCESO DE SELECCIÓN</v>
      </c>
      <c r="AI540" t="str">
        <f>IFERROR(__xludf.DUMMYFUNCTION("""COMPUTED_VALUE"""),"INGRID CANIULEF MENDEZ")</f>
        <v>INGRID CANIULEF MENDEZ</v>
      </c>
      <c r="AK540" t="str">
        <f>IFERROR(__xludf.DUMMYFUNCTION("""COMPUTED_VALUE"""),"E")</f>
        <v>E</v>
      </c>
      <c r="AL540">
        <f>IFERROR(__xludf.DUMMYFUNCTION("""COMPUTED_VALUE"""),44.0)</f>
        <v>44</v>
      </c>
      <c r="AM540">
        <f>IFERROR(__xludf.DUMMYFUNCTION("""COMPUTED_VALUE"""),2015.0)</f>
        <v>2015</v>
      </c>
    </row>
    <row r="541">
      <c r="A541">
        <f>IFERROR(__xludf.DUMMYFUNCTION("""COMPUTED_VALUE"""),1.925895E7)</f>
        <v>19258950</v>
      </c>
      <c r="B541">
        <f>IFERROR(__xludf.DUMMYFUNCTION("""COMPUTED_VALUE"""),85.0)</f>
        <v>85</v>
      </c>
      <c r="D541" t="str">
        <f>IFERROR(__xludf.DUMMYFUNCTION("""COMPUTED_VALUE"""),"22")</f>
        <v>22</v>
      </c>
      <c r="E541" t="str">
        <f>IFERROR(__xludf.DUMMYFUNCTION("""COMPUTED_VALUE"""),"UNIDAD DE ADMINISTRACION DE SERVICIOS ALIMENTARIOS")</f>
        <v>UNIDAD DE ADMINISTRACION DE SERVICIOS ALIMENTARIOS</v>
      </c>
      <c r="F541" t="str">
        <f>IFERROR(__xludf.DUMMYFUNCTION("""COMPUTED_VALUE"""),"Auxiliar de Servicios")</f>
        <v>Auxiliar de Servicios</v>
      </c>
      <c r="G541" t="str">
        <f>IFERROR(__xludf.DUMMYFUNCTION("""COMPUTED_VALUE"""),"AUXILIAR DE SERVICIOS")</f>
        <v>AUXILIAR DE SERVICIOS</v>
      </c>
      <c r="H541">
        <f>IFERROR(__xludf.DUMMYFUNCTION("""COMPUTED_VALUE"""),23.0)</f>
        <v>23</v>
      </c>
      <c r="I541" t="str">
        <f>IFERROR(__xludf.DUMMYFUNCTION("""COMPUTED_VALUE"""),"Jornada Completa")</f>
        <v>Jornada Completa</v>
      </c>
      <c r="J541" t="str">
        <f>IFERROR(__xludf.DUMMYFUNCTION("""COMPUTED_VALUE"""),"A CONTRATA")</f>
        <v>A CONTRATA</v>
      </c>
      <c r="K541" t="str">
        <f>IFERROR(__xludf.DUMMYFUNCTION("""COMPUTED_VALUE"""),"AUXILIAR")</f>
        <v>AUXILIAR</v>
      </c>
      <c r="L541" t="str">
        <f>IFERROR(__xludf.DUMMYFUNCTION("""COMPUTED_VALUE"""),"INTERNO")</f>
        <v>INTERNO</v>
      </c>
      <c r="M541">
        <f>IFERROR(__xludf.DUMMYFUNCTION("""COMPUTED_VALUE"""),0.0)</f>
        <v>0</v>
      </c>
      <c r="N541" t="str">
        <f>IFERROR(__xludf.DUMMYFUNCTION("""COMPUTED_VALUE"""),"EXTERNO")</f>
        <v>EXTERNO</v>
      </c>
      <c r="P541">
        <f>IFERROR(__xludf.DUMMYFUNCTION("""COMPUTED_VALUE"""),1.0)</f>
        <v>1</v>
      </c>
      <c r="Q541">
        <f>IFERROR(__xludf.DUMMYFUNCTION("""COMPUTED_VALUE"""),1.0)</f>
        <v>1</v>
      </c>
      <c r="R541" s="45" t="str">
        <f>IFERROR(__xludf.DUMMYFUNCTION("""COMPUTED_VALUE"""),"SELECCIONADO")</f>
        <v>SELECCIONADO</v>
      </c>
      <c r="S541" s="38">
        <f>IFERROR(__xludf.DUMMYFUNCTION("""COMPUTED_VALUE"""),42292.0)</f>
        <v>42292</v>
      </c>
      <c r="U541" t="str">
        <f>IFERROR(__xludf.DUMMYFUNCTION("""COMPUTED_VALUE"""),"JONATHAN MONTECINOS ASTROZA")</f>
        <v>JONATHAN MONTECINOS ASTROZA</v>
      </c>
      <c r="V541" t="str">
        <f>IFERROR(__xludf.DUMMYFUNCTION("""COMPUTED_VALUE"""),"19258950-9")</f>
        <v>19258950-9</v>
      </c>
      <c r="W541" t="str">
        <f>IFERROR(__xludf.DUMMYFUNCTION("""COMPUTED_VALUE"""),"NO")</f>
        <v>NO</v>
      </c>
      <c r="AA541" s="38">
        <f>IFERROR(__xludf.DUMMYFUNCTION("""COMPUTED_VALUE"""),42269.0)</f>
        <v>42269</v>
      </c>
      <c r="AB541" s="38">
        <f>IFERROR(__xludf.DUMMYFUNCTION("""COMPUTED_VALUE"""),42277.0)</f>
        <v>42277</v>
      </c>
      <c r="AH541" t="str">
        <f>IFERROR(__xludf.DUMMYFUNCTION("""COMPUTED_VALUE"""),"PROCESO DE SELECCIÓN")</f>
        <v>PROCESO DE SELECCIÓN</v>
      </c>
      <c r="AI541" t="str">
        <f>IFERROR(__xludf.DUMMYFUNCTION("""COMPUTED_VALUE"""),"-")</f>
        <v>-</v>
      </c>
      <c r="AK541" t="str">
        <f>IFERROR(__xludf.DUMMYFUNCTION("""COMPUTED_VALUE"""),"C")</f>
        <v>C</v>
      </c>
      <c r="AL541">
        <f>IFERROR(__xludf.DUMMYFUNCTION("""COMPUTED_VALUE"""),12.0)</f>
        <v>12</v>
      </c>
      <c r="AM541">
        <f>IFERROR(__xludf.DUMMYFUNCTION("""COMPUTED_VALUE"""),2015.0)</f>
        <v>2015</v>
      </c>
    </row>
    <row r="542">
      <c r="A542">
        <f>IFERROR(__xludf.DUMMYFUNCTION("""COMPUTED_VALUE"""),1.4367797E7)</f>
        <v>14367797</v>
      </c>
      <c r="B542">
        <f>IFERROR(__xludf.DUMMYFUNCTION("""COMPUTED_VALUE"""),86.0)</f>
        <v>86</v>
      </c>
      <c r="D542" t="str">
        <f>IFERROR(__xludf.DUMMYFUNCTION("""COMPUTED_VALUE"""),"3")</f>
        <v>3</v>
      </c>
      <c r="E542" t="str">
        <f>IFERROR(__xludf.DUMMYFUNCTION("""COMPUTED_VALUE"""),"DEPARTAMENTO DE GESTION Y CONTROL DE CONTRATOS")</f>
        <v>DEPARTAMENTO DE GESTION Y CONTROL DE CONTRATOS</v>
      </c>
      <c r="F542" t="str">
        <f>IFERROR(__xludf.DUMMYFUNCTION("""COMPUTED_VALUE"""),"#N/A")</f>
        <v>#N/A</v>
      </c>
      <c r="G542" t="str">
        <f>IFERROR(__xludf.DUMMYFUNCTION("""COMPUTED_VALUE"""),"ABOGADO")</f>
        <v>ABOGADO</v>
      </c>
      <c r="H542">
        <f>IFERROR(__xludf.DUMMYFUNCTION("""COMPUTED_VALUE"""),6.0)</f>
        <v>6</v>
      </c>
      <c r="I542" t="str">
        <f>IFERROR(__xludf.DUMMYFUNCTION("""COMPUTED_VALUE"""),"Jornada Completa")</f>
        <v>Jornada Completa</v>
      </c>
      <c r="J542" t="str">
        <f>IFERROR(__xludf.DUMMYFUNCTION("""COMPUTED_VALUE"""),"A CONTRATA")</f>
        <v>A CONTRATA</v>
      </c>
      <c r="K542" t="str">
        <f>IFERROR(__xludf.DUMMYFUNCTION("""COMPUTED_VALUE"""),"PROFESIONAL")</f>
        <v>PROFESIONAL</v>
      </c>
      <c r="L542" t="str">
        <f>IFERROR(__xludf.DUMMYFUNCTION("""COMPUTED_VALUE"""),"INTERNO")</f>
        <v>INTERNO</v>
      </c>
      <c r="M542">
        <f>IFERROR(__xludf.DUMMYFUNCTION("""COMPUTED_VALUE"""),1.0)</f>
        <v>1</v>
      </c>
      <c r="N542" t="str">
        <f>IFERROR(__xludf.DUMMYFUNCTION("""COMPUTED_VALUE"""),"EXTERNO")</f>
        <v>EXTERNO</v>
      </c>
      <c r="O542">
        <f>IFERROR(__xludf.DUMMYFUNCTION("""COMPUTED_VALUE"""),1.0)</f>
        <v>1</v>
      </c>
      <c r="P542">
        <f>IFERROR(__xludf.DUMMYFUNCTION("""COMPUTED_VALUE"""),1.0)</f>
        <v>1</v>
      </c>
      <c r="Q542">
        <f>IFERROR(__xludf.DUMMYFUNCTION("""COMPUTED_VALUE"""),1.0)</f>
        <v>1</v>
      </c>
      <c r="R542" s="45" t="str">
        <f>IFERROR(__xludf.DUMMYFUNCTION("""COMPUTED_VALUE"""),"SELECCIONADA")</f>
        <v>SELECCIONADA</v>
      </c>
      <c r="S542" s="38">
        <f>IFERROR(__xludf.DUMMYFUNCTION("""COMPUTED_VALUE"""),42285.0)</f>
        <v>42285</v>
      </c>
      <c r="U542" t="str">
        <f>IFERROR(__xludf.DUMMYFUNCTION("""COMPUTED_VALUE"""),"NELLY GUTIERREZ IBACETA")</f>
        <v>NELLY GUTIERREZ IBACETA</v>
      </c>
      <c r="V542" t="str">
        <f>IFERROR(__xludf.DUMMYFUNCTION("""COMPUTED_VALUE"""),"14367797-4")</f>
        <v>14367797-4</v>
      </c>
      <c r="W542" t="str">
        <f>IFERROR(__xludf.DUMMYFUNCTION("""COMPUTED_VALUE"""),"NO")</f>
        <v>NO</v>
      </c>
      <c r="AA542" s="38">
        <f>IFERROR(__xludf.DUMMYFUNCTION("""COMPUTED_VALUE"""),42164.0)</f>
        <v>42164</v>
      </c>
      <c r="AB542" s="38">
        <f>IFERROR(__xludf.DUMMYFUNCTION("""COMPUTED_VALUE"""),42166.0)</f>
        <v>42166</v>
      </c>
      <c r="AH542" t="str">
        <f>IFERROR(__xludf.DUMMYFUNCTION("""COMPUTED_VALUE"""),"PROCESO DE SELECCIÓN")</f>
        <v>PROCESO DE SELECCIÓN</v>
      </c>
      <c r="AI542" t="str">
        <f>IFERROR(__xludf.DUMMYFUNCTION("""COMPUTED_VALUE"""),"-")</f>
        <v>-</v>
      </c>
      <c r="AK542" t="str">
        <f>IFERROR(__xludf.DUMMYFUNCTION("""COMPUTED_VALUE"""),"E")</f>
        <v>E</v>
      </c>
      <c r="AL542">
        <f>IFERROR(__xludf.DUMMYFUNCTION("""COMPUTED_VALUE"""),86.0)</f>
        <v>86</v>
      </c>
      <c r="AM542">
        <f>IFERROR(__xludf.DUMMYFUNCTION("""COMPUTED_VALUE"""),2015.0)</f>
        <v>2015</v>
      </c>
    </row>
    <row r="543">
      <c r="A543">
        <f>IFERROR(__xludf.DUMMYFUNCTION("""COMPUTED_VALUE"""),1.5843366E7)</f>
        <v>15843366</v>
      </c>
      <c r="B543">
        <f>IFERROR(__xludf.DUMMYFUNCTION("""COMPUTED_VALUE"""),87.0)</f>
        <v>87</v>
      </c>
      <c r="D543" t="str">
        <f>IFERROR(__xludf.DUMMYFUNCTION("""COMPUTED_VALUE"""),"15")</f>
        <v>15</v>
      </c>
      <c r="E543" t="str">
        <f>IFERROR(__xludf.DUMMYFUNCTION("""COMPUTED_VALUE"""),"UNIDAD DE INNOVACION EDUCATIVA")</f>
        <v>UNIDAD DE INNOVACION EDUCATIVA</v>
      </c>
      <c r="F543" t="str">
        <f>IFERROR(__xludf.DUMMYFUNCTION("""COMPUTED_VALUE"""),"Analista de Proyectos I")</f>
        <v>Analista de Proyectos I</v>
      </c>
      <c r="G543" t="str">
        <f>IFERROR(__xludf.DUMMYFUNCTION("""COMPUTED_VALUE"""),"ANALISTA DE PROYECTOS")</f>
        <v>ANALISTA DE PROYECTOS</v>
      </c>
      <c r="H543">
        <f>IFERROR(__xludf.DUMMYFUNCTION("""COMPUTED_VALUE"""),8.0)</f>
        <v>8</v>
      </c>
      <c r="I543" t="str">
        <f>IFERROR(__xludf.DUMMYFUNCTION("""COMPUTED_VALUE"""),"Jornada Completa")</f>
        <v>Jornada Completa</v>
      </c>
      <c r="J543" t="str">
        <f>IFERROR(__xludf.DUMMYFUNCTION("""COMPUTED_VALUE"""),"A CONTRATA")</f>
        <v>A CONTRATA</v>
      </c>
      <c r="K543" t="str">
        <f>IFERROR(__xludf.DUMMYFUNCTION("""COMPUTED_VALUE"""),"PROFESIONAL")</f>
        <v>PROFESIONAL</v>
      </c>
      <c r="L543" t="str">
        <f>IFERROR(__xludf.DUMMYFUNCTION("""COMPUTED_VALUE"""),"NO")</f>
        <v>NO</v>
      </c>
      <c r="N543" t="str">
        <f>IFERROR(__xludf.DUMMYFUNCTION("""COMPUTED_VALUE"""),"NO")</f>
        <v>NO</v>
      </c>
      <c r="O543">
        <f>IFERROR(__xludf.DUMMYFUNCTION("""COMPUTED_VALUE"""),1.0)</f>
        <v>1</v>
      </c>
      <c r="P543">
        <f>IFERROR(__xludf.DUMMYFUNCTION("""COMPUTED_VALUE"""),1.0)</f>
        <v>1</v>
      </c>
      <c r="R543" s="45" t="str">
        <f>IFERROR(__xludf.DUMMYFUNCTION("""COMPUTED_VALUE"""),"SELECCIONADA")</f>
        <v>SELECCIONADA</v>
      </c>
      <c r="S543" s="38">
        <f>IFERROR(__xludf.DUMMYFUNCTION("""COMPUTED_VALUE"""),42339.0)</f>
        <v>42339</v>
      </c>
      <c r="U543" t="str">
        <f>IFERROR(__xludf.DUMMYFUNCTION("""COMPUTED_VALUE"""),"DANIELA MATURANA CASTILLO")</f>
        <v>DANIELA MATURANA CASTILLO</v>
      </c>
      <c r="V543" t="str">
        <f>IFERROR(__xludf.DUMMYFUNCTION("""COMPUTED_VALUE"""),"15843366-4")</f>
        <v>15843366-4</v>
      </c>
      <c r="W543" t="str">
        <f>IFERROR(__xludf.DUMMYFUNCTION("""COMPUTED_VALUE"""),"NO")</f>
        <v>NO</v>
      </c>
      <c r="AB543" s="38">
        <f>IFERROR(__xludf.DUMMYFUNCTION("""COMPUTED_VALUE"""),42318.0)</f>
        <v>42318</v>
      </c>
      <c r="AH543" t="str">
        <f>IFERROR(__xludf.DUMMYFUNCTION("""COMPUTED_VALUE"""),"REGULARIZACIÓN CONTRACTUAL")</f>
        <v>REGULARIZACIÓN CONTRACTUAL</v>
      </c>
      <c r="AI543" t="str">
        <f>IFERROR(__xludf.DUMMYFUNCTION("""COMPUTED_VALUE"""),"JORGE MARCHANT")</f>
        <v>JORGE MARCHANT</v>
      </c>
      <c r="AL543">
        <f>IFERROR(__xludf.DUMMYFUNCTION("""COMPUTED_VALUE"""),16.0)</f>
        <v>16</v>
      </c>
      <c r="AM543">
        <f>IFERROR(__xludf.DUMMYFUNCTION("""COMPUTED_VALUE"""),2015.0)</f>
        <v>2015</v>
      </c>
    </row>
    <row r="544">
      <c r="A544">
        <f>IFERROR(__xludf.DUMMYFUNCTION("""COMPUTED_VALUE"""),1.5642034E7)</f>
        <v>15642034</v>
      </c>
      <c r="B544">
        <f>IFERROR(__xludf.DUMMYFUNCTION("""COMPUTED_VALUE"""),88.0)</f>
        <v>88</v>
      </c>
      <c r="D544" t="str">
        <f>IFERROR(__xludf.DUMMYFUNCTION("""COMPUTED_VALUE"""),"15")</f>
        <v>15</v>
      </c>
      <c r="E544" t="str">
        <f>IFERROR(__xludf.DUMMYFUNCTION("""COMPUTED_VALUE"""),"UNIDAD DE INNOVACION EDUCATIVA")</f>
        <v>UNIDAD DE INNOVACION EDUCATIVA</v>
      </c>
      <c r="F544" t="str">
        <f>IFERROR(__xludf.DUMMYFUNCTION("""COMPUTED_VALUE"""),"Analista de Proyectos I")</f>
        <v>Analista de Proyectos I</v>
      </c>
      <c r="G544" t="str">
        <f>IFERROR(__xludf.DUMMYFUNCTION("""COMPUTED_VALUE"""),"ANALISTA DE PROYECTOS")</f>
        <v>ANALISTA DE PROYECTOS</v>
      </c>
      <c r="H544">
        <f>IFERROR(__xludf.DUMMYFUNCTION("""COMPUTED_VALUE"""),8.0)</f>
        <v>8</v>
      </c>
      <c r="I544" t="str">
        <f>IFERROR(__xludf.DUMMYFUNCTION("""COMPUTED_VALUE"""),"Jornada Completa")</f>
        <v>Jornada Completa</v>
      </c>
      <c r="J544" t="str">
        <f>IFERROR(__xludf.DUMMYFUNCTION("""COMPUTED_VALUE"""),"A CONTRATA")</f>
        <v>A CONTRATA</v>
      </c>
      <c r="K544" t="str">
        <f>IFERROR(__xludf.DUMMYFUNCTION("""COMPUTED_VALUE"""),"PROFESIONAL")</f>
        <v>PROFESIONAL</v>
      </c>
      <c r="L544" t="str">
        <f>IFERROR(__xludf.DUMMYFUNCTION("""COMPUTED_VALUE"""),"NO")</f>
        <v>NO</v>
      </c>
      <c r="N544" t="str">
        <f>IFERROR(__xludf.DUMMYFUNCTION("""COMPUTED_VALUE"""),"NO")</f>
        <v>NO</v>
      </c>
      <c r="O544">
        <f>IFERROR(__xludf.DUMMYFUNCTION("""COMPUTED_VALUE"""),1.0)</f>
        <v>1</v>
      </c>
      <c r="P544">
        <f>IFERROR(__xludf.DUMMYFUNCTION("""COMPUTED_VALUE"""),1.0)</f>
        <v>1</v>
      </c>
      <c r="R544" s="45" t="str">
        <f>IFERROR(__xludf.DUMMYFUNCTION("""COMPUTED_VALUE"""),"SELECCIONADA")</f>
        <v>SELECCIONADA</v>
      </c>
      <c r="S544" s="38">
        <f>IFERROR(__xludf.DUMMYFUNCTION("""COMPUTED_VALUE"""),42339.0)</f>
        <v>42339</v>
      </c>
      <c r="U544" t="str">
        <f>IFERROR(__xludf.DUMMYFUNCTION("""COMPUTED_VALUE"""),"DANIELA BERTHOLET RODRIGUEZ")</f>
        <v>DANIELA BERTHOLET RODRIGUEZ</v>
      </c>
      <c r="V544" t="str">
        <f>IFERROR(__xludf.DUMMYFUNCTION("""COMPUTED_VALUE"""),"15642034-4")</f>
        <v>15642034-4</v>
      </c>
      <c r="W544" t="str">
        <f>IFERROR(__xludf.DUMMYFUNCTION("""COMPUTED_VALUE"""),"NO")</f>
        <v>NO</v>
      </c>
      <c r="AB544" s="38">
        <f>IFERROR(__xludf.DUMMYFUNCTION("""COMPUTED_VALUE"""),42318.0)</f>
        <v>42318</v>
      </c>
      <c r="AH544" t="str">
        <f>IFERROR(__xludf.DUMMYFUNCTION("""COMPUTED_VALUE"""),"REGULARIZACIÓN CONTRACTUAL")</f>
        <v>REGULARIZACIÓN CONTRACTUAL</v>
      </c>
      <c r="AI544" t="str">
        <f>IFERROR(__xludf.DUMMYFUNCTION("""COMPUTED_VALUE"""),"ELISA MARCHANT")</f>
        <v>ELISA MARCHANT</v>
      </c>
      <c r="AL544">
        <f>IFERROR(__xludf.DUMMYFUNCTION("""COMPUTED_VALUE"""),16.0)</f>
        <v>16</v>
      </c>
      <c r="AM544">
        <f>IFERROR(__xludf.DUMMYFUNCTION("""COMPUTED_VALUE"""),2015.0)</f>
        <v>2015</v>
      </c>
    </row>
    <row r="545">
      <c r="A545">
        <f>IFERROR(__xludf.DUMMYFUNCTION("""COMPUTED_VALUE"""),1.3554568E7)</f>
        <v>13554568</v>
      </c>
      <c r="B545">
        <f>IFERROR(__xludf.DUMMYFUNCTION("""COMPUTED_VALUE"""),89.0)</f>
        <v>89</v>
      </c>
      <c r="D545" t="str">
        <f>IFERROR(__xludf.DUMMYFUNCTION("""COMPUTED_VALUE"""),"40")</f>
        <v>40</v>
      </c>
      <c r="E545" t="str">
        <f>IFERROR(__xludf.DUMMYFUNCTION("""COMPUTED_VALUE"""),"DEPARTAMENTO DE INGENIERIA INDUSTRIAL")</f>
        <v>DEPARTAMENTO DE INGENIERIA INDUSTRIAL</v>
      </c>
      <c r="F545" t="str">
        <f>IFERROR(__xludf.DUMMYFUNCTION("""COMPUTED_VALUE"""),"Mayordomo(a)")</f>
        <v>Mayordomo(a)</v>
      </c>
      <c r="G545" t="str">
        <f>IFERROR(__xludf.DUMMYFUNCTION("""COMPUTED_VALUE"""),"MAYORDOMO")</f>
        <v>MAYORDOMO</v>
      </c>
      <c r="H545">
        <f>IFERROR(__xludf.DUMMYFUNCTION("""COMPUTED_VALUE"""),21.0)</f>
        <v>21</v>
      </c>
      <c r="I545" t="str">
        <f>IFERROR(__xludf.DUMMYFUNCTION("""COMPUTED_VALUE"""),"Jornada Completa")</f>
        <v>Jornada Completa</v>
      </c>
      <c r="J545" t="str">
        <f>IFERROR(__xludf.DUMMYFUNCTION("""COMPUTED_VALUE"""),"A CONTRATA")</f>
        <v>A CONTRATA</v>
      </c>
      <c r="K545" t="str">
        <f>IFERROR(__xludf.DUMMYFUNCTION("""COMPUTED_VALUE"""),"AUXILIAR")</f>
        <v>AUXILIAR</v>
      </c>
      <c r="L545" t="str">
        <f>IFERROR(__xludf.DUMMYFUNCTION("""COMPUTED_VALUE"""),"INTERNO")</f>
        <v>INTERNO</v>
      </c>
      <c r="M545">
        <f>IFERROR(__xludf.DUMMYFUNCTION("""COMPUTED_VALUE"""),1.0)</f>
        <v>1</v>
      </c>
      <c r="N545" t="str">
        <f>IFERROR(__xludf.DUMMYFUNCTION("""COMPUTED_VALUE"""),"EXTERNO")</f>
        <v>EXTERNO</v>
      </c>
      <c r="O545">
        <f>IFERROR(__xludf.DUMMYFUNCTION("""COMPUTED_VALUE"""),16.0)</f>
        <v>16</v>
      </c>
      <c r="P545">
        <f>IFERROR(__xludf.DUMMYFUNCTION("""COMPUTED_VALUE"""),5.0)</f>
        <v>5</v>
      </c>
      <c r="Q545">
        <f>IFERROR(__xludf.DUMMYFUNCTION("""COMPUTED_VALUE"""),4.0)</f>
        <v>4</v>
      </c>
      <c r="R545" s="45" t="str">
        <f>IFERROR(__xludf.DUMMYFUNCTION("""COMPUTED_VALUE"""),"SELECCIONADO")</f>
        <v>SELECCIONADO</v>
      </c>
      <c r="S545" s="38">
        <f>IFERROR(__xludf.DUMMYFUNCTION("""COMPUTED_VALUE"""),42331.0)</f>
        <v>42331</v>
      </c>
      <c r="U545" t="str">
        <f>IFERROR(__xludf.DUMMYFUNCTION("""COMPUTED_VALUE"""),"LEONARDO LOPEZ LOPEZ")</f>
        <v>LEONARDO LOPEZ LOPEZ</v>
      </c>
      <c r="V545" t="str">
        <f>IFERROR(__xludf.DUMMYFUNCTION("""COMPUTED_VALUE"""),"13554568-6")</f>
        <v>13554568-6</v>
      </c>
      <c r="W545" t="str">
        <f>IFERROR(__xludf.DUMMYFUNCTION("""COMPUTED_VALUE"""),"NO")</f>
        <v>NO</v>
      </c>
      <c r="AA545" s="38">
        <f>IFERROR(__xludf.DUMMYFUNCTION("""COMPUTED_VALUE"""),42312.0)</f>
        <v>42312</v>
      </c>
      <c r="AB545" s="38">
        <f>IFERROR(__xludf.DUMMYFUNCTION("""COMPUTED_VALUE"""),42319.0)</f>
        <v>42319</v>
      </c>
      <c r="AH545" t="str">
        <f>IFERROR(__xludf.DUMMYFUNCTION("""COMPUTED_VALUE"""),"PROCESO DE SELECCIÓN")</f>
        <v>PROCESO DE SELECCIÓN</v>
      </c>
      <c r="AI545" t="str">
        <f>IFERROR(__xludf.DUMMYFUNCTION("""COMPUTED_VALUE"""),"RAUL DE LA VEGA")</f>
        <v>RAUL DE LA VEGA</v>
      </c>
      <c r="AK545" t="str">
        <f>IFERROR(__xludf.DUMMYFUNCTION("""COMPUTED_VALUE"""),"E")</f>
        <v>E</v>
      </c>
      <c r="AL545">
        <f>IFERROR(__xludf.DUMMYFUNCTION("""COMPUTED_VALUE"""),9.0)</f>
        <v>9</v>
      </c>
      <c r="AM545">
        <f>IFERROR(__xludf.DUMMYFUNCTION("""COMPUTED_VALUE"""),2015.0)</f>
        <v>2015</v>
      </c>
    </row>
    <row r="546">
      <c r="A546">
        <f>IFERROR(__xludf.DUMMYFUNCTION("""COMPUTED_VALUE"""),1.6928712E7)</f>
        <v>16928712</v>
      </c>
      <c r="B546">
        <f>IFERROR(__xludf.DUMMYFUNCTION("""COMPUTED_VALUE"""),90.0)</f>
        <v>90</v>
      </c>
      <c r="D546" t="str">
        <f>IFERROR(__xludf.DUMMYFUNCTION("""COMPUTED_VALUE"""),"3")</f>
        <v>3</v>
      </c>
      <c r="E546" t="str">
        <f>IFERROR(__xludf.DUMMYFUNCTION("""COMPUTED_VALUE"""),"UNIDAD DE BIENESTAR DEL PERSONAL")</f>
        <v>UNIDAD DE BIENESTAR DEL PERSONAL</v>
      </c>
      <c r="F546" t="str">
        <f>IFERROR(__xludf.DUMMYFUNCTION("""COMPUTED_VALUE"""),"Técnico(a) en Atención de Párvulos")</f>
        <v>Técnico(a) en Atención de Párvulos</v>
      </c>
      <c r="G546" t="str">
        <f>IFERROR(__xludf.DUMMYFUNCTION("""COMPUTED_VALUE"""),"TECNICO DE PARVULOS")</f>
        <v>TECNICO DE PARVULOS</v>
      </c>
      <c r="H546">
        <f>IFERROR(__xludf.DUMMYFUNCTION("""COMPUTED_VALUE"""),21.0)</f>
        <v>21</v>
      </c>
      <c r="I546" t="str">
        <f>IFERROR(__xludf.DUMMYFUNCTION("""COMPUTED_VALUE"""),"Jornada Completa")</f>
        <v>Jornada Completa</v>
      </c>
      <c r="J546" t="str">
        <f>IFERROR(__xludf.DUMMYFUNCTION("""COMPUTED_VALUE"""),"A CONTRATA")</f>
        <v>A CONTRATA</v>
      </c>
      <c r="K546" t="str">
        <f>IFERROR(__xludf.DUMMYFUNCTION("""COMPUTED_VALUE"""),"TECNICO")</f>
        <v>TECNICO</v>
      </c>
      <c r="L546" t="str">
        <f>IFERROR(__xludf.DUMMYFUNCTION("""COMPUTED_VALUE"""),"INTERNO")</f>
        <v>INTERNO</v>
      </c>
      <c r="M546">
        <f>IFERROR(__xludf.DUMMYFUNCTION("""COMPUTED_VALUE"""),0.0)</f>
        <v>0</v>
      </c>
      <c r="N546" t="str">
        <f>IFERROR(__xludf.DUMMYFUNCTION("""COMPUTED_VALUE"""),"EXTERNO")</f>
        <v>EXTERNO</v>
      </c>
      <c r="O546">
        <f>IFERROR(__xludf.DUMMYFUNCTION("""COMPUTED_VALUE"""),2.0)</f>
        <v>2</v>
      </c>
      <c r="P546">
        <f>IFERROR(__xludf.DUMMYFUNCTION("""COMPUTED_VALUE"""),2.0)</f>
        <v>2</v>
      </c>
      <c r="Q546">
        <f>IFERROR(__xludf.DUMMYFUNCTION("""COMPUTED_VALUE"""),1.0)</f>
        <v>1</v>
      </c>
      <c r="R546" s="45" t="str">
        <f>IFERROR(__xludf.DUMMYFUNCTION("""COMPUTED_VALUE"""),"SELECCIONADA")</f>
        <v>SELECCIONADA</v>
      </c>
      <c r="S546" s="38">
        <f>IFERROR(__xludf.DUMMYFUNCTION("""COMPUTED_VALUE"""),42339.0)</f>
        <v>42339</v>
      </c>
      <c r="U546" t="str">
        <f>IFERROR(__xludf.DUMMYFUNCTION("""COMPUTED_VALUE"""),"LISSETTE DURAN SILVA")</f>
        <v>LISSETTE DURAN SILVA</v>
      </c>
      <c r="V546" t="str">
        <f>IFERROR(__xludf.DUMMYFUNCTION("""COMPUTED_VALUE"""),"16928712-0")</f>
        <v>16928712-0</v>
      </c>
      <c r="W546" t="str">
        <f>IFERROR(__xludf.DUMMYFUNCTION("""COMPUTED_VALUE"""),"NO")</f>
        <v>NO</v>
      </c>
      <c r="AA546" s="38">
        <f>IFERROR(__xludf.DUMMYFUNCTION("""COMPUTED_VALUE"""),42310.0)</f>
        <v>42310</v>
      </c>
      <c r="AB546" s="38">
        <f>IFERROR(__xludf.DUMMYFUNCTION("""COMPUTED_VALUE"""),42317.0)</f>
        <v>42317</v>
      </c>
      <c r="AH546" t="str">
        <f>IFERROR(__xludf.DUMMYFUNCTION("""COMPUTED_VALUE"""),"PROCESO DE SELECCIÓN")</f>
        <v>PROCESO DE SELECCIÓN</v>
      </c>
      <c r="AI546" t="str">
        <f>IFERROR(__xludf.DUMMYFUNCTION("""COMPUTED_VALUE"""),"-")</f>
        <v>-</v>
      </c>
      <c r="AK546" t="str">
        <f>IFERROR(__xludf.DUMMYFUNCTION("""COMPUTED_VALUE"""),"P")</f>
        <v>P</v>
      </c>
      <c r="AL546">
        <f>IFERROR(__xludf.DUMMYFUNCTION("""COMPUTED_VALUE"""),17.0)</f>
        <v>17</v>
      </c>
      <c r="AM546">
        <f>IFERROR(__xludf.DUMMYFUNCTION("""COMPUTED_VALUE"""),2015.0)</f>
        <v>2015</v>
      </c>
    </row>
    <row r="547">
      <c r="A547">
        <f>IFERROR(__xludf.DUMMYFUNCTION("""COMPUTED_VALUE"""),1.346216E7)</f>
        <v>13462160</v>
      </c>
      <c r="B547">
        <f>IFERROR(__xludf.DUMMYFUNCTION("""COMPUTED_VALUE"""),91.0)</f>
        <v>91</v>
      </c>
      <c r="D547" t="str">
        <f>IFERROR(__xludf.DUMMYFUNCTION("""COMPUTED_VALUE"""),"40")</f>
        <v>40</v>
      </c>
      <c r="E547" t="str">
        <f>IFERROR(__xludf.DUMMYFUNCTION("""COMPUTED_VALUE"""),"DEPARTAMENTO DE INGENIERIA GEOGRAFICA")</f>
        <v>DEPARTAMENTO DE INGENIERIA GEOGRAFICA</v>
      </c>
      <c r="F547" t="str">
        <f>IFERROR(__xludf.DUMMYFUNCTION("""COMPUTED_VALUE"""),"Mayordomo(a)")</f>
        <v>Mayordomo(a)</v>
      </c>
      <c r="G547" t="str">
        <f>IFERROR(__xludf.DUMMYFUNCTION("""COMPUTED_VALUE"""),"MAYORDOMO")</f>
        <v>MAYORDOMO</v>
      </c>
      <c r="H547">
        <f>IFERROR(__xludf.DUMMYFUNCTION("""COMPUTED_VALUE"""),21.0)</f>
        <v>21</v>
      </c>
      <c r="I547" t="str">
        <f>IFERROR(__xludf.DUMMYFUNCTION("""COMPUTED_VALUE"""),"Jornada Completa")</f>
        <v>Jornada Completa</v>
      </c>
      <c r="J547" t="str">
        <f>IFERROR(__xludf.DUMMYFUNCTION("""COMPUTED_VALUE"""),"A CONTRATA")</f>
        <v>A CONTRATA</v>
      </c>
      <c r="K547" t="str">
        <f>IFERROR(__xludf.DUMMYFUNCTION("""COMPUTED_VALUE"""),"AUXILIAR")</f>
        <v>AUXILIAR</v>
      </c>
      <c r="L547" t="str">
        <f>IFERROR(__xludf.DUMMYFUNCTION("""COMPUTED_VALUE"""),"INTERNO")</f>
        <v>INTERNO</v>
      </c>
      <c r="M547">
        <f>IFERROR(__xludf.DUMMYFUNCTION("""COMPUTED_VALUE"""),1.0)</f>
        <v>1</v>
      </c>
      <c r="N547" t="str">
        <f>IFERROR(__xludf.DUMMYFUNCTION("""COMPUTED_VALUE"""),"EXTERNO")</f>
        <v>EXTERNO</v>
      </c>
      <c r="O547">
        <f>IFERROR(__xludf.DUMMYFUNCTION("""COMPUTED_VALUE"""),1.0)</f>
        <v>1</v>
      </c>
      <c r="P547">
        <f>IFERROR(__xludf.DUMMYFUNCTION("""COMPUTED_VALUE"""),1.0)</f>
        <v>1</v>
      </c>
      <c r="Q547">
        <f>IFERROR(__xludf.DUMMYFUNCTION("""COMPUTED_VALUE"""),1.0)</f>
        <v>1</v>
      </c>
      <c r="R547" s="45" t="str">
        <f>IFERROR(__xludf.DUMMYFUNCTION("""COMPUTED_VALUE"""),"SELECCIONADA")</f>
        <v>SELECCIONADA</v>
      </c>
      <c r="S547" s="38">
        <f>IFERROR(__xludf.DUMMYFUNCTION("""COMPUTED_VALUE"""),42339.0)</f>
        <v>42339</v>
      </c>
      <c r="U547" t="str">
        <f>IFERROR(__xludf.DUMMYFUNCTION("""COMPUTED_VALUE"""),"RUTH VERGARA MUNOZ")</f>
        <v>RUTH VERGARA MUNOZ</v>
      </c>
      <c r="V547" t="str">
        <f>IFERROR(__xludf.DUMMYFUNCTION("""COMPUTED_VALUE"""),"13462160-5")</f>
        <v>13462160-5</v>
      </c>
      <c r="W547" t="str">
        <f>IFERROR(__xludf.DUMMYFUNCTION("""COMPUTED_VALUE"""),"NO")</f>
        <v>NO</v>
      </c>
      <c r="AA547" s="38">
        <f>IFERROR(__xludf.DUMMYFUNCTION("""COMPUTED_VALUE"""),42313.0)</f>
        <v>42313</v>
      </c>
      <c r="AB547" s="38">
        <f>IFERROR(__xludf.DUMMYFUNCTION("""COMPUTED_VALUE"""),42320.0)</f>
        <v>42320</v>
      </c>
      <c r="AH547" t="str">
        <f>IFERROR(__xludf.DUMMYFUNCTION("""COMPUTED_VALUE"""),"PROCESO DE SELECCIÓN")</f>
        <v>PROCESO DE SELECCIÓN</v>
      </c>
      <c r="AI547" t="str">
        <f>IFERROR(__xludf.DUMMYFUNCTION("""COMPUTED_VALUE"""),"CRISTIAN ROJAS CABALLERO")</f>
        <v>CRISTIAN ROJAS CABALLERO</v>
      </c>
      <c r="AK547" t="str">
        <f>IFERROR(__xludf.DUMMYFUNCTION("""COMPUTED_VALUE"""),"P")</f>
        <v>P</v>
      </c>
      <c r="AL547">
        <f>IFERROR(__xludf.DUMMYFUNCTION("""COMPUTED_VALUE"""),14.0)</f>
        <v>14</v>
      </c>
      <c r="AM547">
        <f>IFERROR(__xludf.DUMMYFUNCTION("""COMPUTED_VALUE"""),2015.0)</f>
        <v>2015</v>
      </c>
    </row>
    <row r="548">
      <c r="A548">
        <f>IFERROR(__xludf.DUMMYFUNCTION("""COMPUTED_VALUE"""),1.3254211E7)</f>
        <v>13254211</v>
      </c>
      <c r="B548">
        <f>IFERROR(__xludf.DUMMYFUNCTION("""COMPUTED_VALUE"""),92.0)</f>
        <v>92</v>
      </c>
      <c r="D548" t="str">
        <f>IFERROR(__xludf.DUMMYFUNCTION("""COMPUTED_VALUE"""),"40")</f>
        <v>40</v>
      </c>
      <c r="E548" t="str">
        <f>IFERROR(__xludf.DUMMYFUNCTION("""COMPUTED_VALUE"""),"FACULTAD DE INGENIERIA")</f>
        <v>FACULTAD DE INGENIERIA</v>
      </c>
      <c r="F548" t="str">
        <f>IFERROR(__xludf.DUMMYFUNCTION("""COMPUTED_VALUE"""),"Analista de Proyectos I")</f>
        <v>Analista de Proyectos I</v>
      </c>
      <c r="G548" t="str">
        <f>IFERROR(__xludf.DUMMYFUNCTION("""COMPUTED_VALUE"""),"ANALISTA DE PROYECTOS")</f>
        <v>ANALISTA DE PROYECTOS</v>
      </c>
      <c r="H548">
        <f>IFERROR(__xludf.DUMMYFUNCTION("""COMPUTED_VALUE"""),10.0)</f>
        <v>10</v>
      </c>
      <c r="I548" t="str">
        <f>IFERROR(__xludf.DUMMYFUNCTION("""COMPUTED_VALUE"""),"Jornada Completa")</f>
        <v>Jornada Completa</v>
      </c>
      <c r="J548" t="str">
        <f>IFERROR(__xludf.DUMMYFUNCTION("""COMPUTED_VALUE"""),"A CONTRATA")</f>
        <v>A CONTRATA</v>
      </c>
      <c r="K548" t="str">
        <f>IFERROR(__xludf.DUMMYFUNCTION("""COMPUTED_VALUE"""),"PROFESIONAL")</f>
        <v>PROFESIONAL</v>
      </c>
      <c r="L548" t="str">
        <f>IFERROR(__xludf.DUMMYFUNCTION("""COMPUTED_VALUE"""),"INTERNO")</f>
        <v>INTERNO</v>
      </c>
      <c r="M548">
        <f>IFERROR(__xludf.DUMMYFUNCTION("""COMPUTED_VALUE"""),0.0)</f>
        <v>0</v>
      </c>
      <c r="N548" t="str">
        <f>IFERROR(__xludf.DUMMYFUNCTION("""COMPUTED_VALUE"""),"EXTERNO")</f>
        <v>EXTERNO</v>
      </c>
      <c r="O548">
        <f>IFERROR(__xludf.DUMMYFUNCTION("""COMPUTED_VALUE"""),4.0)</f>
        <v>4</v>
      </c>
      <c r="P548">
        <f>IFERROR(__xludf.DUMMYFUNCTION("""COMPUTED_VALUE"""),1.0)</f>
        <v>1</v>
      </c>
      <c r="Q548">
        <f>IFERROR(__xludf.DUMMYFUNCTION("""COMPUTED_VALUE"""),1.0)</f>
        <v>1</v>
      </c>
      <c r="R548" s="45" t="str">
        <f>IFERROR(__xludf.DUMMYFUNCTION("""COMPUTED_VALUE"""),"SELECCIONADA")</f>
        <v>SELECCIONADA</v>
      </c>
      <c r="S548" s="38">
        <f>IFERROR(__xludf.DUMMYFUNCTION("""COMPUTED_VALUE"""),42326.0)</f>
        <v>42326</v>
      </c>
      <c r="U548" t="str">
        <f>IFERROR(__xludf.DUMMYFUNCTION("""COMPUTED_VALUE"""),"SORAYA ABARCA CERDA")</f>
        <v>SORAYA ABARCA CERDA</v>
      </c>
      <c r="V548" t="str">
        <f>IFERROR(__xludf.DUMMYFUNCTION("""COMPUTED_VALUE"""),"13254211-2")</f>
        <v>13254211-2</v>
      </c>
      <c r="W548" t="str">
        <f>IFERROR(__xludf.DUMMYFUNCTION("""COMPUTED_VALUE"""),"SI")</f>
        <v>SI</v>
      </c>
      <c r="X548" t="str">
        <f>IFERROR(__xludf.DUMMYFUNCTION("""COMPUTED_VALUE"""),"Capacidad de Planificacion y Organizacion")</f>
        <v>Capacidad de Planificacion y Organizacion</v>
      </c>
      <c r="Z548" t="str">
        <f>IFERROR(__xludf.DUMMYFUNCTION("""COMPUTED_VALUE"""),"ORIENTACION A LOS RESULTADOS")</f>
        <v>ORIENTACION A LOS RESULTADOS</v>
      </c>
      <c r="AA548" s="38">
        <f>IFERROR(__xludf.DUMMYFUNCTION("""COMPUTED_VALUE"""),42291.0)</f>
        <v>42291</v>
      </c>
      <c r="AB548" s="38">
        <f>IFERROR(__xludf.DUMMYFUNCTION("""COMPUTED_VALUE"""),42293.0)</f>
        <v>42293</v>
      </c>
      <c r="AH548" t="str">
        <f>IFERROR(__xludf.DUMMYFUNCTION("""COMPUTED_VALUE"""),"PROCESO DE SELECCIÓN")</f>
        <v>PROCESO DE SELECCIÓN</v>
      </c>
      <c r="AI548" t="str">
        <f>IFERROR(__xludf.DUMMYFUNCTION("""COMPUTED_VALUE"""),"-")</f>
        <v>-</v>
      </c>
      <c r="AK548" t="str">
        <f>IFERROR(__xludf.DUMMYFUNCTION("""COMPUTED_VALUE"""),"P")</f>
        <v>P</v>
      </c>
      <c r="AL548">
        <f>IFERROR(__xludf.DUMMYFUNCTION("""COMPUTED_VALUE"""),24.0)</f>
        <v>24</v>
      </c>
      <c r="AM548">
        <f>IFERROR(__xludf.DUMMYFUNCTION("""COMPUTED_VALUE"""),2015.0)</f>
        <v>2015</v>
      </c>
    </row>
    <row r="549">
      <c r="A549">
        <f>IFERROR(__xludf.DUMMYFUNCTION("""COMPUTED_VALUE"""),1.2880526E7)</f>
        <v>12880526</v>
      </c>
      <c r="B549">
        <f>IFERROR(__xludf.DUMMYFUNCTION("""COMPUTED_VALUE"""),93.0)</f>
        <v>93</v>
      </c>
      <c r="D549" t="str">
        <f>IFERROR(__xludf.DUMMYFUNCTION("""COMPUTED_VALUE"""),"40")</f>
        <v>40</v>
      </c>
      <c r="E549" t="str">
        <f>IFERROR(__xludf.DUMMYFUNCTION("""COMPUTED_VALUE"""),"FACULTAD DE INGENIERIA")</f>
        <v>FACULTAD DE INGENIERIA</v>
      </c>
      <c r="F549" t="str">
        <f>IFERROR(__xludf.DUMMYFUNCTION("""COMPUTED_VALUE"""),"Analista de Proyectos I")</f>
        <v>Analista de Proyectos I</v>
      </c>
      <c r="G549" t="str">
        <f>IFERROR(__xludf.DUMMYFUNCTION("""COMPUTED_VALUE"""),"ANALISTA DE PROYECTOS")</f>
        <v>ANALISTA DE PROYECTOS</v>
      </c>
      <c r="H549">
        <f>IFERROR(__xludf.DUMMYFUNCTION("""COMPUTED_VALUE"""),10.0)</f>
        <v>10</v>
      </c>
      <c r="I549" t="str">
        <f>IFERROR(__xludf.DUMMYFUNCTION("""COMPUTED_VALUE"""),"Jornada Completa")</f>
        <v>Jornada Completa</v>
      </c>
      <c r="J549" t="str">
        <f>IFERROR(__xludf.DUMMYFUNCTION("""COMPUTED_VALUE"""),"A CONTRATA")</f>
        <v>A CONTRATA</v>
      </c>
      <c r="K549" t="str">
        <f>IFERROR(__xludf.DUMMYFUNCTION("""COMPUTED_VALUE"""),"PROFESIONAL")</f>
        <v>PROFESIONAL</v>
      </c>
      <c r="L549" t="str">
        <f>IFERROR(__xludf.DUMMYFUNCTION("""COMPUTED_VALUE"""),"INTERNO")</f>
        <v>INTERNO</v>
      </c>
      <c r="M549">
        <f>IFERROR(__xludf.DUMMYFUNCTION("""COMPUTED_VALUE"""),0.0)</f>
        <v>0</v>
      </c>
      <c r="N549" t="str">
        <f>IFERROR(__xludf.DUMMYFUNCTION("""COMPUTED_VALUE"""),"EXTERNO")</f>
        <v>EXTERNO</v>
      </c>
      <c r="O549">
        <f>IFERROR(__xludf.DUMMYFUNCTION("""COMPUTED_VALUE"""),2.0)</f>
        <v>2</v>
      </c>
      <c r="P549">
        <f>IFERROR(__xludf.DUMMYFUNCTION("""COMPUTED_VALUE"""),1.0)</f>
        <v>1</v>
      </c>
      <c r="Q549">
        <f>IFERROR(__xludf.DUMMYFUNCTION("""COMPUTED_VALUE"""),1.0)</f>
        <v>1</v>
      </c>
      <c r="R549" s="45" t="str">
        <f>IFERROR(__xludf.DUMMYFUNCTION("""COMPUTED_VALUE"""),"SELECCIONADO")</f>
        <v>SELECCIONADO</v>
      </c>
      <c r="S549" s="38">
        <f>IFERROR(__xludf.DUMMYFUNCTION("""COMPUTED_VALUE"""),42356.0)</f>
        <v>42356</v>
      </c>
      <c r="U549" t="str">
        <f>IFERROR(__xludf.DUMMYFUNCTION("""COMPUTED_VALUE"""),"JAIME PARRAGUEZ ROZAS")</f>
        <v>JAIME PARRAGUEZ ROZAS</v>
      </c>
      <c r="V549" t="str">
        <f>IFERROR(__xludf.DUMMYFUNCTION("""COMPUTED_VALUE"""),"12880526-5")</f>
        <v>12880526-5</v>
      </c>
      <c r="W549" t="str">
        <f>IFERROR(__xludf.DUMMYFUNCTION("""COMPUTED_VALUE"""),"NO")</f>
        <v>NO</v>
      </c>
      <c r="AA549" s="38">
        <f>IFERROR(__xludf.DUMMYFUNCTION("""COMPUTED_VALUE"""),42276.0)</f>
        <v>42276</v>
      </c>
      <c r="AB549" s="38">
        <f>IFERROR(__xludf.DUMMYFUNCTION("""COMPUTED_VALUE"""),42283.0)</f>
        <v>42283</v>
      </c>
      <c r="AH549" t="str">
        <f>IFERROR(__xludf.DUMMYFUNCTION("""COMPUTED_VALUE"""),"PROCESO DE SELECCIÓN")</f>
        <v>PROCESO DE SELECCIÓN</v>
      </c>
      <c r="AI549" t="str">
        <f>IFERROR(__xludf.DUMMYFUNCTION("""COMPUTED_VALUE"""),"-")</f>
        <v>-</v>
      </c>
      <c r="AK549" t="str">
        <f>IFERROR(__xludf.DUMMYFUNCTION("""COMPUTED_VALUE"""),"P")</f>
        <v>P</v>
      </c>
      <c r="AL549">
        <f>IFERROR(__xludf.DUMMYFUNCTION("""COMPUTED_VALUE"""),54.0)</f>
        <v>54</v>
      </c>
      <c r="AM549">
        <f>IFERROR(__xludf.DUMMYFUNCTION("""COMPUTED_VALUE"""),2015.0)</f>
        <v>2015</v>
      </c>
    </row>
    <row r="550">
      <c r="A550">
        <f>IFERROR(__xludf.DUMMYFUNCTION("""COMPUTED_VALUE"""),1.6379746E7)</f>
        <v>16379746</v>
      </c>
      <c r="B550">
        <f>IFERROR(__xludf.DUMMYFUNCTION("""COMPUTED_VALUE"""),94.0)</f>
        <v>94</v>
      </c>
      <c r="D550" t="str">
        <f>IFERROR(__xludf.DUMMYFUNCTION("""COMPUTED_VALUE"""),"15")</f>
        <v>15</v>
      </c>
      <c r="E550" t="str">
        <f>IFERROR(__xludf.DUMMYFUNCTION("""COMPUTED_VALUE"""),"ESCUELA DE ARQUITECTURA")</f>
        <v>ESCUELA DE ARQUITECTURA</v>
      </c>
      <c r="F550" t="str">
        <f>IFERROR(__xludf.DUMMYFUNCTION("""COMPUTED_VALUE"""),"Estafeta")</f>
        <v>Estafeta</v>
      </c>
      <c r="G550" t="str">
        <f>IFERROR(__xludf.DUMMYFUNCTION("""COMPUTED_VALUE"""),"ESTAFETA")</f>
        <v>ESTAFETA</v>
      </c>
      <c r="H550">
        <f>IFERROR(__xludf.DUMMYFUNCTION("""COMPUTED_VALUE"""),23.0)</f>
        <v>23</v>
      </c>
      <c r="I550" t="str">
        <f>IFERROR(__xludf.DUMMYFUNCTION("""COMPUTED_VALUE"""),"Jornada Completa")</f>
        <v>Jornada Completa</v>
      </c>
      <c r="J550" t="str">
        <f>IFERROR(__xludf.DUMMYFUNCTION("""COMPUTED_VALUE"""),"A CONTRATA")</f>
        <v>A CONTRATA</v>
      </c>
      <c r="K550" t="str">
        <f>IFERROR(__xludf.DUMMYFUNCTION("""COMPUTED_VALUE"""),"AUXILIAR")</f>
        <v>AUXILIAR</v>
      </c>
      <c r="L550" t="str">
        <f>IFERROR(__xludf.DUMMYFUNCTION("""COMPUTED_VALUE"""),"INTERNO")</f>
        <v>INTERNO</v>
      </c>
      <c r="M550">
        <f>IFERROR(__xludf.DUMMYFUNCTION("""COMPUTED_VALUE"""),0.0)</f>
        <v>0</v>
      </c>
      <c r="N550" t="str">
        <f>IFERROR(__xludf.DUMMYFUNCTION("""COMPUTED_VALUE"""),"EXTERNO")</f>
        <v>EXTERNO</v>
      </c>
      <c r="O550">
        <f>IFERROR(__xludf.DUMMYFUNCTION("""COMPUTED_VALUE"""),35.0)</f>
        <v>35</v>
      </c>
      <c r="P550">
        <f>IFERROR(__xludf.DUMMYFUNCTION("""COMPUTED_VALUE"""),4.0)</f>
        <v>4</v>
      </c>
      <c r="Q550">
        <f>IFERROR(__xludf.DUMMYFUNCTION("""COMPUTED_VALUE"""),3.0)</f>
        <v>3</v>
      </c>
      <c r="R550" s="45" t="str">
        <f>IFERROR(__xludf.DUMMYFUNCTION("""COMPUTED_VALUE"""),"SELECCIONADO")</f>
        <v>SELECCIONADO</v>
      </c>
      <c r="S550" s="38">
        <f>IFERROR(__xludf.DUMMYFUNCTION("""COMPUTED_VALUE"""),42331.0)</f>
        <v>42331</v>
      </c>
      <c r="U550" t="str">
        <f>IFERROR(__xludf.DUMMYFUNCTION("""COMPUTED_VALUE"""),"CHRISTIAN LLANOS BARRERA")</f>
        <v>CHRISTIAN LLANOS BARRERA</v>
      </c>
      <c r="V550" t="str">
        <f>IFERROR(__xludf.DUMMYFUNCTION("""COMPUTED_VALUE"""),"16379746-1")</f>
        <v>16379746-1</v>
      </c>
      <c r="W550" t="str">
        <f>IFERROR(__xludf.DUMMYFUNCTION("""COMPUTED_VALUE"""),"SI")</f>
        <v>SI</v>
      </c>
      <c r="Y550" t="str">
        <f>IFERROR(__xludf.DUMMYFUNCTION("""COMPUTED_VALUE"""),"Comunicacion")</f>
        <v>Comunicacion</v>
      </c>
      <c r="AA550" s="38">
        <f>IFERROR(__xludf.DUMMYFUNCTION("""COMPUTED_VALUE"""),42276.0)</f>
        <v>42276</v>
      </c>
      <c r="AB550" s="38">
        <f>IFERROR(__xludf.DUMMYFUNCTION("""COMPUTED_VALUE"""),42283.0)</f>
        <v>42283</v>
      </c>
      <c r="AH550" t="str">
        <f>IFERROR(__xludf.DUMMYFUNCTION("""COMPUTED_VALUE"""),"PROCESO DE SELECCIÓN")</f>
        <v>PROCESO DE SELECCIÓN</v>
      </c>
      <c r="AI550" t="str">
        <f>IFERROR(__xludf.DUMMYFUNCTION("""COMPUTED_VALUE"""),"MARCOS HERNANDEZ CAMPOS")</f>
        <v>MARCOS HERNANDEZ CAMPOS</v>
      </c>
      <c r="AK550" t="str">
        <f>IFERROR(__xludf.DUMMYFUNCTION("""COMPUTED_VALUE"""),"P")</f>
        <v>P</v>
      </c>
      <c r="AL550">
        <f>IFERROR(__xludf.DUMMYFUNCTION("""COMPUTED_VALUE"""),35.0)</f>
        <v>35</v>
      </c>
      <c r="AM550">
        <f>IFERROR(__xludf.DUMMYFUNCTION("""COMPUTED_VALUE"""),2015.0)</f>
        <v>2015</v>
      </c>
    </row>
    <row r="551">
      <c r="A551">
        <f>IFERROR(__xludf.DUMMYFUNCTION("""COMPUTED_VALUE"""),1.7251936E7)</f>
        <v>17251936</v>
      </c>
      <c r="B551">
        <f>IFERROR(__xludf.DUMMYFUNCTION("""COMPUTED_VALUE"""),95.0)</f>
        <v>95</v>
      </c>
      <c r="D551" t="str">
        <f>IFERROR(__xludf.DUMMYFUNCTION("""COMPUTED_VALUE"""),"15")</f>
        <v>15</v>
      </c>
      <c r="E551" t="str">
        <f>IFERROR(__xludf.DUMMYFUNCTION("""COMPUTED_VALUE"""),"UNIDAD DE BIBLIOTECAS")</f>
        <v>UNIDAD DE BIBLIOTECAS</v>
      </c>
      <c r="F551" t="str">
        <f>IFERROR(__xludf.DUMMYFUNCTION("""COMPUTED_VALUE"""),"Técnico(a) de Biblioteca")</f>
        <v>Técnico(a) de Biblioteca</v>
      </c>
      <c r="G551" t="str">
        <f>IFERROR(__xludf.DUMMYFUNCTION("""COMPUTED_VALUE"""),"TECNICO DE BIBLIOTECA")</f>
        <v>TECNICO DE BIBLIOTECA</v>
      </c>
      <c r="H551">
        <f>IFERROR(__xludf.DUMMYFUNCTION("""COMPUTED_VALUE"""),18.0)</f>
        <v>18</v>
      </c>
      <c r="I551" t="str">
        <f>IFERROR(__xludf.DUMMYFUNCTION("""COMPUTED_VALUE"""),"Jornada Completa")</f>
        <v>Jornada Completa</v>
      </c>
      <c r="J551" t="str">
        <f>IFERROR(__xludf.DUMMYFUNCTION("""COMPUTED_VALUE"""),"A CONTRATA")</f>
        <v>A CONTRATA</v>
      </c>
      <c r="K551" t="str">
        <f>IFERROR(__xludf.DUMMYFUNCTION("""COMPUTED_VALUE"""),"TECNICO")</f>
        <v>TECNICO</v>
      </c>
      <c r="L551" t="str">
        <f>IFERROR(__xludf.DUMMYFUNCTION("""COMPUTED_VALUE"""),"INTERNO")</f>
        <v>INTERNO</v>
      </c>
      <c r="M551">
        <f>IFERROR(__xludf.DUMMYFUNCTION("""COMPUTED_VALUE"""),0.0)</f>
        <v>0</v>
      </c>
      <c r="N551" t="str">
        <f>IFERROR(__xludf.DUMMYFUNCTION("""COMPUTED_VALUE"""),"EXTERNO")</f>
        <v>EXTERNO</v>
      </c>
      <c r="O551">
        <f>IFERROR(__xludf.DUMMYFUNCTION("""COMPUTED_VALUE"""),14.0)</f>
        <v>14</v>
      </c>
      <c r="P551">
        <f>IFERROR(__xludf.DUMMYFUNCTION("""COMPUTED_VALUE"""),2.0)</f>
        <v>2</v>
      </c>
      <c r="Q551">
        <f>IFERROR(__xludf.DUMMYFUNCTION("""COMPUTED_VALUE"""),3.0)</f>
        <v>3</v>
      </c>
      <c r="R551" s="45" t="str">
        <f>IFERROR(__xludf.DUMMYFUNCTION("""COMPUTED_VALUE"""),"SELECCIONADA")</f>
        <v>SELECCIONADA</v>
      </c>
      <c r="S551" s="38">
        <f>IFERROR(__xludf.DUMMYFUNCTION("""COMPUTED_VALUE"""),42347.0)</f>
        <v>42347</v>
      </c>
      <c r="U551" t="str">
        <f>IFERROR(__xludf.DUMMYFUNCTION("""COMPUTED_VALUE"""),"ESTER ZUNIGA ESPINOZA")</f>
        <v>ESTER ZUNIGA ESPINOZA</v>
      </c>
      <c r="V551" t="str">
        <f>IFERROR(__xludf.DUMMYFUNCTION("""COMPUTED_VALUE"""),"17251936-9")</f>
        <v>17251936-9</v>
      </c>
      <c r="W551" t="str">
        <f>IFERROR(__xludf.DUMMYFUNCTION("""COMPUTED_VALUE"""),"NO")</f>
        <v>NO</v>
      </c>
      <c r="AA551" s="38">
        <f>IFERROR(__xludf.DUMMYFUNCTION("""COMPUTED_VALUE"""),42306.0)</f>
        <v>42306</v>
      </c>
      <c r="AB551" s="38">
        <f>IFERROR(__xludf.DUMMYFUNCTION("""COMPUTED_VALUE"""),42313.0)</f>
        <v>42313</v>
      </c>
      <c r="AH551" t="str">
        <f>IFERROR(__xludf.DUMMYFUNCTION("""COMPUTED_VALUE"""),"PROCESO DE SELECCIÓN")</f>
        <v>PROCESO DE SELECCIÓN</v>
      </c>
      <c r="AI551" t="str">
        <f>IFERROR(__xludf.DUMMYFUNCTION("""COMPUTED_VALUE"""),"ANA MARIA MUNOZ SEGUEL")</f>
        <v>ANA MARIA MUNOZ SEGUEL</v>
      </c>
      <c r="AK551" t="str">
        <f>IFERROR(__xludf.DUMMYFUNCTION("""COMPUTED_VALUE"""),"E")</f>
        <v>E</v>
      </c>
      <c r="AL551">
        <f>IFERROR(__xludf.DUMMYFUNCTION("""COMPUTED_VALUE"""),25.0)</f>
        <v>25</v>
      </c>
      <c r="AM551">
        <f>IFERROR(__xludf.DUMMYFUNCTION("""COMPUTED_VALUE"""),2015.0)</f>
        <v>2015</v>
      </c>
    </row>
    <row r="552">
      <c r="A552">
        <f>IFERROR(__xludf.DUMMYFUNCTION("""COMPUTED_VALUE"""),1.5665644E7)</f>
        <v>15665644</v>
      </c>
      <c r="B552">
        <f>IFERROR(__xludf.DUMMYFUNCTION("""COMPUTED_VALUE"""),96.0)</f>
        <v>96</v>
      </c>
      <c r="D552" t="str">
        <f>IFERROR(__xludf.DUMMYFUNCTION("""COMPUTED_VALUE"""),"50")</f>
        <v>50</v>
      </c>
      <c r="E552" t="str">
        <f>IFERROR(__xludf.DUMMYFUNCTION("""COMPUTED_VALUE"""),"DEPARTAMENTO DE FISICA")</f>
        <v>DEPARTAMENTO DE FISICA</v>
      </c>
      <c r="F552" t="str">
        <f>IFERROR(__xludf.DUMMYFUNCTION("""COMPUTED_VALUE"""),"Jefe(a) de Laboratorio")</f>
        <v>Jefe(a) de Laboratorio</v>
      </c>
      <c r="G552" t="str">
        <f>IFERROR(__xludf.DUMMYFUNCTION("""COMPUTED_VALUE"""),"JEFE DE LABORATORIO")</f>
        <v>JEFE DE LABORATORIO</v>
      </c>
      <c r="H552">
        <f>IFERROR(__xludf.DUMMYFUNCTION("""COMPUTED_VALUE"""),13.0)</f>
        <v>13</v>
      </c>
      <c r="I552" t="str">
        <f>IFERROR(__xludf.DUMMYFUNCTION("""COMPUTED_VALUE"""),"Jornada Completa")</f>
        <v>Jornada Completa</v>
      </c>
      <c r="J552" t="str">
        <f>IFERROR(__xludf.DUMMYFUNCTION("""COMPUTED_VALUE"""),"A CONTRATA")</f>
        <v>A CONTRATA</v>
      </c>
      <c r="K552" t="str">
        <f>IFERROR(__xludf.DUMMYFUNCTION("""COMPUTED_VALUE"""),"PROFESIONAL")</f>
        <v>PROFESIONAL</v>
      </c>
      <c r="L552" t="str">
        <f>IFERROR(__xludf.DUMMYFUNCTION("""COMPUTED_VALUE"""),"INTERNO")</f>
        <v>INTERNO</v>
      </c>
      <c r="M552">
        <f>IFERROR(__xludf.DUMMYFUNCTION("""COMPUTED_VALUE"""),1.0)</f>
        <v>1</v>
      </c>
      <c r="N552" t="str">
        <f>IFERROR(__xludf.DUMMYFUNCTION("""COMPUTED_VALUE"""),"NO")</f>
        <v>NO</v>
      </c>
      <c r="P552">
        <f>IFERROR(__xludf.DUMMYFUNCTION("""COMPUTED_VALUE"""),1.0)</f>
        <v>1</v>
      </c>
      <c r="Q552">
        <f>IFERROR(__xludf.DUMMYFUNCTION("""COMPUTED_VALUE"""),0.0)</f>
        <v>0</v>
      </c>
      <c r="R552" s="45" t="str">
        <f>IFERROR(__xludf.DUMMYFUNCTION("""COMPUTED_VALUE"""),"SELECCIONADA")</f>
        <v>SELECCIONADA</v>
      </c>
      <c r="S552" s="38">
        <f>IFERROR(__xludf.DUMMYFUNCTION("""COMPUTED_VALUE"""),42324.0)</f>
        <v>42324</v>
      </c>
      <c r="T552" t="str">
        <f>IFERROR(__xludf.DUMMYFUNCTION("""COMPUTED_VALUE"""),"DANIELA BRICENO GUTIERREZ")</f>
        <v>DANIELA BRICENO GUTIERREZ</v>
      </c>
      <c r="V552" t="str">
        <f>IFERROR(__xludf.DUMMYFUNCTION("""COMPUTED_VALUE"""),"15665644-5")</f>
        <v>15665644-5</v>
      </c>
      <c r="W552" t="str">
        <f>IFERROR(__xludf.DUMMYFUNCTION("""COMPUTED_VALUE"""),"SI")</f>
        <v>SI</v>
      </c>
      <c r="X552" t="str">
        <f>IFERROR(__xludf.DUMMYFUNCTION("""COMPUTED_VALUE"""),"Capacidad de Planificacion y Organizacion")</f>
        <v>Capacidad de Planificacion y Organizacion</v>
      </c>
      <c r="Y552" t="str">
        <f>IFERROR(__xludf.DUMMYFUNCTION("""COMPUTED_VALUE"""),"TRABAJO EN EQUIPO")</f>
        <v>TRABAJO EN EQUIPO</v>
      </c>
      <c r="Z552" t="str">
        <f>IFERROR(__xludf.DUMMYFUNCTION("""COMPUTED_VALUE"""),"TOLERANCIA A LA PRESION")</f>
        <v>TOLERANCIA A LA PRESION</v>
      </c>
      <c r="AA552" s="38">
        <f>IFERROR(__xludf.DUMMYFUNCTION("""COMPUTED_VALUE"""),42275.0)</f>
        <v>42275</v>
      </c>
      <c r="AB552" s="38">
        <f>IFERROR(__xludf.DUMMYFUNCTION("""COMPUTED_VALUE"""),42278.0)</f>
        <v>42278</v>
      </c>
      <c r="AH552" t="str">
        <f>IFERROR(__xludf.DUMMYFUNCTION("""COMPUTED_VALUE"""),"PROCESO DE SELECCIÓN")</f>
        <v>PROCESO DE SELECCIÓN</v>
      </c>
      <c r="AI552" t="str">
        <f>IFERROR(__xludf.DUMMYFUNCTION("""COMPUTED_VALUE"""),"RUBEN GARATE COLLADO")</f>
        <v>RUBEN GARATE COLLADO</v>
      </c>
      <c r="AK552" t="str">
        <f>IFERROR(__xludf.DUMMYFUNCTION("""COMPUTED_VALUE"""),"P")</f>
        <v>P</v>
      </c>
      <c r="AL552">
        <f>IFERROR(__xludf.DUMMYFUNCTION("""COMPUTED_VALUE"""),33.0)</f>
        <v>33</v>
      </c>
      <c r="AM552">
        <f>IFERROR(__xludf.DUMMYFUNCTION("""COMPUTED_VALUE"""),2015.0)</f>
        <v>2015</v>
      </c>
    </row>
    <row r="553">
      <c r="A553">
        <f>IFERROR(__xludf.DUMMYFUNCTION("""COMPUTED_VALUE"""),1.7254189E7)</f>
        <v>17254189</v>
      </c>
      <c r="B553">
        <f>IFERROR(__xludf.DUMMYFUNCTION("""COMPUTED_VALUE"""),97.0)</f>
        <v>97</v>
      </c>
      <c r="D553" t="str">
        <f>IFERROR(__xludf.DUMMYFUNCTION("""COMPUTED_VALUE"""),"55")</f>
        <v>55</v>
      </c>
      <c r="E553" t="str">
        <f>IFERROR(__xludf.DUMMYFUNCTION("""COMPUTED_VALUE"""),"FACULTAD DE HUMANIDADES")</f>
        <v>FACULTAD DE HUMANIDADES</v>
      </c>
      <c r="F553" t="str">
        <f>IFERROR(__xludf.DUMMYFUNCTION("""COMPUTED_VALUE"""),"Encargado(a) de Vinculación con el Medio")</f>
        <v>Encargado(a) de Vinculación con el Medio</v>
      </c>
      <c r="G553" t="str">
        <f>IFERROR(__xludf.DUMMYFUNCTION("""COMPUTED_VALUE"""),"ENCARGADO DE VINCULACION CON EL MEDIO")</f>
        <v>ENCARGADO DE VINCULACION CON EL MEDIO</v>
      </c>
      <c r="H553">
        <f>IFERROR(__xludf.DUMMYFUNCTION("""COMPUTED_VALUE"""),13.0)</f>
        <v>13</v>
      </c>
      <c r="I553" t="str">
        <f>IFERROR(__xludf.DUMMYFUNCTION("""COMPUTED_VALUE"""),"Jornada Completa")</f>
        <v>Jornada Completa</v>
      </c>
      <c r="J553" t="str">
        <f>IFERROR(__xludf.DUMMYFUNCTION("""COMPUTED_VALUE"""),"A CONTRATA")</f>
        <v>A CONTRATA</v>
      </c>
      <c r="K553" t="str">
        <f>IFERROR(__xludf.DUMMYFUNCTION("""COMPUTED_VALUE"""),"PROFESIONAL")</f>
        <v>PROFESIONAL</v>
      </c>
      <c r="L553" t="str">
        <f>IFERROR(__xludf.DUMMYFUNCTION("""COMPUTED_VALUE"""),"INTERNO")</f>
        <v>INTERNO</v>
      </c>
      <c r="M553">
        <f>IFERROR(__xludf.DUMMYFUNCTION("""COMPUTED_VALUE"""),3.0)</f>
        <v>3</v>
      </c>
      <c r="N553" t="str">
        <f>IFERROR(__xludf.DUMMYFUNCTION("""COMPUTED_VALUE"""),"EXTERNO")</f>
        <v>EXTERNO</v>
      </c>
      <c r="O553">
        <f>IFERROR(__xludf.DUMMYFUNCTION("""COMPUTED_VALUE"""),10.0)</f>
        <v>10</v>
      </c>
      <c r="P553">
        <f>IFERROR(__xludf.DUMMYFUNCTION("""COMPUTED_VALUE"""),2.0)</f>
        <v>2</v>
      </c>
      <c r="Q553">
        <f>IFERROR(__xludf.DUMMYFUNCTION("""COMPUTED_VALUE"""),1.0)</f>
        <v>1</v>
      </c>
      <c r="R553" s="45" t="str">
        <f>IFERROR(__xludf.DUMMYFUNCTION("""COMPUTED_VALUE"""),"SELECCIONADO")</f>
        <v>SELECCIONADO</v>
      </c>
      <c r="S553" s="38">
        <f>IFERROR(__xludf.DUMMYFUNCTION("""COMPUTED_VALUE"""),42278.0)</f>
        <v>42278</v>
      </c>
      <c r="U553" t="str">
        <f>IFERROR(__xludf.DUMMYFUNCTION("""COMPUTED_VALUE"""),"ALEX ARAYA LILLO")</f>
        <v>ALEX ARAYA LILLO</v>
      </c>
      <c r="V553" t="str">
        <f>IFERROR(__xludf.DUMMYFUNCTION("""COMPUTED_VALUE"""),"17254189-5")</f>
        <v>17254189-5</v>
      </c>
      <c r="W553" t="str">
        <f>IFERROR(__xludf.DUMMYFUNCTION("""COMPUTED_VALUE"""),"NO")</f>
        <v>NO</v>
      </c>
      <c r="AA553" s="38">
        <f>IFERROR(__xludf.DUMMYFUNCTION("""COMPUTED_VALUE"""),42200.0)</f>
        <v>42200</v>
      </c>
      <c r="AB553" s="38">
        <f>IFERROR(__xludf.DUMMYFUNCTION("""COMPUTED_VALUE"""),42208.0)</f>
        <v>42208</v>
      </c>
      <c r="AH553" t="str">
        <f>IFERROR(__xludf.DUMMYFUNCTION("""COMPUTED_VALUE"""),"PROCESO DE SELECCIÓN")</f>
        <v>PROCESO DE SELECCIÓN</v>
      </c>
      <c r="AI553" t="str">
        <f>IFERROR(__xludf.DUMMYFUNCTION("""COMPUTED_VALUE"""),"-")</f>
        <v>-</v>
      </c>
      <c r="AK553" t="str">
        <f>IFERROR(__xludf.DUMMYFUNCTION("""COMPUTED_VALUE"""),"P")</f>
        <v>P</v>
      </c>
      <c r="AL553">
        <f>IFERROR(__xludf.DUMMYFUNCTION("""COMPUTED_VALUE"""),51.0)</f>
        <v>51</v>
      </c>
      <c r="AM553">
        <f>IFERROR(__xludf.DUMMYFUNCTION("""COMPUTED_VALUE"""),2015.0)</f>
        <v>2015</v>
      </c>
    </row>
    <row r="554">
      <c r="A554">
        <f>IFERROR(__xludf.DUMMYFUNCTION("""COMPUTED_VALUE"""),9765223.0)</f>
        <v>9765223</v>
      </c>
      <c r="B554">
        <f>IFERROR(__xludf.DUMMYFUNCTION("""COMPUTED_VALUE"""),99.0)</f>
        <v>99</v>
      </c>
      <c r="D554" t="str">
        <f>IFERROR(__xludf.DUMMYFUNCTION("""COMPUTED_VALUE"""),"5")</f>
        <v>5</v>
      </c>
      <c r="E554" t="str">
        <f>IFERROR(__xludf.DUMMYFUNCTION("""COMPUTED_VALUE"""),"SECRETARIA GENERAL")</f>
        <v>SECRETARIA GENERAL</v>
      </c>
      <c r="F554" t="str">
        <f>IFERROR(__xludf.DUMMYFUNCTION("""COMPUTED_VALUE"""),"Administrativo(a) de Apoyo")</f>
        <v>Administrativo(a) de Apoyo</v>
      </c>
      <c r="G554" t="str">
        <f>IFERROR(__xludf.DUMMYFUNCTION("""COMPUTED_VALUE"""),"ADMINISTRATIVO DE APOYO")</f>
        <v>ADMINISTRATIVO DE APOYO</v>
      </c>
      <c r="H554">
        <f>IFERROR(__xludf.DUMMYFUNCTION("""COMPUTED_VALUE"""),20.0)</f>
        <v>20</v>
      </c>
      <c r="I554" t="str">
        <f>IFERROR(__xludf.DUMMYFUNCTION("""COMPUTED_VALUE"""),"Jornada Completa")</f>
        <v>Jornada Completa</v>
      </c>
      <c r="J554" t="str">
        <f>IFERROR(__xludf.DUMMYFUNCTION("""COMPUTED_VALUE"""),"A CONTRATA")</f>
        <v>A CONTRATA</v>
      </c>
      <c r="K554" t="str">
        <f>IFERROR(__xludf.DUMMYFUNCTION("""COMPUTED_VALUE"""),"ADMINISTRATIVO")</f>
        <v>ADMINISTRATIVO</v>
      </c>
      <c r="L554" t="str">
        <f>IFERROR(__xludf.DUMMYFUNCTION("""COMPUTED_VALUE"""),"INTERNO")</f>
        <v>INTERNO</v>
      </c>
      <c r="M554">
        <f>IFERROR(__xludf.DUMMYFUNCTION("""COMPUTED_VALUE"""),1.0)</f>
        <v>1</v>
      </c>
      <c r="N554" t="str">
        <f>IFERROR(__xludf.DUMMYFUNCTION("""COMPUTED_VALUE"""),"NO")</f>
        <v>NO</v>
      </c>
      <c r="P554">
        <f>IFERROR(__xludf.DUMMYFUNCTION("""COMPUTED_VALUE"""),1.0)</f>
        <v>1</v>
      </c>
      <c r="Q554">
        <f>IFERROR(__xludf.DUMMYFUNCTION("""COMPUTED_VALUE"""),0.0)</f>
        <v>0</v>
      </c>
      <c r="R554" s="45" t="str">
        <f>IFERROR(__xludf.DUMMYFUNCTION("""COMPUTED_VALUE"""),"SELECCIONADO")</f>
        <v>SELECCIONADO</v>
      </c>
      <c r="S554" s="38">
        <f>IFERROR(__xludf.DUMMYFUNCTION("""COMPUTED_VALUE"""),42370.0)</f>
        <v>42370</v>
      </c>
      <c r="T554" t="str">
        <f>IFERROR(__xludf.DUMMYFUNCTION("""COMPUTED_VALUE"""),"GEORGE RIQUELME CABRERA")</f>
        <v>GEORGE RIQUELME CABRERA</v>
      </c>
      <c r="V554" t="str">
        <f>IFERROR(__xludf.DUMMYFUNCTION("""COMPUTED_VALUE"""),"09765223-6")</f>
        <v>09765223-6</v>
      </c>
      <c r="W554" t="str">
        <f>IFERROR(__xludf.DUMMYFUNCTION("""COMPUTED_VALUE"""),"NO")</f>
        <v>NO</v>
      </c>
      <c r="AA554" s="38">
        <f>IFERROR(__xludf.DUMMYFUNCTION("""COMPUTED_VALUE"""),42290.0)</f>
        <v>42290</v>
      </c>
      <c r="AB554" s="38">
        <f>IFERROR(__xludf.DUMMYFUNCTION("""COMPUTED_VALUE"""),42292.0)</f>
        <v>42292</v>
      </c>
      <c r="AH554" t="str">
        <f>IFERROR(__xludf.DUMMYFUNCTION("""COMPUTED_VALUE"""),"PROCESO DE SELECCIÓN")</f>
        <v>PROCESO DE SELECCIÓN</v>
      </c>
      <c r="AI554" t="str">
        <f>IFERROR(__xludf.DUMMYFUNCTION("""COMPUTED_VALUE"""),"-")</f>
        <v>-</v>
      </c>
      <c r="AK554" t="str">
        <f>IFERROR(__xludf.DUMMYFUNCTION("""COMPUTED_VALUE"""),"C")</f>
        <v>C</v>
      </c>
      <c r="AL554">
        <f>IFERROR(__xludf.DUMMYFUNCTION("""COMPUTED_VALUE"""),57.0)</f>
        <v>57</v>
      </c>
      <c r="AM554">
        <f>IFERROR(__xludf.DUMMYFUNCTION("""COMPUTED_VALUE"""),2015.0)</f>
        <v>2015</v>
      </c>
    </row>
    <row r="555">
      <c r="A555">
        <f>IFERROR(__xludf.DUMMYFUNCTION("""COMPUTED_VALUE"""),1.7662691E7)</f>
        <v>17662691</v>
      </c>
      <c r="B555">
        <f>IFERROR(__xludf.DUMMYFUNCTION("""COMPUTED_VALUE"""),100.0)</f>
        <v>100</v>
      </c>
      <c r="D555" t="str">
        <f>IFERROR(__xludf.DUMMYFUNCTION("""COMPUTED_VALUE"""),"120")</f>
        <v>120</v>
      </c>
      <c r="E555" t="str">
        <f>IFERROR(__xludf.DUMMYFUNCTION("""COMPUTED_VALUE"""),"UNIDAD DE RADIO")</f>
        <v>UNIDAD DE RADIO</v>
      </c>
      <c r="F555" t="str">
        <f>IFERROR(__xludf.DUMMYFUNCTION("""COMPUTED_VALUE"""),"Radio Controlador(a)")</f>
        <v>Radio Controlador(a)</v>
      </c>
      <c r="G555" t="str">
        <f>IFERROR(__xludf.DUMMYFUNCTION("""COMPUTED_VALUE"""),"RADIO CONTROLADOR")</f>
        <v>RADIO CONTROLADOR</v>
      </c>
      <c r="H555">
        <f>IFERROR(__xludf.DUMMYFUNCTION("""COMPUTED_VALUE"""),17.0)</f>
        <v>17</v>
      </c>
      <c r="I555" t="str">
        <f>IFERROR(__xludf.DUMMYFUNCTION("""COMPUTED_VALUE"""),"Jornada Completa")</f>
        <v>Jornada Completa</v>
      </c>
      <c r="J555" t="str">
        <f>IFERROR(__xludf.DUMMYFUNCTION("""COMPUTED_VALUE"""),"A CONTRATA")</f>
        <v>A CONTRATA</v>
      </c>
      <c r="K555" t="str">
        <f>IFERROR(__xludf.DUMMYFUNCTION("""COMPUTED_VALUE"""),"TECNICO")</f>
        <v>TECNICO</v>
      </c>
      <c r="L555" t="str">
        <f>IFERROR(__xludf.DUMMYFUNCTION("""COMPUTED_VALUE"""),"INTERNO")</f>
        <v>INTERNO</v>
      </c>
      <c r="M555">
        <f>IFERROR(__xludf.DUMMYFUNCTION("""COMPUTED_VALUE"""),0.0)</f>
        <v>0</v>
      </c>
      <c r="N555" t="str">
        <f>IFERROR(__xludf.DUMMYFUNCTION("""COMPUTED_VALUE"""),"EXTERNO")</f>
        <v>EXTERNO</v>
      </c>
      <c r="O555">
        <f>IFERROR(__xludf.DUMMYFUNCTION("""COMPUTED_VALUE"""),6.0)</f>
        <v>6</v>
      </c>
      <c r="P555">
        <f>IFERROR(__xludf.DUMMYFUNCTION("""COMPUTED_VALUE"""),2.0)</f>
        <v>2</v>
      </c>
      <c r="Q555">
        <f>IFERROR(__xludf.DUMMYFUNCTION("""COMPUTED_VALUE"""),1.0)</f>
        <v>1</v>
      </c>
      <c r="R555" s="45" t="str">
        <f>IFERROR(__xludf.DUMMYFUNCTION("""COMPUTED_VALUE"""),"SELECCIONADO")</f>
        <v>SELECCIONADO</v>
      </c>
      <c r="S555" s="38">
        <f>IFERROR(__xludf.DUMMYFUNCTION("""COMPUTED_VALUE"""),42339.0)</f>
        <v>42339</v>
      </c>
      <c r="U555" t="str">
        <f>IFERROR(__xludf.DUMMYFUNCTION("""COMPUTED_VALUE"""),"PEDRO ZAMORANO ROBLERO")</f>
        <v>PEDRO ZAMORANO ROBLERO</v>
      </c>
      <c r="V555" t="str">
        <f>IFERROR(__xludf.DUMMYFUNCTION("""COMPUTED_VALUE"""),"17662691-7")</f>
        <v>17662691-7</v>
      </c>
      <c r="W555" t="str">
        <f>IFERROR(__xludf.DUMMYFUNCTION("""COMPUTED_VALUE"""),"SI")</f>
        <v>SI</v>
      </c>
      <c r="Y555" t="str">
        <f>IFERROR(__xludf.DUMMYFUNCTION("""COMPUTED_VALUE"""),"FLEXIBILIDAD")</f>
        <v>FLEXIBILIDAD</v>
      </c>
      <c r="AA555" s="38">
        <f>IFERROR(__xludf.DUMMYFUNCTION("""COMPUTED_VALUE"""),42286.0)</f>
        <v>42286</v>
      </c>
      <c r="AB555" s="38">
        <f>IFERROR(__xludf.DUMMYFUNCTION("""COMPUTED_VALUE"""),42293.0)</f>
        <v>42293</v>
      </c>
      <c r="AH555" t="str">
        <f>IFERROR(__xludf.DUMMYFUNCTION("""COMPUTED_VALUE"""),"PROCESO DE SELECCIÓN")</f>
        <v>PROCESO DE SELECCIÓN</v>
      </c>
      <c r="AI555" t="str">
        <f>IFERROR(__xludf.DUMMYFUNCTION("""COMPUTED_VALUE"""),"ALDO MIRANDA PORRAS")</f>
        <v>ALDO MIRANDA PORRAS</v>
      </c>
      <c r="AK555" t="str">
        <f>IFERROR(__xludf.DUMMYFUNCTION("""COMPUTED_VALUE"""),"P")</f>
        <v>P</v>
      </c>
      <c r="AL555">
        <f>IFERROR(__xludf.DUMMYFUNCTION("""COMPUTED_VALUE"""),33.0)</f>
        <v>33</v>
      </c>
      <c r="AM555">
        <f>IFERROR(__xludf.DUMMYFUNCTION("""COMPUTED_VALUE"""),2015.0)</f>
        <v>2015</v>
      </c>
    </row>
    <row r="556">
      <c r="A556">
        <f>IFERROR(__xludf.DUMMYFUNCTION("""COMPUTED_VALUE"""),1.3923654E7)</f>
        <v>13923654</v>
      </c>
      <c r="B556">
        <f>IFERROR(__xludf.DUMMYFUNCTION("""COMPUTED_VALUE"""),101.0)</f>
        <v>101</v>
      </c>
      <c r="D556" t="str">
        <f>IFERROR(__xludf.DUMMYFUNCTION("""COMPUTED_VALUE"""),"3")</f>
        <v>3</v>
      </c>
      <c r="E556" t="str">
        <f>IFERROR(__xludf.DUMMYFUNCTION("""COMPUTED_VALUE"""),"DEPARTAMENTO DE FINANZAS Y TESORERIA")</f>
        <v>DEPARTAMENTO DE FINANZAS Y TESORERIA</v>
      </c>
      <c r="F556" t="str">
        <f>IFERROR(__xludf.DUMMYFUNCTION("""COMPUTED_VALUE"""),"Analista Contable II")</f>
        <v>Analista Contable II</v>
      </c>
      <c r="G556" t="str">
        <f>IFERROR(__xludf.DUMMYFUNCTION("""COMPUTED_VALUE"""),"ANALISTA CONTABLE II")</f>
        <v>ANALISTA CONTABLE II</v>
      </c>
      <c r="H556">
        <f>IFERROR(__xludf.DUMMYFUNCTION("""COMPUTED_VALUE"""),13.0)</f>
        <v>13</v>
      </c>
      <c r="I556" t="str">
        <f>IFERROR(__xludf.DUMMYFUNCTION("""COMPUTED_VALUE"""),"Jornada Completa")</f>
        <v>Jornada Completa</v>
      </c>
      <c r="J556" t="str">
        <f>IFERROR(__xludf.DUMMYFUNCTION("""COMPUTED_VALUE"""),"A CONTRATA")</f>
        <v>A CONTRATA</v>
      </c>
      <c r="K556" t="str">
        <f>IFERROR(__xludf.DUMMYFUNCTION("""COMPUTED_VALUE"""),"PROFESIONAL")</f>
        <v>PROFESIONAL</v>
      </c>
      <c r="L556" t="str">
        <f>IFERROR(__xludf.DUMMYFUNCTION("""COMPUTED_VALUE"""),"INTERNO")</f>
        <v>INTERNO</v>
      </c>
      <c r="M556">
        <f>IFERROR(__xludf.DUMMYFUNCTION("""COMPUTED_VALUE"""),1.0)</f>
        <v>1</v>
      </c>
      <c r="N556" t="str">
        <f>IFERROR(__xludf.DUMMYFUNCTION("""COMPUTED_VALUE"""),"EXTERNO")</f>
        <v>EXTERNO</v>
      </c>
      <c r="O556">
        <f>IFERROR(__xludf.DUMMYFUNCTION("""COMPUTED_VALUE"""),4.0)</f>
        <v>4</v>
      </c>
      <c r="P556">
        <f>IFERROR(__xludf.DUMMYFUNCTION("""COMPUTED_VALUE"""),2.0)</f>
        <v>2</v>
      </c>
      <c r="Q556">
        <f>IFERROR(__xludf.DUMMYFUNCTION("""COMPUTED_VALUE"""),2.0)</f>
        <v>2</v>
      </c>
      <c r="R556" s="45" t="str">
        <f>IFERROR(__xludf.DUMMYFUNCTION("""COMPUTED_VALUE"""),"SELECCIONADA")</f>
        <v>SELECCIONADA</v>
      </c>
      <c r="S556" s="38">
        <f>IFERROR(__xludf.DUMMYFUNCTION("""COMPUTED_VALUE"""),42430.0)</f>
        <v>42430</v>
      </c>
      <c r="U556" t="str">
        <f>IFERROR(__xludf.DUMMYFUNCTION("""COMPUTED_VALUE"""),"LESLEY DOÑA RIOSECO")</f>
        <v>LESLEY DOÑA RIOSECO</v>
      </c>
      <c r="V556" t="str">
        <f>IFERROR(__xludf.DUMMYFUNCTION("""COMPUTED_VALUE"""),"13923654-8")</f>
        <v>13923654-8</v>
      </c>
      <c r="W556" t="str">
        <f>IFERROR(__xludf.DUMMYFUNCTION("""COMPUTED_VALUE"""),"NO")</f>
        <v>NO</v>
      </c>
      <c r="AA556" s="38">
        <f>IFERROR(__xludf.DUMMYFUNCTION("""COMPUTED_VALUE"""),42366.0)</f>
        <v>42366</v>
      </c>
      <c r="AB556" s="38">
        <f>IFERROR(__xludf.DUMMYFUNCTION("""COMPUTED_VALUE"""),42373.0)</f>
        <v>42373</v>
      </c>
      <c r="AH556" t="str">
        <f>IFERROR(__xludf.DUMMYFUNCTION("""COMPUTED_VALUE"""),"PROCESO DE SELECCIÓN")</f>
        <v>PROCESO DE SELECCIÓN</v>
      </c>
      <c r="AI556" t="str">
        <f>IFERROR(__xludf.DUMMYFUNCTION("""COMPUTED_VALUE"""),"LUIS CONCHA")</f>
        <v>LUIS CONCHA</v>
      </c>
      <c r="AK556" t="str">
        <f>IFERROR(__xludf.DUMMYFUNCTION("""COMPUTED_VALUE"""),"E")</f>
        <v>E</v>
      </c>
      <c r="AL556">
        <f>IFERROR(__xludf.DUMMYFUNCTION("""COMPUTED_VALUE"""),42.0)</f>
        <v>42</v>
      </c>
      <c r="AM556">
        <f>IFERROR(__xludf.DUMMYFUNCTION("""COMPUTED_VALUE"""),2015.0)</f>
        <v>2015</v>
      </c>
    </row>
    <row r="557">
      <c r="A557">
        <f>IFERROR(__xludf.DUMMYFUNCTION("""COMPUTED_VALUE"""),1.6176069E7)</f>
        <v>16176069</v>
      </c>
      <c r="B557">
        <f>IFERROR(__xludf.DUMMYFUNCTION("""COMPUTED_VALUE"""),102.0)</f>
        <v>102</v>
      </c>
      <c r="D557" t="str">
        <f>IFERROR(__xludf.DUMMYFUNCTION("""COMPUTED_VALUE"""),"3")</f>
        <v>3</v>
      </c>
      <c r="E557" t="str">
        <f>IFERROR(__xludf.DUMMYFUNCTION("""COMPUTED_VALUE"""),"DEPARTAMENTO DE FINANZAS Y TESORERIA")</f>
        <v>DEPARTAMENTO DE FINANZAS Y TESORERIA</v>
      </c>
      <c r="F557" t="str">
        <f>IFERROR(__xludf.DUMMYFUNCTION("""COMPUTED_VALUE"""),"Analista de Gestión II")</f>
        <v>Analista de Gestión II</v>
      </c>
      <c r="G557" t="str">
        <f>IFERROR(__xludf.DUMMYFUNCTION("""COMPUTED_VALUE"""),"ANALISTA II")</f>
        <v>ANALISTA II</v>
      </c>
      <c r="H557">
        <f>IFERROR(__xludf.DUMMYFUNCTION("""COMPUTED_VALUE"""),13.0)</f>
        <v>13</v>
      </c>
      <c r="I557" t="str">
        <f>IFERROR(__xludf.DUMMYFUNCTION("""COMPUTED_VALUE"""),"Jornada Completa")</f>
        <v>Jornada Completa</v>
      </c>
      <c r="J557" t="str">
        <f>IFERROR(__xludf.DUMMYFUNCTION("""COMPUTED_VALUE"""),"A CONTRATA")</f>
        <v>A CONTRATA</v>
      </c>
      <c r="K557" t="str">
        <f>IFERROR(__xludf.DUMMYFUNCTION("""COMPUTED_VALUE"""),"PROFESIONAL")</f>
        <v>PROFESIONAL</v>
      </c>
      <c r="L557" t="str">
        <f>IFERROR(__xludf.DUMMYFUNCTION("""COMPUTED_VALUE"""),"INTERNO")</f>
        <v>INTERNO</v>
      </c>
      <c r="M557">
        <f>IFERROR(__xludf.DUMMYFUNCTION("""COMPUTED_VALUE"""),1.0)</f>
        <v>1</v>
      </c>
      <c r="N557" t="str">
        <f>IFERROR(__xludf.DUMMYFUNCTION("""COMPUTED_VALUE"""),"EXTERNO")</f>
        <v>EXTERNO</v>
      </c>
      <c r="O557">
        <f>IFERROR(__xludf.DUMMYFUNCTION("""COMPUTED_VALUE"""),7.0)</f>
        <v>7</v>
      </c>
      <c r="P557">
        <f>IFERROR(__xludf.DUMMYFUNCTION("""COMPUTED_VALUE"""),2.0)</f>
        <v>2</v>
      </c>
      <c r="Q557">
        <f>IFERROR(__xludf.DUMMYFUNCTION("""COMPUTED_VALUE"""),1.0)</f>
        <v>1</v>
      </c>
      <c r="R557" s="45" t="str">
        <f>IFERROR(__xludf.DUMMYFUNCTION("""COMPUTED_VALUE"""),"SELECCIONADA")</f>
        <v>SELECCIONADA</v>
      </c>
      <c r="S557" s="38">
        <f>IFERROR(__xludf.DUMMYFUNCTION("""COMPUTED_VALUE"""),42430.0)</f>
        <v>42430</v>
      </c>
      <c r="U557" t="str">
        <f>IFERROR(__xludf.DUMMYFUNCTION("""COMPUTED_VALUE"""),"ROCIO BERRIOS SANHUEZA")</f>
        <v>ROCIO BERRIOS SANHUEZA</v>
      </c>
      <c r="V557" t="str">
        <f>IFERROR(__xludf.DUMMYFUNCTION("""COMPUTED_VALUE"""),"16176069-2")</f>
        <v>16176069-2</v>
      </c>
      <c r="W557" t="str">
        <f>IFERROR(__xludf.DUMMYFUNCTION("""COMPUTED_VALUE"""),"SI")</f>
        <v>SI</v>
      </c>
      <c r="X557" t="str">
        <f>IFERROR(__xludf.DUMMYFUNCTION("""COMPUTED_VALUE"""),"Capacidad de Planificacion y Organizacion")</f>
        <v>Capacidad de Planificacion y Organizacion</v>
      </c>
      <c r="Y557" t="str">
        <f>IFERROR(__xludf.DUMMYFUNCTION("""COMPUTED_VALUE"""),"INICIATIVA")</f>
        <v>INICIATIVA</v>
      </c>
      <c r="AA557" s="38">
        <f>IFERROR(__xludf.DUMMYFUNCTION("""COMPUTED_VALUE"""),42338.0)</f>
        <v>42338</v>
      </c>
      <c r="AB557" s="38">
        <f>IFERROR(__xludf.DUMMYFUNCTION("""COMPUTED_VALUE"""),42345.0)</f>
        <v>42345</v>
      </c>
      <c r="AH557" t="str">
        <f>IFERROR(__xludf.DUMMYFUNCTION("""COMPUTED_VALUE"""),"PROCESO DE SELECCIÓN")</f>
        <v>PROCESO DE SELECCIÓN</v>
      </c>
      <c r="AI557" t="str">
        <f>IFERROR(__xludf.DUMMYFUNCTION("""COMPUTED_VALUE"""),"-")</f>
        <v>-</v>
      </c>
      <c r="AK557" t="str">
        <f>IFERROR(__xludf.DUMMYFUNCTION("""COMPUTED_VALUE"""),"E")</f>
        <v>E</v>
      </c>
      <c r="AL557">
        <f>IFERROR(__xludf.DUMMYFUNCTION("""COMPUTED_VALUE"""),62.0)</f>
        <v>62</v>
      </c>
      <c r="AM557">
        <f>IFERROR(__xludf.DUMMYFUNCTION("""COMPUTED_VALUE"""),2015.0)</f>
        <v>2015</v>
      </c>
    </row>
    <row r="558">
      <c r="A558">
        <f>IFERROR(__xludf.DUMMYFUNCTION("""COMPUTED_VALUE"""),1.0972162E7)</f>
        <v>10972162</v>
      </c>
      <c r="B558">
        <f>IFERROR(__xludf.DUMMYFUNCTION("""COMPUTED_VALUE"""),103.0)</f>
        <v>103</v>
      </c>
      <c r="D558" t="str">
        <f>IFERROR(__xludf.DUMMYFUNCTION("""COMPUTED_VALUE"""),"3")</f>
        <v>3</v>
      </c>
      <c r="E558" t="str">
        <f>IFERROR(__xludf.DUMMYFUNCTION("""COMPUTED_VALUE"""),"DEPARTAMENTO DE FINANZAS Y TESORERIA")</f>
        <v>DEPARTAMENTO DE FINANZAS Y TESORERIA</v>
      </c>
      <c r="F558" t="str">
        <f>IFERROR(__xludf.DUMMYFUNCTION("""COMPUTED_VALUE"""),"Analista Contable II")</f>
        <v>Analista Contable II</v>
      </c>
      <c r="G558" t="str">
        <f>IFERROR(__xludf.DUMMYFUNCTION("""COMPUTED_VALUE"""),"ANALISTA CONTABLE II")</f>
        <v>ANALISTA CONTABLE II</v>
      </c>
      <c r="H558">
        <f>IFERROR(__xludf.DUMMYFUNCTION("""COMPUTED_VALUE"""),13.0)</f>
        <v>13</v>
      </c>
      <c r="I558" t="str">
        <f>IFERROR(__xludf.DUMMYFUNCTION("""COMPUTED_VALUE"""),"Jornada Completa")</f>
        <v>Jornada Completa</v>
      </c>
      <c r="J558" t="str">
        <f>IFERROR(__xludf.DUMMYFUNCTION("""COMPUTED_VALUE"""),"A CONTRATA")</f>
        <v>A CONTRATA</v>
      </c>
      <c r="K558" t="str">
        <f>IFERROR(__xludf.DUMMYFUNCTION("""COMPUTED_VALUE"""),"PROFESIONAL")</f>
        <v>PROFESIONAL</v>
      </c>
      <c r="L558" t="str">
        <f>IFERROR(__xludf.DUMMYFUNCTION("""COMPUTED_VALUE"""),"INTERNO")</f>
        <v>INTERNO</v>
      </c>
      <c r="M558">
        <f>IFERROR(__xludf.DUMMYFUNCTION("""COMPUTED_VALUE"""),2.0)</f>
        <v>2</v>
      </c>
      <c r="N558" t="str">
        <f>IFERROR(__xludf.DUMMYFUNCTION("""COMPUTED_VALUE"""),"EXTERNO")</f>
        <v>EXTERNO</v>
      </c>
      <c r="O558">
        <f>IFERROR(__xludf.DUMMYFUNCTION("""COMPUTED_VALUE"""),18.0)</f>
        <v>18</v>
      </c>
      <c r="P558">
        <f>IFERROR(__xludf.DUMMYFUNCTION("""COMPUTED_VALUE"""),2.0)</f>
        <v>2</v>
      </c>
      <c r="Q558">
        <f>IFERROR(__xludf.DUMMYFUNCTION("""COMPUTED_VALUE"""),2.0)</f>
        <v>2</v>
      </c>
      <c r="R558" s="45" t="str">
        <f>IFERROR(__xludf.DUMMYFUNCTION("""COMPUTED_VALUE"""),"SELECCIONADA")</f>
        <v>SELECCIONADA</v>
      </c>
      <c r="S558" s="38">
        <f>IFERROR(__xludf.DUMMYFUNCTION("""COMPUTED_VALUE"""),42387.0)</f>
        <v>42387</v>
      </c>
      <c r="U558" t="str">
        <f>IFERROR(__xludf.DUMMYFUNCTION("""COMPUTED_VALUE"""),"MARION DONOSO PAVEZ")</f>
        <v>MARION DONOSO PAVEZ</v>
      </c>
      <c r="V558" t="str">
        <f>IFERROR(__xludf.DUMMYFUNCTION("""COMPUTED_VALUE"""),"10972162-K")</f>
        <v>10972162-K</v>
      </c>
      <c r="W558" t="str">
        <f>IFERROR(__xludf.DUMMYFUNCTION("""COMPUTED_VALUE"""),"NO")</f>
        <v>NO</v>
      </c>
      <c r="AA558" s="38">
        <f>IFERROR(__xludf.DUMMYFUNCTION("""COMPUTED_VALUE"""),42325.0)</f>
        <v>42325</v>
      </c>
      <c r="AB558" s="38">
        <f>IFERROR(__xludf.DUMMYFUNCTION("""COMPUTED_VALUE"""),42332.0)</f>
        <v>42332</v>
      </c>
      <c r="AH558" t="str">
        <f>IFERROR(__xludf.DUMMYFUNCTION("""COMPUTED_VALUE"""),"PROCESO DE SELECCIÓN")</f>
        <v>PROCESO DE SELECCIÓN</v>
      </c>
      <c r="AI558" t="str">
        <f>IFERROR(__xludf.DUMMYFUNCTION("""COMPUTED_VALUE"""),"SEBASTIAN ROJAS (jessica maldonado honorarios)")</f>
        <v>SEBASTIAN ROJAS (jessica maldonado honorarios)</v>
      </c>
      <c r="AK558" t="str">
        <f>IFERROR(__xludf.DUMMYFUNCTION("""COMPUTED_VALUE"""),"E")</f>
        <v>E</v>
      </c>
      <c r="AL558">
        <f>IFERROR(__xludf.DUMMYFUNCTION("""COMPUTED_VALUE"""),40.0)</f>
        <v>40</v>
      </c>
      <c r="AM558">
        <f>IFERROR(__xludf.DUMMYFUNCTION("""COMPUTED_VALUE"""),2015.0)</f>
        <v>2015</v>
      </c>
    </row>
    <row r="559">
      <c r="A559">
        <f>IFERROR(__xludf.DUMMYFUNCTION("""COMPUTED_VALUE"""),1.7255425E7)</f>
        <v>17255425</v>
      </c>
      <c r="B559">
        <f>IFERROR(__xludf.DUMMYFUNCTION("""COMPUTED_VALUE"""),104.0)</f>
        <v>104</v>
      </c>
      <c r="D559" t="str">
        <f>IFERROR(__xludf.DUMMYFUNCTION("""COMPUTED_VALUE"""),"5")</f>
        <v>5</v>
      </c>
      <c r="E559" t="str">
        <f>IFERROR(__xludf.DUMMYFUNCTION("""COMPUTED_VALUE"""),"SECRETARIA GENERAL")</f>
        <v>SECRETARIA GENERAL</v>
      </c>
      <c r="F559" t="str">
        <f>IFERROR(__xludf.DUMMYFUNCTION("""COMPUTED_VALUE"""),"Jefe(a) de Sección")</f>
        <v>Jefe(a) de Sección</v>
      </c>
      <c r="G559" t="str">
        <f>IFERROR(__xludf.DUMMYFUNCTION("""COMPUTED_VALUE"""),"JEFE DE SECCION")</f>
        <v>JEFE DE SECCION</v>
      </c>
      <c r="H559">
        <f>IFERROR(__xludf.DUMMYFUNCTION("""COMPUTED_VALUE"""),10.0)</f>
        <v>10</v>
      </c>
      <c r="I559" t="str">
        <f>IFERROR(__xludf.DUMMYFUNCTION("""COMPUTED_VALUE"""),"Jornada Completa")</f>
        <v>Jornada Completa</v>
      </c>
      <c r="J559" t="str">
        <f>IFERROR(__xludf.DUMMYFUNCTION("""COMPUTED_VALUE"""),"A CONTRATA")</f>
        <v>A CONTRATA</v>
      </c>
      <c r="K559" t="str">
        <f>IFERROR(__xludf.DUMMYFUNCTION("""COMPUTED_VALUE"""),"PROFESIONAL")</f>
        <v>PROFESIONAL</v>
      </c>
      <c r="L559" t="str">
        <f>IFERROR(__xludf.DUMMYFUNCTION("""COMPUTED_VALUE"""),"INTERNO")</f>
        <v>INTERNO</v>
      </c>
      <c r="M559">
        <f>IFERROR(__xludf.DUMMYFUNCTION("""COMPUTED_VALUE"""),13.0)</f>
        <v>13</v>
      </c>
      <c r="N559" t="str">
        <f>IFERROR(__xludf.DUMMYFUNCTION("""COMPUTED_VALUE"""),"EXTERNO")</f>
        <v>EXTERNO</v>
      </c>
      <c r="P559">
        <f>IFERROR(__xludf.DUMMYFUNCTION("""COMPUTED_VALUE"""),3.0)</f>
        <v>3</v>
      </c>
      <c r="Q559">
        <f>IFERROR(__xludf.DUMMYFUNCTION("""COMPUTED_VALUE"""),0.0)</f>
        <v>0</v>
      </c>
      <c r="R559" s="45" t="str">
        <f>IFERROR(__xludf.DUMMYFUNCTION("""COMPUTED_VALUE"""),"SELECCIONADO")</f>
        <v>SELECCIONADO</v>
      </c>
      <c r="S559" s="38">
        <f>IFERROR(__xludf.DUMMYFUNCTION("""COMPUTED_VALUE"""),42436.0)</f>
        <v>42436</v>
      </c>
      <c r="T559" t="str">
        <f>IFERROR(__xludf.DUMMYFUNCTION("""COMPUTED_VALUE"""),"GIOVANNI MEDINA ALVAREZ")</f>
        <v>GIOVANNI MEDINA ALVAREZ</v>
      </c>
      <c r="V559" t="str">
        <f>IFERROR(__xludf.DUMMYFUNCTION("""COMPUTED_VALUE"""),"17255425-3")</f>
        <v>17255425-3</v>
      </c>
      <c r="W559" t="str">
        <f>IFERROR(__xludf.DUMMYFUNCTION("""COMPUTED_VALUE"""),"SI")</f>
        <v>SI</v>
      </c>
      <c r="X559" t="str">
        <f>IFERROR(__xludf.DUMMYFUNCTION("""COMPUTED_VALUE"""),"Capacidad de Planificacion y Organizacion")</f>
        <v>Capacidad de Planificacion y Organizacion</v>
      </c>
      <c r="Y559" t="str">
        <f>IFERROR(__xludf.DUMMYFUNCTION("""COMPUTED_VALUE"""),"TRABAJO EN EQUIPO")</f>
        <v>TRABAJO EN EQUIPO</v>
      </c>
      <c r="AA559" s="38">
        <f>IFERROR(__xludf.DUMMYFUNCTION("""COMPUTED_VALUE"""),42373.0)</f>
        <v>42373</v>
      </c>
      <c r="AB559" s="38">
        <f>IFERROR(__xludf.DUMMYFUNCTION("""COMPUTED_VALUE"""),42376.0)</f>
        <v>42376</v>
      </c>
      <c r="AH559" t="str">
        <f>IFERROR(__xludf.DUMMYFUNCTION("""COMPUTED_VALUE"""),"PROCESO DE SELECCIÓN")</f>
        <v>PROCESO DE SELECCIÓN</v>
      </c>
      <c r="AI559" t="str">
        <f>IFERROR(__xludf.DUMMYFUNCTION("""COMPUTED_VALUE"""),"PEDRO YANEZ")</f>
        <v>PEDRO YANEZ</v>
      </c>
      <c r="AK559" t="str">
        <f>IFERROR(__xludf.DUMMYFUNCTION("""COMPUTED_VALUE"""),"P")</f>
        <v>P</v>
      </c>
      <c r="AL559">
        <f>IFERROR(__xludf.DUMMYFUNCTION("""COMPUTED_VALUE"""),43.0)</f>
        <v>43</v>
      </c>
      <c r="AM559">
        <f>IFERROR(__xludf.DUMMYFUNCTION("""COMPUTED_VALUE"""),2015.0)</f>
        <v>2015</v>
      </c>
    </row>
    <row r="560">
      <c r="A560">
        <f>IFERROR(__xludf.DUMMYFUNCTION("""COMPUTED_VALUE"""),1.7102425E7)</f>
        <v>17102425</v>
      </c>
      <c r="B560">
        <f>IFERROR(__xludf.DUMMYFUNCTION("""COMPUTED_VALUE"""),105.0)</f>
        <v>105</v>
      </c>
      <c r="D560" t="str">
        <f>IFERROR(__xludf.DUMMYFUNCTION("""COMPUTED_VALUE"""),"3")</f>
        <v>3</v>
      </c>
      <c r="E560" t="str">
        <f>IFERROR(__xludf.DUMMYFUNCTION("""COMPUTED_VALUE"""),"UNIDAD DE GESTION DEL CAMPUS")</f>
        <v>UNIDAD DE GESTION DEL CAMPUS</v>
      </c>
      <c r="F560" t="str">
        <f>IFERROR(__xludf.DUMMYFUNCTION("""COMPUTED_VALUE"""),"Técnico(a) Eléctrico")</f>
        <v>Técnico(a) Eléctrico</v>
      </c>
      <c r="G560" t="str">
        <f>IFERROR(__xludf.DUMMYFUNCTION("""COMPUTED_VALUE"""),"TECNICO ELECTRICO")</f>
        <v>TECNICO ELECTRICO</v>
      </c>
      <c r="H560">
        <f>IFERROR(__xludf.DUMMYFUNCTION("""COMPUTED_VALUE"""),17.0)</f>
        <v>17</v>
      </c>
      <c r="I560" t="str">
        <f>IFERROR(__xludf.DUMMYFUNCTION("""COMPUTED_VALUE"""),"Jornada Completa")</f>
        <v>Jornada Completa</v>
      </c>
      <c r="J560" t="str">
        <f>IFERROR(__xludf.DUMMYFUNCTION("""COMPUTED_VALUE"""),"A CONTRATA")</f>
        <v>A CONTRATA</v>
      </c>
      <c r="K560" t="str">
        <f>IFERROR(__xludf.DUMMYFUNCTION("""COMPUTED_VALUE"""),"TECNICO")</f>
        <v>TECNICO</v>
      </c>
      <c r="L560" t="str">
        <f>IFERROR(__xludf.DUMMYFUNCTION("""COMPUTED_VALUE"""),"INTERNO")</f>
        <v>INTERNO</v>
      </c>
      <c r="M560">
        <f>IFERROR(__xludf.DUMMYFUNCTION("""COMPUTED_VALUE"""),0.0)</f>
        <v>0</v>
      </c>
      <c r="N560" t="str">
        <f>IFERROR(__xludf.DUMMYFUNCTION("""COMPUTED_VALUE"""),"EXTERNO")</f>
        <v>EXTERNO</v>
      </c>
      <c r="O560">
        <f>IFERROR(__xludf.DUMMYFUNCTION("""COMPUTED_VALUE"""),1.0)</f>
        <v>1</v>
      </c>
      <c r="P560">
        <f>IFERROR(__xludf.DUMMYFUNCTION("""COMPUTED_VALUE"""),1.0)</f>
        <v>1</v>
      </c>
      <c r="Q560">
        <f>IFERROR(__xludf.DUMMYFUNCTION("""COMPUTED_VALUE"""),1.0)</f>
        <v>1</v>
      </c>
      <c r="R560" s="45" t="str">
        <f>IFERROR(__xludf.DUMMYFUNCTION("""COMPUTED_VALUE"""),"SELECCIONADO")</f>
        <v>SELECCIONADO</v>
      </c>
      <c r="S560" s="38">
        <f>IFERROR(__xludf.DUMMYFUNCTION("""COMPUTED_VALUE"""),42436.0)</f>
        <v>42436</v>
      </c>
      <c r="U560" t="str">
        <f>IFERROR(__xludf.DUMMYFUNCTION("""COMPUTED_VALUE"""),"LUIS PAVEZ GAMBOA")</f>
        <v>LUIS PAVEZ GAMBOA</v>
      </c>
      <c r="V560" t="str">
        <f>IFERROR(__xludf.DUMMYFUNCTION("""COMPUTED_VALUE"""),"17102425-0")</f>
        <v>17102425-0</v>
      </c>
      <c r="W560" t="str">
        <f>IFERROR(__xludf.DUMMYFUNCTION("""COMPUTED_VALUE"""),"NO")</f>
        <v>NO</v>
      </c>
      <c r="AA560" s="38">
        <f>IFERROR(__xludf.DUMMYFUNCTION("""COMPUTED_VALUE"""),42332.0)</f>
        <v>42332</v>
      </c>
      <c r="AB560" s="38">
        <f>IFERROR(__xludf.DUMMYFUNCTION("""COMPUTED_VALUE"""),42339.0)</f>
        <v>42339</v>
      </c>
      <c r="AH560" t="str">
        <f>IFERROR(__xludf.DUMMYFUNCTION("""COMPUTED_VALUE"""),"PROCESO DE SELECCIÓN")</f>
        <v>PROCESO DE SELECCIÓN</v>
      </c>
      <c r="AI560" t="str">
        <f>IFERROR(__xludf.DUMMYFUNCTION("""COMPUTED_VALUE"""),"MAURICIO PIZARRO")</f>
        <v>MAURICIO PIZARRO</v>
      </c>
      <c r="AK560" t="str">
        <f>IFERROR(__xludf.DUMMYFUNCTION("""COMPUTED_VALUE"""),"E")</f>
        <v>E</v>
      </c>
      <c r="AL560">
        <f>IFERROR(__xludf.DUMMYFUNCTION("""COMPUTED_VALUE"""),70.0)</f>
        <v>70</v>
      </c>
      <c r="AM560">
        <f>IFERROR(__xludf.DUMMYFUNCTION("""COMPUTED_VALUE"""),2015.0)</f>
        <v>2015</v>
      </c>
    </row>
    <row r="561">
      <c r="A561">
        <f>IFERROR(__xludf.DUMMYFUNCTION("""COMPUTED_VALUE"""),1.4476981E7)</f>
        <v>14476981</v>
      </c>
      <c r="B561">
        <f>IFERROR(__xludf.DUMMYFUNCTION("""COMPUTED_VALUE"""),106.0)</f>
        <v>106</v>
      </c>
      <c r="D561" t="str">
        <f>IFERROR(__xludf.DUMMYFUNCTION("""COMPUTED_VALUE"""),"65")</f>
        <v>65</v>
      </c>
      <c r="E561" t="str">
        <f>IFERROR(__xludf.DUMMYFUNCTION("""COMPUTED_VALUE"""),"FACULTAD TECNOLOGICA")</f>
        <v>FACULTAD TECNOLOGICA</v>
      </c>
      <c r="F561" t="str">
        <f>IFERROR(__xludf.DUMMYFUNCTION("""COMPUTED_VALUE"""),"Administrativo(a) Especializado")</f>
        <v>Administrativo(a) Especializado</v>
      </c>
      <c r="G561" t="str">
        <f>IFERROR(__xludf.DUMMYFUNCTION("""COMPUTED_VALUE"""),"ADMINISTRATIVO ESPECIALIZADO")</f>
        <v>ADMINISTRATIVO ESPECIALIZADO</v>
      </c>
      <c r="H561">
        <f>IFERROR(__xludf.DUMMYFUNCTION("""COMPUTED_VALUE"""),12.0)</f>
        <v>12</v>
      </c>
      <c r="I561" t="str">
        <f>IFERROR(__xludf.DUMMYFUNCTION("""COMPUTED_VALUE"""),"Jornada Completa")</f>
        <v>Jornada Completa</v>
      </c>
      <c r="J561" t="str">
        <f>IFERROR(__xludf.DUMMYFUNCTION("""COMPUTED_VALUE"""),"A CONTRATA")</f>
        <v>A CONTRATA</v>
      </c>
      <c r="K561" t="str">
        <f>IFERROR(__xludf.DUMMYFUNCTION("""COMPUTED_VALUE"""),"ADMINISTRATIVO")</f>
        <v>ADMINISTRATIVO</v>
      </c>
      <c r="L561" t="str">
        <f>IFERROR(__xludf.DUMMYFUNCTION("""COMPUTED_VALUE"""),"INTERNO")</f>
        <v>INTERNO</v>
      </c>
      <c r="M561">
        <f>IFERROR(__xludf.DUMMYFUNCTION("""COMPUTED_VALUE"""),10.0)</f>
        <v>10</v>
      </c>
      <c r="N561" t="str">
        <f>IFERROR(__xludf.DUMMYFUNCTION("""COMPUTED_VALUE"""),"NO")</f>
        <v>NO</v>
      </c>
      <c r="P561">
        <f>IFERROR(__xludf.DUMMYFUNCTION("""COMPUTED_VALUE"""),2.0)</f>
        <v>2</v>
      </c>
      <c r="Q561">
        <f>IFERROR(__xludf.DUMMYFUNCTION("""COMPUTED_VALUE"""),1.0)</f>
        <v>1</v>
      </c>
      <c r="R561" s="45" t="str">
        <f>IFERROR(__xludf.DUMMYFUNCTION("""COMPUTED_VALUE"""),"SELECCIONADA")</f>
        <v>SELECCIONADA</v>
      </c>
      <c r="S561" s="38">
        <f>IFERROR(__xludf.DUMMYFUNCTION("""COMPUTED_VALUE"""),42472.0)</f>
        <v>42472</v>
      </c>
      <c r="T561" t="str">
        <f>IFERROR(__xludf.DUMMYFUNCTION("""COMPUTED_VALUE"""),"MARIANELA VALLEJOS BELMAR")</f>
        <v>MARIANELA VALLEJOS BELMAR</v>
      </c>
      <c r="V561" t="str">
        <f>IFERROR(__xludf.DUMMYFUNCTION("""COMPUTED_VALUE"""),"14476981-3")</f>
        <v>14476981-3</v>
      </c>
      <c r="W561" t="str">
        <f>IFERROR(__xludf.DUMMYFUNCTION("""COMPUTED_VALUE"""),"SI")</f>
        <v>SI</v>
      </c>
      <c r="X561" t="str">
        <f>IFERROR(__xludf.DUMMYFUNCTION("""COMPUTED_VALUE"""),"Busqueda de Informacion")</f>
        <v>Busqueda de Informacion</v>
      </c>
      <c r="AA561" s="38">
        <f>IFERROR(__xludf.DUMMYFUNCTION("""COMPUTED_VALUE"""),42348.0)</f>
        <v>42348</v>
      </c>
      <c r="AB561" s="38">
        <f>IFERROR(__xludf.DUMMYFUNCTION("""COMPUTED_VALUE"""),42352.0)</f>
        <v>42352</v>
      </c>
      <c r="AC561">
        <f>IFERROR(__xludf.DUMMYFUNCTION("""COMPUTED_VALUE"""),20.0)</f>
        <v>20</v>
      </c>
      <c r="AD561" t="str">
        <f>IFERROR(__xludf.DUMMYFUNCTION("""COMPUTED_VALUE"""),"Administrativo")</f>
        <v>Administrativo</v>
      </c>
      <c r="AE561" t="str">
        <f>IFERROR(__xludf.DUMMYFUNCTION("""COMPUTED_VALUE"""),"Secretaria Docente")</f>
        <v>Secretaria Docente</v>
      </c>
      <c r="AF561" s="46" t="str">
        <f>IFERROR(__xludf.DUMMYFUNCTION("""COMPUTED_VALUE"""),"Departamento de Tecnologia Industriales")</f>
        <v>Departamento de Tecnologia Industriales</v>
      </c>
      <c r="AH561" t="str">
        <f>IFERROR(__xludf.DUMMYFUNCTION("""COMPUTED_VALUE"""),"PROCESO DE SELECCIÓN")</f>
        <v>PROCESO DE SELECCIÓN</v>
      </c>
      <c r="AI561" t="str">
        <f>IFERROR(__xludf.DUMMYFUNCTION("""COMPUTED_VALUE"""),"DANIELA VALLEJOS")</f>
        <v>DANIELA VALLEJOS</v>
      </c>
      <c r="AK561" t="str">
        <f>IFERROR(__xludf.DUMMYFUNCTION("""COMPUTED_VALUE"""),"P")</f>
        <v>P</v>
      </c>
      <c r="AL561">
        <f>IFERROR(__xludf.DUMMYFUNCTION("""COMPUTED_VALUE"""),87.0)</f>
        <v>87</v>
      </c>
      <c r="AM561">
        <f>IFERROR(__xludf.DUMMYFUNCTION("""COMPUTED_VALUE"""),2015.0)</f>
        <v>2015</v>
      </c>
    </row>
    <row r="562">
      <c r="A562">
        <f>IFERROR(__xludf.DUMMYFUNCTION("""COMPUTED_VALUE"""),1.7671702E7)</f>
        <v>17671702</v>
      </c>
      <c r="B562">
        <f>IFERROR(__xludf.DUMMYFUNCTION("""COMPUTED_VALUE"""),107.0)</f>
        <v>107</v>
      </c>
      <c r="D562" t="str">
        <f>IFERROR(__xludf.DUMMYFUNCTION("""COMPUTED_VALUE"""),"120")</f>
        <v>120</v>
      </c>
      <c r="E562" t="str">
        <f>IFERROR(__xludf.DUMMYFUNCTION("""COMPUTED_VALUE"""),"VICERRECTORIA DE VINCULACION CON EL MEDIO")</f>
        <v>VICERRECTORIA DE VINCULACION CON EL MEDIO</v>
      </c>
      <c r="F562" t="str">
        <f>IFERROR(__xludf.DUMMYFUNCTION("""COMPUTED_VALUE"""),"Analista de Gestión I")</f>
        <v>Analista de Gestión I</v>
      </c>
      <c r="G562" t="str">
        <f>IFERROR(__xludf.DUMMYFUNCTION("""COMPUTED_VALUE"""),"ANALISTA I")</f>
        <v>ANALISTA I</v>
      </c>
      <c r="H562">
        <f>IFERROR(__xludf.DUMMYFUNCTION("""COMPUTED_VALUE"""),10.0)</f>
        <v>10</v>
      </c>
      <c r="I562" t="str">
        <f>IFERROR(__xludf.DUMMYFUNCTION("""COMPUTED_VALUE"""),"Jornada Completa")</f>
        <v>Jornada Completa</v>
      </c>
      <c r="J562" t="str">
        <f>IFERROR(__xludf.DUMMYFUNCTION("""COMPUTED_VALUE"""),"A CONTRATA")</f>
        <v>A CONTRATA</v>
      </c>
      <c r="K562" t="str">
        <f>IFERROR(__xludf.DUMMYFUNCTION("""COMPUTED_VALUE"""),"PROFESIONAL")</f>
        <v>PROFESIONAL</v>
      </c>
      <c r="L562" t="str">
        <f>IFERROR(__xludf.DUMMYFUNCTION("""COMPUTED_VALUE"""),"NO")</f>
        <v>NO</v>
      </c>
      <c r="M562">
        <f>IFERROR(__xludf.DUMMYFUNCTION("""COMPUTED_VALUE"""),0.0)</f>
        <v>0</v>
      </c>
      <c r="N562" t="str">
        <f>IFERROR(__xludf.DUMMYFUNCTION("""COMPUTED_VALUE"""),"EXTERNO")</f>
        <v>EXTERNO</v>
      </c>
      <c r="O562">
        <f>IFERROR(__xludf.DUMMYFUNCTION("""COMPUTED_VALUE"""),9.0)</f>
        <v>9</v>
      </c>
      <c r="P562">
        <f>IFERROR(__xludf.DUMMYFUNCTION("""COMPUTED_VALUE"""),3.0)</f>
        <v>3</v>
      </c>
      <c r="Q562">
        <f>IFERROR(__xludf.DUMMYFUNCTION("""COMPUTED_VALUE"""),1.0)</f>
        <v>1</v>
      </c>
      <c r="R562" s="45" t="str">
        <f>IFERROR(__xludf.DUMMYFUNCTION("""COMPUTED_VALUE"""),"SELECCIONADA")</f>
        <v>SELECCIONADA</v>
      </c>
      <c r="S562" s="38">
        <f>IFERROR(__xludf.DUMMYFUNCTION("""COMPUTED_VALUE"""),42445.0)</f>
        <v>42445</v>
      </c>
      <c r="U562" t="str">
        <f>IFERROR(__xludf.DUMMYFUNCTION("""COMPUTED_VALUE"""),"BELEN PEREZ CAAMAÑO")</f>
        <v>BELEN PEREZ CAAMAÑO</v>
      </c>
      <c r="V562" t="str">
        <f>IFERROR(__xludf.DUMMYFUNCTION("""COMPUTED_VALUE"""),"17671702-5")</f>
        <v>17671702-5</v>
      </c>
      <c r="W562" t="str">
        <f>IFERROR(__xludf.DUMMYFUNCTION("""COMPUTED_VALUE"""),"SI")</f>
        <v>SI</v>
      </c>
      <c r="X562" t="str">
        <f>IFERROR(__xludf.DUMMYFUNCTION("""COMPUTED_VALUE"""),"Capacidad de Planificacion y Organizacion")</f>
        <v>Capacidad de Planificacion y Organizacion</v>
      </c>
      <c r="AA562" s="38">
        <f>IFERROR(__xludf.DUMMYFUNCTION("""COMPUTED_VALUE"""),42374.0)</f>
        <v>42374</v>
      </c>
      <c r="AB562" s="38">
        <f>IFERROR(__xludf.DUMMYFUNCTION("""COMPUTED_VALUE"""),42381.0)</f>
        <v>42381</v>
      </c>
      <c r="AH562" t="str">
        <f>IFERROR(__xludf.DUMMYFUNCTION("""COMPUTED_VALUE"""),"PROCESO DE SELECCIÓN")</f>
        <v>PROCESO DE SELECCIÓN</v>
      </c>
      <c r="AI562" t="str">
        <f>IFERROR(__xludf.DUMMYFUNCTION("""COMPUTED_VALUE"""),"NATALIA MEJIAS ROJAS")</f>
        <v>NATALIA MEJIAS ROJAS</v>
      </c>
      <c r="AK562" t="str">
        <f>IFERROR(__xludf.DUMMYFUNCTION("""COMPUTED_VALUE"""),"E")</f>
        <v>E</v>
      </c>
      <c r="AL562">
        <f>IFERROR(__xludf.DUMMYFUNCTION("""COMPUTED_VALUE"""),47.0)</f>
        <v>47</v>
      </c>
      <c r="AM562">
        <f>IFERROR(__xludf.DUMMYFUNCTION("""COMPUTED_VALUE"""),2015.0)</f>
        <v>2015</v>
      </c>
    </row>
    <row r="563">
      <c r="A563">
        <f>IFERROR(__xludf.DUMMYFUNCTION("""COMPUTED_VALUE"""),1.4160336E7)</f>
        <v>14160336</v>
      </c>
      <c r="B563">
        <f>IFERROR(__xludf.DUMMYFUNCTION("""COMPUTED_VALUE"""),108.0)</f>
        <v>108</v>
      </c>
      <c r="D563" t="str">
        <f>IFERROR(__xludf.DUMMYFUNCTION("""COMPUTED_VALUE"""),"3")</f>
        <v>3</v>
      </c>
      <c r="E563" t="str">
        <f>IFERROR(__xludf.DUMMYFUNCTION("""COMPUTED_VALUE"""),"UNIDAD DE ADQUISICIONES")</f>
        <v>UNIDAD DE ADQUISICIONES</v>
      </c>
      <c r="F563" t="str">
        <f>IFERROR(__xludf.DUMMYFUNCTION("""COMPUTED_VALUE"""),"Analista de Gestión II")</f>
        <v>Analista de Gestión II</v>
      </c>
      <c r="G563" t="str">
        <f>IFERROR(__xludf.DUMMYFUNCTION("""COMPUTED_VALUE"""),"ANALISTA II")</f>
        <v>ANALISTA II</v>
      </c>
      <c r="H563">
        <f>IFERROR(__xludf.DUMMYFUNCTION("""COMPUTED_VALUE"""),13.0)</f>
        <v>13</v>
      </c>
      <c r="I563" t="str">
        <f>IFERROR(__xludf.DUMMYFUNCTION("""COMPUTED_VALUE"""),"Jornada Completa")</f>
        <v>Jornada Completa</v>
      </c>
      <c r="J563" t="str">
        <f>IFERROR(__xludf.DUMMYFUNCTION("""COMPUTED_VALUE"""),"A CONTRATA")</f>
        <v>A CONTRATA</v>
      </c>
      <c r="K563" t="str">
        <f>IFERROR(__xludf.DUMMYFUNCTION("""COMPUTED_VALUE"""),"PROFESIONAL")</f>
        <v>PROFESIONAL</v>
      </c>
      <c r="L563" t="str">
        <f>IFERROR(__xludf.DUMMYFUNCTION("""COMPUTED_VALUE"""),"INTERNO")</f>
        <v>INTERNO</v>
      </c>
      <c r="M563">
        <f>IFERROR(__xludf.DUMMYFUNCTION("""COMPUTED_VALUE"""),2.0)</f>
        <v>2</v>
      </c>
      <c r="N563" t="str">
        <f>IFERROR(__xludf.DUMMYFUNCTION("""COMPUTED_VALUE"""),"NO")</f>
        <v>NO</v>
      </c>
      <c r="P563">
        <f>IFERROR(__xludf.DUMMYFUNCTION("""COMPUTED_VALUE"""),1.0)</f>
        <v>1</v>
      </c>
      <c r="Q563">
        <f>IFERROR(__xludf.DUMMYFUNCTION("""COMPUTED_VALUE"""),1.0)</f>
        <v>1</v>
      </c>
      <c r="R563" s="45" t="str">
        <f>IFERROR(__xludf.DUMMYFUNCTION("""COMPUTED_VALUE"""),"SELECCIONADO")</f>
        <v>SELECCIONADO</v>
      </c>
      <c r="S563" s="38">
        <f>IFERROR(__xludf.DUMMYFUNCTION("""COMPUTED_VALUE"""),42492.0)</f>
        <v>42492</v>
      </c>
      <c r="T563" t="str">
        <f>IFERROR(__xludf.DUMMYFUNCTION("""COMPUTED_VALUE"""),"DAVID MORAGA ESPINOZA")</f>
        <v>DAVID MORAGA ESPINOZA</v>
      </c>
      <c r="V563" t="str">
        <f>IFERROR(__xludf.DUMMYFUNCTION("""COMPUTED_VALUE"""),"14160336-1")</f>
        <v>14160336-1</v>
      </c>
      <c r="W563" t="str">
        <f>IFERROR(__xludf.DUMMYFUNCTION("""COMPUTED_VALUE"""),"SI")</f>
        <v>SI</v>
      </c>
      <c r="X563" t="str">
        <f>IFERROR(__xludf.DUMMYFUNCTION("""COMPUTED_VALUE"""),"Capacidad de Planificacion y Organizacion")</f>
        <v>Capacidad de Planificacion y Organizacion</v>
      </c>
      <c r="Y563" t="str">
        <f>IFERROR(__xludf.DUMMYFUNCTION("""COMPUTED_VALUE"""),"PENSAMIENTO ANALITICO")</f>
        <v>PENSAMIENTO ANALITICO</v>
      </c>
      <c r="AA563" s="38">
        <f>IFERROR(__xludf.DUMMYFUNCTION("""COMPUTED_VALUE"""),42194.0)</f>
        <v>42194</v>
      </c>
      <c r="AB563" s="38">
        <f>IFERROR(__xludf.DUMMYFUNCTION("""COMPUTED_VALUE"""),42198.0)</f>
        <v>42198</v>
      </c>
      <c r="AC563">
        <f>IFERROR(__xludf.DUMMYFUNCTION("""COMPUTED_VALUE"""),14.0)</f>
        <v>14</v>
      </c>
      <c r="AD563" t="str">
        <f>IFERROR(__xludf.DUMMYFUNCTION("""COMPUTED_VALUE"""),"Administrativo")</f>
        <v>Administrativo</v>
      </c>
      <c r="AE563" t="str">
        <f>IFERROR(__xludf.DUMMYFUNCTION("""COMPUTED_VALUE"""),"Administrativo de Compras")</f>
        <v>Administrativo de Compras</v>
      </c>
      <c r="AF563" s="46" t="str">
        <f>IFERROR(__xludf.DUMMYFUNCTION("""COMPUTED_VALUE"""),"Unidad de Adquisiciones")</f>
        <v>Unidad de Adquisiciones</v>
      </c>
      <c r="AH563" t="str">
        <f>IFERROR(__xludf.DUMMYFUNCTION("""COMPUTED_VALUE"""),"PROCESO DE SELECCIÓN")</f>
        <v>PROCESO DE SELECCIÓN</v>
      </c>
      <c r="AI563" t="str">
        <f>IFERROR(__xludf.DUMMYFUNCTION("""COMPUTED_VALUE"""),"MONICA RIVERA")</f>
        <v>MONICA RIVERA</v>
      </c>
      <c r="AK563" t="str">
        <f>IFERROR(__xludf.DUMMYFUNCTION("""COMPUTED_VALUE"""),"P")</f>
        <v>P</v>
      </c>
      <c r="AL563">
        <f>IFERROR(__xludf.DUMMYFUNCTION("""COMPUTED_VALUE"""),211.0)</f>
        <v>211</v>
      </c>
      <c r="AM563">
        <f>IFERROR(__xludf.DUMMYFUNCTION("""COMPUTED_VALUE"""),2015.0)</f>
        <v>2015</v>
      </c>
    </row>
    <row r="564">
      <c r="A564">
        <f>IFERROR(__xludf.DUMMYFUNCTION("""COMPUTED_VALUE"""),1.6987564E7)</f>
        <v>16987564</v>
      </c>
      <c r="B564">
        <f>IFERROR(__xludf.DUMMYFUNCTION("""COMPUTED_VALUE"""),109.0)</f>
        <v>109</v>
      </c>
      <c r="D564" t="str">
        <f>IFERROR(__xludf.DUMMYFUNCTION("""COMPUTED_VALUE"""),"3")</f>
        <v>3</v>
      </c>
      <c r="E564" t="str">
        <f>IFERROR(__xludf.DUMMYFUNCTION("""COMPUTED_VALUE"""),"ADMINISTRACION GENERAL DEL FONDO SOLIDARIO Y CREDITO UNIVERSITARIO")</f>
        <v>ADMINISTRACION GENERAL DEL FONDO SOLIDARIO Y CREDITO UNIVERSITARIO</v>
      </c>
      <c r="F564" t="str">
        <f>IFERROR(__xludf.DUMMYFUNCTION("""COMPUTED_VALUE"""),"Jefe(a) de Sección")</f>
        <v>Jefe(a) de Sección</v>
      </c>
      <c r="G564" t="str">
        <f>IFERROR(__xludf.DUMMYFUNCTION("""COMPUTED_VALUE"""),"JEFE DE SECCION (CONTABILIDAD)")</f>
        <v>JEFE DE SECCION (CONTABILIDAD)</v>
      </c>
      <c r="H564">
        <f>IFERROR(__xludf.DUMMYFUNCTION("""COMPUTED_VALUE"""),10.0)</f>
        <v>10</v>
      </c>
      <c r="I564" t="str">
        <f>IFERROR(__xludf.DUMMYFUNCTION("""COMPUTED_VALUE"""),"Jornada Completa")</f>
        <v>Jornada Completa</v>
      </c>
      <c r="J564" t="str">
        <f>IFERROR(__xludf.DUMMYFUNCTION("""COMPUTED_VALUE"""),"A CONTRATA")</f>
        <v>A CONTRATA</v>
      </c>
      <c r="K564" t="str">
        <f>IFERROR(__xludf.DUMMYFUNCTION("""COMPUTED_VALUE"""),"PROFESIONAL")</f>
        <v>PROFESIONAL</v>
      </c>
      <c r="L564" t="str">
        <f>IFERROR(__xludf.DUMMYFUNCTION("""COMPUTED_VALUE"""),"NO")</f>
        <v>NO</v>
      </c>
      <c r="M564">
        <f>IFERROR(__xludf.DUMMYFUNCTION("""COMPUTED_VALUE"""),0.0)</f>
        <v>0</v>
      </c>
      <c r="N564" t="str">
        <f>IFERROR(__xludf.DUMMYFUNCTION("""COMPUTED_VALUE"""),"EXTERNO")</f>
        <v>EXTERNO</v>
      </c>
      <c r="O564">
        <f>IFERROR(__xludf.DUMMYFUNCTION("""COMPUTED_VALUE"""),7.0)</f>
        <v>7</v>
      </c>
      <c r="P564">
        <f>IFERROR(__xludf.DUMMYFUNCTION("""COMPUTED_VALUE"""),3.0)</f>
        <v>3</v>
      </c>
      <c r="Q564">
        <f>IFERROR(__xludf.DUMMYFUNCTION("""COMPUTED_VALUE"""),1.0)</f>
        <v>1</v>
      </c>
      <c r="R564" s="45" t="str">
        <f>IFERROR(__xludf.DUMMYFUNCTION("""COMPUTED_VALUE"""),"SELECCIONADO")</f>
        <v>SELECCIONADO</v>
      </c>
      <c r="S564" s="38">
        <f>IFERROR(__xludf.DUMMYFUNCTION("""COMPUTED_VALUE"""),42450.0)</f>
        <v>42450</v>
      </c>
      <c r="U564" t="str">
        <f>IFERROR(__xludf.DUMMYFUNCTION("""COMPUTED_VALUE"""),"ELIAS VERDUGO JARA")</f>
        <v>ELIAS VERDUGO JARA</v>
      </c>
      <c r="V564" t="str">
        <f>IFERROR(__xludf.DUMMYFUNCTION("""COMPUTED_VALUE"""),"16987564-2")</f>
        <v>16987564-2</v>
      </c>
      <c r="W564" t="str">
        <f>IFERROR(__xludf.DUMMYFUNCTION("""COMPUTED_VALUE"""),"SI")</f>
        <v>SI</v>
      </c>
      <c r="X564" t="str">
        <f>IFERROR(__xludf.DUMMYFUNCTION("""COMPUTED_VALUE"""),"TRABAJO EN EQUIPO")</f>
        <v>TRABAJO EN EQUIPO</v>
      </c>
      <c r="AA564" s="38">
        <f>IFERROR(__xludf.DUMMYFUNCTION("""COMPUTED_VALUE"""),42382.0)</f>
        <v>42382</v>
      </c>
      <c r="AB564" s="38">
        <f>IFERROR(__xludf.DUMMYFUNCTION("""COMPUTED_VALUE"""),42387.0)</f>
        <v>42387</v>
      </c>
      <c r="AH564" t="str">
        <f>IFERROR(__xludf.DUMMYFUNCTION("""COMPUTED_VALUE"""),"PROCESO DE SELECCIÓN")</f>
        <v>PROCESO DE SELECCIÓN</v>
      </c>
      <c r="AI564" t="str">
        <f>IFERROR(__xludf.DUMMYFUNCTION("""COMPUTED_VALUE"""),"-")</f>
        <v>-</v>
      </c>
      <c r="AK564" t="str">
        <f>IFERROR(__xludf.DUMMYFUNCTION("""COMPUTED_VALUE"""),"E")</f>
        <v>E</v>
      </c>
      <c r="AL564">
        <f>IFERROR(__xludf.DUMMYFUNCTION("""COMPUTED_VALUE"""),46.0)</f>
        <v>46</v>
      </c>
      <c r="AM564">
        <f>IFERROR(__xludf.DUMMYFUNCTION("""COMPUTED_VALUE"""),2015.0)</f>
        <v>2015</v>
      </c>
    </row>
    <row r="565">
      <c r="A565">
        <f>IFERROR(__xludf.DUMMYFUNCTION("""COMPUTED_VALUE"""),6699643.0)</f>
        <v>6699643</v>
      </c>
      <c r="B565">
        <f>IFERROR(__xludf.DUMMYFUNCTION("""COMPUTED_VALUE"""),110.0)</f>
        <v>110</v>
      </c>
      <c r="D565" t="str">
        <f>IFERROR(__xludf.DUMMYFUNCTION("""COMPUTED_VALUE"""),"40")</f>
        <v>40</v>
      </c>
      <c r="E565" t="str">
        <f>IFERROR(__xludf.DUMMYFUNCTION("""COMPUTED_VALUE"""),"DPTO. DE INGENIERIA MECANICA")</f>
        <v>DPTO. DE INGENIERIA MECANICA</v>
      </c>
      <c r="F565" t="str">
        <f>IFERROR(__xludf.DUMMYFUNCTION("""COMPUTED_VALUE"""),"Encargado(a) Administrativo(a) de Unidad Académica")</f>
        <v>Encargado(a) Administrativo(a) de Unidad Académica</v>
      </c>
      <c r="G565" t="str">
        <f>IFERROR(__xludf.DUMMYFUNCTION("""COMPUTED_VALUE"""),"ENCARG. ADMIN. UNIDAD ACADEM.")</f>
        <v>ENCARG. ADMIN. UNIDAD ACADEM.</v>
      </c>
      <c r="H565">
        <f>IFERROR(__xludf.DUMMYFUNCTION("""COMPUTED_VALUE"""),10.0)</f>
        <v>10</v>
      </c>
      <c r="I565" t="str">
        <f>IFERROR(__xludf.DUMMYFUNCTION("""COMPUTED_VALUE"""),"Jornada Completa")</f>
        <v>Jornada Completa</v>
      </c>
      <c r="J565" t="str">
        <f>IFERROR(__xludf.DUMMYFUNCTION("""COMPUTED_VALUE"""),"A CONTRATA")</f>
        <v>A CONTRATA</v>
      </c>
      <c r="K565" t="str">
        <f>IFERROR(__xludf.DUMMYFUNCTION("""COMPUTED_VALUE"""),"ADMINISTRATIVO")</f>
        <v>ADMINISTRATIVO</v>
      </c>
      <c r="L565" t="str">
        <f>IFERROR(__xludf.DUMMYFUNCTION("""COMPUTED_VALUE"""),"INTERNO")</f>
        <v>INTERNO</v>
      </c>
      <c r="M565">
        <f>IFERROR(__xludf.DUMMYFUNCTION("""COMPUTED_VALUE"""),8.0)</f>
        <v>8</v>
      </c>
      <c r="N565" t="str">
        <f>IFERROR(__xludf.DUMMYFUNCTION("""COMPUTED_VALUE"""),"NO")</f>
        <v>NO</v>
      </c>
      <c r="O565">
        <f>IFERROR(__xludf.DUMMYFUNCTION("""COMPUTED_VALUE"""),0.0)</f>
        <v>0</v>
      </c>
      <c r="P565">
        <f>IFERROR(__xludf.DUMMYFUNCTION("""COMPUTED_VALUE"""),2.0)</f>
        <v>2</v>
      </c>
      <c r="Q565">
        <f>IFERROR(__xludf.DUMMYFUNCTION("""COMPUTED_VALUE"""),0.0)</f>
        <v>0</v>
      </c>
      <c r="R565" s="45" t="str">
        <f>IFERROR(__xludf.DUMMYFUNCTION("""COMPUTED_VALUE"""),"SELECCIONADO")</f>
        <v>SELECCIONADO</v>
      </c>
      <c r="S565" s="38">
        <f>IFERROR(__xludf.DUMMYFUNCTION("""COMPUTED_VALUE"""),42590.0)</f>
        <v>42590</v>
      </c>
      <c r="T565" t="str">
        <f>IFERROR(__xludf.DUMMYFUNCTION("""COMPUTED_VALUE"""),"CARLOS TAIBA VALENZUELA")</f>
        <v>CARLOS TAIBA VALENZUELA</v>
      </c>
      <c r="V565" t="str">
        <f>IFERROR(__xludf.DUMMYFUNCTION("""COMPUTED_VALUE"""),"6699643-3")</f>
        <v>6699643-3</v>
      </c>
      <c r="W565" t="str">
        <f>IFERROR(__xludf.DUMMYFUNCTION("""COMPUTED_VALUE"""),"SI")</f>
        <v>SI</v>
      </c>
      <c r="X565" t="str">
        <f>IFERROR(__xludf.DUMMYFUNCTION("""COMPUTED_VALUE"""),"CAPACIDAD DE PLANIFICACION Y ORGANIZACION")</f>
        <v>CAPACIDAD DE PLANIFICACION Y ORGANIZACION</v>
      </c>
      <c r="Y565" t="str">
        <f>IFERROR(__xludf.DUMMYFUNCTION("""COMPUTED_VALUE"""),"ORIENTACION A LOS RESULTADOS")</f>
        <v>ORIENTACION A LOS RESULTADOS</v>
      </c>
      <c r="Z565" t="str">
        <f>IFERROR(__xludf.DUMMYFUNCTION("""COMPUTED_VALUE"""),"Preocupacion por el Orden y la Claridad")</f>
        <v>Preocupacion por el Orden y la Claridad</v>
      </c>
      <c r="AA565" s="38">
        <f>IFERROR(__xludf.DUMMYFUNCTION("""COMPUTED_VALUE"""),42383.0)</f>
        <v>42383</v>
      </c>
      <c r="AB565" s="38">
        <f>IFERROR(__xludf.DUMMYFUNCTION("""COMPUTED_VALUE"""),42387.0)</f>
        <v>42387</v>
      </c>
      <c r="AH565" t="str">
        <f>IFERROR(__xludf.DUMMYFUNCTION("""COMPUTED_VALUE"""),"PROCESO DE SELECCIÓN")</f>
        <v>PROCESO DE SELECCIÓN</v>
      </c>
      <c r="AI565" t="str">
        <f>IFERROR(__xludf.DUMMYFUNCTION("""COMPUTED_VALUE"""),"JAIME JIMENEZ ")</f>
        <v>JAIME JIMENEZ </v>
      </c>
      <c r="AK565" t="str">
        <f>IFERROR(__xludf.DUMMYFUNCTION("""COMPUTED_VALUE"""),"C")</f>
        <v>C</v>
      </c>
      <c r="AL565">
        <f>IFERROR(__xludf.DUMMYFUNCTION("""COMPUTED_VALUE"""),146.0)</f>
        <v>146</v>
      </c>
      <c r="AM565">
        <f>IFERROR(__xludf.DUMMYFUNCTION("""COMPUTED_VALUE"""),2015.0)</f>
        <v>2015</v>
      </c>
    </row>
    <row r="566">
      <c r="A566">
        <f>IFERROR(__xludf.DUMMYFUNCTION("""COMPUTED_VALUE"""),1.5723E7)</f>
        <v>15723000</v>
      </c>
      <c r="B566">
        <f>IFERROR(__xludf.DUMMYFUNCTION("""COMPUTED_VALUE"""),0.0)</f>
        <v>0</v>
      </c>
      <c r="D566" t="str">
        <f>IFERROR(__xludf.DUMMYFUNCTION("""COMPUTED_VALUE"""),"VICERRECTORIA DE INVESTIGACION, DESARROLLO E INNOVACION")</f>
        <v>VICERRECTORIA DE INVESTIGACION, DESARROLLO E INNOVACION</v>
      </c>
      <c r="E566" t="str">
        <f>IFERROR(__xludf.DUMMYFUNCTION("""COMPUTED_VALUE"""),"VICERRECTORIA DE INVESTIGACION, DESARROLLO E INNOVACION")</f>
        <v>VICERRECTORIA DE INVESTIGACION, DESARROLLO E INNOVACION</v>
      </c>
      <c r="F566" t="str">
        <f>IFERROR(__xludf.DUMMYFUNCTION("""COMPUTED_VALUE"""),"Administrativo de Compras")</f>
        <v>Administrativo de Compras</v>
      </c>
      <c r="G566" t="str">
        <f>IFERROR(__xludf.DUMMYFUNCTION("""COMPUTED_VALUE"""),"ADMINISTRATIVO DE COMPRAS")</f>
        <v>ADMINISTRATIVO DE COMPRAS</v>
      </c>
      <c r="H566">
        <f>IFERROR(__xludf.DUMMYFUNCTION("""COMPUTED_VALUE"""),17.0)</f>
        <v>17</v>
      </c>
      <c r="J566" t="str">
        <f>IFERROR(__xludf.DUMMYFUNCTION("""COMPUTED_VALUE"""),"A CONTRATA")</f>
        <v>A CONTRATA</v>
      </c>
      <c r="K566" t="str">
        <f>IFERROR(__xludf.DUMMYFUNCTION("""COMPUTED_VALUE"""),"ADMINISTRATIVO")</f>
        <v>ADMINISTRATIVO</v>
      </c>
      <c r="R566" s="45" t="str">
        <f>IFERROR(__xludf.DUMMYFUNCTION("""COMPUTED_VALUE"""),"SELECCIONADA")</f>
        <v>SELECCIONADA</v>
      </c>
      <c r="S566" s="38">
        <f>IFERROR(__xludf.DUMMYFUNCTION("""COMPUTED_VALUE"""),41791.0)</f>
        <v>41791</v>
      </c>
      <c r="U566" t="str">
        <f>IFERROR(__xludf.DUMMYFUNCTION("""COMPUTED_VALUE"""),"STEPHANIE RUBIO")</f>
        <v>STEPHANIE RUBIO</v>
      </c>
      <c r="V566" t="str">
        <f>IFERROR(__xludf.DUMMYFUNCTION("""COMPUTED_VALUE"""),"15723000-K")</f>
        <v>15723000-K</v>
      </c>
      <c r="AH566" t="str">
        <f>IFERROR(__xludf.DUMMYFUNCTION("""COMPUTED_VALUE"""),"REGULARIZACIÓN CONTRACTUAL")</f>
        <v>REGULARIZACIÓN CONTRACTUAL</v>
      </c>
      <c r="AM566">
        <f>IFERROR(__xludf.DUMMYFUNCTION("""COMPUTED_VALUE"""),2014.0)</f>
        <v>2014</v>
      </c>
    </row>
    <row r="567">
      <c r="A567">
        <f>IFERROR(__xludf.DUMMYFUNCTION("""COMPUTED_VALUE"""),5891825.0)</f>
        <v>5891825</v>
      </c>
      <c r="B567">
        <f>IFERROR(__xludf.DUMMYFUNCTION("""COMPUTED_VALUE"""),1.0)</f>
        <v>1</v>
      </c>
      <c r="D567" t="str">
        <f>IFERROR(__xludf.DUMMYFUNCTION("""COMPUTED_VALUE"""),"VICERRECTORIA DE INVESTIGACION, DESARROLLO E INNOVACION")</f>
        <v>VICERRECTORIA DE INVESTIGACION, DESARROLLO E INNOVACION</v>
      </c>
      <c r="E567" t="str">
        <f>IFERROR(__xludf.DUMMYFUNCTION("""COMPUTED_VALUE"""),"CEUS-LLANQUIHUE")</f>
        <v>CEUS-LLANQUIHUE</v>
      </c>
      <c r="F567" t="str">
        <f>IFERROR(__xludf.DUMMYFUNCTION("""COMPUTED_VALUE"""),"Jefe de Sección")</f>
        <v>Jefe de Sección</v>
      </c>
      <c r="G567" t="str">
        <f>IFERROR(__xludf.DUMMYFUNCTION("""COMPUTED_VALUE"""),"JEFE DE SECCION")</f>
        <v>JEFE DE SECCION</v>
      </c>
      <c r="H567">
        <f>IFERROR(__xludf.DUMMYFUNCTION("""COMPUTED_VALUE"""),10.0)</f>
        <v>10</v>
      </c>
      <c r="J567" t="str">
        <f>IFERROR(__xludf.DUMMYFUNCTION("""COMPUTED_VALUE"""),"A CONTRATA")</f>
        <v>A CONTRATA</v>
      </c>
      <c r="K567" t="str">
        <f>IFERROR(__xludf.DUMMYFUNCTION("""COMPUTED_VALUE"""),"PROFESIONAL")</f>
        <v>PROFESIONAL</v>
      </c>
      <c r="P567">
        <f>IFERROR(__xludf.DUMMYFUNCTION("""COMPUTED_VALUE"""),1.0)</f>
        <v>1</v>
      </c>
      <c r="R567" s="45" t="str">
        <f>IFERROR(__xludf.DUMMYFUNCTION("""COMPUTED_VALUE"""),"SELECCIONADO")</f>
        <v>SELECCIONADO</v>
      </c>
      <c r="S567" s="38">
        <f>IFERROR(__xludf.DUMMYFUNCTION("""COMPUTED_VALUE"""),41821.0)</f>
        <v>41821</v>
      </c>
      <c r="U567" t="str">
        <f>IFERROR(__xludf.DUMMYFUNCTION("""COMPUTED_VALUE"""),"MANUEL AVILA SOTO")</f>
        <v>MANUEL AVILA SOTO</v>
      </c>
      <c r="V567" t="str">
        <f>IFERROR(__xludf.DUMMYFUNCTION("""COMPUTED_VALUE"""),"05891825-3")</f>
        <v>05891825-3</v>
      </c>
      <c r="W567" t="str">
        <f>IFERROR(__xludf.DUMMYFUNCTION("""COMPUTED_VALUE"""),"No")</f>
        <v>No</v>
      </c>
      <c r="AB567" s="38">
        <f>IFERROR(__xludf.DUMMYFUNCTION("""COMPUTED_VALUE"""),41786.0)</f>
        <v>41786</v>
      </c>
      <c r="AH567" t="str">
        <f>IFERROR(__xludf.DUMMYFUNCTION("""COMPUTED_VALUE"""),"PROCESO DE SELECCIÓN")</f>
        <v>PROCESO DE SELECCIÓN</v>
      </c>
      <c r="AI567" t="str">
        <f>IFERROR(__xludf.DUMMYFUNCTION("""COMPUTED_VALUE"""),"ALFREDO BOWEN")</f>
        <v>ALFREDO BOWEN</v>
      </c>
      <c r="AL567">
        <f>IFERROR(__xludf.DUMMYFUNCTION("""COMPUTED_VALUE"""),26.0)</f>
        <v>26</v>
      </c>
      <c r="AM567">
        <f>IFERROR(__xludf.DUMMYFUNCTION("""COMPUTED_VALUE"""),2014.0)</f>
        <v>2014</v>
      </c>
    </row>
    <row r="568">
      <c r="A568">
        <f>IFERROR(__xludf.DUMMYFUNCTION("""COMPUTED_VALUE"""),1.6558294E7)</f>
        <v>16558294</v>
      </c>
      <c r="B568">
        <f>IFERROR(__xludf.DUMMYFUNCTION("""COMPUTED_VALUE"""),66.0)</f>
        <v>66</v>
      </c>
      <c r="D568" t="str">
        <f>IFERROR(__xludf.DUMMYFUNCTION("""COMPUTED_VALUE"""),"VICERRECTORIA DE APOYO AL ESTUDIANTE")</f>
        <v>VICERRECTORIA DE APOYO AL ESTUDIANTE</v>
      </c>
      <c r="E568" t="str">
        <f>IFERROR(__xludf.DUMMYFUNCTION("""COMPUTED_VALUE"""),"UNIDAD DE ATENCION DE SALUD")</f>
        <v>UNIDAD DE ATENCION DE SALUD</v>
      </c>
      <c r="F568" t="str">
        <f>IFERROR(__xludf.DUMMYFUNCTION("""COMPUTED_VALUE"""),"Médicos y Dentistas")</f>
        <v>Médicos y Dentistas</v>
      </c>
      <c r="G568" t="str">
        <f>IFERROR(__xludf.DUMMYFUNCTION("""COMPUTED_VALUE"""),"CIRUJANO DENTISTA")</f>
        <v>CIRUJANO DENTISTA</v>
      </c>
      <c r="J568" t="str">
        <f>IFERROR(__xludf.DUMMYFUNCTION("""COMPUTED_VALUE"""),"Por 11 hr. Ley 15.076")</f>
        <v>Por 11 hr. Ley 15.076</v>
      </c>
      <c r="K568" t="str">
        <f>IFERROR(__xludf.DUMMYFUNCTION("""COMPUTED_VALUE"""),"PROFESIONAL")</f>
        <v>PROFESIONAL</v>
      </c>
      <c r="R568" s="45" t="str">
        <f>IFERROR(__xludf.DUMMYFUNCTION("""COMPUTED_VALUE"""),"SELECCIONADA")</f>
        <v>SELECCIONADA</v>
      </c>
      <c r="S568" s="38">
        <f>IFERROR(__xludf.DUMMYFUNCTION("""COMPUTED_VALUE"""),41852.0)</f>
        <v>41852</v>
      </c>
      <c r="U568" t="str">
        <f>IFERROR(__xludf.DUMMYFUNCTION("""COMPUTED_VALUE"""),"CAROLINA DEL VILLAR URRA")</f>
        <v>CAROLINA DEL VILLAR URRA</v>
      </c>
      <c r="V568" t="str">
        <f>IFERROR(__xludf.DUMMYFUNCTION("""COMPUTED_VALUE"""),"16558294-2")</f>
        <v>16558294-2</v>
      </c>
      <c r="AH568" t="str">
        <f>IFERROR(__xludf.DUMMYFUNCTION("""COMPUTED_VALUE"""),"REGULARIZACIÓN CONTRACTUAL")</f>
        <v>REGULARIZACIÓN CONTRACTUAL</v>
      </c>
      <c r="AK568" t="str">
        <f>IFERROR(__xludf.DUMMYFUNCTION("""COMPUTED_VALUE"""),"P")</f>
        <v>P</v>
      </c>
      <c r="AM568">
        <f>IFERROR(__xludf.DUMMYFUNCTION("""COMPUTED_VALUE"""),2014.0)</f>
        <v>2014</v>
      </c>
    </row>
    <row r="569">
      <c r="A569">
        <f>IFERROR(__xludf.DUMMYFUNCTION("""COMPUTED_VALUE"""),8880762.0)</f>
        <v>8880762</v>
      </c>
      <c r="B569">
        <f>IFERROR(__xludf.DUMMYFUNCTION("""COMPUTED_VALUE"""),67.0)</f>
        <v>67</v>
      </c>
      <c r="D569" t="str">
        <f>IFERROR(__xludf.DUMMYFUNCTION("""COMPUTED_VALUE"""),"PRORRECTORIA")</f>
        <v>PRORRECTORIA</v>
      </c>
      <c r="E569" t="str">
        <f>IFERROR(__xludf.DUMMYFUNCTION("""COMPUTED_VALUE"""),"UNIDAD DE CONSTRUCCIONES")</f>
        <v>UNIDAD DE CONSTRUCCIONES</v>
      </c>
      <c r="F569" t="str">
        <f>IFERROR(__xludf.DUMMYFUNCTION("""COMPUTED_VALUE"""),"Constructor Civil")</f>
        <v>Constructor Civil</v>
      </c>
      <c r="G569" t="str">
        <f>IFERROR(__xludf.DUMMYFUNCTION("""COMPUTED_VALUE"""),"CONSTRUCTOR CIVIL")</f>
        <v>CONSTRUCTOR CIVIL</v>
      </c>
      <c r="H569">
        <f>IFERROR(__xludf.DUMMYFUNCTION("""COMPUTED_VALUE"""),8.0)</f>
        <v>8</v>
      </c>
      <c r="J569" t="str">
        <f>IFERROR(__xludf.DUMMYFUNCTION("""COMPUTED_VALUE"""),"A CONTRATA")</f>
        <v>A CONTRATA</v>
      </c>
      <c r="K569" t="str">
        <f>IFERROR(__xludf.DUMMYFUNCTION("""COMPUTED_VALUE"""),"PROFESIONAL")</f>
        <v>PROFESIONAL</v>
      </c>
      <c r="R569" s="45" t="str">
        <f>IFERROR(__xludf.DUMMYFUNCTION("""COMPUTED_VALUE"""),"SELECCIONADO")</f>
        <v>SELECCIONADO</v>
      </c>
      <c r="S569" s="38">
        <f>IFERROR(__xludf.DUMMYFUNCTION("""COMPUTED_VALUE"""),41806.0)</f>
        <v>41806</v>
      </c>
      <c r="U569" t="str">
        <f>IFERROR(__xludf.DUMMYFUNCTION("""COMPUTED_VALUE"""),"RODRIGO ALONSO MENDOZA REINOSO")</f>
        <v>RODRIGO ALONSO MENDOZA REINOSO</v>
      </c>
      <c r="V569" t="str">
        <f>IFERROR(__xludf.DUMMYFUNCTION("""COMPUTED_VALUE"""),"08880762-6")</f>
        <v>08880762-6</v>
      </c>
      <c r="AH569" t="str">
        <f>IFERROR(__xludf.DUMMYFUNCTION("""COMPUTED_VALUE"""),"REGULARIZACIÓN CONTRACTUAL")</f>
        <v>REGULARIZACIÓN CONTRACTUAL</v>
      </c>
      <c r="AK569" t="str">
        <f>IFERROR(__xludf.DUMMYFUNCTION("""COMPUTED_VALUE"""),"P")</f>
        <v>P</v>
      </c>
      <c r="AM569">
        <f>IFERROR(__xludf.DUMMYFUNCTION("""COMPUTED_VALUE"""),2014.0)</f>
        <v>2014</v>
      </c>
    </row>
    <row r="570">
      <c r="A570">
        <f>IFERROR(__xludf.DUMMYFUNCTION("""COMPUTED_VALUE"""),6649381.0)</f>
        <v>6649381</v>
      </c>
      <c r="D570" t="str">
        <f>IFERROR(__xludf.DUMMYFUNCTION("""COMPUTED_VALUE"""),"PRORRECTORIA")</f>
        <v>PRORRECTORIA</v>
      </c>
      <c r="E570" t="str">
        <f>IFERROR(__xludf.DUMMYFUNCTION("""COMPUTED_VALUE"""),"UNIDAD DE CONSTRUCCIONES")</f>
        <v>UNIDAD DE CONSTRUCCIONES</v>
      </c>
      <c r="F570" t="str">
        <f>IFERROR(__xludf.DUMMYFUNCTION("""COMPUTED_VALUE"""),"Constructor Civil")</f>
        <v>Constructor Civil</v>
      </c>
      <c r="G570" t="str">
        <f>IFERROR(__xludf.DUMMYFUNCTION("""COMPUTED_VALUE"""),"CONSTRUCTOR CIVIL")</f>
        <v>CONSTRUCTOR CIVIL</v>
      </c>
      <c r="H570">
        <f>IFERROR(__xludf.DUMMYFUNCTION("""COMPUTED_VALUE"""),8.0)</f>
        <v>8</v>
      </c>
      <c r="J570" t="str">
        <f>IFERROR(__xludf.DUMMYFUNCTION("""COMPUTED_VALUE"""),"A CONTRATA")</f>
        <v>A CONTRATA</v>
      </c>
      <c r="K570" t="str">
        <f>IFERROR(__xludf.DUMMYFUNCTION("""COMPUTED_VALUE"""),"PROFESIONAL")</f>
        <v>PROFESIONAL</v>
      </c>
      <c r="R570" s="45" t="str">
        <f>IFERROR(__xludf.DUMMYFUNCTION("""COMPUTED_VALUE"""),"SELECCIONADO")</f>
        <v>SELECCIONADO</v>
      </c>
      <c r="U570" t="str">
        <f>IFERROR(__xludf.DUMMYFUNCTION("""COMPUTED_VALUE"""),"ARTURO GONZALEZ RIQUELME")</f>
        <v>ARTURO GONZALEZ RIQUELME</v>
      </c>
      <c r="V570" t="str">
        <f>IFERROR(__xludf.DUMMYFUNCTION("""COMPUTED_VALUE"""),"06649381-4")</f>
        <v>06649381-4</v>
      </c>
      <c r="AH570" t="str">
        <f>IFERROR(__xludf.DUMMYFUNCTION("""COMPUTED_VALUE"""),"REGULARIZACIÓN CONTRACTUAL")</f>
        <v>REGULARIZACIÓN CONTRACTUAL</v>
      </c>
      <c r="AK570" t="str">
        <f>IFERROR(__xludf.DUMMYFUNCTION("""COMPUTED_VALUE"""),"P")</f>
        <v>P</v>
      </c>
      <c r="AM570">
        <f>IFERROR(__xludf.DUMMYFUNCTION("""COMPUTED_VALUE"""),2014.0)</f>
        <v>2014</v>
      </c>
    </row>
    <row r="571">
      <c r="A571">
        <f>IFERROR(__xludf.DUMMYFUNCTION("""COMPUTED_VALUE"""),1.5566567E7)</f>
        <v>15566567</v>
      </c>
      <c r="B571">
        <f>IFERROR(__xludf.DUMMYFUNCTION("""COMPUTED_VALUE"""),72.0)</f>
        <v>72</v>
      </c>
      <c r="D571" t="str">
        <f>IFERROR(__xludf.DUMMYFUNCTION("""COMPUTED_VALUE"""),"VICERRCTORIA DE VINCULACION CON EL MEDIO")</f>
        <v>VICERRCTORIA DE VINCULACION CON EL MEDIO</v>
      </c>
      <c r="E571" t="str">
        <f>IFERROR(__xludf.DUMMYFUNCTION("""COMPUTED_VALUE"""),"ARCHIVO DE DOCUMENTACION GRAFICA Y AUDIOVISUAL")</f>
        <v>ARCHIVO DE DOCUMENTACION GRAFICA Y AUDIOVISUAL</v>
      </c>
      <c r="F571" t="str">
        <f>IFERROR(__xludf.DUMMYFUNCTION("""COMPUTED_VALUE"""),"Encargado de Laboratorio")</f>
        <v>Encargado de Laboratorio</v>
      </c>
      <c r="G571" t="str">
        <f>IFERROR(__xludf.DUMMYFUNCTION("""COMPUTED_VALUE"""),"ENCARGADO DE LABORATORIO ")</f>
        <v>ENCARGADO DE LABORATORIO </v>
      </c>
      <c r="H571">
        <f>IFERROR(__xludf.DUMMYFUNCTION("""COMPUTED_VALUE"""),13.0)</f>
        <v>13</v>
      </c>
      <c r="J571" t="str">
        <f>IFERROR(__xludf.DUMMYFUNCTION("""COMPUTED_VALUE"""),"A CONTRATA")</f>
        <v>A CONTRATA</v>
      </c>
      <c r="K571" t="str">
        <f>IFERROR(__xludf.DUMMYFUNCTION("""COMPUTED_VALUE"""),"PROFESIONAL")</f>
        <v>PROFESIONAL</v>
      </c>
      <c r="P571">
        <f>IFERROR(__xludf.DUMMYFUNCTION("""COMPUTED_VALUE"""),1.0)</f>
        <v>1</v>
      </c>
      <c r="R571" s="45" t="str">
        <f>IFERROR(__xludf.DUMMYFUNCTION("""COMPUTED_VALUE"""),"SELECCIONADO")</f>
        <v>SELECCIONADO</v>
      </c>
      <c r="S571" s="38">
        <f>IFERROR(__xludf.DUMMYFUNCTION("""COMPUTED_VALUE"""),41852.0)</f>
        <v>41852</v>
      </c>
      <c r="U571" t="str">
        <f>IFERROR(__xludf.DUMMYFUNCTION("""COMPUTED_VALUE"""),"ANDRES ZUNIGA MELLA")</f>
        <v>ANDRES ZUNIGA MELLA</v>
      </c>
      <c r="V571" t="str">
        <f>IFERROR(__xludf.DUMMYFUNCTION("""COMPUTED_VALUE"""),"15566567-K")</f>
        <v>15566567-K</v>
      </c>
      <c r="AH571" t="str">
        <f>IFERROR(__xludf.DUMMYFUNCTION("""COMPUTED_VALUE"""),"REGULARIZACIÓN CONTRACTUAL")</f>
        <v>REGULARIZACIÓN CONTRACTUAL</v>
      </c>
      <c r="AK571" t="str">
        <f>IFERROR(__xludf.DUMMYFUNCTION("""COMPUTED_VALUE"""),"P")</f>
        <v>P</v>
      </c>
      <c r="AM571">
        <f>IFERROR(__xludf.DUMMYFUNCTION("""COMPUTED_VALUE"""),2014.0)</f>
        <v>2014</v>
      </c>
    </row>
    <row r="572">
      <c r="A572">
        <f>IFERROR(__xludf.DUMMYFUNCTION("""COMPUTED_VALUE"""),1.6743291E7)</f>
        <v>16743291</v>
      </c>
      <c r="B572">
        <f>IFERROR(__xludf.DUMMYFUNCTION("""COMPUTED_VALUE"""),77.0)</f>
        <v>77</v>
      </c>
      <c r="D572" t="str">
        <f>IFERROR(__xludf.DUMMYFUNCTION("""COMPUTED_VALUE"""),"VICERRECTORIA DE VINCULACION CON EL MEDIO")</f>
        <v>VICERRECTORIA DE VINCULACION CON EL MEDIO</v>
      </c>
      <c r="E572" t="str">
        <f>IFERROR(__xludf.DUMMYFUNCTION("""COMPUTED_VALUE"""),"DEPARTAMENTO DE COMUNICACIONES")</f>
        <v>DEPARTAMENTO DE COMUNICACIONES</v>
      </c>
      <c r="F572" t="str">
        <f>IFERROR(__xludf.DUMMYFUNCTION("""COMPUTED_VALUE"""),"Periodista")</f>
        <v>Periodista</v>
      </c>
      <c r="G572" t="str">
        <f>IFERROR(__xludf.DUMMYFUNCTION("""COMPUTED_VALUE"""),"COMUNICADOR AUDIOVISUAL")</f>
        <v>COMUNICADOR AUDIOVISUAL</v>
      </c>
      <c r="H572">
        <f>IFERROR(__xludf.DUMMYFUNCTION("""COMPUTED_VALUE"""),13.0)</f>
        <v>13</v>
      </c>
      <c r="J572" t="str">
        <f>IFERROR(__xludf.DUMMYFUNCTION("""COMPUTED_VALUE"""),"A CONTRATA")</f>
        <v>A CONTRATA</v>
      </c>
      <c r="K572" t="str">
        <f>IFERROR(__xludf.DUMMYFUNCTION("""COMPUTED_VALUE"""),"PROFESIONAL")</f>
        <v>PROFESIONAL</v>
      </c>
      <c r="R572" s="45" t="str">
        <f>IFERROR(__xludf.DUMMYFUNCTION("""COMPUTED_VALUE"""),"SELECCIONADO")</f>
        <v>SELECCIONADO</v>
      </c>
      <c r="S572" s="38">
        <f>IFERROR(__xludf.DUMMYFUNCTION("""COMPUTED_VALUE"""),41821.0)</f>
        <v>41821</v>
      </c>
      <c r="U572" t="str">
        <f>IFERROR(__xludf.DUMMYFUNCTION("""COMPUTED_VALUE"""),"JAVIER HERRERA BECERRA")</f>
        <v>JAVIER HERRERA BECERRA</v>
      </c>
      <c r="V572" t="str">
        <f>IFERROR(__xludf.DUMMYFUNCTION("""COMPUTED_VALUE"""),"16743291-3")</f>
        <v>16743291-3</v>
      </c>
      <c r="AH572" t="str">
        <f>IFERROR(__xludf.DUMMYFUNCTION("""COMPUTED_VALUE"""),"REGULARIZACIÓN CONTRACTUAL")</f>
        <v>REGULARIZACIÓN CONTRACTUAL</v>
      </c>
      <c r="AK572" t="str">
        <f>IFERROR(__xludf.DUMMYFUNCTION("""COMPUTED_VALUE"""),"P")</f>
        <v>P</v>
      </c>
      <c r="AM572">
        <f>IFERROR(__xludf.DUMMYFUNCTION("""COMPUTED_VALUE"""),2014.0)</f>
        <v>2014</v>
      </c>
    </row>
    <row r="573">
      <c r="A573">
        <f>IFERROR(__xludf.DUMMYFUNCTION("""COMPUTED_VALUE"""),1.6302498E7)</f>
        <v>16302498</v>
      </c>
      <c r="B573">
        <f>IFERROR(__xludf.DUMMYFUNCTION("""COMPUTED_VALUE"""),8.0)</f>
        <v>8</v>
      </c>
      <c r="D573" t="str">
        <f>IFERROR(__xludf.DUMMYFUNCTION("""COMPUTED_VALUE"""),"VICERRECTORIA ACADEMICA")</f>
        <v>VICERRECTORIA ACADEMICA</v>
      </c>
      <c r="E573" t="str">
        <f>IFERROR(__xludf.DUMMYFUNCTION("""COMPUTED_VALUE"""),"UNIE-CITECAMP")</f>
        <v>UNIE-CITECAMP</v>
      </c>
      <c r="F573" t="str">
        <f>IFERROR(__xludf.DUMMYFUNCTION("""COMPUTED_VALUE"""),"Analista de Gestión II")</f>
        <v>Analista de Gestión II</v>
      </c>
      <c r="G573" t="str">
        <f>IFERROR(__xludf.DUMMYFUNCTION("""COMPUTED_VALUE"""),"ANALISTA II")</f>
        <v>ANALISTA II</v>
      </c>
      <c r="H573">
        <f>IFERROR(__xludf.DUMMYFUNCTION("""COMPUTED_VALUE"""),12.0)</f>
        <v>12</v>
      </c>
      <c r="J573" t="str">
        <f>IFERROR(__xludf.DUMMYFUNCTION("""COMPUTED_VALUE"""),"A CONTRATA")</f>
        <v>A CONTRATA</v>
      </c>
      <c r="K573" t="str">
        <f>IFERROR(__xludf.DUMMYFUNCTION("""COMPUTED_VALUE"""),"PROFESIONAL")</f>
        <v>PROFESIONAL</v>
      </c>
      <c r="P573">
        <f>IFERROR(__xludf.DUMMYFUNCTION("""COMPUTED_VALUE"""),1.0)</f>
        <v>1</v>
      </c>
      <c r="R573" s="45" t="str">
        <f>IFERROR(__xludf.DUMMYFUNCTION("""COMPUTED_VALUE"""),"SELECCIONADO")</f>
        <v>SELECCIONADO</v>
      </c>
      <c r="S573" s="38">
        <f>IFERROR(__xludf.DUMMYFUNCTION("""COMPUTED_VALUE"""),41701.0)</f>
        <v>41701</v>
      </c>
      <c r="U573" t="str">
        <f>IFERROR(__xludf.DUMMYFUNCTION("""COMPUTED_VALUE"""),"JAVIER JIMENEZ BARADACCO")</f>
        <v>JAVIER JIMENEZ BARADACCO</v>
      </c>
      <c r="V573" t="str">
        <f>IFERROR(__xludf.DUMMYFUNCTION("""COMPUTED_VALUE"""),"16302498-5")</f>
        <v>16302498-5</v>
      </c>
      <c r="W573" t="str">
        <f>IFERROR(__xludf.DUMMYFUNCTION("""COMPUTED_VALUE"""),"No")</f>
        <v>No</v>
      </c>
      <c r="AH573" t="str">
        <f>IFERROR(__xludf.DUMMYFUNCTION("""COMPUTED_VALUE"""),"REGULARIZACIÓN CONTRACTUAL")</f>
        <v>REGULARIZACIÓN CONTRACTUAL</v>
      </c>
      <c r="AM573">
        <f>IFERROR(__xludf.DUMMYFUNCTION("""COMPUTED_VALUE"""),2014.0)</f>
        <v>2014</v>
      </c>
    </row>
    <row r="574">
      <c r="A574">
        <f>IFERROR(__xludf.DUMMYFUNCTION("""COMPUTED_VALUE"""),1.3935899E7)</f>
        <v>13935899</v>
      </c>
      <c r="B574">
        <f>IFERROR(__xludf.DUMMYFUNCTION("""COMPUTED_VALUE"""),9.0)</f>
        <v>9</v>
      </c>
      <c r="D574" t="str">
        <f>IFERROR(__xludf.DUMMYFUNCTION("""COMPUTED_VALUE"""),"VICERRECTORIA ACADEMICA")</f>
        <v>VICERRECTORIA ACADEMICA</v>
      </c>
      <c r="E574" t="str">
        <f>IFERROR(__xludf.DUMMYFUNCTION("""COMPUTED_VALUE"""),"UNIE-CITECAMP")</f>
        <v>UNIE-CITECAMP</v>
      </c>
      <c r="F574" t="str">
        <f>IFERROR(__xludf.DUMMYFUNCTION("""COMPUTED_VALUE"""),"Analista de Gestión I")</f>
        <v>Analista de Gestión I</v>
      </c>
      <c r="G574" t="str">
        <f>IFERROR(__xludf.DUMMYFUNCTION("""COMPUTED_VALUE"""),"ANALISTA I")</f>
        <v>ANALISTA I</v>
      </c>
      <c r="H574">
        <f>IFERROR(__xludf.DUMMYFUNCTION("""COMPUTED_VALUE"""),8.0)</f>
        <v>8</v>
      </c>
      <c r="J574" t="str">
        <f>IFERROR(__xludf.DUMMYFUNCTION("""COMPUTED_VALUE"""),"A CONTRATA")</f>
        <v>A CONTRATA</v>
      </c>
      <c r="K574" t="str">
        <f>IFERROR(__xludf.DUMMYFUNCTION("""COMPUTED_VALUE"""),"PROFESIONAL")</f>
        <v>PROFESIONAL</v>
      </c>
      <c r="P574">
        <f>IFERROR(__xludf.DUMMYFUNCTION("""COMPUTED_VALUE"""),1.0)</f>
        <v>1</v>
      </c>
      <c r="R574" s="45" t="str">
        <f>IFERROR(__xludf.DUMMYFUNCTION("""COMPUTED_VALUE"""),"SELECCIONADA")</f>
        <v>SELECCIONADA</v>
      </c>
      <c r="S574" s="38">
        <f>IFERROR(__xludf.DUMMYFUNCTION("""COMPUTED_VALUE"""),41701.0)</f>
        <v>41701</v>
      </c>
      <c r="U574" t="str">
        <f>IFERROR(__xludf.DUMMYFUNCTION("""COMPUTED_VALUE"""),"MARIA GALLEGOS REYES")</f>
        <v>MARIA GALLEGOS REYES</v>
      </c>
      <c r="V574" t="str">
        <f>IFERROR(__xludf.DUMMYFUNCTION("""COMPUTED_VALUE"""),"13935899-6")</f>
        <v>13935899-6</v>
      </c>
      <c r="W574" t="str">
        <f>IFERROR(__xludf.DUMMYFUNCTION("""COMPUTED_VALUE"""),"No")</f>
        <v>No</v>
      </c>
      <c r="AH574" t="str">
        <f>IFERROR(__xludf.DUMMYFUNCTION("""COMPUTED_VALUE"""),"REGULARIZACIÓN CONTRACTUAL")</f>
        <v>REGULARIZACIÓN CONTRACTUAL</v>
      </c>
      <c r="AM574">
        <f>IFERROR(__xludf.DUMMYFUNCTION("""COMPUTED_VALUE"""),2014.0)</f>
        <v>2014</v>
      </c>
    </row>
    <row r="575">
      <c r="A575">
        <f>IFERROR(__xludf.DUMMYFUNCTION("""COMPUTED_VALUE"""),1.2374267E7)</f>
        <v>12374267</v>
      </c>
      <c r="B575">
        <f>IFERROR(__xludf.DUMMYFUNCTION("""COMPUTED_VALUE"""),10.0)</f>
        <v>10</v>
      </c>
      <c r="D575" t="str">
        <f>IFERROR(__xludf.DUMMYFUNCTION("""COMPUTED_VALUE"""),"VICERRECTORIA ACADEMICA")</f>
        <v>VICERRECTORIA ACADEMICA</v>
      </c>
      <c r="E575" t="str">
        <f>IFERROR(__xludf.DUMMYFUNCTION("""COMPUTED_VALUE"""),"UNIE-CITECAMP")</f>
        <v>UNIE-CITECAMP</v>
      </c>
      <c r="F575" t="str">
        <f>IFERROR(__xludf.DUMMYFUNCTION("""COMPUTED_VALUE"""),"Jefe de Área")</f>
        <v>Jefe de Área</v>
      </c>
      <c r="G575" t="str">
        <f>IFERROR(__xludf.DUMMYFUNCTION("""COMPUTED_VALUE"""),"JEFE DE AREA")</f>
        <v>JEFE DE AREA</v>
      </c>
      <c r="H575">
        <f>IFERROR(__xludf.DUMMYFUNCTION("""COMPUTED_VALUE"""),6.0)</f>
        <v>6</v>
      </c>
      <c r="J575" t="str">
        <f>IFERROR(__xludf.DUMMYFUNCTION("""COMPUTED_VALUE"""),"A CONTRATA")</f>
        <v>A CONTRATA</v>
      </c>
      <c r="K575" t="str">
        <f>IFERROR(__xludf.DUMMYFUNCTION("""COMPUTED_VALUE"""),"PROFESIONAL")</f>
        <v>PROFESIONAL</v>
      </c>
      <c r="P575">
        <f>IFERROR(__xludf.DUMMYFUNCTION("""COMPUTED_VALUE"""),1.0)</f>
        <v>1</v>
      </c>
      <c r="R575" s="45" t="str">
        <f>IFERROR(__xludf.DUMMYFUNCTION("""COMPUTED_VALUE"""),"SELECCIONADO")</f>
        <v>SELECCIONADO</v>
      </c>
      <c r="S575" s="38">
        <f>IFERROR(__xludf.DUMMYFUNCTION("""COMPUTED_VALUE"""),41781.0)</f>
        <v>41781</v>
      </c>
      <c r="U575" t="str">
        <f>IFERROR(__xludf.DUMMYFUNCTION("""COMPUTED_VALUE"""),"JORGE CHAVEZ ROJAS")</f>
        <v>JORGE CHAVEZ ROJAS</v>
      </c>
      <c r="V575" t="str">
        <f>IFERROR(__xludf.DUMMYFUNCTION("""COMPUTED_VALUE"""),"12374267-2")</f>
        <v>12374267-2</v>
      </c>
      <c r="W575" t="str">
        <f>IFERROR(__xludf.DUMMYFUNCTION("""COMPUTED_VALUE"""),"SI")</f>
        <v>SI</v>
      </c>
      <c r="X575" t="str">
        <f>IFERROR(__xludf.DUMMYFUNCTION("""COMPUTED_VALUE"""),"TRABAJO EN EQUIPO")</f>
        <v>TRABAJO EN EQUIPO</v>
      </c>
      <c r="AH575" t="str">
        <f>IFERROR(__xludf.DUMMYFUNCTION("""COMPUTED_VALUE"""),"REGULARIZACIÓN CONTRACTUAL")</f>
        <v>REGULARIZACIÓN CONTRACTUAL</v>
      </c>
      <c r="AM575">
        <f>IFERROR(__xludf.DUMMYFUNCTION("""COMPUTED_VALUE"""),2014.0)</f>
        <v>2014</v>
      </c>
    </row>
    <row r="576">
      <c r="A576">
        <f>IFERROR(__xludf.DUMMYFUNCTION("""COMPUTED_VALUE"""),1.6877266E7)</f>
        <v>16877266</v>
      </c>
      <c r="B576">
        <f>IFERROR(__xludf.DUMMYFUNCTION("""COMPUTED_VALUE"""),11.0)</f>
        <v>11</v>
      </c>
      <c r="D576" t="str">
        <f>IFERROR(__xludf.DUMMYFUNCTION("""COMPUTED_VALUE"""),"VICERRECTORIA ACADEMICA")</f>
        <v>VICERRECTORIA ACADEMICA</v>
      </c>
      <c r="E576" t="str">
        <f>IFERROR(__xludf.DUMMYFUNCTION("""COMPUTED_VALUE"""),"UNIE-CITECAMP")</f>
        <v>UNIE-CITECAMP</v>
      </c>
      <c r="F576" t="str">
        <f>IFERROR(__xludf.DUMMYFUNCTION("""COMPUTED_VALUE"""),"Analista de Gestión II")</f>
        <v>Analista de Gestión II</v>
      </c>
      <c r="G576" t="str">
        <f>IFERROR(__xludf.DUMMYFUNCTION("""COMPUTED_VALUE"""),"ANALISTA II")</f>
        <v>ANALISTA II</v>
      </c>
      <c r="H576">
        <f>IFERROR(__xludf.DUMMYFUNCTION("""COMPUTED_VALUE"""),12.0)</f>
        <v>12</v>
      </c>
      <c r="J576" t="str">
        <f>IFERROR(__xludf.DUMMYFUNCTION("""COMPUTED_VALUE"""),"A CONTRATA")</f>
        <v>A CONTRATA</v>
      </c>
      <c r="K576" t="str">
        <f>IFERROR(__xludf.DUMMYFUNCTION("""COMPUTED_VALUE"""),"PROFESIONAL")</f>
        <v>PROFESIONAL</v>
      </c>
      <c r="P576">
        <f>IFERROR(__xludf.DUMMYFUNCTION("""COMPUTED_VALUE"""),1.0)</f>
        <v>1</v>
      </c>
      <c r="R576" s="45" t="str">
        <f>IFERROR(__xludf.DUMMYFUNCTION("""COMPUTED_VALUE"""),"SELECCIONADA")</f>
        <v>SELECCIONADA</v>
      </c>
      <c r="S576" s="38">
        <f>IFERROR(__xludf.DUMMYFUNCTION("""COMPUTED_VALUE"""),41745.0)</f>
        <v>41745</v>
      </c>
      <c r="U576" t="str">
        <f>IFERROR(__xludf.DUMMYFUNCTION("""COMPUTED_VALUE"""),"NICOLE ABRICOT MARCHANT")</f>
        <v>NICOLE ABRICOT MARCHANT</v>
      </c>
      <c r="V576" t="str">
        <f>IFERROR(__xludf.DUMMYFUNCTION("""COMPUTED_VALUE"""),"16877266-1")</f>
        <v>16877266-1</v>
      </c>
      <c r="W576" t="str">
        <f>IFERROR(__xludf.DUMMYFUNCTION("""COMPUTED_VALUE"""),"No")</f>
        <v>No</v>
      </c>
      <c r="AH576" t="str">
        <f>IFERROR(__xludf.DUMMYFUNCTION("""COMPUTED_VALUE"""),"REGULARIZACIÓN CONTRACTUAL")</f>
        <v>REGULARIZACIÓN CONTRACTUAL</v>
      </c>
      <c r="AM576">
        <f>IFERROR(__xludf.DUMMYFUNCTION("""COMPUTED_VALUE"""),2014.0)</f>
        <v>2014</v>
      </c>
    </row>
    <row r="577">
      <c r="A577">
        <f>IFERROR(__xludf.DUMMYFUNCTION("""COMPUTED_VALUE"""),1.3721127E7)</f>
        <v>13721127</v>
      </c>
      <c r="B577">
        <f>IFERROR(__xludf.DUMMYFUNCTION("""COMPUTED_VALUE"""),12.0)</f>
        <v>12</v>
      </c>
      <c r="D577" t="str">
        <f>IFERROR(__xludf.DUMMYFUNCTION("""COMPUTED_VALUE"""),"VICERRECTORIA DE INVESTIGACION, DESARROLLO E INNOVACION")</f>
        <v>VICERRECTORIA DE INVESTIGACION, DESARROLLO E INNOVACION</v>
      </c>
      <c r="E577" t="str">
        <f>IFERROR(__xludf.DUMMYFUNCTION("""COMPUTED_VALUE"""),"DEPARTAMENTO DE INVESTIGACIONES CIENTIFICAS Y TECNOLOGICAS")</f>
        <v>DEPARTAMENTO DE INVESTIGACIONES CIENTIFICAS Y TECNOLOGICAS</v>
      </c>
      <c r="F577" t="str">
        <f>IFERROR(__xludf.DUMMYFUNCTION("""COMPUTED_VALUE"""),"Administrativo Contable")</f>
        <v>Administrativo Contable</v>
      </c>
      <c r="G577" t="str">
        <f>IFERROR(__xludf.DUMMYFUNCTION("""COMPUTED_VALUE"""),"ADMINISTRATIVO CONTABLE")</f>
        <v>ADMINISTRATIVO CONTABLE</v>
      </c>
      <c r="H577">
        <f>IFERROR(__xludf.DUMMYFUNCTION("""COMPUTED_VALUE"""),17.0)</f>
        <v>17</v>
      </c>
      <c r="J577" t="str">
        <f>IFERROR(__xludf.DUMMYFUNCTION("""COMPUTED_VALUE"""),"A CONTRATA")</f>
        <v>A CONTRATA</v>
      </c>
      <c r="K577" t="str">
        <f>IFERROR(__xludf.DUMMYFUNCTION("""COMPUTED_VALUE"""),"TECNICO")</f>
        <v>TECNICO</v>
      </c>
      <c r="P577">
        <f>IFERROR(__xludf.DUMMYFUNCTION("""COMPUTED_VALUE"""),1.0)</f>
        <v>1</v>
      </c>
      <c r="R577" s="45" t="str">
        <f>IFERROR(__xludf.DUMMYFUNCTION("""COMPUTED_VALUE"""),"SELECCIONADA")</f>
        <v>SELECCIONADA</v>
      </c>
      <c r="S577" s="38">
        <f>IFERROR(__xludf.DUMMYFUNCTION("""COMPUTED_VALUE"""),41640.0)</f>
        <v>41640</v>
      </c>
      <c r="U577" t="str">
        <f>IFERROR(__xludf.DUMMYFUNCTION("""COMPUTED_VALUE"""),"ERIKA CATALAN CORNEJO")</f>
        <v>ERIKA CATALAN CORNEJO</v>
      </c>
      <c r="V577" t="str">
        <f>IFERROR(__xludf.DUMMYFUNCTION("""COMPUTED_VALUE"""),"13721127-0")</f>
        <v>13721127-0</v>
      </c>
      <c r="W577" t="str">
        <f>IFERROR(__xludf.DUMMYFUNCTION("""COMPUTED_VALUE"""),"SI")</f>
        <v>SI</v>
      </c>
      <c r="X577" t="str">
        <f>IFERROR(__xludf.DUMMYFUNCTION("""COMPUTED_VALUE"""),"Iniciativa")</f>
        <v>Iniciativa</v>
      </c>
      <c r="AH577" t="str">
        <f>IFERROR(__xludf.DUMMYFUNCTION("""COMPUTED_VALUE"""),"REGULARIZACIÓN CONTRACTUAL")</f>
        <v>REGULARIZACIÓN CONTRACTUAL</v>
      </c>
      <c r="AM577">
        <f>IFERROR(__xludf.DUMMYFUNCTION("""COMPUTED_VALUE"""),2014.0)</f>
        <v>2014</v>
      </c>
    </row>
    <row r="578">
      <c r="A578">
        <f>IFERROR(__xludf.DUMMYFUNCTION("""COMPUTED_VALUE"""),1.6067135E7)</f>
        <v>16067135</v>
      </c>
      <c r="B578">
        <f>IFERROR(__xludf.DUMMYFUNCTION("""COMPUTED_VALUE"""),13.0)</f>
        <v>13</v>
      </c>
      <c r="D578" t="str">
        <f>IFERROR(__xludf.DUMMYFUNCTION("""COMPUTED_VALUE"""),"VICERRECTORIA DE INVESTIGACION, DESARROLLO E INNOVACION")</f>
        <v>VICERRECTORIA DE INVESTIGACION, DESARROLLO E INNOVACION</v>
      </c>
      <c r="F578" t="str">
        <f>IFERROR(__xludf.DUMMYFUNCTION("""COMPUTED_VALUE"""),"Encargado de Unidad Menor")</f>
        <v>Encargado de Unidad Menor</v>
      </c>
      <c r="G578" t="str">
        <f>IFERROR(__xludf.DUMMYFUNCTION("""COMPUTED_VALUE"""),"ENCARGADA OFICINA DE PARTES")</f>
        <v>ENCARGADA OFICINA DE PARTES</v>
      </c>
      <c r="H578">
        <f>IFERROR(__xludf.DUMMYFUNCTION("""COMPUTED_VALUE"""),16.0)</f>
        <v>16</v>
      </c>
      <c r="J578" t="str">
        <f>IFERROR(__xludf.DUMMYFUNCTION("""COMPUTED_VALUE"""),"A CONTRATA")</f>
        <v>A CONTRATA</v>
      </c>
      <c r="K578" t="str">
        <f>IFERROR(__xludf.DUMMYFUNCTION("""COMPUTED_VALUE"""),"ADMINISTRATIVO")</f>
        <v>ADMINISTRATIVO</v>
      </c>
      <c r="R578" s="45" t="str">
        <f>IFERROR(__xludf.DUMMYFUNCTION("""COMPUTED_VALUE"""),"SELECCIONADA")</f>
        <v>SELECCIONADA</v>
      </c>
      <c r="S578" s="38">
        <f>IFERROR(__xludf.DUMMYFUNCTION("""COMPUTED_VALUE"""),41913.0)</f>
        <v>41913</v>
      </c>
      <c r="U578" t="str">
        <f>IFERROR(__xludf.DUMMYFUNCTION("""COMPUTED_VALUE"""),"ANA BURGOS  HERNANDEZ")</f>
        <v>ANA BURGOS  HERNANDEZ</v>
      </c>
      <c r="V578" t="str">
        <f>IFERROR(__xludf.DUMMYFUNCTION("""COMPUTED_VALUE"""),"16067135-1")</f>
        <v>16067135-1</v>
      </c>
      <c r="AH578" t="str">
        <f>IFERROR(__xludf.DUMMYFUNCTION("""COMPUTED_VALUE"""),"REGULARIZACIÓN CONTRACTUAL")</f>
        <v>REGULARIZACIÓN CONTRACTUAL</v>
      </c>
      <c r="AM578">
        <f>IFERROR(__xludf.DUMMYFUNCTION("""COMPUTED_VALUE"""),2014.0)</f>
        <v>2014</v>
      </c>
    </row>
    <row r="579">
      <c r="A579">
        <f>IFERROR(__xludf.DUMMYFUNCTION("""COMPUTED_VALUE"""),1.319948E7)</f>
        <v>13199480</v>
      </c>
      <c r="B579">
        <f>IFERROR(__xludf.DUMMYFUNCTION("""COMPUTED_VALUE"""),13.0)</f>
        <v>13</v>
      </c>
      <c r="D579" t="str">
        <f>IFERROR(__xludf.DUMMYFUNCTION("""COMPUTED_VALUE"""),"VICERRECTORIA DE APOYO AL ESTUDIANTE")</f>
        <v>VICERRECTORIA DE APOYO AL ESTUDIANTE</v>
      </c>
      <c r="E579" t="str">
        <f>IFERROR(__xludf.DUMMYFUNCTION("""COMPUTED_VALUE"""),"UNIDAD DE PROMOCION DE SALUD")</f>
        <v>UNIDAD DE PROMOCION DE SALUD</v>
      </c>
      <c r="F579" t="str">
        <f>IFERROR(__xludf.DUMMYFUNCTION("""COMPUTED_VALUE"""),"Psicólogo Clínico")</f>
        <v>Psicólogo Clínico</v>
      </c>
      <c r="G579" t="str">
        <f>IFERROR(__xludf.DUMMYFUNCTION("""COMPUTED_VALUE"""),"PSICOLOGO CLINICO")</f>
        <v>PSICOLOGO CLINICO</v>
      </c>
      <c r="H579">
        <f>IFERROR(__xludf.DUMMYFUNCTION("""COMPUTED_VALUE"""),14.0)</f>
        <v>14</v>
      </c>
      <c r="J579" t="str">
        <f>IFERROR(__xludf.DUMMYFUNCTION("""COMPUTED_VALUE"""),"A CONTRATA")</f>
        <v>A CONTRATA</v>
      </c>
      <c r="K579" t="str">
        <f>IFERROR(__xludf.DUMMYFUNCTION("""COMPUTED_VALUE"""),"PROFESIONAL")</f>
        <v>PROFESIONAL</v>
      </c>
      <c r="P579">
        <f>IFERROR(__xludf.DUMMYFUNCTION("""COMPUTED_VALUE"""),1.0)</f>
        <v>1</v>
      </c>
      <c r="R579" s="45" t="str">
        <f>IFERROR(__xludf.DUMMYFUNCTION("""COMPUTED_VALUE"""),"SELECCIONADA")</f>
        <v>SELECCIONADA</v>
      </c>
      <c r="S579" s="38">
        <f>IFERROR(__xludf.DUMMYFUNCTION("""COMPUTED_VALUE"""),41640.0)</f>
        <v>41640</v>
      </c>
      <c r="U579" t="str">
        <f>IFERROR(__xludf.DUMMYFUNCTION("""COMPUTED_VALUE"""),"DAPHNE PINOCHET VARGAS")</f>
        <v>DAPHNE PINOCHET VARGAS</v>
      </c>
      <c r="V579" t="str">
        <f>IFERROR(__xludf.DUMMYFUNCTION("""COMPUTED_VALUE"""),"13199480-K")</f>
        <v>13199480-K</v>
      </c>
      <c r="W579" t="str">
        <f>IFERROR(__xludf.DUMMYFUNCTION("""COMPUTED_VALUE"""),"SI")</f>
        <v>SI</v>
      </c>
      <c r="X579" t="str">
        <f>IFERROR(__xludf.DUMMYFUNCTION("""COMPUTED_VALUE"""),"Capacidad de Planificacion y Organizacion")</f>
        <v>Capacidad de Planificacion y Organizacion</v>
      </c>
      <c r="AH579" t="str">
        <f>IFERROR(__xludf.DUMMYFUNCTION("""COMPUTED_VALUE"""),"REGULARIZACIÓN CONTRACTUAL")</f>
        <v>REGULARIZACIÓN CONTRACTUAL</v>
      </c>
      <c r="AM579">
        <f>IFERROR(__xludf.DUMMYFUNCTION("""COMPUTED_VALUE"""),2014.0)</f>
        <v>2014</v>
      </c>
    </row>
    <row r="580">
      <c r="A580">
        <f>IFERROR(__xludf.DUMMYFUNCTION("""COMPUTED_VALUE"""),1.0608447E7)</f>
        <v>10608447</v>
      </c>
      <c r="B580">
        <f>IFERROR(__xludf.DUMMYFUNCTION("""COMPUTED_VALUE"""),15.0)</f>
        <v>15</v>
      </c>
      <c r="D580" t="str">
        <f>IFERROR(__xludf.DUMMYFUNCTION("""COMPUTED_VALUE"""),"FACULTAD TECNOLOGICA")</f>
        <v>FACULTAD TECNOLOGICA</v>
      </c>
      <c r="E580" t="str">
        <f>IFERROR(__xludf.DUMMYFUNCTION("""COMPUTED_VALUE"""),"FACULTAD TECNOLOGICA")</f>
        <v>FACULTAD TECNOLOGICA</v>
      </c>
      <c r="F580" t="str">
        <f>IFERROR(__xludf.DUMMYFUNCTION("""COMPUTED_VALUE"""),"Administrador de Sistemas")</f>
        <v>Administrador de Sistemas</v>
      </c>
      <c r="G580" t="str">
        <f>IFERROR(__xludf.DUMMYFUNCTION("""COMPUTED_VALUE"""),"ADMINISTRADOR DE SISTEMAS")</f>
        <v>ADMINISTRADOR DE SISTEMAS</v>
      </c>
      <c r="H580">
        <f>IFERROR(__xludf.DUMMYFUNCTION("""COMPUTED_VALUE"""),11.0)</f>
        <v>11</v>
      </c>
      <c r="J580" t="str">
        <f>IFERROR(__xludf.DUMMYFUNCTION("""COMPUTED_VALUE"""),"A CONTRATA")</f>
        <v>A CONTRATA</v>
      </c>
      <c r="K580" t="str">
        <f>IFERROR(__xludf.DUMMYFUNCTION("""COMPUTED_VALUE"""),"PROFESIONAL")</f>
        <v>PROFESIONAL</v>
      </c>
      <c r="P580">
        <f>IFERROR(__xludf.DUMMYFUNCTION("""COMPUTED_VALUE"""),1.0)</f>
        <v>1</v>
      </c>
      <c r="R580" s="45" t="str">
        <f>IFERROR(__xludf.DUMMYFUNCTION("""COMPUTED_VALUE"""),"SELECCIONADO")</f>
        <v>SELECCIONADO</v>
      </c>
      <c r="S580" s="38">
        <f>IFERROR(__xludf.DUMMYFUNCTION("""COMPUTED_VALUE"""),41640.0)</f>
        <v>41640</v>
      </c>
      <c r="U580" t="str">
        <f>IFERROR(__xludf.DUMMYFUNCTION("""COMPUTED_VALUE"""),"CRISTIAN VERGARA ESPINOZA")</f>
        <v>CRISTIAN VERGARA ESPINOZA</v>
      </c>
      <c r="V580" t="str">
        <f>IFERROR(__xludf.DUMMYFUNCTION("""COMPUTED_VALUE"""),"10608447-5")</f>
        <v>10608447-5</v>
      </c>
      <c r="W580" t="str">
        <f>IFERROR(__xludf.DUMMYFUNCTION("""COMPUTED_VALUE"""),"SI")</f>
        <v>SI</v>
      </c>
      <c r="X580" t="str">
        <f>IFERROR(__xludf.DUMMYFUNCTION("""COMPUTED_VALUE"""),"TRABAJO EN EQUIPO")</f>
        <v>TRABAJO EN EQUIPO</v>
      </c>
      <c r="AH580" t="str">
        <f>IFERROR(__xludf.DUMMYFUNCTION("""COMPUTED_VALUE"""),"REGULARIZACIÓN CONTRACTUAL")</f>
        <v>REGULARIZACIÓN CONTRACTUAL</v>
      </c>
      <c r="AM580">
        <f>IFERROR(__xludf.DUMMYFUNCTION("""COMPUTED_VALUE"""),2014.0)</f>
        <v>2014</v>
      </c>
    </row>
    <row r="581">
      <c r="A581">
        <f>IFERROR(__xludf.DUMMYFUNCTION("""COMPUTED_VALUE"""),1.674911E7)</f>
        <v>16749110</v>
      </c>
      <c r="B581">
        <f>IFERROR(__xludf.DUMMYFUNCTION("""COMPUTED_VALUE"""),16.0)</f>
        <v>16</v>
      </c>
      <c r="D581" t="str">
        <f>IFERROR(__xludf.DUMMYFUNCTION("""COMPUTED_VALUE"""),"RECTORIA")</f>
        <v>RECTORIA</v>
      </c>
      <c r="E581" t="str">
        <f>IFERROR(__xludf.DUMMYFUNCTION("""COMPUTED_VALUE"""),"RECTORIA")</f>
        <v>RECTORIA</v>
      </c>
      <c r="F581" t="str">
        <f>IFERROR(__xludf.DUMMYFUNCTION("""COMPUTED_VALUE"""),"Analista de Gestión I")</f>
        <v>Analista de Gestión I</v>
      </c>
      <c r="G581" t="str">
        <f>IFERROR(__xludf.DUMMYFUNCTION("""COMPUTED_VALUE"""),"ANALISTA I")</f>
        <v>ANALISTA I</v>
      </c>
      <c r="H581">
        <f>IFERROR(__xludf.DUMMYFUNCTION("""COMPUTED_VALUE"""),8.0)</f>
        <v>8</v>
      </c>
      <c r="J581" t="str">
        <f>IFERROR(__xludf.DUMMYFUNCTION("""COMPUTED_VALUE"""),"A CONTRATA")</f>
        <v>A CONTRATA</v>
      </c>
      <c r="K581" t="str">
        <f>IFERROR(__xludf.DUMMYFUNCTION("""COMPUTED_VALUE"""),"PROFESIONAL")</f>
        <v>PROFESIONAL</v>
      </c>
      <c r="P581">
        <f>IFERROR(__xludf.DUMMYFUNCTION("""COMPUTED_VALUE"""),1.0)</f>
        <v>1</v>
      </c>
      <c r="R581" s="45" t="str">
        <f>IFERROR(__xludf.DUMMYFUNCTION("""COMPUTED_VALUE"""),"SELECCIONADO")</f>
        <v>SELECCIONADO</v>
      </c>
      <c r="S581" s="38">
        <f>IFERROR(__xludf.DUMMYFUNCTION("""COMPUTED_VALUE"""),41641.0)</f>
        <v>41641</v>
      </c>
      <c r="U581" t="str">
        <f>IFERROR(__xludf.DUMMYFUNCTION("""COMPUTED_VALUE"""),"JAVIER DONOSO OYARZUN")</f>
        <v>JAVIER DONOSO OYARZUN</v>
      </c>
      <c r="V581" t="str">
        <f>IFERROR(__xludf.DUMMYFUNCTION("""COMPUTED_VALUE"""),"16749110-3")</f>
        <v>16749110-3</v>
      </c>
      <c r="W581" t="str">
        <f>IFERROR(__xludf.DUMMYFUNCTION("""COMPUTED_VALUE"""),"No")</f>
        <v>No</v>
      </c>
      <c r="AH581" t="str">
        <f>IFERROR(__xludf.DUMMYFUNCTION("""COMPUTED_VALUE"""),"REGULARIZACIÓN CONTRACTUAL")</f>
        <v>REGULARIZACIÓN CONTRACTUAL</v>
      </c>
      <c r="AM581">
        <f>IFERROR(__xludf.DUMMYFUNCTION("""COMPUTED_VALUE"""),2014.0)</f>
        <v>2014</v>
      </c>
    </row>
    <row r="582">
      <c r="A582">
        <f>IFERROR(__xludf.DUMMYFUNCTION("""COMPUTED_VALUE"""),8316934.0)</f>
        <v>8316934</v>
      </c>
      <c r="B582">
        <f>IFERROR(__xludf.DUMMYFUNCTION("""COMPUTED_VALUE"""),17.0)</f>
        <v>17</v>
      </c>
      <c r="D582" t="str">
        <f>IFERROR(__xludf.DUMMYFUNCTION("""COMPUTED_VALUE"""),"SECRETARIA GENERAL")</f>
        <v>SECRETARIA GENERAL</v>
      </c>
      <c r="E582" t="str">
        <f>IFERROR(__xludf.DUMMYFUNCTION("""COMPUTED_VALUE"""),"SECRETARIA GENERAL")</f>
        <v>SECRETARIA GENERAL</v>
      </c>
      <c r="F582" t="str">
        <f>IFERROR(__xludf.DUMMYFUNCTION("""COMPUTED_VALUE"""),"Administrativo de Apoyo")</f>
        <v>Administrativo de Apoyo</v>
      </c>
      <c r="G582" t="str">
        <f>IFERROR(__xludf.DUMMYFUNCTION("""COMPUTED_VALUE"""),"ADMINISTRATIVO DE APOYO")</f>
        <v>ADMINISTRATIVO DE APOYO</v>
      </c>
      <c r="H582">
        <f>IFERROR(__xludf.DUMMYFUNCTION("""COMPUTED_VALUE"""),20.0)</f>
        <v>20</v>
      </c>
      <c r="J582" t="str">
        <f>IFERROR(__xludf.DUMMYFUNCTION("""COMPUTED_VALUE"""),"A CONTRATA")</f>
        <v>A CONTRATA</v>
      </c>
      <c r="K582" t="str">
        <f>IFERROR(__xludf.DUMMYFUNCTION("""COMPUTED_VALUE"""),"ADMINISTRATIVO")</f>
        <v>ADMINISTRATIVO</v>
      </c>
      <c r="P582">
        <f>IFERROR(__xludf.DUMMYFUNCTION("""COMPUTED_VALUE"""),1.0)</f>
        <v>1</v>
      </c>
      <c r="R582" s="45" t="str">
        <f>IFERROR(__xludf.DUMMYFUNCTION("""COMPUTED_VALUE"""),"SELECCIONADA")</f>
        <v>SELECCIONADA</v>
      </c>
      <c r="S582" s="38">
        <f>IFERROR(__xludf.DUMMYFUNCTION("""COMPUTED_VALUE"""),41699.0)</f>
        <v>41699</v>
      </c>
      <c r="U582" t="str">
        <f>IFERROR(__xludf.DUMMYFUNCTION("""COMPUTED_VALUE"""),"OLGA GARRAO VIELMA")</f>
        <v>OLGA GARRAO VIELMA</v>
      </c>
      <c r="V582" t="str">
        <f>IFERROR(__xludf.DUMMYFUNCTION("""COMPUTED_VALUE"""),"08316934-6")</f>
        <v>08316934-6</v>
      </c>
      <c r="AH582" t="str">
        <f>IFERROR(__xludf.DUMMYFUNCTION("""COMPUTED_VALUE"""),"REGULARIZACIÓN CONTRACTUAL")</f>
        <v>REGULARIZACIÓN CONTRACTUAL</v>
      </c>
      <c r="AM582">
        <f>IFERROR(__xludf.DUMMYFUNCTION("""COMPUTED_VALUE"""),2014.0)</f>
        <v>2014</v>
      </c>
    </row>
    <row r="583">
      <c r="A583">
        <f>IFERROR(__xludf.DUMMYFUNCTION("""COMPUTED_VALUE"""),1.2024427E7)</f>
        <v>12024427</v>
      </c>
      <c r="B583">
        <f>IFERROR(__xludf.DUMMYFUNCTION("""COMPUTED_VALUE"""),18.0)</f>
        <v>18</v>
      </c>
      <c r="D583" t="str">
        <f>IFERROR(__xludf.DUMMYFUNCTION("""COMPUTED_VALUE"""),"VICERRECTORIA ACADEMICA")</f>
        <v>VICERRECTORIA ACADEMICA</v>
      </c>
      <c r="E583" t="str">
        <f>IFERROR(__xludf.DUMMYFUNCTION("""COMPUTED_VALUE"""),"DIRECCION DE POSTGRADO")</f>
        <v>DIRECCION DE POSTGRADO</v>
      </c>
      <c r="F583" t="str">
        <f>IFERROR(__xludf.DUMMYFUNCTION("""COMPUTED_VALUE"""),"Secretario B")</f>
        <v>Secretario B</v>
      </c>
      <c r="H583">
        <f>IFERROR(__xludf.DUMMYFUNCTION("""COMPUTED_VALUE"""),17.0)</f>
        <v>17</v>
      </c>
      <c r="J583" t="str">
        <f>IFERROR(__xludf.DUMMYFUNCTION("""COMPUTED_VALUE"""),"A CONTRATA")</f>
        <v>A CONTRATA</v>
      </c>
      <c r="K583" t="str">
        <f>IFERROR(__xludf.DUMMYFUNCTION("""COMPUTED_VALUE"""),"ADMINISTRATIVO")</f>
        <v>ADMINISTRATIVO</v>
      </c>
      <c r="R583" s="45" t="str">
        <f>IFERROR(__xludf.DUMMYFUNCTION("""COMPUTED_VALUE"""),"SELECCIONADA")</f>
        <v>SELECCIONADA</v>
      </c>
      <c r="S583" s="38">
        <f>IFERROR(__xludf.DUMMYFUNCTION("""COMPUTED_VALUE"""),42005.0)</f>
        <v>42005</v>
      </c>
      <c r="U583" t="str">
        <f>IFERROR(__xludf.DUMMYFUNCTION("""COMPUTED_VALUE"""),"PAULA AVILA MORAGA")</f>
        <v>PAULA AVILA MORAGA</v>
      </c>
      <c r="V583" t="str">
        <f>IFERROR(__xludf.DUMMYFUNCTION("""COMPUTED_VALUE"""),"12024427-2")</f>
        <v>12024427-2</v>
      </c>
      <c r="AH583" t="str">
        <f>IFERROR(__xludf.DUMMYFUNCTION("""COMPUTED_VALUE"""),"REGULARIZACIÓN CONTRACTUAL")</f>
        <v>REGULARIZACIÓN CONTRACTUAL</v>
      </c>
      <c r="AM583">
        <f>IFERROR(__xludf.DUMMYFUNCTION("""COMPUTED_VALUE"""),2014.0)</f>
        <v>2014</v>
      </c>
    </row>
    <row r="584">
      <c r="A584">
        <f>IFERROR(__xludf.DUMMYFUNCTION("""COMPUTED_VALUE"""),1.3432795E7)</f>
        <v>13432795</v>
      </c>
      <c r="B584">
        <f>IFERROR(__xludf.DUMMYFUNCTION("""COMPUTED_VALUE"""),152.0)</f>
        <v>152</v>
      </c>
      <c r="D584" t="str">
        <f>IFERROR(__xludf.DUMMYFUNCTION("""COMPUTED_VALUE"""),"VICERRECTORIA DE VINCULACION CON EL MEDIO")</f>
        <v>VICERRECTORIA DE VINCULACION CON EL MEDIO</v>
      </c>
      <c r="E584" t="str">
        <f>IFERROR(__xludf.DUMMYFUNCTION("""COMPUTED_VALUE"""),"DEPARTAMENTO DE COMUNICACIONES")</f>
        <v>DEPARTAMENTO DE COMUNICACIONES</v>
      </c>
      <c r="F584" t="str">
        <f>IFERROR(__xludf.DUMMYFUNCTION("""COMPUTED_VALUE"""),"Periodista")</f>
        <v>Periodista</v>
      </c>
      <c r="G584" t="str">
        <f>IFERROR(__xludf.DUMMYFUNCTION("""COMPUTED_VALUE"""),"PERIODISTA")</f>
        <v>PERIODISTA</v>
      </c>
      <c r="H584">
        <f>IFERROR(__xludf.DUMMYFUNCTION("""COMPUTED_VALUE"""),13.0)</f>
        <v>13</v>
      </c>
      <c r="J584" t="str">
        <f>IFERROR(__xludf.DUMMYFUNCTION("""COMPUTED_VALUE"""),"A CONTRATA")</f>
        <v>A CONTRATA</v>
      </c>
      <c r="K584" t="str">
        <f>IFERROR(__xludf.DUMMYFUNCTION("""COMPUTED_VALUE"""),"PROFESIONAL")</f>
        <v>PROFESIONAL</v>
      </c>
      <c r="L584" t="str">
        <f>IFERROR(__xludf.DUMMYFUNCTION("""COMPUTED_VALUE"""),"NO")</f>
        <v>NO</v>
      </c>
      <c r="N584" t="str">
        <f>IFERROR(__xludf.DUMMYFUNCTION("""COMPUTED_VALUE"""),"NO")</f>
        <v>NO</v>
      </c>
      <c r="O584">
        <f>IFERROR(__xludf.DUMMYFUNCTION("""COMPUTED_VALUE"""),1.0)</f>
        <v>1</v>
      </c>
      <c r="P584">
        <f>IFERROR(__xludf.DUMMYFUNCTION("""COMPUTED_VALUE"""),1.0)</f>
        <v>1</v>
      </c>
      <c r="R584" s="45" t="str">
        <f>IFERROR(__xludf.DUMMYFUNCTION("""COMPUTED_VALUE"""),"SELECCIONADA")</f>
        <v>SELECCIONADA</v>
      </c>
      <c r="S584" s="38">
        <f>IFERROR(__xludf.DUMMYFUNCTION("""COMPUTED_VALUE"""),42005.0)</f>
        <v>42005</v>
      </c>
      <c r="U584" t="str">
        <f>IFERROR(__xludf.DUMMYFUNCTION("""COMPUTED_VALUE"""),"DANIELA FIGUEROA VIDELA")</f>
        <v>DANIELA FIGUEROA VIDELA</v>
      </c>
      <c r="V584" t="str">
        <f>IFERROR(__xludf.DUMMYFUNCTION("""COMPUTED_VALUE"""),"13432795-2")</f>
        <v>13432795-2</v>
      </c>
      <c r="W584" t="str">
        <f>IFERROR(__xludf.DUMMYFUNCTION("""COMPUTED_VALUE"""),"SI")</f>
        <v>SI</v>
      </c>
      <c r="AH584" t="str">
        <f>IFERROR(__xludf.DUMMYFUNCTION("""COMPUTED_VALUE"""),"REGULARIZACIÓN CONTRACTUAL")</f>
        <v>REGULARIZACIÓN CONTRACTUAL</v>
      </c>
      <c r="AM584">
        <f>IFERROR(__xludf.DUMMYFUNCTION("""COMPUTED_VALUE"""),2014.0)</f>
        <v>2014</v>
      </c>
    </row>
    <row r="585">
      <c r="A585">
        <f>IFERROR(__xludf.DUMMYFUNCTION("""COMPUTED_VALUE"""),1.5797499E7)</f>
        <v>15797499</v>
      </c>
      <c r="B585">
        <f>IFERROR(__xludf.DUMMYFUNCTION("""COMPUTED_VALUE"""),153.0)</f>
        <v>153</v>
      </c>
      <c r="D585" t="str">
        <f>IFERROR(__xludf.DUMMYFUNCTION("""COMPUTED_VALUE"""),"VICERRECTORIA DE VINCULACION CON EL MEDIO")</f>
        <v>VICERRECTORIA DE VINCULACION CON EL MEDIO</v>
      </c>
      <c r="E585" t="str">
        <f>IFERROR(__xludf.DUMMYFUNCTION("""COMPUTED_VALUE"""),"DEPARTAMENTO DE COMUNICACIONES")</f>
        <v>DEPARTAMENTO DE COMUNICACIONES</v>
      </c>
      <c r="F585" t="str">
        <f>IFERROR(__xludf.DUMMYFUNCTION("""COMPUTED_VALUE"""),"Locutor")</f>
        <v>Locutor</v>
      </c>
      <c r="G585" t="str">
        <f>IFERROR(__xludf.DUMMYFUNCTION("""COMPUTED_VALUE"""),"LOCUTORA")</f>
        <v>LOCUTORA</v>
      </c>
      <c r="H585">
        <f>IFERROR(__xludf.DUMMYFUNCTION("""COMPUTED_VALUE"""),13.0)</f>
        <v>13</v>
      </c>
      <c r="J585" t="str">
        <f>IFERROR(__xludf.DUMMYFUNCTION("""COMPUTED_VALUE"""),"A CONTRATA")</f>
        <v>A CONTRATA</v>
      </c>
      <c r="K585" t="str">
        <f>IFERROR(__xludf.DUMMYFUNCTION("""COMPUTED_VALUE"""),"PROFESIONAL")</f>
        <v>PROFESIONAL</v>
      </c>
      <c r="L585" t="str">
        <f>IFERROR(__xludf.DUMMYFUNCTION("""COMPUTED_VALUE"""),"NO")</f>
        <v>NO</v>
      </c>
      <c r="N585" t="str">
        <f>IFERROR(__xludf.DUMMYFUNCTION("""COMPUTED_VALUE"""),"NO")</f>
        <v>NO</v>
      </c>
      <c r="O585">
        <f>IFERROR(__xludf.DUMMYFUNCTION("""COMPUTED_VALUE"""),1.0)</f>
        <v>1</v>
      </c>
      <c r="P585">
        <f>IFERROR(__xludf.DUMMYFUNCTION("""COMPUTED_VALUE"""),1.0)</f>
        <v>1</v>
      </c>
      <c r="R585" s="45" t="str">
        <f>IFERROR(__xludf.DUMMYFUNCTION("""COMPUTED_VALUE"""),"SELECCIONADA")</f>
        <v>SELECCIONADA</v>
      </c>
      <c r="S585" s="38">
        <f>IFERROR(__xludf.DUMMYFUNCTION("""COMPUTED_VALUE"""),42005.0)</f>
        <v>42005</v>
      </c>
      <c r="U585" t="str">
        <f>IFERROR(__xludf.DUMMYFUNCTION("""COMPUTED_VALUE"""),"MURIEL RIVEROS SIERRA")</f>
        <v>MURIEL RIVEROS SIERRA</v>
      </c>
      <c r="V585" t="str">
        <f>IFERROR(__xludf.DUMMYFUNCTION("""COMPUTED_VALUE"""),"15797499-8")</f>
        <v>15797499-8</v>
      </c>
      <c r="W585" t="str">
        <f>IFERROR(__xludf.DUMMYFUNCTION("""COMPUTED_VALUE"""),"SI")</f>
        <v>SI</v>
      </c>
      <c r="AH585" t="str">
        <f>IFERROR(__xludf.DUMMYFUNCTION("""COMPUTED_VALUE"""),"REGULARIZACIÓN CONTRACTUAL")</f>
        <v>REGULARIZACIÓN CONTRACTUAL</v>
      </c>
      <c r="AM585">
        <f>IFERROR(__xludf.DUMMYFUNCTION("""COMPUTED_VALUE"""),2014.0)</f>
        <v>2014</v>
      </c>
    </row>
    <row r="586">
      <c r="A586">
        <f>IFERROR(__xludf.DUMMYFUNCTION("""COMPUTED_VALUE"""),1.1834899E7)</f>
        <v>11834899</v>
      </c>
      <c r="B586">
        <f>IFERROR(__xludf.DUMMYFUNCTION("""COMPUTED_VALUE"""),154.0)</f>
        <v>154</v>
      </c>
      <c r="D586" t="str">
        <f>IFERROR(__xludf.DUMMYFUNCTION("""COMPUTED_VALUE"""),"FACULTAD DE ADMINISTRACION Y ECONOMIA")</f>
        <v>FACULTAD DE ADMINISTRACION Y ECONOMIA</v>
      </c>
      <c r="E586" t="str">
        <f>IFERROR(__xludf.DUMMYFUNCTION("""COMPUTED_VALUE"""),"CIESCOOP")</f>
        <v>CIESCOOP</v>
      </c>
      <c r="F586" t="str">
        <f>IFERROR(__xludf.DUMMYFUNCTION("""COMPUTED_VALUE"""),"Secretario C")</f>
        <v>Secretario C</v>
      </c>
      <c r="G586" t="str">
        <f>IFERROR(__xludf.DUMMYFUNCTION("""COMPUTED_VALUE"""),"SECRETARIA ADMINISTRATIVA")</f>
        <v>SECRETARIA ADMINISTRATIVA</v>
      </c>
      <c r="H586">
        <f>IFERROR(__xludf.DUMMYFUNCTION("""COMPUTED_VALUE"""),20.0)</f>
        <v>20</v>
      </c>
      <c r="J586" t="str">
        <f>IFERROR(__xludf.DUMMYFUNCTION("""COMPUTED_VALUE"""),"A CONTRATA")</f>
        <v>A CONTRATA</v>
      </c>
      <c r="K586" t="str">
        <f>IFERROR(__xludf.DUMMYFUNCTION("""COMPUTED_VALUE"""),"ADMINISTRATIVO")</f>
        <v>ADMINISTRATIVO</v>
      </c>
      <c r="Q586">
        <f>IFERROR(__xludf.DUMMYFUNCTION("""COMPUTED_VALUE"""),1.0)</f>
        <v>1</v>
      </c>
      <c r="R586" s="45" t="str">
        <f>IFERROR(__xludf.DUMMYFUNCTION("""COMPUTED_VALUE"""),"SELECCIONADA")</f>
        <v>SELECCIONADA</v>
      </c>
      <c r="S586" s="38">
        <f>IFERROR(__xludf.DUMMYFUNCTION("""COMPUTED_VALUE"""),42005.0)</f>
        <v>42005</v>
      </c>
      <c r="U586" t="str">
        <f>IFERROR(__xludf.DUMMYFUNCTION("""COMPUTED_VALUE"""),"ELIZABETH PEREZ MONSALVE")</f>
        <v>ELIZABETH PEREZ MONSALVE</v>
      </c>
      <c r="V586" t="str">
        <f>IFERROR(__xludf.DUMMYFUNCTION("""COMPUTED_VALUE"""),"11834899-0")</f>
        <v>11834899-0</v>
      </c>
      <c r="AH586" t="str">
        <f>IFERROR(__xludf.DUMMYFUNCTION("""COMPUTED_VALUE"""),"REGULARIZACIÓN CONTRACTUAL")</f>
        <v>REGULARIZACIÓN CONTRACTUAL</v>
      </c>
      <c r="AM586">
        <f>IFERROR(__xludf.DUMMYFUNCTION("""COMPUTED_VALUE"""),2014.0)</f>
        <v>2014</v>
      </c>
    </row>
    <row r="587">
      <c r="A587">
        <f>IFERROR(__xludf.DUMMYFUNCTION("""COMPUTED_VALUE"""),8542182.0)</f>
        <v>8542182</v>
      </c>
      <c r="B587">
        <f>IFERROR(__xludf.DUMMYFUNCTION("""COMPUTED_VALUE"""),22.0)</f>
        <v>22</v>
      </c>
      <c r="D587" t="str">
        <f>IFERROR(__xludf.DUMMYFUNCTION("""COMPUTED_VALUE"""),"FACULTAD DE QUIMICA Y BIOLOGIA")</f>
        <v>FACULTAD DE QUIMICA Y BIOLOGIA</v>
      </c>
      <c r="E587" t="str">
        <f>IFERROR(__xludf.DUMMYFUNCTION("""COMPUTED_VALUE"""),"FACULTAD DE QUIMICA Y BIOLOGIA")</f>
        <v>FACULTAD DE QUIMICA Y BIOLOGIA</v>
      </c>
      <c r="F587" t="str">
        <f>IFERROR(__xludf.DUMMYFUNCTION("""COMPUTED_VALUE"""),"Jefe de Área")</f>
        <v>Jefe de Área</v>
      </c>
      <c r="G587" t="str">
        <f>IFERROR(__xludf.DUMMYFUNCTION("""COMPUTED_VALUE"""),"JEFE DE AREA")</f>
        <v>JEFE DE AREA</v>
      </c>
      <c r="H587">
        <f>IFERROR(__xludf.DUMMYFUNCTION("""COMPUTED_VALUE"""),8.0)</f>
        <v>8</v>
      </c>
      <c r="J587" t="str">
        <f>IFERROR(__xludf.DUMMYFUNCTION("""COMPUTED_VALUE"""),"A CONTRATA")</f>
        <v>A CONTRATA</v>
      </c>
      <c r="K587" t="str">
        <f>IFERROR(__xludf.DUMMYFUNCTION("""COMPUTED_VALUE"""),"PROFESIONAL")</f>
        <v>PROFESIONAL</v>
      </c>
      <c r="P587">
        <f>IFERROR(__xludf.DUMMYFUNCTION("""COMPUTED_VALUE"""),1.0)</f>
        <v>1</v>
      </c>
      <c r="R587" s="45" t="str">
        <f>IFERROR(__xludf.DUMMYFUNCTION("""COMPUTED_VALUE"""),"SELECCIONADA")</f>
        <v>SELECCIONADA</v>
      </c>
      <c r="S587" s="38">
        <f>IFERROR(__xludf.DUMMYFUNCTION("""COMPUTED_VALUE"""),41701.0)</f>
        <v>41701</v>
      </c>
      <c r="U587" t="str">
        <f>IFERROR(__xludf.DUMMYFUNCTION("""COMPUTED_VALUE"""),"MARIA DONOSO GOMIEN")</f>
        <v>MARIA DONOSO GOMIEN</v>
      </c>
      <c r="V587" t="str">
        <f>IFERROR(__xludf.DUMMYFUNCTION("""COMPUTED_VALUE"""),"08542182-4")</f>
        <v>08542182-4</v>
      </c>
      <c r="W587" t="str">
        <f>IFERROR(__xludf.DUMMYFUNCTION("""COMPUTED_VALUE"""),"SI")</f>
        <v>SI</v>
      </c>
      <c r="X587" t="str">
        <f>IFERROR(__xludf.DUMMYFUNCTION("""COMPUTED_VALUE"""),"CONCIENCIA ORGANIZACIONAL")</f>
        <v>CONCIENCIA ORGANIZACIONAL</v>
      </c>
      <c r="Y587" t="str">
        <f>IFERROR(__xludf.DUMMYFUNCTION("""COMPUTED_VALUE"""),"LIDERAZGO")</f>
        <v>LIDERAZGO</v>
      </c>
      <c r="Z587" t="str">
        <f>IFERROR(__xludf.DUMMYFUNCTION("""COMPUTED_VALUE"""),"TOLERANCIA A LA PRESION")</f>
        <v>TOLERANCIA A LA PRESION</v>
      </c>
      <c r="AB587" s="38">
        <f>IFERROR(__xludf.DUMMYFUNCTION("""COMPUTED_VALUE"""),41725.0)</f>
        <v>41725</v>
      </c>
      <c r="AH587" t="str">
        <f>IFERROR(__xludf.DUMMYFUNCTION("""COMPUTED_VALUE"""),"AUTORIZACIÓN DIRECTA")</f>
        <v>AUTORIZACIÓN DIRECTA</v>
      </c>
      <c r="AL587">
        <f>IFERROR(__xludf.DUMMYFUNCTION("""COMPUTED_VALUE"""),-19.0)</f>
        <v>-19</v>
      </c>
      <c r="AM587">
        <f>IFERROR(__xludf.DUMMYFUNCTION("""COMPUTED_VALUE"""),2014.0)</f>
        <v>2014</v>
      </c>
    </row>
    <row r="588">
      <c r="A588">
        <f>IFERROR(__xludf.DUMMYFUNCTION("""COMPUTED_VALUE"""),6090242.0)</f>
        <v>6090242</v>
      </c>
      <c r="B588">
        <f>IFERROR(__xludf.DUMMYFUNCTION("""COMPUTED_VALUE"""),135.0)</f>
        <v>135</v>
      </c>
      <c r="D588" t="str">
        <f>IFERROR(__xludf.DUMMYFUNCTION("""COMPUTED_VALUE"""),"PRORRECTORIA")</f>
        <v>PRORRECTORIA</v>
      </c>
      <c r="E588" t="str">
        <f>IFERROR(__xludf.DUMMYFUNCTION("""COMPUTED_VALUE"""),"UNIDAD DE CONSTRUCCIONES")</f>
        <v>UNIDAD DE CONSTRUCCIONES</v>
      </c>
      <c r="F588" t="str">
        <f>IFERROR(__xludf.DUMMYFUNCTION("""COMPUTED_VALUE"""),"Constructor Civil")</f>
        <v>Constructor Civil</v>
      </c>
      <c r="G588" t="str">
        <f>IFERROR(__xludf.DUMMYFUNCTION("""COMPUTED_VALUE"""),"CONSTRUCTOR CIVIL")</f>
        <v>CONSTRUCTOR CIVIL</v>
      </c>
      <c r="H588">
        <f>IFERROR(__xludf.DUMMYFUNCTION("""COMPUTED_VALUE"""),8.0)</f>
        <v>8</v>
      </c>
      <c r="J588" t="str">
        <f>IFERROR(__xludf.DUMMYFUNCTION("""COMPUTED_VALUE"""),"A CONTRATA")</f>
        <v>A CONTRATA</v>
      </c>
      <c r="K588" t="str">
        <f>IFERROR(__xludf.DUMMYFUNCTION("""COMPUTED_VALUE"""),"PROFESIONAL")</f>
        <v>PROFESIONAL</v>
      </c>
      <c r="P588">
        <f>IFERROR(__xludf.DUMMYFUNCTION("""COMPUTED_VALUE"""),1.0)</f>
        <v>1</v>
      </c>
      <c r="Q588">
        <f>IFERROR(__xludf.DUMMYFUNCTION("""COMPUTED_VALUE"""),0.0)</f>
        <v>0</v>
      </c>
      <c r="R588" s="45" t="str">
        <f>IFERROR(__xludf.DUMMYFUNCTION("""COMPUTED_VALUE"""),"SELECCIONADO")</f>
        <v>SELECCIONADO</v>
      </c>
      <c r="S588" s="38">
        <f>IFERROR(__xludf.DUMMYFUNCTION("""COMPUTED_VALUE"""),41871.0)</f>
        <v>41871</v>
      </c>
      <c r="U588" t="str">
        <f>IFERROR(__xludf.DUMMYFUNCTION("""COMPUTED_VALUE"""),"EDUARDO GUERRA ALCOCER")</f>
        <v>EDUARDO GUERRA ALCOCER</v>
      </c>
      <c r="V588" t="str">
        <f>IFERROR(__xludf.DUMMYFUNCTION("""COMPUTED_VALUE"""),"06090242-9")</f>
        <v>06090242-9</v>
      </c>
      <c r="W588" t="str">
        <f>IFERROR(__xludf.DUMMYFUNCTION("""COMPUTED_VALUE"""),"No")</f>
        <v>No</v>
      </c>
      <c r="AB588" s="38">
        <f>IFERROR(__xludf.DUMMYFUNCTION("""COMPUTED_VALUE"""),41905.0)</f>
        <v>41905</v>
      </c>
      <c r="AH588" t="str">
        <f>IFERROR(__xludf.DUMMYFUNCTION("""COMPUTED_VALUE"""),"AUTORIZACIÓN DIRECTA")</f>
        <v>AUTORIZACIÓN DIRECTA</v>
      </c>
      <c r="AL588">
        <f>IFERROR(__xludf.DUMMYFUNCTION("""COMPUTED_VALUE"""),-25.0)</f>
        <v>-25</v>
      </c>
      <c r="AM588">
        <f>IFERROR(__xludf.DUMMYFUNCTION("""COMPUTED_VALUE"""),2014.0)</f>
        <v>2014</v>
      </c>
    </row>
    <row r="589">
      <c r="A589">
        <f>IFERROR(__xludf.DUMMYFUNCTION("""COMPUTED_VALUE"""),1.1479909E7)</f>
        <v>11479909</v>
      </c>
      <c r="B589">
        <f>IFERROR(__xludf.DUMMYFUNCTION("""COMPUTED_VALUE"""),24.0)</f>
        <v>24</v>
      </c>
      <c r="D589" t="str">
        <f>IFERROR(__xludf.DUMMYFUNCTION("""COMPUTED_VALUE"""),"SECRETARIA GENERAL")</f>
        <v>SECRETARIA GENERAL</v>
      </c>
      <c r="E589" t="str">
        <f>IFERROR(__xludf.DUMMYFUNCTION("""COMPUTED_VALUE"""),"DIRECCION DE ASISTENCIA JURIDICA")</f>
        <v>DIRECCION DE ASISTENCIA JURIDICA</v>
      </c>
      <c r="F589" t="str">
        <f>IFERROR(__xludf.DUMMYFUNCTION("""COMPUTED_VALUE"""),"Abogado Dirección Jurídica")</f>
        <v>Abogado Dirección Jurídica</v>
      </c>
      <c r="G589" t="str">
        <f>IFERROR(__xludf.DUMMYFUNCTION("""COMPUTED_VALUE"""),"ABOGADO")</f>
        <v>ABOGADO</v>
      </c>
      <c r="H589">
        <f>IFERROR(__xludf.DUMMYFUNCTION("""COMPUTED_VALUE"""),6.0)</f>
        <v>6</v>
      </c>
      <c r="J589" t="str">
        <f>IFERROR(__xludf.DUMMYFUNCTION("""COMPUTED_VALUE"""),"A CONTRATA")</f>
        <v>A CONTRATA</v>
      </c>
      <c r="K589" t="str">
        <f>IFERROR(__xludf.DUMMYFUNCTION("""COMPUTED_VALUE"""),"PROFESIONAL")</f>
        <v>PROFESIONAL</v>
      </c>
      <c r="P589">
        <f>IFERROR(__xludf.DUMMYFUNCTION("""COMPUTED_VALUE"""),1.0)</f>
        <v>1</v>
      </c>
      <c r="R589" s="45" t="str">
        <f>IFERROR(__xludf.DUMMYFUNCTION("""COMPUTED_VALUE"""),"SELECCIONADO")</f>
        <v>SELECCIONADO</v>
      </c>
      <c r="S589" s="38">
        <f>IFERROR(__xludf.DUMMYFUNCTION("""COMPUTED_VALUE"""),41791.0)</f>
        <v>41791</v>
      </c>
      <c r="U589" t="str">
        <f>IFERROR(__xludf.DUMMYFUNCTION("""COMPUTED_VALUE"""),"CLAUDIA ALIAGA TORRAS")</f>
        <v>CLAUDIA ALIAGA TORRAS</v>
      </c>
      <c r="V589" t="str">
        <f>IFERROR(__xludf.DUMMYFUNCTION("""COMPUTED_VALUE"""),"11479909-2")</f>
        <v>11479909-2</v>
      </c>
      <c r="W589" t="str">
        <f>IFERROR(__xludf.DUMMYFUNCTION("""COMPUTED_VALUE"""),"No")</f>
        <v>No</v>
      </c>
      <c r="AH589" t="str">
        <f>IFERROR(__xludf.DUMMYFUNCTION("""COMPUTED_VALUE"""),"AUTORIZACIÓN DIRECTA")</f>
        <v>AUTORIZACIÓN DIRECTA</v>
      </c>
      <c r="AM589">
        <f>IFERROR(__xludf.DUMMYFUNCTION("""COMPUTED_VALUE"""),2014.0)</f>
        <v>2014</v>
      </c>
    </row>
    <row r="590">
      <c r="A590">
        <f>IFERROR(__xludf.DUMMYFUNCTION("""COMPUTED_VALUE"""),1.6016388E7)</f>
        <v>16016388</v>
      </c>
      <c r="B590">
        <f>IFERROR(__xludf.DUMMYFUNCTION("""COMPUTED_VALUE"""),25.0)</f>
        <v>25</v>
      </c>
      <c r="D590" t="str">
        <f>IFERROR(__xludf.DUMMYFUNCTION("""COMPUTED_VALUE"""),"SECRETARIA GENERAL")</f>
        <v>SECRETARIA GENERAL</v>
      </c>
      <c r="E590" t="str">
        <f>IFERROR(__xludf.DUMMYFUNCTION("""COMPUTED_VALUE"""),"DIRECCION DE ASISTENCIA JURIDICA")</f>
        <v>DIRECCION DE ASISTENCIA JURIDICA</v>
      </c>
      <c r="F590" t="str">
        <f>IFERROR(__xludf.DUMMYFUNCTION("""COMPUTED_VALUE"""),"Abogado Dirección Jurídica")</f>
        <v>Abogado Dirección Jurídica</v>
      </c>
      <c r="G590" t="str">
        <f>IFERROR(__xludf.DUMMYFUNCTION("""COMPUTED_VALUE"""),"ABOGADO")</f>
        <v>ABOGADO</v>
      </c>
      <c r="H590">
        <f>IFERROR(__xludf.DUMMYFUNCTION("""COMPUTED_VALUE"""),6.0)</f>
        <v>6</v>
      </c>
      <c r="J590" t="str">
        <f>IFERROR(__xludf.DUMMYFUNCTION("""COMPUTED_VALUE"""),"A CONTRATA")</f>
        <v>A CONTRATA</v>
      </c>
      <c r="K590" t="str">
        <f>IFERROR(__xludf.DUMMYFUNCTION("""COMPUTED_VALUE"""),"PROFESIONAL")</f>
        <v>PROFESIONAL</v>
      </c>
      <c r="P590">
        <f>IFERROR(__xludf.DUMMYFUNCTION("""COMPUTED_VALUE"""),1.0)</f>
        <v>1</v>
      </c>
      <c r="R590" s="45" t="str">
        <f>IFERROR(__xludf.DUMMYFUNCTION("""COMPUTED_VALUE"""),"SELECCIONADO")</f>
        <v>SELECCIONADO</v>
      </c>
      <c r="S590" s="38">
        <f>IFERROR(__xludf.DUMMYFUNCTION("""COMPUTED_VALUE"""),41764.0)</f>
        <v>41764</v>
      </c>
      <c r="U590" t="str">
        <f>IFERROR(__xludf.DUMMYFUNCTION("""COMPUTED_VALUE"""),"LUIS BOBADILLA MADRID")</f>
        <v>LUIS BOBADILLA MADRID</v>
      </c>
      <c r="V590" t="str">
        <f>IFERROR(__xludf.DUMMYFUNCTION("""COMPUTED_VALUE"""),"16016388-7")</f>
        <v>16016388-7</v>
      </c>
      <c r="W590" t="str">
        <f>IFERROR(__xludf.DUMMYFUNCTION("""COMPUTED_VALUE"""),"No")</f>
        <v>No</v>
      </c>
      <c r="AH590" t="str">
        <f>IFERROR(__xludf.DUMMYFUNCTION("""COMPUTED_VALUE"""),"AUTORIZACIÓN DIRECTA")</f>
        <v>AUTORIZACIÓN DIRECTA</v>
      </c>
      <c r="AM590">
        <f>IFERROR(__xludf.DUMMYFUNCTION("""COMPUTED_VALUE"""),2014.0)</f>
        <v>2014</v>
      </c>
    </row>
    <row r="591">
      <c r="A591">
        <f>IFERROR(__xludf.DUMMYFUNCTION("""COMPUTED_VALUE"""),1.1850214E7)</f>
        <v>11850214</v>
      </c>
      <c r="B591">
        <f>IFERROR(__xludf.DUMMYFUNCTION("""COMPUTED_VALUE"""),26.0)</f>
        <v>26</v>
      </c>
      <c r="D591" t="str">
        <f>IFERROR(__xludf.DUMMYFUNCTION("""COMPUTED_VALUE"""),"SECRETARIA GENERAL")</f>
        <v>SECRETARIA GENERAL</v>
      </c>
      <c r="E591" t="str">
        <f>IFERROR(__xludf.DUMMYFUNCTION("""COMPUTED_VALUE"""),"DIRECCION DE ASISTENCIA JURIDICA")</f>
        <v>DIRECCION DE ASISTENCIA JURIDICA</v>
      </c>
      <c r="F591" t="str">
        <f>IFERROR(__xludf.DUMMYFUNCTION("""COMPUTED_VALUE"""),"Abogado Dirección Jurídica")</f>
        <v>Abogado Dirección Jurídica</v>
      </c>
      <c r="G591" t="str">
        <f>IFERROR(__xludf.DUMMYFUNCTION("""COMPUTED_VALUE"""),"ABOGADO")</f>
        <v>ABOGADO</v>
      </c>
      <c r="H591">
        <f>IFERROR(__xludf.DUMMYFUNCTION("""COMPUTED_VALUE"""),6.0)</f>
        <v>6</v>
      </c>
      <c r="J591" t="str">
        <f>IFERROR(__xludf.DUMMYFUNCTION("""COMPUTED_VALUE"""),"A CONTRATA")</f>
        <v>A CONTRATA</v>
      </c>
      <c r="K591" t="str">
        <f>IFERROR(__xludf.DUMMYFUNCTION("""COMPUTED_VALUE"""),"PROFESIONAL")</f>
        <v>PROFESIONAL</v>
      </c>
      <c r="P591">
        <f>IFERROR(__xludf.DUMMYFUNCTION("""COMPUTED_VALUE"""),1.0)</f>
        <v>1</v>
      </c>
      <c r="R591" s="45" t="str">
        <f>IFERROR(__xludf.DUMMYFUNCTION("""COMPUTED_VALUE"""),"SELECCIONADA")</f>
        <v>SELECCIONADA</v>
      </c>
      <c r="S591" s="38">
        <f>IFERROR(__xludf.DUMMYFUNCTION("""COMPUTED_VALUE"""),41771.0)</f>
        <v>41771</v>
      </c>
      <c r="U591" t="str">
        <f>IFERROR(__xludf.DUMMYFUNCTION("""COMPUTED_VALUE"""),"ELENA GALINDO AREVALO")</f>
        <v>ELENA GALINDO AREVALO</v>
      </c>
      <c r="V591" t="str">
        <f>IFERROR(__xludf.DUMMYFUNCTION("""COMPUTED_VALUE"""),"11850214-0")</f>
        <v>11850214-0</v>
      </c>
      <c r="W591" t="str">
        <f>IFERROR(__xludf.DUMMYFUNCTION("""COMPUTED_VALUE"""),"No")</f>
        <v>No</v>
      </c>
      <c r="AH591" t="str">
        <f>IFERROR(__xludf.DUMMYFUNCTION("""COMPUTED_VALUE"""),"AUTORIZACIÓN DIRECTA")</f>
        <v>AUTORIZACIÓN DIRECTA</v>
      </c>
      <c r="AM591">
        <f>IFERROR(__xludf.DUMMYFUNCTION("""COMPUTED_VALUE"""),2014.0)</f>
        <v>2014</v>
      </c>
    </row>
    <row r="592">
      <c r="A592">
        <f>IFERROR(__xludf.DUMMYFUNCTION("""COMPUTED_VALUE"""),1.1649015E7)</f>
        <v>11649015</v>
      </c>
      <c r="B592">
        <f>IFERROR(__xludf.DUMMYFUNCTION("""COMPUTED_VALUE"""),9.0)</f>
        <v>9</v>
      </c>
      <c r="D592" t="str">
        <f>IFERROR(__xludf.DUMMYFUNCTION("""COMPUTED_VALUE"""),"SECRETARIA GENERAL")</f>
        <v>SECRETARIA GENERAL</v>
      </c>
      <c r="E592" t="str">
        <f>IFERROR(__xludf.DUMMYFUNCTION("""COMPUTED_VALUE"""),"SECRETARIA GENERAL")</f>
        <v>SECRETARIA GENERAL</v>
      </c>
      <c r="F592" t="str">
        <f>IFERROR(__xludf.DUMMYFUNCTION("""COMPUTED_VALUE"""),"Administrativo de Apoyo")</f>
        <v>Administrativo de Apoyo</v>
      </c>
      <c r="G592" t="str">
        <f>IFERROR(__xludf.DUMMYFUNCTION("""COMPUTED_VALUE"""),"ADMINISTRATIVO DE APOYO")</f>
        <v>ADMINISTRATIVO DE APOYO</v>
      </c>
      <c r="H592">
        <f>IFERROR(__xludf.DUMMYFUNCTION("""COMPUTED_VALUE"""),20.0)</f>
        <v>20</v>
      </c>
      <c r="J592" t="str">
        <f>IFERROR(__xludf.DUMMYFUNCTION("""COMPUTED_VALUE"""),"A CONTRATA")</f>
        <v>A CONTRATA</v>
      </c>
      <c r="K592" t="str">
        <f>IFERROR(__xludf.DUMMYFUNCTION("""COMPUTED_VALUE"""),"ADMINISTRATIVO")</f>
        <v>ADMINISTRATIVO</v>
      </c>
      <c r="L592" t="str">
        <f>IFERROR(__xludf.DUMMYFUNCTION("""COMPUTED_VALUE"""),"INTERNO")</f>
        <v>INTERNO</v>
      </c>
      <c r="M592">
        <f>IFERROR(__xludf.DUMMYFUNCTION("""COMPUTED_VALUE"""),2.0)</f>
        <v>2</v>
      </c>
      <c r="N592" t="str">
        <f>IFERROR(__xludf.DUMMYFUNCTION("""COMPUTED_VALUE"""),"EXTERNO")</f>
        <v>EXTERNO</v>
      </c>
      <c r="O592">
        <f>IFERROR(__xludf.DUMMYFUNCTION("""COMPUTED_VALUE"""),5.0)</f>
        <v>5</v>
      </c>
      <c r="R592" s="45" t="str">
        <f>IFERROR(__xludf.DUMMYFUNCTION("""COMPUTED_VALUE"""),"SELECCIONADA")</f>
        <v>SELECCIONADA</v>
      </c>
      <c r="S592" s="38">
        <f>IFERROR(__xludf.DUMMYFUNCTION("""COMPUTED_VALUE"""),41641.0)</f>
        <v>41641</v>
      </c>
      <c r="U592" t="str">
        <f>IFERROR(__xludf.DUMMYFUNCTION("""COMPUTED_VALUE"""),"ANA MARIA LEIVA ORELLANA")</f>
        <v>ANA MARIA LEIVA ORELLANA</v>
      </c>
      <c r="V592" t="str">
        <f>IFERROR(__xludf.DUMMYFUNCTION("""COMPUTED_VALUE"""),"11649015-3")</f>
        <v>11649015-3</v>
      </c>
      <c r="AA592" s="38">
        <f>IFERROR(__xludf.DUMMYFUNCTION("""COMPUTED_VALUE"""),41549.0)</f>
        <v>41549</v>
      </c>
      <c r="AB592" s="38">
        <f>IFERROR(__xludf.DUMMYFUNCTION("""COMPUTED_VALUE"""),41563.0)</f>
        <v>41563</v>
      </c>
      <c r="AH592" t="str">
        <f>IFERROR(__xludf.DUMMYFUNCTION("""COMPUTED_VALUE"""),"PROCESO DE SELECCIÓN")</f>
        <v>PROCESO DE SELECCIÓN</v>
      </c>
      <c r="AK592" t="str">
        <f>IFERROR(__xludf.DUMMYFUNCTION("""COMPUTED_VALUE"""),"C")</f>
        <v>C</v>
      </c>
      <c r="AL592">
        <f>IFERROR(__xludf.DUMMYFUNCTION("""COMPUTED_VALUE"""),57.0)</f>
        <v>57</v>
      </c>
      <c r="AM592">
        <f>IFERROR(__xludf.DUMMYFUNCTION("""COMPUTED_VALUE"""),2014.0)</f>
        <v>2014</v>
      </c>
    </row>
    <row r="593">
      <c r="A593">
        <f>IFERROR(__xludf.DUMMYFUNCTION("""COMPUTED_VALUE"""),1.7873394E7)</f>
        <v>17873394</v>
      </c>
      <c r="B593">
        <f>IFERROR(__xludf.DUMMYFUNCTION("""COMPUTED_VALUE"""),13.0)</f>
        <v>13</v>
      </c>
      <c r="D593" t="str">
        <f>IFERROR(__xludf.DUMMYFUNCTION("""COMPUTED_VALUE"""),"PRORRECTORIA")</f>
        <v>PRORRECTORIA</v>
      </c>
      <c r="E593" t="str">
        <f>IFERROR(__xludf.DUMMYFUNCTION("""COMPUTED_VALUE"""),"DIRECCION DE ADMINISTRACION Y FINANZAS")</f>
        <v>DIRECCION DE ADMINISTRACION Y FINANZAS</v>
      </c>
      <c r="F593" t="str">
        <f>IFERROR(__xludf.DUMMYFUNCTION("""COMPUTED_VALUE"""),"Cajero B 1º categoría")</f>
        <v>Cajero B 1º categoría</v>
      </c>
      <c r="G593" t="str">
        <f>IFERROR(__xludf.DUMMYFUNCTION("""COMPUTED_VALUE"""),"CAJERO PRIMERA CATEGORIA")</f>
        <v>CAJERO PRIMERA CATEGORIA</v>
      </c>
      <c r="H593">
        <f>IFERROR(__xludf.DUMMYFUNCTION("""COMPUTED_VALUE"""),17.0)</f>
        <v>17</v>
      </c>
      <c r="J593" t="str">
        <f>IFERROR(__xludf.DUMMYFUNCTION("""COMPUTED_VALUE"""),"A CONTRATA")</f>
        <v>A CONTRATA</v>
      </c>
      <c r="K593" t="str">
        <f>IFERROR(__xludf.DUMMYFUNCTION("""COMPUTED_VALUE"""),"TECNICO")</f>
        <v>TECNICO</v>
      </c>
      <c r="L593" t="str">
        <f>IFERROR(__xludf.DUMMYFUNCTION("""COMPUTED_VALUE"""),"INTERNO")</f>
        <v>INTERNO</v>
      </c>
      <c r="M593">
        <f>IFERROR(__xludf.DUMMYFUNCTION("""COMPUTED_VALUE"""),0.0)</f>
        <v>0</v>
      </c>
      <c r="N593" t="str">
        <f>IFERROR(__xludf.DUMMYFUNCTION("""COMPUTED_VALUE"""),"EXTERNO")</f>
        <v>EXTERNO</v>
      </c>
      <c r="O593">
        <f>IFERROR(__xludf.DUMMYFUNCTION("""COMPUTED_VALUE"""),6.0)</f>
        <v>6</v>
      </c>
      <c r="R593" s="45" t="str">
        <f>IFERROR(__xludf.DUMMYFUNCTION("""COMPUTED_VALUE"""),"SELECCIONADO")</f>
        <v>SELECCIONADO</v>
      </c>
      <c r="S593" s="38">
        <f>IFERROR(__xludf.DUMMYFUNCTION("""COMPUTED_VALUE"""),41641.0)</f>
        <v>41641</v>
      </c>
      <c r="U593" t="str">
        <f>IFERROR(__xludf.DUMMYFUNCTION("""COMPUTED_VALUE"""),"EDISON CAMPOS FERNANDEZ")</f>
        <v>EDISON CAMPOS FERNANDEZ</v>
      </c>
      <c r="V593" t="str">
        <f>IFERROR(__xludf.DUMMYFUNCTION("""COMPUTED_VALUE"""),"17873394-K")</f>
        <v>17873394-K</v>
      </c>
      <c r="AA593" s="38">
        <f>IFERROR(__xludf.DUMMYFUNCTION("""COMPUTED_VALUE"""),41557.0)</f>
        <v>41557</v>
      </c>
      <c r="AB593" s="38">
        <f>IFERROR(__xludf.DUMMYFUNCTION("""COMPUTED_VALUE"""),41565.0)</f>
        <v>41565</v>
      </c>
      <c r="AH593" t="str">
        <f>IFERROR(__xludf.DUMMYFUNCTION("""COMPUTED_VALUE"""),"PROCESO DE SELECCIÓN")</f>
        <v>PROCESO DE SELECCIÓN</v>
      </c>
      <c r="AK593" t="str">
        <f>IFERROR(__xludf.DUMMYFUNCTION("""COMPUTED_VALUE"""),"C")</f>
        <v>C</v>
      </c>
      <c r="AL593">
        <f>IFERROR(__xludf.DUMMYFUNCTION("""COMPUTED_VALUE"""),55.0)</f>
        <v>55</v>
      </c>
      <c r="AM593">
        <f>IFERROR(__xludf.DUMMYFUNCTION("""COMPUTED_VALUE"""),2014.0)</f>
        <v>2014</v>
      </c>
    </row>
    <row r="594">
      <c r="A594">
        <f>IFERROR(__xludf.DUMMYFUNCTION("""COMPUTED_VALUE"""),1.7738116E7)</f>
        <v>17738116</v>
      </c>
      <c r="B594">
        <f>IFERROR(__xludf.DUMMYFUNCTION("""COMPUTED_VALUE"""),26.0)</f>
        <v>26</v>
      </c>
      <c r="D594" t="str">
        <f>IFERROR(__xludf.DUMMYFUNCTION("""COMPUTED_VALUE"""),"VICERRECTORIA DE VINCULACION CON EL MEDIO")</f>
        <v>VICERRECTORIA DE VINCULACION CON EL MEDIO</v>
      </c>
      <c r="E594" t="str">
        <f>IFERROR(__xludf.DUMMYFUNCTION("""COMPUTED_VALUE"""),"DEPARTAMENTO DE RELACIONES INTERUNIVERSITARIAS E INTERNACIONALES")</f>
        <v>DEPARTAMENTO DE RELACIONES INTERUNIVERSITARIAS E INTERNACIONALES</v>
      </c>
      <c r="F594" t="str">
        <f>IFERROR(__xludf.DUMMYFUNCTION("""COMPUTED_VALUE"""),"Secretario C")</f>
        <v>Secretario C</v>
      </c>
      <c r="G594" t="str">
        <f>IFERROR(__xludf.DUMMYFUNCTION("""COMPUTED_VALUE"""),"SECRETARIA ADMINISTRATIVA")</f>
        <v>SECRETARIA ADMINISTRATIVA</v>
      </c>
      <c r="H594">
        <f>IFERROR(__xludf.DUMMYFUNCTION("""COMPUTED_VALUE"""),20.0)</f>
        <v>20</v>
      </c>
      <c r="J594" t="str">
        <f>IFERROR(__xludf.DUMMYFUNCTION("""COMPUTED_VALUE"""),"A CONTRATA")</f>
        <v>A CONTRATA</v>
      </c>
      <c r="K594" t="str">
        <f>IFERROR(__xludf.DUMMYFUNCTION("""COMPUTED_VALUE"""),"ADMINISTRATIVO")</f>
        <v>ADMINISTRATIVO</v>
      </c>
      <c r="L594" t="str">
        <f>IFERROR(__xludf.DUMMYFUNCTION("""COMPUTED_VALUE"""),"INTERNO")</f>
        <v>INTERNO</v>
      </c>
      <c r="M594">
        <f>IFERROR(__xludf.DUMMYFUNCTION("""COMPUTED_VALUE"""),0.0)</f>
        <v>0</v>
      </c>
      <c r="N594" t="str">
        <f>IFERROR(__xludf.DUMMYFUNCTION("""COMPUTED_VALUE"""),"EXTERNO")</f>
        <v>EXTERNO</v>
      </c>
      <c r="O594">
        <f>IFERROR(__xludf.DUMMYFUNCTION("""COMPUTED_VALUE"""),13.0)</f>
        <v>13</v>
      </c>
      <c r="R594" s="45" t="str">
        <f>IFERROR(__xludf.DUMMYFUNCTION("""COMPUTED_VALUE"""),"SELECCIONADA")</f>
        <v>SELECCIONADA</v>
      </c>
      <c r="S594" s="38">
        <f>IFERROR(__xludf.DUMMYFUNCTION("""COMPUTED_VALUE"""),41743.0)</f>
        <v>41743</v>
      </c>
      <c r="U594" t="str">
        <f>IFERROR(__xludf.DUMMYFUNCTION("""COMPUTED_VALUE"""),"MAGALY FLORES HUICHIHUALA ")</f>
        <v>MAGALY FLORES HUICHIHUALA </v>
      </c>
      <c r="V594" t="str">
        <f>IFERROR(__xludf.DUMMYFUNCTION("""COMPUTED_VALUE"""),"17738116-0")</f>
        <v>17738116-0</v>
      </c>
      <c r="AA594" s="38">
        <f>IFERROR(__xludf.DUMMYFUNCTION("""COMPUTED_VALUE"""),41575.0)</f>
        <v>41575</v>
      </c>
      <c r="AB594" s="38">
        <f>IFERROR(__xludf.DUMMYFUNCTION("""COMPUTED_VALUE"""),41583.0)</f>
        <v>41583</v>
      </c>
      <c r="AH594" t="str">
        <f>IFERROR(__xludf.DUMMYFUNCTION("""COMPUTED_VALUE"""),"PROCESO DE SELECCIÓN")</f>
        <v>PROCESO DE SELECCIÓN</v>
      </c>
      <c r="AK594" t="str">
        <f>IFERROR(__xludf.DUMMYFUNCTION("""COMPUTED_VALUE"""),"E")</f>
        <v>E</v>
      </c>
      <c r="AL594">
        <f>IFERROR(__xludf.DUMMYFUNCTION("""COMPUTED_VALUE"""),115.0)</f>
        <v>115</v>
      </c>
      <c r="AM594">
        <f>IFERROR(__xludf.DUMMYFUNCTION("""COMPUTED_VALUE"""),2014.0)</f>
        <v>2014</v>
      </c>
    </row>
    <row r="595">
      <c r="A595">
        <f>IFERROR(__xludf.DUMMYFUNCTION("""COMPUTED_VALUE"""),9767915.0)</f>
        <v>9767915</v>
      </c>
      <c r="B595">
        <f>IFERROR(__xludf.DUMMYFUNCTION("""COMPUTED_VALUE"""),3.0)</f>
        <v>3</v>
      </c>
      <c r="D595" t="str">
        <f>IFERROR(__xludf.DUMMYFUNCTION("""COMPUTED_VALUE"""),"FACULTAD TECNOLOGICA")</f>
        <v>FACULTAD TECNOLOGICA</v>
      </c>
      <c r="E595" t="str">
        <f>IFERROR(__xludf.DUMMYFUNCTION("""COMPUTED_VALUE"""),"FACULTAD TECNOLOGICA")</f>
        <v>FACULTAD TECNOLOGICA</v>
      </c>
      <c r="F595" t="str">
        <f>IFERROR(__xludf.DUMMYFUNCTION("""COMPUTED_VALUE"""),"Mayordomo")</f>
        <v>Mayordomo</v>
      </c>
      <c r="G595" t="str">
        <f>IFERROR(__xludf.DUMMYFUNCTION("""COMPUTED_VALUE"""),"MAYORDOMO")</f>
        <v>MAYORDOMO</v>
      </c>
      <c r="H595">
        <f>IFERROR(__xludf.DUMMYFUNCTION("""COMPUTED_VALUE"""),21.0)</f>
        <v>21</v>
      </c>
      <c r="J595" t="str">
        <f>IFERROR(__xludf.DUMMYFUNCTION("""COMPUTED_VALUE"""),"A CONTRATA")</f>
        <v>A CONTRATA</v>
      </c>
      <c r="K595" t="str">
        <f>IFERROR(__xludf.DUMMYFUNCTION("""COMPUTED_VALUE"""),"AUXILIAR")</f>
        <v>AUXILIAR</v>
      </c>
      <c r="L595" t="str">
        <f>IFERROR(__xludf.DUMMYFUNCTION("""COMPUTED_VALUE"""),"INTERNO")</f>
        <v>INTERNO</v>
      </c>
      <c r="M595">
        <f>IFERROR(__xludf.DUMMYFUNCTION("""COMPUTED_VALUE"""),0.0)</f>
        <v>0</v>
      </c>
      <c r="N595" t="str">
        <f>IFERROR(__xludf.DUMMYFUNCTION("""COMPUTED_VALUE"""),"EXTERNO")</f>
        <v>EXTERNO</v>
      </c>
      <c r="O595">
        <f>IFERROR(__xludf.DUMMYFUNCTION("""COMPUTED_VALUE"""),4.0)</f>
        <v>4</v>
      </c>
      <c r="R595" s="45" t="str">
        <f>IFERROR(__xludf.DUMMYFUNCTION("""COMPUTED_VALUE"""),"SELECCIONADA")</f>
        <v>SELECCIONADA</v>
      </c>
      <c r="S595" s="38">
        <f>IFERROR(__xludf.DUMMYFUNCTION("""COMPUTED_VALUE"""),41699.0)</f>
        <v>41699</v>
      </c>
      <c r="U595" t="str">
        <f>IFERROR(__xludf.DUMMYFUNCTION("""COMPUTED_VALUE"""),"ANGELICA MORALES RAMIREZ")</f>
        <v>ANGELICA MORALES RAMIREZ</v>
      </c>
      <c r="V595" t="str">
        <f>IFERROR(__xludf.DUMMYFUNCTION("""COMPUTED_VALUE"""),"09767915-0")</f>
        <v>09767915-0</v>
      </c>
      <c r="AA595" s="38">
        <f>IFERROR(__xludf.DUMMYFUNCTION("""COMPUTED_VALUE"""),41576.0)</f>
        <v>41576</v>
      </c>
      <c r="AB595" s="38">
        <f>IFERROR(__xludf.DUMMYFUNCTION("""COMPUTED_VALUE"""),41584.0)</f>
        <v>41584</v>
      </c>
      <c r="AH595" t="str">
        <f>IFERROR(__xludf.DUMMYFUNCTION("""COMPUTED_VALUE"""),"PROCESO DE SELECCIÓN")</f>
        <v>PROCESO DE SELECCIÓN</v>
      </c>
      <c r="AK595" t="str">
        <f>IFERROR(__xludf.DUMMYFUNCTION("""COMPUTED_VALUE"""),"P")</f>
        <v>P</v>
      </c>
      <c r="AL595">
        <f>IFERROR(__xludf.DUMMYFUNCTION("""COMPUTED_VALUE"""),83.0)</f>
        <v>83</v>
      </c>
      <c r="AM595">
        <f>IFERROR(__xludf.DUMMYFUNCTION("""COMPUTED_VALUE"""),2014.0)</f>
        <v>2014</v>
      </c>
    </row>
    <row r="596">
      <c r="A596">
        <f>IFERROR(__xludf.DUMMYFUNCTION("""COMPUTED_VALUE"""),7818802.0)</f>
        <v>7818802</v>
      </c>
      <c r="B596">
        <f>IFERROR(__xludf.DUMMYFUNCTION("""COMPUTED_VALUE"""),8.0)</f>
        <v>8</v>
      </c>
      <c r="D596" t="str">
        <f>IFERROR(__xludf.DUMMYFUNCTION("""COMPUTED_VALUE"""),"PRORRECTORIA")</f>
        <v>PRORRECTORIA</v>
      </c>
      <c r="E596" t="str">
        <f>IFERROR(__xludf.DUMMYFUNCTION("""COMPUTED_VALUE"""),"DEPARTAMENTO DE RECURSOS HUMANOS")</f>
        <v>DEPARTAMENTO DE RECURSOS HUMANOS</v>
      </c>
      <c r="F596" t="str">
        <f>IFERROR(__xludf.DUMMYFUNCTION("""COMPUTED_VALUE"""),"Administrativo de Apoyo")</f>
        <v>Administrativo de Apoyo</v>
      </c>
      <c r="G596" t="str">
        <f>IFERROR(__xludf.DUMMYFUNCTION("""COMPUTED_VALUE"""),"ADMINISTRATIVO DE APOYO")</f>
        <v>ADMINISTRATIVO DE APOYO</v>
      </c>
      <c r="H596">
        <f>IFERROR(__xludf.DUMMYFUNCTION("""COMPUTED_VALUE"""),21.0)</f>
        <v>21</v>
      </c>
      <c r="J596" t="str">
        <f>IFERROR(__xludf.DUMMYFUNCTION("""COMPUTED_VALUE"""),"A CONTRATA")</f>
        <v>A CONTRATA</v>
      </c>
      <c r="K596" t="str">
        <f>IFERROR(__xludf.DUMMYFUNCTION("""COMPUTED_VALUE"""),"ADMINISTRATIVO")</f>
        <v>ADMINISTRATIVO</v>
      </c>
      <c r="L596" t="str">
        <f>IFERROR(__xludf.DUMMYFUNCTION("""COMPUTED_VALUE"""),"INTERNO")</f>
        <v>INTERNO</v>
      </c>
      <c r="M596">
        <f>IFERROR(__xludf.DUMMYFUNCTION("""COMPUTED_VALUE"""),1.0)</f>
        <v>1</v>
      </c>
      <c r="N596" t="str">
        <f>IFERROR(__xludf.DUMMYFUNCTION("""COMPUTED_VALUE"""),"EXTERNO")</f>
        <v>EXTERNO</v>
      </c>
      <c r="O596">
        <f>IFERROR(__xludf.DUMMYFUNCTION("""COMPUTED_VALUE"""),11.0)</f>
        <v>11</v>
      </c>
      <c r="R596" s="45" t="str">
        <f>IFERROR(__xludf.DUMMYFUNCTION("""COMPUTED_VALUE"""),"SELECCIONADA")</f>
        <v>SELECCIONADA</v>
      </c>
      <c r="S596" s="38">
        <f>IFERROR(__xludf.DUMMYFUNCTION("""COMPUTED_VALUE"""),41701.0)</f>
        <v>41701</v>
      </c>
      <c r="U596" t="str">
        <f>IFERROR(__xludf.DUMMYFUNCTION("""COMPUTED_VALUE"""),"VICTORIA SILVA BRAVO")</f>
        <v>VICTORIA SILVA BRAVO</v>
      </c>
      <c r="V596" t="str">
        <f>IFERROR(__xludf.DUMMYFUNCTION("""COMPUTED_VALUE"""),"07818802-2")</f>
        <v>07818802-2</v>
      </c>
      <c r="AA596" s="38">
        <f>IFERROR(__xludf.DUMMYFUNCTION("""COMPUTED_VALUE"""),41576.0)</f>
        <v>41576</v>
      </c>
      <c r="AB596" s="38">
        <f>IFERROR(__xludf.DUMMYFUNCTION("""COMPUTED_VALUE"""),41585.0)</f>
        <v>41585</v>
      </c>
      <c r="AH596" t="str">
        <f>IFERROR(__xludf.DUMMYFUNCTION("""COMPUTED_VALUE"""),"PROCESO DE SELECCIÓN")</f>
        <v>PROCESO DE SELECCIÓN</v>
      </c>
      <c r="AK596" t="str">
        <f>IFERROR(__xludf.DUMMYFUNCTION("""COMPUTED_VALUE"""),"E")</f>
        <v>E</v>
      </c>
      <c r="AL596">
        <f>IFERROR(__xludf.DUMMYFUNCTION("""COMPUTED_VALUE"""),83.0)</f>
        <v>83</v>
      </c>
      <c r="AM596">
        <f>IFERROR(__xludf.DUMMYFUNCTION("""COMPUTED_VALUE"""),2014.0)</f>
        <v>2014</v>
      </c>
    </row>
    <row r="597">
      <c r="A597">
        <f>IFERROR(__xludf.DUMMYFUNCTION("""COMPUTED_VALUE"""),7549490.0)</f>
        <v>7549490</v>
      </c>
      <c r="B597">
        <f>IFERROR(__xludf.DUMMYFUNCTION("""COMPUTED_VALUE"""),4.0)</f>
        <v>4</v>
      </c>
      <c r="D597" t="str">
        <f>IFERROR(__xludf.DUMMYFUNCTION("""COMPUTED_VALUE""")," VICERRECTORIA DE INVESTIGACION, DESARROLLO E INNOVACION")</f>
        <v> VICERRECTORIA DE INVESTIGACION, DESARROLLO E INNOVACION</v>
      </c>
      <c r="E597" t="str">
        <f>IFERROR(__xludf.DUMMYFUNCTION("""COMPUTED_VALUE""")," VICERRECTORIA DE INVESTIGACION, DESARROLLO E INNOVACION")</f>
        <v> VICERRECTORIA DE INVESTIGACION, DESARROLLO E INNOVACION</v>
      </c>
      <c r="F597" t="str">
        <f>IFERROR(__xludf.DUMMYFUNCTION("""COMPUTED_VALUE"""),"Editor")</f>
        <v>Editor</v>
      </c>
      <c r="G597" t="str">
        <f>IFERROR(__xludf.DUMMYFUNCTION("""COMPUTED_VALUE"""),"EDITOR")</f>
        <v>EDITOR</v>
      </c>
      <c r="H597">
        <f>IFERROR(__xludf.DUMMYFUNCTION("""COMPUTED_VALUE"""),11.0)</f>
        <v>11</v>
      </c>
      <c r="J597" t="str">
        <f>IFERROR(__xludf.DUMMYFUNCTION("""COMPUTED_VALUE"""),"A CONTRATA")</f>
        <v>A CONTRATA</v>
      </c>
      <c r="K597" t="str">
        <f>IFERROR(__xludf.DUMMYFUNCTION("""COMPUTED_VALUE"""),"PROFESIONAL")</f>
        <v>PROFESIONAL</v>
      </c>
      <c r="L597" t="str">
        <f>IFERROR(__xludf.DUMMYFUNCTION("""COMPUTED_VALUE"""),"INTERNO")</f>
        <v>INTERNO</v>
      </c>
      <c r="M597">
        <f>IFERROR(__xludf.DUMMYFUNCTION("""COMPUTED_VALUE"""),0.0)</f>
        <v>0</v>
      </c>
      <c r="N597" t="str">
        <f>IFERROR(__xludf.DUMMYFUNCTION("""COMPUTED_VALUE"""),"EXTERNO")</f>
        <v>EXTERNO</v>
      </c>
      <c r="O597">
        <f>IFERROR(__xludf.DUMMYFUNCTION("""COMPUTED_VALUE"""),2.0)</f>
        <v>2</v>
      </c>
      <c r="R597" s="45" t="str">
        <f>IFERROR(__xludf.DUMMYFUNCTION("""COMPUTED_VALUE"""),"SELECCIONADO")</f>
        <v>SELECCIONADO</v>
      </c>
      <c r="S597" s="38">
        <f>IFERROR(__xludf.DUMMYFUNCTION("""COMPUTED_VALUE"""),41699.0)</f>
        <v>41699</v>
      </c>
      <c r="U597" t="str">
        <f>IFERROR(__xludf.DUMMYFUNCTION("""COMPUTED_VALUE"""),"JOSE LUIS MARTINEZ SALINAS")</f>
        <v>JOSE LUIS MARTINEZ SALINAS</v>
      </c>
      <c r="V597" t="str">
        <f>IFERROR(__xludf.DUMMYFUNCTION("""COMPUTED_VALUE"""),"07549490-4")</f>
        <v>07549490-4</v>
      </c>
      <c r="AA597" s="38">
        <f>IFERROR(__xludf.DUMMYFUNCTION("""COMPUTED_VALUE"""),41575.0)</f>
        <v>41575</v>
      </c>
      <c r="AB597" s="38">
        <f>IFERROR(__xludf.DUMMYFUNCTION("""COMPUTED_VALUE"""),41589.0)</f>
        <v>41589</v>
      </c>
      <c r="AH597" t="str">
        <f>IFERROR(__xludf.DUMMYFUNCTION("""COMPUTED_VALUE"""),"PROCESO DE SELECCIÓN")</f>
        <v>PROCESO DE SELECCIÓN</v>
      </c>
      <c r="AK597" t="str">
        <f>IFERROR(__xludf.DUMMYFUNCTION("""COMPUTED_VALUE"""),"P")</f>
        <v>P</v>
      </c>
      <c r="AL597">
        <f>IFERROR(__xludf.DUMMYFUNCTION("""COMPUTED_VALUE"""),80.0)</f>
        <v>80</v>
      </c>
      <c r="AM597">
        <f>IFERROR(__xludf.DUMMYFUNCTION("""COMPUTED_VALUE"""),2014.0)</f>
        <v>2014</v>
      </c>
    </row>
    <row r="598">
      <c r="A598">
        <f>IFERROR(__xludf.DUMMYFUNCTION("""COMPUTED_VALUE"""),1.3284976E7)</f>
        <v>13284976</v>
      </c>
      <c r="B598">
        <f>IFERROR(__xludf.DUMMYFUNCTION("""COMPUTED_VALUE"""),18.0)</f>
        <v>18</v>
      </c>
      <c r="D598" t="str">
        <f>IFERROR(__xludf.DUMMYFUNCTION("""COMPUTED_VALUE"""),"FACULTAD DE QUIMICA Y BIOLOGIA")</f>
        <v>FACULTAD DE QUIMICA Y BIOLOGIA</v>
      </c>
      <c r="E598" t="str">
        <f>IFERROR(__xludf.DUMMYFUNCTION("""COMPUTED_VALUE"""),"FACULTAD DE QUIMICA Y BIOLOGIA")</f>
        <v>FACULTAD DE QUIMICA Y BIOLOGIA</v>
      </c>
      <c r="F598" t="str">
        <f>IFERROR(__xludf.DUMMYFUNCTION("""COMPUTED_VALUE"""),"Asistente de Laboratorio")</f>
        <v>Asistente de Laboratorio</v>
      </c>
      <c r="G598" t="str">
        <f>IFERROR(__xludf.DUMMYFUNCTION("""COMPUTED_VALUE"""),"ASISTENTE DE LABORATORIO")</f>
        <v>ASISTENTE DE LABORATORIO</v>
      </c>
      <c r="H598">
        <f>IFERROR(__xludf.DUMMYFUNCTION("""COMPUTED_VALUE"""),20.0)</f>
        <v>20</v>
      </c>
      <c r="J598" t="str">
        <f>IFERROR(__xludf.DUMMYFUNCTION("""COMPUTED_VALUE"""),"A CONTRATA")</f>
        <v>A CONTRATA</v>
      </c>
      <c r="K598" t="str">
        <f>IFERROR(__xludf.DUMMYFUNCTION("""COMPUTED_VALUE"""),"TECNICO")</f>
        <v>TECNICO</v>
      </c>
      <c r="L598" t="str">
        <f>IFERROR(__xludf.DUMMYFUNCTION("""COMPUTED_VALUE"""),"INTERNO")</f>
        <v>INTERNO</v>
      </c>
      <c r="M598">
        <f>IFERROR(__xludf.DUMMYFUNCTION("""COMPUTED_VALUE"""),0.0)</f>
        <v>0</v>
      </c>
      <c r="N598" t="str">
        <f>IFERROR(__xludf.DUMMYFUNCTION("""COMPUTED_VALUE"""),"EXTERNO")</f>
        <v>EXTERNO</v>
      </c>
      <c r="O598">
        <f>IFERROR(__xludf.DUMMYFUNCTION("""COMPUTED_VALUE"""),1.0)</f>
        <v>1</v>
      </c>
      <c r="R598" s="45" t="str">
        <f>IFERROR(__xludf.DUMMYFUNCTION("""COMPUTED_VALUE"""),"SELECCIONADA")</f>
        <v>SELECCIONADA</v>
      </c>
      <c r="S598" s="38">
        <f>IFERROR(__xludf.DUMMYFUNCTION("""COMPUTED_VALUE"""),41704.0)</f>
        <v>41704</v>
      </c>
      <c r="U598" t="str">
        <f>IFERROR(__xludf.DUMMYFUNCTION("""COMPUTED_VALUE"""),"CRISTINA PARADA RIQUELME")</f>
        <v>CRISTINA PARADA RIQUELME</v>
      </c>
      <c r="V598" t="str">
        <f>IFERROR(__xludf.DUMMYFUNCTION("""COMPUTED_VALUE"""),"13284976-5")</f>
        <v>13284976-5</v>
      </c>
      <c r="AA598" s="38">
        <f>IFERROR(__xludf.DUMMYFUNCTION("""COMPUTED_VALUE"""),41590.0)</f>
        <v>41590</v>
      </c>
      <c r="AB598" s="38">
        <f>IFERROR(__xludf.DUMMYFUNCTION("""COMPUTED_VALUE"""),41597.0)</f>
        <v>41597</v>
      </c>
      <c r="AH598" t="str">
        <f>IFERROR(__xludf.DUMMYFUNCTION("""COMPUTED_VALUE"""),"PROCESO DE SELECCIÓN")</f>
        <v>PROCESO DE SELECCIÓN</v>
      </c>
      <c r="AK598" t="str">
        <f>IFERROR(__xludf.DUMMYFUNCTION("""COMPUTED_VALUE"""),"C")</f>
        <v>C</v>
      </c>
      <c r="AL598">
        <f>IFERROR(__xludf.DUMMYFUNCTION("""COMPUTED_VALUE"""),78.0)</f>
        <v>78</v>
      </c>
      <c r="AM598">
        <f>IFERROR(__xludf.DUMMYFUNCTION("""COMPUTED_VALUE"""),2014.0)</f>
        <v>2014</v>
      </c>
    </row>
    <row r="599">
      <c r="A599">
        <f>IFERROR(__xludf.DUMMYFUNCTION("""COMPUTED_VALUE"""),1.6568171E7)</f>
        <v>16568171</v>
      </c>
      <c r="B599">
        <f>IFERROR(__xludf.DUMMYFUNCTION("""COMPUTED_VALUE"""),1.0)</f>
        <v>1</v>
      </c>
      <c r="D599" t="str">
        <f>IFERROR(__xludf.DUMMYFUNCTION("""COMPUTED_VALUE"""),"CONTRALORIA UNIVERSITARIA")</f>
        <v>CONTRALORIA UNIVERSITARIA</v>
      </c>
      <c r="E599" t="str">
        <f>IFERROR(__xludf.DUMMYFUNCTION("""COMPUTED_VALUE"""),"CONTRALORIA UNIVERSITARIA")</f>
        <v>CONTRALORIA UNIVERSITARIA</v>
      </c>
      <c r="F599" t="str">
        <f>IFERROR(__xludf.DUMMYFUNCTION("""COMPUTED_VALUE"""),"Auditor")</f>
        <v>Auditor</v>
      </c>
      <c r="G599" t="str">
        <f>IFERROR(__xludf.DUMMYFUNCTION("""COMPUTED_VALUE"""),"AUDITOR")</f>
        <v>AUDITOR</v>
      </c>
      <c r="H599">
        <f>IFERROR(__xludf.DUMMYFUNCTION("""COMPUTED_VALUE"""),12.0)</f>
        <v>12</v>
      </c>
      <c r="J599" t="str">
        <f>IFERROR(__xludf.DUMMYFUNCTION("""COMPUTED_VALUE"""),"A CONTRATA")</f>
        <v>A CONTRATA</v>
      </c>
      <c r="K599" t="str">
        <f>IFERROR(__xludf.DUMMYFUNCTION("""COMPUTED_VALUE"""),"PROFESIONAL")</f>
        <v>PROFESIONAL</v>
      </c>
      <c r="L599" t="str">
        <f>IFERROR(__xludf.DUMMYFUNCTION("""COMPUTED_VALUE"""),"INTERNO")</f>
        <v>INTERNO</v>
      </c>
      <c r="M599">
        <f>IFERROR(__xludf.DUMMYFUNCTION("""COMPUTED_VALUE"""),4.0)</f>
        <v>4</v>
      </c>
      <c r="N599" t="str">
        <f>IFERROR(__xludf.DUMMYFUNCTION("""COMPUTED_VALUE"""),"EXTERNO")</f>
        <v>EXTERNO</v>
      </c>
      <c r="O599">
        <f>IFERROR(__xludf.DUMMYFUNCTION("""COMPUTED_VALUE"""),7.0)</f>
        <v>7</v>
      </c>
      <c r="R599" s="45" t="str">
        <f>IFERROR(__xludf.DUMMYFUNCTION("""COMPUTED_VALUE"""),"SELECCIONADO")</f>
        <v>SELECCIONADO</v>
      </c>
      <c r="S599" s="38">
        <f>IFERROR(__xludf.DUMMYFUNCTION("""COMPUTED_VALUE"""),41640.0)</f>
        <v>41640</v>
      </c>
      <c r="U599" t="str">
        <f>IFERROR(__xludf.DUMMYFUNCTION("""COMPUTED_VALUE"""),"CAMILA LEON CARBONELL")</f>
        <v>CAMILA LEON CARBONELL</v>
      </c>
      <c r="V599" t="str">
        <f>IFERROR(__xludf.DUMMYFUNCTION("""COMPUTED_VALUE"""),"16568171-1")</f>
        <v>16568171-1</v>
      </c>
      <c r="AA599" s="38">
        <f>IFERROR(__xludf.DUMMYFUNCTION("""COMPUTED_VALUE"""),41572.0)</f>
        <v>41572</v>
      </c>
      <c r="AB599" s="38">
        <f>IFERROR(__xludf.DUMMYFUNCTION("""COMPUTED_VALUE"""),41600.0)</f>
        <v>41600</v>
      </c>
      <c r="AH599" t="str">
        <f>IFERROR(__xludf.DUMMYFUNCTION("""COMPUTED_VALUE"""),"PROCESO DE SELECCIÓN")</f>
        <v>PROCESO DE SELECCIÓN</v>
      </c>
      <c r="AK599" t="str">
        <f>IFERROR(__xludf.DUMMYFUNCTION("""COMPUTED_VALUE"""),"E")</f>
        <v>E</v>
      </c>
      <c r="AL599">
        <f>IFERROR(__xludf.DUMMYFUNCTION("""COMPUTED_VALUE"""),29.0)</f>
        <v>29</v>
      </c>
      <c r="AM599">
        <f>IFERROR(__xludf.DUMMYFUNCTION("""COMPUTED_VALUE"""),2014.0)</f>
        <v>2014</v>
      </c>
    </row>
    <row r="600">
      <c r="A600">
        <f>IFERROR(__xludf.DUMMYFUNCTION("""COMPUTED_VALUE"""),7811741.0)</f>
        <v>7811741</v>
      </c>
      <c r="B600">
        <f>IFERROR(__xludf.DUMMYFUNCTION("""COMPUTED_VALUE"""),5.0)</f>
        <v>5</v>
      </c>
      <c r="D600" t="str">
        <f>IFERROR(__xludf.DUMMYFUNCTION("""COMPUTED_VALUE"""),"FACULTAD DE CIENCIAS MEDICAS")</f>
        <v>FACULTAD DE CIENCIAS MEDICAS</v>
      </c>
      <c r="E600" t="str">
        <f>IFERROR(__xludf.DUMMYFUNCTION("""COMPUTED_VALUE"""),"FACULTAD DE CIENCIAS MEDICAS")</f>
        <v>FACULTAD DE CIENCIAS MEDICAS</v>
      </c>
      <c r="F600" t="str">
        <f>IFERROR(__xludf.DUMMYFUNCTION("""COMPUTED_VALUE"""),"Encargado Administrativo de Unidad Académica")</f>
        <v>Encargado Administrativo de Unidad Académica</v>
      </c>
      <c r="G600" t="str">
        <f>IFERROR(__xludf.DUMMYFUNCTION("""COMPUTED_VALUE"""),"JEFE ADMINISTRATIVO")</f>
        <v>JEFE ADMINISTRATIVO</v>
      </c>
      <c r="H600">
        <f>IFERROR(__xludf.DUMMYFUNCTION("""COMPUTED_VALUE"""),10.0)</f>
        <v>10</v>
      </c>
      <c r="J600" t="str">
        <f>IFERROR(__xludf.DUMMYFUNCTION("""COMPUTED_VALUE"""),"A CONTRATA")</f>
        <v>A CONTRATA</v>
      </c>
      <c r="K600" t="str">
        <f>IFERROR(__xludf.DUMMYFUNCTION("""COMPUTED_VALUE"""),"ADMINISTRATIVO")</f>
        <v>ADMINISTRATIVO</v>
      </c>
      <c r="L600" t="str">
        <f>IFERROR(__xludf.DUMMYFUNCTION("""COMPUTED_VALUE"""),"INTERNO")</f>
        <v>INTERNO</v>
      </c>
      <c r="M600">
        <f>IFERROR(__xludf.DUMMYFUNCTION("""COMPUTED_VALUE"""),4.0)</f>
        <v>4</v>
      </c>
      <c r="N600" t="str">
        <f>IFERROR(__xludf.DUMMYFUNCTION("""COMPUTED_VALUE"""),"NO")</f>
        <v>NO</v>
      </c>
      <c r="R600" s="45" t="str">
        <f>IFERROR(__xludf.DUMMYFUNCTION("""COMPUTED_VALUE"""),"SELECCIONADA")</f>
        <v>SELECCIONADA</v>
      </c>
      <c r="S600" s="38">
        <f>IFERROR(__xludf.DUMMYFUNCTION("""COMPUTED_VALUE"""),41652.0)</f>
        <v>41652</v>
      </c>
      <c r="T600" t="str">
        <f>IFERROR(__xludf.DUMMYFUNCTION("""COMPUTED_VALUE"""),"ROSA KLEIN BONACICH")</f>
        <v>ROSA KLEIN BONACICH</v>
      </c>
      <c r="V600" t="str">
        <f>IFERROR(__xludf.DUMMYFUNCTION("""COMPUTED_VALUE"""),"07811741-9")</f>
        <v>07811741-9</v>
      </c>
      <c r="AA600" s="38">
        <f>IFERROR(__xludf.DUMMYFUNCTION("""COMPUTED_VALUE"""),41600.0)</f>
        <v>41600</v>
      </c>
      <c r="AB600" s="38">
        <f>IFERROR(__xludf.DUMMYFUNCTION("""COMPUTED_VALUE"""),41607.0)</f>
        <v>41607</v>
      </c>
      <c r="AC600">
        <f>IFERROR(__xludf.DUMMYFUNCTION("""COMPUTED_VALUE"""),16.0)</f>
        <v>16</v>
      </c>
      <c r="AD600" t="str">
        <f>IFERROR(__xludf.DUMMYFUNCTION("""COMPUTED_VALUE"""),"ADMINISTRATIVO")</f>
        <v>ADMINISTRATIVO</v>
      </c>
      <c r="AF600" s="46" t="str">
        <f>IFERROR(__xludf.DUMMYFUNCTION("""COMPUTED_VALUE"""),"DEPARTAMENTO DE COMUNICACIONES")</f>
        <v>DEPARTAMENTO DE COMUNICACIONES</v>
      </c>
      <c r="AH600" t="str">
        <f>IFERROR(__xludf.DUMMYFUNCTION("""COMPUTED_VALUE"""),"PROCESO DE SELECCIÓN")</f>
        <v>PROCESO DE SELECCIÓN</v>
      </c>
      <c r="AK600" t="str">
        <f>IFERROR(__xludf.DUMMYFUNCTION("""COMPUTED_VALUE"""),"P")</f>
        <v>P</v>
      </c>
      <c r="AL600">
        <f>IFERROR(__xludf.DUMMYFUNCTION("""COMPUTED_VALUE"""),32.0)</f>
        <v>32</v>
      </c>
      <c r="AM600">
        <f>IFERROR(__xludf.DUMMYFUNCTION("""COMPUTED_VALUE"""),2014.0)</f>
        <v>2014</v>
      </c>
    </row>
    <row r="601">
      <c r="A601">
        <f>IFERROR(__xludf.DUMMYFUNCTION("""COMPUTED_VALUE"""),1.3750019E7)</f>
        <v>13750019</v>
      </c>
      <c r="B601">
        <f>IFERROR(__xludf.DUMMYFUNCTION("""COMPUTED_VALUE"""),14.0)</f>
        <v>14</v>
      </c>
      <c r="D601" t="str">
        <f>IFERROR(__xludf.DUMMYFUNCTION("""COMPUTED_VALUE"""),"PRORRECTORIA")</f>
        <v>PRORRECTORIA</v>
      </c>
      <c r="E601" t="str">
        <f>IFERROR(__xludf.DUMMYFUNCTION("""COMPUTED_VALUE"""),"UNIDAD DE CREDITO Y COBRANZA")</f>
        <v>UNIDAD DE CREDITO Y COBRANZA</v>
      </c>
      <c r="F601" t="str">
        <f>IFERROR(__xludf.DUMMYFUNCTION("""COMPUTED_VALUE"""),"Administrativo Contable")</f>
        <v>Administrativo Contable</v>
      </c>
      <c r="G601" t="str">
        <f>IFERROR(__xludf.DUMMYFUNCTION("""COMPUTED_VALUE"""),"ADMNISTRATIVO CONTABLE RECAUDACION MATRICULAS")</f>
        <v>ADMNISTRATIVO CONTABLE RECAUDACION MATRICULAS</v>
      </c>
      <c r="H601">
        <f>IFERROR(__xludf.DUMMYFUNCTION("""COMPUTED_VALUE"""),17.0)</f>
        <v>17</v>
      </c>
      <c r="J601" t="str">
        <f>IFERROR(__xludf.DUMMYFUNCTION("""COMPUTED_VALUE"""),"A CONTRATA")</f>
        <v>A CONTRATA</v>
      </c>
      <c r="K601" t="str">
        <f>IFERROR(__xludf.DUMMYFUNCTION("""COMPUTED_VALUE"""),"TECNICO")</f>
        <v>TECNICO</v>
      </c>
      <c r="L601" t="str">
        <f>IFERROR(__xludf.DUMMYFUNCTION("""COMPUTED_VALUE"""),"INTERNO")</f>
        <v>INTERNO</v>
      </c>
      <c r="M601">
        <f>IFERROR(__xludf.DUMMYFUNCTION("""COMPUTED_VALUE"""),0.0)</f>
        <v>0</v>
      </c>
      <c r="N601" t="str">
        <f>IFERROR(__xludf.DUMMYFUNCTION("""COMPUTED_VALUE"""),"EXTERNO")</f>
        <v>EXTERNO</v>
      </c>
      <c r="O601">
        <f>IFERROR(__xludf.DUMMYFUNCTION("""COMPUTED_VALUE"""),3.0)</f>
        <v>3</v>
      </c>
      <c r="R601" s="45" t="str">
        <f>IFERROR(__xludf.DUMMYFUNCTION("""COMPUTED_VALUE"""),"SELECCIONADA")</f>
        <v>SELECCIONADA</v>
      </c>
      <c r="S601" s="38">
        <f>IFERROR(__xludf.DUMMYFUNCTION("""COMPUTED_VALUE"""),41641.0)</f>
        <v>41641</v>
      </c>
      <c r="U601" t="str">
        <f>IFERROR(__xludf.DUMMYFUNCTION("""COMPUTED_VALUE"""),"ANDREA BRITO ALBORNOZ")</f>
        <v>ANDREA BRITO ALBORNOZ</v>
      </c>
      <c r="V601" t="str">
        <f>IFERROR(__xludf.DUMMYFUNCTION("""COMPUTED_VALUE"""),"13750019-1")</f>
        <v>13750019-1</v>
      </c>
      <c r="AA601" s="38">
        <f>IFERROR(__xludf.DUMMYFUNCTION("""COMPUTED_VALUE"""),41617.0)</f>
        <v>41617</v>
      </c>
      <c r="AB601" s="38">
        <f>IFERROR(__xludf.DUMMYFUNCTION("""COMPUTED_VALUE"""),41621.0)</f>
        <v>41621</v>
      </c>
      <c r="AH601" t="str">
        <f>IFERROR(__xludf.DUMMYFUNCTION("""COMPUTED_VALUE"""),"PROCESO DE SELECCIÓN")</f>
        <v>PROCESO DE SELECCIÓN</v>
      </c>
      <c r="AK601" t="str">
        <f>IFERROR(__xludf.DUMMYFUNCTION("""COMPUTED_VALUE"""),"P")</f>
        <v>P</v>
      </c>
      <c r="AL601">
        <f>IFERROR(__xludf.DUMMYFUNCTION("""COMPUTED_VALUE"""),15.0)</f>
        <v>15</v>
      </c>
      <c r="AM601">
        <f>IFERROR(__xludf.DUMMYFUNCTION("""COMPUTED_VALUE"""),2014.0)</f>
        <v>2014</v>
      </c>
    </row>
    <row r="602">
      <c r="A602">
        <f>IFERROR(__xludf.DUMMYFUNCTION("""COMPUTED_VALUE"""),1.53749E7)</f>
        <v>15374900</v>
      </c>
      <c r="B602">
        <f>IFERROR(__xludf.DUMMYFUNCTION("""COMPUTED_VALUE"""),15.0)</f>
        <v>15</v>
      </c>
      <c r="D602" t="str">
        <f>IFERROR(__xludf.DUMMYFUNCTION("""COMPUTED_VALUE"""),"VICERRECTORIA ACADEMICA")</f>
        <v>VICERRECTORIA ACADEMICA</v>
      </c>
      <c r="E602" t="str">
        <f>IFERROR(__xludf.DUMMYFUNCTION("""COMPUTED_VALUE"""),"ESCUELA DE ARQUITECTURA")</f>
        <v>ESCUELA DE ARQUITECTURA</v>
      </c>
      <c r="F602" t="str">
        <f>IFERROR(__xludf.DUMMYFUNCTION("""COMPUTED_VALUE"""),"Encargado de Laboratorio")</f>
        <v>Encargado de Laboratorio</v>
      </c>
      <c r="G602" t="str">
        <f>IFERROR(__xludf.DUMMYFUNCTION("""COMPUTED_VALUE"""),"ENCARGADO DE LABORATORIO (1/2 JORNADA)")</f>
        <v>ENCARGADO DE LABORATORIO (1/2 JORNADA)</v>
      </c>
      <c r="H602">
        <f>IFERROR(__xludf.DUMMYFUNCTION("""COMPUTED_VALUE"""),13.0)</f>
        <v>13</v>
      </c>
      <c r="J602" t="str">
        <f>IFERROR(__xludf.DUMMYFUNCTION("""COMPUTED_VALUE"""),"A CONTRATA")</f>
        <v>A CONTRATA</v>
      </c>
      <c r="K602" t="str">
        <f>IFERROR(__xludf.DUMMYFUNCTION("""COMPUTED_VALUE"""),"PROFESIONAL")</f>
        <v>PROFESIONAL</v>
      </c>
      <c r="L602" t="str">
        <f>IFERROR(__xludf.DUMMYFUNCTION("""COMPUTED_VALUE"""),"INTERNO")</f>
        <v>INTERNO</v>
      </c>
      <c r="M602">
        <f>IFERROR(__xludf.DUMMYFUNCTION("""COMPUTED_VALUE"""),2.0)</f>
        <v>2</v>
      </c>
      <c r="N602" t="str">
        <f>IFERROR(__xludf.DUMMYFUNCTION("""COMPUTED_VALUE"""),"NO")</f>
        <v>NO</v>
      </c>
      <c r="R602" s="45" t="str">
        <f>IFERROR(__xludf.DUMMYFUNCTION("""COMPUTED_VALUE"""),"SELECCIONADO")</f>
        <v>SELECCIONADO</v>
      </c>
      <c r="S602" s="38">
        <f>IFERROR(__xludf.DUMMYFUNCTION("""COMPUTED_VALUE"""),41701.0)</f>
        <v>41701</v>
      </c>
      <c r="T602" t="str">
        <f>IFERROR(__xludf.DUMMYFUNCTION("""COMPUTED_VALUE"""),"HUGO DAVID PEREZ HERRERA")</f>
        <v>HUGO DAVID PEREZ HERRERA</v>
      </c>
      <c r="V602" t="str">
        <f>IFERROR(__xludf.DUMMYFUNCTION("""COMPUTED_VALUE"""),"15374900-0")</f>
        <v>15374900-0</v>
      </c>
      <c r="AA602" s="38">
        <f>IFERROR(__xludf.DUMMYFUNCTION("""COMPUTED_VALUE"""),41625.0)</f>
        <v>41625</v>
      </c>
      <c r="AB602" s="38">
        <f>IFERROR(__xludf.DUMMYFUNCTION("""COMPUTED_VALUE"""),41634.0)</f>
        <v>41634</v>
      </c>
      <c r="AH602" t="str">
        <f>IFERROR(__xludf.DUMMYFUNCTION("""COMPUTED_VALUE"""),"PROCESO DE SELECCIÓN")</f>
        <v>PROCESO DE SELECCIÓN</v>
      </c>
      <c r="AL602">
        <f>IFERROR(__xludf.DUMMYFUNCTION("""COMPUTED_VALUE"""),48.0)</f>
        <v>48</v>
      </c>
      <c r="AM602">
        <f>IFERROR(__xludf.DUMMYFUNCTION("""COMPUTED_VALUE"""),2014.0)</f>
        <v>2014</v>
      </c>
    </row>
    <row r="603">
      <c r="A603">
        <f>IFERROR(__xludf.DUMMYFUNCTION("""COMPUTED_VALUE"""),1.3069424E7)</f>
        <v>13069424</v>
      </c>
      <c r="B603">
        <f>IFERROR(__xludf.DUMMYFUNCTION("""COMPUTED_VALUE"""),2.0)</f>
        <v>2</v>
      </c>
      <c r="D603" t="str">
        <f>IFERROR(__xludf.DUMMYFUNCTION("""COMPUTED_VALUE"""),"PRORRECTORIA")</f>
        <v>PRORRECTORIA</v>
      </c>
      <c r="E603" t="str">
        <f>IFERROR(__xludf.DUMMYFUNCTION("""COMPUTED_VALUE"""),"PRORRECTORIA")</f>
        <v>PRORRECTORIA</v>
      </c>
      <c r="F603" t="str">
        <f>IFERROR(__xludf.DUMMYFUNCTION("""COMPUTED_VALUE"""),"Analista de Gestión I")</f>
        <v>Analista de Gestión I</v>
      </c>
      <c r="G603" t="str">
        <f>IFERROR(__xludf.DUMMYFUNCTION("""COMPUTED_VALUE"""),"ANALISTA DE GESTION")</f>
        <v>ANALISTA DE GESTION</v>
      </c>
      <c r="H603">
        <f>IFERROR(__xludf.DUMMYFUNCTION("""COMPUTED_VALUE"""),10.0)</f>
        <v>10</v>
      </c>
      <c r="J603" t="str">
        <f>IFERROR(__xludf.DUMMYFUNCTION("""COMPUTED_VALUE"""),"A CONTRATA")</f>
        <v>A CONTRATA</v>
      </c>
      <c r="K603" t="str">
        <f>IFERROR(__xludf.DUMMYFUNCTION("""COMPUTED_VALUE"""),"PROFESIONAL")</f>
        <v>PROFESIONAL</v>
      </c>
      <c r="L603" t="str">
        <f>IFERROR(__xludf.DUMMYFUNCTION("""COMPUTED_VALUE"""),"INTERNO")</f>
        <v>INTERNO</v>
      </c>
      <c r="M603">
        <f>IFERROR(__xludf.DUMMYFUNCTION("""COMPUTED_VALUE"""),2.0)</f>
        <v>2</v>
      </c>
      <c r="N603" t="str">
        <f>IFERROR(__xludf.DUMMYFUNCTION("""COMPUTED_VALUE"""),"NO")</f>
        <v>NO</v>
      </c>
      <c r="R603" s="45" t="str">
        <f>IFERROR(__xludf.DUMMYFUNCTION("""COMPUTED_VALUE"""),"SELECCIONADA")</f>
        <v>SELECCIONADA</v>
      </c>
      <c r="S603" s="38">
        <f>IFERROR(__xludf.DUMMYFUNCTION("""COMPUTED_VALUE"""),41641.0)</f>
        <v>41641</v>
      </c>
      <c r="T603" t="str">
        <f>IFERROR(__xludf.DUMMYFUNCTION("""COMPUTED_VALUE"""),"MARIA JOSE DIAZ DIAZ")</f>
        <v>MARIA JOSE DIAZ DIAZ</v>
      </c>
      <c r="V603" t="str">
        <f>IFERROR(__xludf.DUMMYFUNCTION("""COMPUTED_VALUE"""),"13069424-1")</f>
        <v>13069424-1</v>
      </c>
      <c r="AA603" s="38">
        <f>IFERROR(__xludf.DUMMYFUNCTION("""COMPUTED_VALUE"""),41628.0)</f>
        <v>41628</v>
      </c>
      <c r="AB603" s="38">
        <f>IFERROR(__xludf.DUMMYFUNCTION("""COMPUTED_VALUE"""),41635.0)</f>
        <v>41635</v>
      </c>
      <c r="AC603">
        <f>IFERROR(__xludf.DUMMYFUNCTION("""COMPUTED_VALUE"""),16.0)</f>
        <v>16</v>
      </c>
      <c r="AD603" t="str">
        <f>IFERROR(__xludf.DUMMYFUNCTION("""COMPUTED_VALUE"""),"ADMINISTRATIVO")</f>
        <v>ADMINISTRATIVO</v>
      </c>
      <c r="AF603" s="46" t="str">
        <f>IFERROR(__xludf.DUMMYFUNCTION("""COMPUTED_VALUE"""),"FACULTAD DE INGENIERIA")</f>
        <v>FACULTAD DE INGENIERIA</v>
      </c>
      <c r="AH603" t="str">
        <f>IFERROR(__xludf.DUMMYFUNCTION("""COMPUTED_VALUE"""),"PROCESO DE SELECCIÓN")</f>
        <v>PROCESO DE SELECCIÓN</v>
      </c>
      <c r="AK603" t="str">
        <f>IFERROR(__xludf.DUMMYFUNCTION("""COMPUTED_VALUE"""),"C")</f>
        <v>C</v>
      </c>
      <c r="AL603">
        <f>IFERROR(__xludf.DUMMYFUNCTION("""COMPUTED_VALUE"""),5.0)</f>
        <v>5</v>
      </c>
      <c r="AM603">
        <f>IFERROR(__xludf.DUMMYFUNCTION("""COMPUTED_VALUE"""),2014.0)</f>
        <v>2014</v>
      </c>
    </row>
    <row r="604">
      <c r="A604">
        <f>IFERROR(__xludf.DUMMYFUNCTION("""COMPUTED_VALUE"""),1.824339E7)</f>
        <v>18243390</v>
      </c>
      <c r="B604">
        <f>IFERROR(__xludf.DUMMYFUNCTION("""COMPUTED_VALUE"""),6.0)</f>
        <v>6</v>
      </c>
      <c r="D604" t="str">
        <f>IFERROR(__xludf.DUMMYFUNCTION("""COMPUTED_VALUE"""),"FACULTAD DE CIENCIA")</f>
        <v>FACULTAD DE CIENCIA</v>
      </c>
      <c r="E604" t="str">
        <f>IFERROR(__xludf.DUMMYFUNCTION("""COMPUTED_VALUE"""),"FACULTAD DE CIENCIA")</f>
        <v>FACULTAD DE CIENCIA</v>
      </c>
      <c r="F604" t="str">
        <f>IFERROR(__xludf.DUMMYFUNCTION("""COMPUTED_VALUE"""),"Secretario B")</f>
        <v>Secretario B</v>
      </c>
      <c r="G604" t="str">
        <f>IFERROR(__xludf.DUMMYFUNCTION("""COMPUTED_VALUE"""),"SECRETARIA DE VICEDECANATO")</f>
        <v>SECRETARIA DE VICEDECANATO</v>
      </c>
      <c r="H604">
        <f>IFERROR(__xludf.DUMMYFUNCTION("""COMPUTED_VALUE"""),17.0)</f>
        <v>17</v>
      </c>
      <c r="J604" t="str">
        <f>IFERROR(__xludf.DUMMYFUNCTION("""COMPUTED_VALUE"""),"A CONTRATA")</f>
        <v>A CONTRATA</v>
      </c>
      <c r="K604" t="str">
        <f>IFERROR(__xludf.DUMMYFUNCTION("""COMPUTED_VALUE"""),"ADMINISTRATIVO")</f>
        <v>ADMINISTRATIVO</v>
      </c>
      <c r="L604" t="str">
        <f>IFERROR(__xludf.DUMMYFUNCTION("""COMPUTED_VALUE"""),"INTERNO")</f>
        <v>INTERNO</v>
      </c>
      <c r="M604">
        <f>IFERROR(__xludf.DUMMYFUNCTION("""COMPUTED_VALUE"""),1.0)</f>
        <v>1</v>
      </c>
      <c r="N604" t="str">
        <f>IFERROR(__xludf.DUMMYFUNCTION("""COMPUTED_VALUE"""),"NO")</f>
        <v>NO</v>
      </c>
      <c r="R604" s="45" t="str">
        <f>IFERROR(__xludf.DUMMYFUNCTION("""COMPUTED_VALUE"""),"SELECCIONADO")</f>
        <v>SELECCIONADO</v>
      </c>
      <c r="S604" s="38">
        <f>IFERROR(__xludf.DUMMYFUNCTION("""COMPUTED_VALUE"""),41701.0)</f>
        <v>41701</v>
      </c>
      <c r="T604" t="str">
        <f>IFERROR(__xludf.DUMMYFUNCTION("""COMPUTED_VALUE"""),"GABRIELA MANCILLA TAPIA")</f>
        <v>GABRIELA MANCILLA TAPIA</v>
      </c>
      <c r="V604" t="str">
        <f>IFERROR(__xludf.DUMMYFUNCTION("""COMPUTED_VALUE"""),"18243390-K")</f>
        <v>18243390-K</v>
      </c>
      <c r="AA604" s="38">
        <f>IFERROR(__xludf.DUMMYFUNCTION("""COMPUTED_VALUE"""),41634.0)</f>
        <v>41634</v>
      </c>
      <c r="AB604" s="38">
        <f>IFERROR(__xludf.DUMMYFUNCTION("""COMPUTED_VALUE"""),41642.0)</f>
        <v>41642</v>
      </c>
      <c r="AH604" t="str">
        <f>IFERROR(__xludf.DUMMYFUNCTION("""COMPUTED_VALUE"""),"PROCESO DE SELECCIÓN")</f>
        <v>PROCESO DE SELECCIÓN</v>
      </c>
      <c r="AL604">
        <f>IFERROR(__xludf.DUMMYFUNCTION("""COMPUTED_VALUE"""),42.0)</f>
        <v>42</v>
      </c>
      <c r="AM604">
        <f>IFERROR(__xludf.DUMMYFUNCTION("""COMPUTED_VALUE"""),2014.0)</f>
        <v>2014</v>
      </c>
    </row>
    <row r="605">
      <c r="A605">
        <f>IFERROR(__xludf.DUMMYFUNCTION("""COMPUTED_VALUE"""),1.5823407E7)</f>
        <v>15823407</v>
      </c>
      <c r="B605">
        <f>IFERROR(__xludf.DUMMYFUNCTION("""COMPUTED_VALUE"""),7.0)</f>
        <v>7</v>
      </c>
      <c r="D605" t="str">
        <f>IFERROR(__xludf.DUMMYFUNCTION("""COMPUTED_VALUE"""),"FACULTAD DE CIENCIA")</f>
        <v>FACULTAD DE CIENCIA</v>
      </c>
      <c r="E605" t="str">
        <f>IFERROR(__xludf.DUMMYFUNCTION("""COMPUTED_VALUE"""),"DEPARTAMENTO DE FISICA")</f>
        <v>DEPARTAMENTO DE FISICA</v>
      </c>
      <c r="F605" t="str">
        <f>IFERROR(__xludf.DUMMYFUNCTION("""COMPUTED_VALUE"""),"Estafeta")</f>
        <v>Estafeta</v>
      </c>
      <c r="G605" t="str">
        <f>IFERROR(__xludf.DUMMYFUNCTION("""COMPUTED_VALUE"""),"ESTAFETA")</f>
        <v>ESTAFETA</v>
      </c>
      <c r="H605">
        <f>IFERROR(__xludf.DUMMYFUNCTION("""COMPUTED_VALUE"""),23.0)</f>
        <v>23</v>
      </c>
      <c r="J605" t="str">
        <f>IFERROR(__xludf.DUMMYFUNCTION("""COMPUTED_VALUE"""),"A CONTRATA")</f>
        <v>A CONTRATA</v>
      </c>
      <c r="K605" t="str">
        <f>IFERROR(__xludf.DUMMYFUNCTION("""COMPUTED_VALUE"""),"AUXILIAR")</f>
        <v>AUXILIAR</v>
      </c>
      <c r="L605" t="str">
        <f>IFERROR(__xludf.DUMMYFUNCTION("""COMPUTED_VALUE"""),"INTERNO")</f>
        <v>INTERNO</v>
      </c>
      <c r="M605">
        <f>IFERROR(__xludf.DUMMYFUNCTION("""COMPUTED_VALUE"""),0.0)</f>
        <v>0</v>
      </c>
      <c r="N605" t="str">
        <f>IFERROR(__xludf.DUMMYFUNCTION("""COMPUTED_VALUE"""),"EXTERNO")</f>
        <v>EXTERNO</v>
      </c>
      <c r="O605">
        <f>IFERROR(__xludf.DUMMYFUNCTION("""COMPUTED_VALUE"""),12.0)</f>
        <v>12</v>
      </c>
      <c r="R605" s="45" t="str">
        <f>IFERROR(__xludf.DUMMYFUNCTION("""COMPUTED_VALUE"""),"SELECCIONADO")</f>
        <v>SELECCIONADO</v>
      </c>
      <c r="S605" s="38">
        <f>IFERROR(__xludf.DUMMYFUNCTION("""COMPUTED_VALUE"""),41701.0)</f>
        <v>41701</v>
      </c>
      <c r="U605" t="str">
        <f>IFERROR(__xludf.DUMMYFUNCTION("""COMPUTED_VALUE"""),"CRISTIAN CESPEDES VASQUEZ")</f>
        <v>CRISTIAN CESPEDES VASQUEZ</v>
      </c>
      <c r="V605" t="str">
        <f>IFERROR(__xludf.DUMMYFUNCTION("""COMPUTED_VALUE"""),"15823407-6")</f>
        <v>15823407-6</v>
      </c>
      <c r="AA605" s="38">
        <f>IFERROR(__xludf.DUMMYFUNCTION("""COMPUTED_VALUE"""),41642.0)</f>
        <v>41642</v>
      </c>
      <c r="AB605" s="38">
        <f>IFERROR(__xludf.DUMMYFUNCTION("""COMPUTED_VALUE"""),41647.0)</f>
        <v>41647</v>
      </c>
      <c r="AH605" t="str">
        <f>IFERROR(__xludf.DUMMYFUNCTION("""COMPUTED_VALUE"""),"PROCESO DE SELECCIÓN")</f>
        <v>PROCESO DE SELECCIÓN</v>
      </c>
      <c r="AL605">
        <f>IFERROR(__xludf.DUMMYFUNCTION("""COMPUTED_VALUE"""),39.0)</f>
        <v>39</v>
      </c>
      <c r="AM605">
        <f>IFERROR(__xludf.DUMMYFUNCTION("""COMPUTED_VALUE"""),2014.0)</f>
        <v>2014</v>
      </c>
    </row>
    <row r="606">
      <c r="A606">
        <f>IFERROR(__xludf.DUMMYFUNCTION("""COMPUTED_VALUE"""),1.5504352E7)</f>
        <v>15504352</v>
      </c>
      <c r="B606">
        <f>IFERROR(__xludf.DUMMYFUNCTION("""COMPUTED_VALUE"""),12.0)</f>
        <v>12</v>
      </c>
      <c r="D606" t="str">
        <f>IFERROR(__xludf.DUMMYFUNCTION("""COMPUTED_VALUE"""),"VICERRECTORIA ACADEMICA")</f>
        <v>VICERRECTORIA ACADEMICA</v>
      </c>
      <c r="E606" t="str">
        <f>IFERROR(__xludf.DUMMYFUNCTION("""COMPUTED_VALUE"""),"UNIDAD DE REGISTRO ACADEMICO Y CURRICULAR")</f>
        <v>UNIDAD DE REGISTRO ACADEMICO Y CURRICULAR</v>
      </c>
      <c r="F606" t="str">
        <f>IFERROR(__xludf.DUMMYFUNCTION("""COMPUTED_VALUE"""),"Administrativo de Registro Académico")</f>
        <v>Administrativo de Registro Académico</v>
      </c>
      <c r="G606" t="str">
        <f>IFERROR(__xludf.DUMMYFUNCTION("""COMPUTED_VALUE"""),"ADMINISTRATIVO DE REGISTRO ACADEMICO")</f>
        <v>ADMINISTRATIVO DE REGISTRO ACADEMICO</v>
      </c>
      <c r="H606">
        <f>IFERROR(__xludf.DUMMYFUNCTION("""COMPUTED_VALUE"""),17.0)</f>
        <v>17</v>
      </c>
      <c r="J606" t="str">
        <f>IFERROR(__xludf.DUMMYFUNCTION("""COMPUTED_VALUE"""),"A CONTRATA")</f>
        <v>A CONTRATA</v>
      </c>
      <c r="K606" t="str">
        <f>IFERROR(__xludf.DUMMYFUNCTION("""COMPUTED_VALUE"""),"ADMINISTRATIVO")</f>
        <v>ADMINISTRATIVO</v>
      </c>
      <c r="L606" t="str">
        <f>IFERROR(__xludf.DUMMYFUNCTION("""COMPUTED_VALUE"""),"INTERNO")</f>
        <v>INTERNO</v>
      </c>
      <c r="M606">
        <f>IFERROR(__xludf.DUMMYFUNCTION("""COMPUTED_VALUE"""),3.0)</f>
        <v>3</v>
      </c>
      <c r="N606" t="str">
        <f>IFERROR(__xludf.DUMMYFUNCTION("""COMPUTED_VALUE"""),"NO")</f>
        <v>NO</v>
      </c>
      <c r="R606" s="45" t="str">
        <f>IFERROR(__xludf.DUMMYFUNCTION("""COMPUTED_VALUE"""),"SELECCIONADA")</f>
        <v>SELECCIONADA</v>
      </c>
      <c r="S606" s="38">
        <f>IFERROR(__xludf.DUMMYFUNCTION("""COMPUTED_VALUE"""),41704.0)</f>
        <v>41704</v>
      </c>
      <c r="T606" t="str">
        <f>IFERROR(__xludf.DUMMYFUNCTION("""COMPUTED_VALUE"""),"LINDSAY PARRA PIZARRO")</f>
        <v>LINDSAY PARRA PIZARRO</v>
      </c>
      <c r="V606" t="str">
        <f>IFERROR(__xludf.DUMMYFUNCTION("""COMPUTED_VALUE"""),"15504352-0")</f>
        <v>15504352-0</v>
      </c>
      <c r="AA606" s="38">
        <f>IFERROR(__xludf.DUMMYFUNCTION("""COMPUTED_VALUE"""),41642.0)</f>
        <v>41642</v>
      </c>
      <c r="AB606" s="38">
        <f>IFERROR(__xludf.DUMMYFUNCTION("""COMPUTED_VALUE"""),41647.0)</f>
        <v>41647</v>
      </c>
      <c r="AC606">
        <f>IFERROR(__xludf.DUMMYFUNCTION("""COMPUTED_VALUE"""),19.0)</f>
        <v>19</v>
      </c>
      <c r="AD606" t="str">
        <f>IFERROR(__xludf.DUMMYFUNCTION("""COMPUTED_VALUE"""),"ADMINISTRATIVO")</f>
        <v>ADMINISTRATIVO</v>
      </c>
      <c r="AF606" s="46" t="str">
        <f>IFERROR(__xludf.DUMMYFUNCTION("""COMPUTED_VALUE"""),"UNIDAD DE REGISTRO  ACADEMICO")</f>
        <v>UNIDAD DE REGISTRO  ACADEMICO</v>
      </c>
      <c r="AH606" t="str">
        <f>IFERROR(__xludf.DUMMYFUNCTION("""COMPUTED_VALUE"""),"PROCESO DE SELECCIÓN")</f>
        <v>PROCESO DE SELECCIÓN</v>
      </c>
      <c r="AK606" t="str">
        <f>IFERROR(__xludf.DUMMYFUNCTION("""COMPUTED_VALUE"""),"P")</f>
        <v>P</v>
      </c>
      <c r="AL606">
        <f>IFERROR(__xludf.DUMMYFUNCTION("""COMPUTED_VALUE"""),42.0)</f>
        <v>42</v>
      </c>
      <c r="AM606">
        <f>IFERROR(__xludf.DUMMYFUNCTION("""COMPUTED_VALUE"""),2014.0)</f>
        <v>2014</v>
      </c>
    </row>
    <row r="607">
      <c r="A607">
        <f>IFERROR(__xludf.DUMMYFUNCTION("""COMPUTED_VALUE"""),1.4484032E7)</f>
        <v>14484032</v>
      </c>
      <c r="B607">
        <f>IFERROR(__xludf.DUMMYFUNCTION("""COMPUTED_VALUE"""),17.0)</f>
        <v>17</v>
      </c>
      <c r="D607" t="str">
        <f>IFERROR(__xludf.DUMMYFUNCTION("""COMPUTED_VALUE"""),"VICERRECTORIA DE VINCULACION CON EL MEDIO")</f>
        <v>VICERRECTORIA DE VINCULACION CON EL MEDIO</v>
      </c>
      <c r="E607" t="str">
        <f>IFERROR(__xludf.DUMMYFUNCTION("""COMPUTED_VALUE"""),"DEPARTAMENTO DE SELLO EDITORIAL")</f>
        <v>DEPARTAMENTO DE SELLO EDITORIAL</v>
      </c>
      <c r="F607" t="str">
        <f>IFERROR(__xludf.DUMMYFUNCTION("""COMPUTED_VALUE"""),"Administrativo de Apoyo")</f>
        <v>Administrativo de Apoyo</v>
      </c>
      <c r="G607" t="str">
        <f>IFERROR(__xludf.DUMMYFUNCTION("""COMPUTED_VALUE"""),"ADMINISTRATIVO DE APOYO")</f>
        <v>ADMINISTRATIVO DE APOYO</v>
      </c>
      <c r="H607">
        <f>IFERROR(__xludf.DUMMYFUNCTION("""COMPUTED_VALUE"""),20.0)</f>
        <v>20</v>
      </c>
      <c r="J607" t="str">
        <f>IFERROR(__xludf.DUMMYFUNCTION("""COMPUTED_VALUE"""),"A CONTRATA")</f>
        <v>A CONTRATA</v>
      </c>
      <c r="K607" t="str">
        <f>IFERROR(__xludf.DUMMYFUNCTION("""COMPUTED_VALUE"""),"ADMINISTRATIVO")</f>
        <v>ADMINISTRATIVO</v>
      </c>
      <c r="L607" t="str">
        <f>IFERROR(__xludf.DUMMYFUNCTION("""COMPUTED_VALUE"""),"INTERNO")</f>
        <v>INTERNO</v>
      </c>
      <c r="M607">
        <f>IFERROR(__xludf.DUMMYFUNCTION("""COMPUTED_VALUE"""),1.0)</f>
        <v>1</v>
      </c>
      <c r="N607" t="str">
        <f>IFERROR(__xludf.DUMMYFUNCTION("""COMPUTED_VALUE"""),"EXTERNO")</f>
        <v>EXTERNO</v>
      </c>
      <c r="O607">
        <f>IFERROR(__xludf.DUMMYFUNCTION("""COMPUTED_VALUE"""),6.0)</f>
        <v>6</v>
      </c>
      <c r="R607" s="45" t="str">
        <f>IFERROR(__xludf.DUMMYFUNCTION("""COMPUTED_VALUE"""),"SELECCIONADO")</f>
        <v>SELECCIONADO</v>
      </c>
      <c r="S607" s="38">
        <f>IFERROR(__xludf.DUMMYFUNCTION("""COMPUTED_VALUE"""),41701.0)</f>
        <v>41701</v>
      </c>
      <c r="U607" t="str">
        <f>IFERROR(__xludf.DUMMYFUNCTION("""COMPUTED_VALUE"""),"JOSE ARTURO ARROYO MANCILLA")</f>
        <v>JOSE ARTURO ARROYO MANCILLA</v>
      </c>
      <c r="V607" t="str">
        <f>IFERROR(__xludf.DUMMYFUNCTION("""COMPUTED_VALUE"""),"14484032-1")</f>
        <v>14484032-1</v>
      </c>
      <c r="AA607" s="38">
        <f>IFERROR(__xludf.DUMMYFUNCTION("""COMPUTED_VALUE"""),41642.0)</f>
        <v>41642</v>
      </c>
      <c r="AB607" s="38">
        <f>IFERROR(__xludf.DUMMYFUNCTION("""COMPUTED_VALUE"""),41647.0)</f>
        <v>41647</v>
      </c>
      <c r="AH607" t="str">
        <f>IFERROR(__xludf.DUMMYFUNCTION("""COMPUTED_VALUE"""),"PROCESO DE SELECCIÓN")</f>
        <v>PROCESO DE SELECCIÓN</v>
      </c>
      <c r="AL607">
        <f>IFERROR(__xludf.DUMMYFUNCTION("""COMPUTED_VALUE"""),39.0)</f>
        <v>39</v>
      </c>
      <c r="AM607">
        <f>IFERROR(__xludf.DUMMYFUNCTION("""COMPUTED_VALUE"""),2014.0)</f>
        <v>2014</v>
      </c>
    </row>
    <row r="608">
      <c r="A608">
        <f>IFERROR(__xludf.DUMMYFUNCTION("""COMPUTED_VALUE"""),1.615105E7)</f>
        <v>16151050</v>
      </c>
      <c r="B608">
        <f>IFERROR(__xludf.DUMMYFUNCTION("""COMPUTED_VALUE"""),19.0)</f>
        <v>19</v>
      </c>
      <c r="D608" t="str">
        <f>IFERROR(__xludf.DUMMYFUNCTION("""COMPUTED_VALUE"""),"VICERRECTORIA DE APOYO AL ESTUDIANTE")</f>
        <v>VICERRECTORIA DE APOYO AL ESTUDIANTE</v>
      </c>
      <c r="E608" t="str">
        <f>IFERROR(__xludf.DUMMYFUNCTION("""COMPUTED_VALUE"""),"DEPARTAMENTO DE BENEFICIOS ESTUDIANTILES")</f>
        <v>DEPARTAMENTO DE BENEFICIOS ESTUDIANTILES</v>
      </c>
      <c r="F608" t="str">
        <f>IFERROR(__xludf.DUMMYFUNCTION("""COMPUTED_VALUE"""),"Secretario B")</f>
        <v>Secretario B</v>
      </c>
      <c r="G608" t="str">
        <f>IFERROR(__xludf.DUMMYFUNCTION("""COMPUTED_VALUE"""),"SECRETARIA DE DEPARTAMENTO")</f>
        <v>SECRETARIA DE DEPARTAMENTO</v>
      </c>
      <c r="H608">
        <f>IFERROR(__xludf.DUMMYFUNCTION("""COMPUTED_VALUE"""),17.0)</f>
        <v>17</v>
      </c>
      <c r="J608" t="str">
        <f>IFERROR(__xludf.DUMMYFUNCTION("""COMPUTED_VALUE"""),"A CONTRATA")</f>
        <v>A CONTRATA</v>
      </c>
      <c r="K608" t="str">
        <f>IFERROR(__xludf.DUMMYFUNCTION("""COMPUTED_VALUE"""),"ADMINISTRATIVO")</f>
        <v>ADMINISTRATIVO</v>
      </c>
      <c r="L608" t="str">
        <f>IFERROR(__xludf.DUMMYFUNCTION("""COMPUTED_VALUE"""),"INTERNO")</f>
        <v>INTERNO</v>
      </c>
      <c r="M608">
        <f>IFERROR(__xludf.DUMMYFUNCTION("""COMPUTED_VALUE"""),1.0)</f>
        <v>1</v>
      </c>
      <c r="N608" t="str">
        <f>IFERROR(__xludf.DUMMYFUNCTION("""COMPUTED_VALUE"""),"EXTERNO")</f>
        <v>EXTERNO</v>
      </c>
      <c r="O608">
        <f>IFERROR(__xludf.DUMMYFUNCTION("""COMPUTED_VALUE"""),8.0)</f>
        <v>8</v>
      </c>
      <c r="R608" s="45" t="str">
        <f>IFERROR(__xludf.DUMMYFUNCTION("""COMPUTED_VALUE"""),"SELECCIONADA")</f>
        <v>SELECCIONADA</v>
      </c>
      <c r="S608" s="38">
        <f>IFERROR(__xludf.DUMMYFUNCTION("""COMPUTED_VALUE"""),41715.0)</f>
        <v>41715</v>
      </c>
      <c r="U608" t="str">
        <f>IFERROR(__xludf.DUMMYFUNCTION("""COMPUTED_VALUE"""),"LUISA ROJAS MENESES")</f>
        <v>LUISA ROJAS MENESES</v>
      </c>
      <c r="V608" t="str">
        <f>IFERROR(__xludf.DUMMYFUNCTION("""COMPUTED_VALUE"""),"16151050-5")</f>
        <v>16151050-5</v>
      </c>
      <c r="AA608" s="38">
        <f>IFERROR(__xludf.DUMMYFUNCTION("""COMPUTED_VALUE"""),41642.0)</f>
        <v>41642</v>
      </c>
      <c r="AB608" s="38">
        <f>IFERROR(__xludf.DUMMYFUNCTION("""COMPUTED_VALUE"""),41647.0)</f>
        <v>41647</v>
      </c>
      <c r="AH608" t="str">
        <f>IFERROR(__xludf.DUMMYFUNCTION("""COMPUTED_VALUE"""),"PROCESO DE SELECCIÓN")</f>
        <v>PROCESO DE SELECCIÓN</v>
      </c>
      <c r="AL608">
        <f>IFERROR(__xludf.DUMMYFUNCTION("""COMPUTED_VALUE"""),49.0)</f>
        <v>49</v>
      </c>
      <c r="AM608">
        <f>IFERROR(__xludf.DUMMYFUNCTION("""COMPUTED_VALUE"""),2014.0)</f>
        <v>2014</v>
      </c>
    </row>
    <row r="609">
      <c r="A609">
        <f>IFERROR(__xludf.DUMMYFUNCTION("""COMPUTED_VALUE"""),1.0596564E7)</f>
        <v>10596564</v>
      </c>
      <c r="B609">
        <f>IFERROR(__xludf.DUMMYFUNCTION("""COMPUTED_VALUE"""),11.0)</f>
        <v>11</v>
      </c>
      <c r="D609" t="str">
        <f>IFERROR(__xludf.DUMMYFUNCTION("""COMPUTED_VALUE"""),"FACULTAD DE HUMANIDADES")</f>
        <v>FACULTAD DE HUMANIDADES</v>
      </c>
      <c r="E609" t="str">
        <f>IFERROR(__xludf.DUMMYFUNCTION("""COMPUTED_VALUE"""),"DEPARTAMENTO DE LINGÜISTICA Y LITERATURA")</f>
        <v>DEPARTAMENTO DE LINGÜISTICA Y LITERATURA</v>
      </c>
      <c r="F609" t="str">
        <f>IFERROR(__xludf.DUMMYFUNCTION("""COMPUTED_VALUE"""),"Estafeta")</f>
        <v>Estafeta</v>
      </c>
      <c r="G609" t="str">
        <f>IFERROR(__xludf.DUMMYFUNCTION("""COMPUTED_VALUE"""),"ESTAFETA")</f>
        <v>ESTAFETA</v>
      </c>
      <c r="H609">
        <f>IFERROR(__xludf.DUMMYFUNCTION("""COMPUTED_VALUE"""),23.0)</f>
        <v>23</v>
      </c>
      <c r="J609" t="str">
        <f>IFERROR(__xludf.DUMMYFUNCTION("""COMPUTED_VALUE"""),"A CONTRATA")</f>
        <v>A CONTRATA</v>
      </c>
      <c r="K609" t="str">
        <f>IFERROR(__xludf.DUMMYFUNCTION("""COMPUTED_VALUE"""),"AUXILIAR")</f>
        <v>AUXILIAR</v>
      </c>
      <c r="L609" t="str">
        <f>IFERROR(__xludf.DUMMYFUNCTION("""COMPUTED_VALUE"""),"INTERNO")</f>
        <v>INTERNO</v>
      </c>
      <c r="M609">
        <f>IFERROR(__xludf.DUMMYFUNCTION("""COMPUTED_VALUE"""),0.0)</f>
        <v>0</v>
      </c>
      <c r="N609" t="str">
        <f>IFERROR(__xludf.DUMMYFUNCTION("""COMPUTED_VALUE"""),"EXTERNO")</f>
        <v>EXTERNO</v>
      </c>
      <c r="O609">
        <f>IFERROR(__xludf.DUMMYFUNCTION("""COMPUTED_VALUE"""),17.0)</f>
        <v>17</v>
      </c>
      <c r="R609" s="45" t="str">
        <f>IFERROR(__xludf.DUMMYFUNCTION("""COMPUTED_VALUE"""),"SELECCIONADO")</f>
        <v>SELECCIONADO</v>
      </c>
      <c r="S609" s="38">
        <f>IFERROR(__xludf.DUMMYFUNCTION("""COMPUTED_VALUE"""),41701.0)</f>
        <v>41701</v>
      </c>
      <c r="U609" t="str">
        <f>IFERROR(__xludf.DUMMYFUNCTION("""COMPUTED_VALUE"""),"JOSE ANTONIO ORTEGA PINO")</f>
        <v>JOSE ANTONIO ORTEGA PINO</v>
      </c>
      <c r="V609" t="str">
        <f>IFERROR(__xludf.DUMMYFUNCTION("""COMPUTED_VALUE"""),"10596564-8")</f>
        <v>10596564-8</v>
      </c>
      <c r="AA609" s="38">
        <f>IFERROR(__xludf.DUMMYFUNCTION("""COMPUTED_VALUE"""),41645.0)</f>
        <v>41645</v>
      </c>
      <c r="AB609" s="38">
        <f>IFERROR(__xludf.DUMMYFUNCTION("""COMPUTED_VALUE"""),41648.0)</f>
        <v>41648</v>
      </c>
      <c r="AH609" t="str">
        <f>IFERROR(__xludf.DUMMYFUNCTION("""COMPUTED_VALUE"""),"PROCESO DE SELECCIÓN")</f>
        <v>PROCESO DE SELECCIÓN</v>
      </c>
      <c r="AK609" t="str">
        <f>IFERROR(__xludf.DUMMYFUNCTION("""COMPUTED_VALUE"""),"C")</f>
        <v>C</v>
      </c>
      <c r="AL609">
        <f>IFERROR(__xludf.DUMMYFUNCTION("""COMPUTED_VALUE"""),38.0)</f>
        <v>38</v>
      </c>
      <c r="AM609">
        <f>IFERROR(__xludf.DUMMYFUNCTION("""COMPUTED_VALUE"""),2014.0)</f>
        <v>2014</v>
      </c>
    </row>
    <row r="610">
      <c r="A610">
        <f>IFERROR(__xludf.DUMMYFUNCTION("""COMPUTED_VALUE"""),1.3137647E7)</f>
        <v>13137647</v>
      </c>
      <c r="B610">
        <f>IFERROR(__xludf.DUMMYFUNCTION("""COMPUTED_VALUE"""),21.0)</f>
        <v>21</v>
      </c>
      <c r="D610" t="str">
        <f>IFERROR(__xludf.DUMMYFUNCTION("""COMPUTED_VALUE"""),"FACULTAD DE INGENIERIA")</f>
        <v>FACULTAD DE INGENIERIA</v>
      </c>
      <c r="E610" t="str">
        <f>IFERROR(__xludf.DUMMYFUNCTION("""COMPUTED_VALUE"""),"DEPARTAMENTO DE INGENIERIA GEOGRAFICA")</f>
        <v>DEPARTAMENTO DE INGENIERIA GEOGRAFICA</v>
      </c>
      <c r="F610" t="str">
        <f>IFERROR(__xludf.DUMMYFUNCTION("""COMPUTED_VALUE"""),"Estafeta")</f>
        <v>Estafeta</v>
      </c>
      <c r="G610" t="str">
        <f>IFERROR(__xludf.DUMMYFUNCTION("""COMPUTED_VALUE"""),"ESTAFETA")</f>
        <v>ESTAFETA</v>
      </c>
      <c r="H610">
        <f>IFERROR(__xludf.DUMMYFUNCTION("""COMPUTED_VALUE"""),23.0)</f>
        <v>23</v>
      </c>
      <c r="J610" t="str">
        <f>IFERROR(__xludf.DUMMYFUNCTION("""COMPUTED_VALUE"""),"A CONTRATA")</f>
        <v>A CONTRATA</v>
      </c>
      <c r="K610" t="str">
        <f>IFERROR(__xludf.DUMMYFUNCTION("""COMPUTED_VALUE"""),"AUXILIAR")</f>
        <v>AUXILIAR</v>
      </c>
      <c r="L610" t="str">
        <f>IFERROR(__xludf.DUMMYFUNCTION("""COMPUTED_VALUE"""),"INTERNO")</f>
        <v>INTERNO</v>
      </c>
      <c r="M610">
        <f>IFERROR(__xludf.DUMMYFUNCTION("""COMPUTED_VALUE"""),1.0)</f>
        <v>1</v>
      </c>
      <c r="N610" t="str">
        <f>IFERROR(__xludf.DUMMYFUNCTION("""COMPUTED_VALUE"""),"NO")</f>
        <v>NO</v>
      </c>
      <c r="R610" s="45" t="str">
        <f>IFERROR(__xludf.DUMMYFUNCTION("""COMPUTED_VALUE"""),"SELECCIONADO")</f>
        <v>SELECCIONADO</v>
      </c>
      <c r="S610" s="38">
        <f>IFERROR(__xludf.DUMMYFUNCTION("""COMPUTED_VALUE"""),41701.0)</f>
        <v>41701</v>
      </c>
      <c r="T610" t="str">
        <f>IFERROR(__xludf.DUMMYFUNCTION("""COMPUTED_VALUE"""),"PATRICIO EDUARDO RIVERA RETAMAL")</f>
        <v>PATRICIO EDUARDO RIVERA RETAMAL</v>
      </c>
      <c r="V610" t="str">
        <f>IFERROR(__xludf.DUMMYFUNCTION("""COMPUTED_VALUE"""),"13137647-2")</f>
        <v>13137647-2</v>
      </c>
      <c r="AA610" s="38">
        <f>IFERROR(__xludf.DUMMYFUNCTION("""COMPUTED_VALUE"""),41645.0)</f>
        <v>41645</v>
      </c>
      <c r="AB610" s="38">
        <f>IFERROR(__xludf.DUMMYFUNCTION("""COMPUTED_VALUE"""),41648.0)</f>
        <v>41648</v>
      </c>
      <c r="AC610">
        <f>IFERROR(__xludf.DUMMYFUNCTION("""COMPUTED_VALUE"""),19.0)</f>
        <v>19</v>
      </c>
      <c r="AD610" t="str">
        <f>IFERROR(__xludf.DUMMYFUNCTION("""COMPUTED_VALUE"""),"TECNICO")</f>
        <v>TECNICO</v>
      </c>
      <c r="AF610" s="46" t="str">
        <f>IFERROR(__xludf.DUMMYFUNCTION("""COMPUTED_VALUE"""),"INSPECTOR DE SALA")</f>
        <v>INSPECTOR DE SALA</v>
      </c>
      <c r="AH610" t="str">
        <f>IFERROR(__xludf.DUMMYFUNCTION("""COMPUTED_VALUE"""),"PROCESO DE SELECCIÓN")</f>
        <v>PROCESO DE SELECCIÓN</v>
      </c>
      <c r="AL610">
        <f>IFERROR(__xludf.DUMMYFUNCTION("""COMPUTED_VALUE"""),38.0)</f>
        <v>38</v>
      </c>
      <c r="AM610">
        <f>IFERROR(__xludf.DUMMYFUNCTION("""COMPUTED_VALUE"""),2014.0)</f>
        <v>2014</v>
      </c>
    </row>
    <row r="611">
      <c r="A611">
        <f>IFERROR(__xludf.DUMMYFUNCTION("""COMPUTED_VALUE"""),1.6076753E7)</f>
        <v>16076753</v>
      </c>
      <c r="B611">
        <f>IFERROR(__xludf.DUMMYFUNCTION("""COMPUTED_VALUE"""),16.0)</f>
        <v>16</v>
      </c>
      <c r="D611" t="str">
        <f>IFERROR(__xludf.DUMMYFUNCTION("""COMPUTED_VALUE"""),"VICERRECTORIA ACADEMICA")</f>
        <v>VICERRECTORIA ACADEMICA</v>
      </c>
      <c r="E611" t="str">
        <f>IFERROR(__xludf.DUMMYFUNCTION("""COMPUTED_VALUE"""),"PROGRAMA BACHILLERATO")</f>
        <v>PROGRAMA BACHILLERATO</v>
      </c>
      <c r="F611" t="str">
        <f>IFERROR(__xludf.DUMMYFUNCTION("""COMPUTED_VALUE"""),"Técnico de Laboratorio")</f>
        <v>Técnico de Laboratorio</v>
      </c>
      <c r="G611" t="str">
        <f>IFERROR(__xludf.DUMMYFUNCTION("""COMPUTED_VALUE"""),"TECNICO DE LABORATORIO")</f>
        <v>TECNICO DE LABORATORIO</v>
      </c>
      <c r="H611">
        <f>IFERROR(__xludf.DUMMYFUNCTION("""COMPUTED_VALUE"""),17.0)</f>
        <v>17</v>
      </c>
      <c r="J611" t="str">
        <f>IFERROR(__xludf.DUMMYFUNCTION("""COMPUTED_VALUE"""),"A CONTRATA")</f>
        <v>A CONTRATA</v>
      </c>
      <c r="K611" t="str">
        <f>IFERROR(__xludf.DUMMYFUNCTION("""COMPUTED_VALUE"""),"TECNICO")</f>
        <v>TECNICO</v>
      </c>
      <c r="L611" t="str">
        <f>IFERROR(__xludf.DUMMYFUNCTION("""COMPUTED_VALUE"""),"INTERNO")</f>
        <v>INTERNO</v>
      </c>
      <c r="M611">
        <f>IFERROR(__xludf.DUMMYFUNCTION("""COMPUTED_VALUE"""),1.0)</f>
        <v>1</v>
      </c>
      <c r="N611" t="str">
        <f>IFERROR(__xludf.DUMMYFUNCTION("""COMPUTED_VALUE"""),"NO")</f>
        <v>NO</v>
      </c>
      <c r="R611" s="45" t="str">
        <f>IFERROR(__xludf.DUMMYFUNCTION("""COMPUTED_VALUE"""),"SELECCIONADO")</f>
        <v>SELECCIONADO</v>
      </c>
      <c r="S611" s="38">
        <f>IFERROR(__xludf.DUMMYFUNCTION("""COMPUTED_VALUE"""),41708.0)</f>
        <v>41708</v>
      </c>
      <c r="T611" t="str">
        <f>IFERROR(__xludf.DUMMYFUNCTION("""COMPUTED_VALUE"""),"SERGIO ANDRES BRAVO VERGARA")</f>
        <v>SERGIO ANDRES BRAVO VERGARA</v>
      </c>
      <c r="V611" t="str">
        <f>IFERROR(__xludf.DUMMYFUNCTION("""COMPUTED_VALUE"""),"16076753-7")</f>
        <v>16076753-7</v>
      </c>
      <c r="AA611" s="38">
        <f>IFERROR(__xludf.DUMMYFUNCTION("""COMPUTED_VALUE"""),41647.0)</f>
        <v>41647</v>
      </c>
      <c r="AB611" s="38">
        <f>IFERROR(__xludf.DUMMYFUNCTION("""COMPUTED_VALUE"""),41652.0)</f>
        <v>41652</v>
      </c>
      <c r="AH611" t="str">
        <f>IFERROR(__xludf.DUMMYFUNCTION("""COMPUTED_VALUE"""),"PROCESO DE SELECCIÓN")</f>
        <v>PROCESO DE SELECCIÓN</v>
      </c>
      <c r="AL611">
        <f>IFERROR(__xludf.DUMMYFUNCTION("""COMPUTED_VALUE"""),41.0)</f>
        <v>41</v>
      </c>
      <c r="AM611">
        <f>IFERROR(__xludf.DUMMYFUNCTION("""COMPUTED_VALUE"""),2014.0)</f>
        <v>2014</v>
      </c>
    </row>
    <row r="612">
      <c r="A612">
        <f>IFERROR(__xludf.DUMMYFUNCTION("""COMPUTED_VALUE"""),1.2359929E7)</f>
        <v>12359929</v>
      </c>
      <c r="B612">
        <f>IFERROR(__xludf.DUMMYFUNCTION("""COMPUTED_VALUE"""),10.0)</f>
        <v>10</v>
      </c>
      <c r="D612" t="str">
        <f>IFERROR(__xludf.DUMMYFUNCTION("""COMPUTED_VALUE"""),"VICERRECTORIA DE APOYO AL ESTUDIANTE")</f>
        <v>VICERRECTORIA DE APOYO AL ESTUDIANTE</v>
      </c>
      <c r="E612" t="str">
        <f>IFERROR(__xludf.DUMMYFUNCTION("""COMPUTED_VALUE"""),"VICERRECTORIA DE APOYO AL ESTUDIANTE")</f>
        <v>VICERRECTORIA DE APOYO AL ESTUDIANTE</v>
      </c>
      <c r="F612" t="str">
        <f>IFERROR(__xludf.DUMMYFUNCTION("""COMPUTED_VALUE"""),"Secretario A")</f>
        <v>Secretario A</v>
      </c>
      <c r="G612" t="str">
        <f>IFERROR(__xludf.DUMMYFUNCTION("""COMPUTED_VALUE"""),"SECRETARIA DE VICERRECTORIA")</f>
        <v>SECRETARIA DE VICERRECTORIA</v>
      </c>
      <c r="H612">
        <f>IFERROR(__xludf.DUMMYFUNCTION("""COMPUTED_VALUE"""),13.0)</f>
        <v>13</v>
      </c>
      <c r="J612" t="str">
        <f>IFERROR(__xludf.DUMMYFUNCTION("""COMPUTED_VALUE"""),"A CONTRATA")</f>
        <v>A CONTRATA</v>
      </c>
      <c r="K612" t="str">
        <f>IFERROR(__xludf.DUMMYFUNCTION("""COMPUTED_VALUE"""),"ADMINISTRATIVO")</f>
        <v>ADMINISTRATIVO</v>
      </c>
      <c r="L612" t="str">
        <f>IFERROR(__xludf.DUMMYFUNCTION("""COMPUTED_VALUE"""),"INTERNO")</f>
        <v>INTERNO</v>
      </c>
      <c r="M612">
        <f>IFERROR(__xludf.DUMMYFUNCTION("""COMPUTED_VALUE"""),2.0)</f>
        <v>2</v>
      </c>
      <c r="N612" t="str">
        <f>IFERROR(__xludf.DUMMYFUNCTION("""COMPUTED_VALUE"""),"NO")</f>
        <v>NO</v>
      </c>
      <c r="O612">
        <f>IFERROR(__xludf.DUMMYFUNCTION("""COMPUTED_VALUE"""),13.0)</f>
        <v>13</v>
      </c>
      <c r="R612" s="45" t="str">
        <f>IFERROR(__xludf.DUMMYFUNCTION("""COMPUTED_VALUE"""),"SELECCIONADA")</f>
        <v>SELECCIONADA</v>
      </c>
      <c r="S612" s="38">
        <f>IFERROR(__xludf.DUMMYFUNCTION("""COMPUTED_VALUE"""),41704.0)</f>
        <v>41704</v>
      </c>
      <c r="T612" t="str">
        <f>IFERROR(__xludf.DUMMYFUNCTION("""COMPUTED_VALUE"""),"MAGDALENA CASTILLO DIAZ")</f>
        <v>MAGDALENA CASTILLO DIAZ</v>
      </c>
      <c r="V612" t="str">
        <f>IFERROR(__xludf.DUMMYFUNCTION("""COMPUTED_VALUE"""),"12359929-2")</f>
        <v>12359929-2</v>
      </c>
      <c r="AA612" s="38">
        <f>IFERROR(__xludf.DUMMYFUNCTION("""COMPUTED_VALUE"""),41649.0)</f>
        <v>41649</v>
      </c>
      <c r="AB612" s="38">
        <f>IFERROR(__xludf.DUMMYFUNCTION("""COMPUTED_VALUE"""),41655.0)</f>
        <v>41655</v>
      </c>
      <c r="AC612">
        <f>IFERROR(__xludf.DUMMYFUNCTION("""COMPUTED_VALUE"""),15.0)</f>
        <v>15</v>
      </c>
      <c r="AD612" t="str">
        <f>IFERROR(__xludf.DUMMYFUNCTION("""COMPUTED_VALUE"""),"ADMINISTRATIVO")</f>
        <v>ADMINISTRATIVO</v>
      </c>
      <c r="AF612" s="46" t="str">
        <f>IFERROR(__xludf.DUMMYFUNCTION("""COMPUTED_VALUE"""),"DEPARTAMENTO DE CALIDAD DE VIDA ESTUDIANTIL")</f>
        <v>DEPARTAMENTO DE CALIDAD DE VIDA ESTUDIANTIL</v>
      </c>
      <c r="AH612" t="str">
        <f>IFERROR(__xludf.DUMMYFUNCTION("""COMPUTED_VALUE"""),"PROCESO DE SELECCIÓN")</f>
        <v>PROCESO DE SELECCIÓN</v>
      </c>
      <c r="AK612" t="str">
        <f>IFERROR(__xludf.DUMMYFUNCTION("""COMPUTED_VALUE"""),"P")</f>
        <v>P</v>
      </c>
      <c r="AL612">
        <f>IFERROR(__xludf.DUMMYFUNCTION("""COMPUTED_VALUE"""),36.0)</f>
        <v>36</v>
      </c>
      <c r="AM612">
        <f>IFERROR(__xludf.DUMMYFUNCTION("""COMPUTED_VALUE"""),2014.0)</f>
        <v>2014</v>
      </c>
    </row>
    <row r="613">
      <c r="A613">
        <f>IFERROR(__xludf.DUMMYFUNCTION("""COMPUTED_VALUE"""),1.6418228E7)</f>
        <v>16418228</v>
      </c>
      <c r="B613">
        <f>IFERROR(__xludf.DUMMYFUNCTION("""COMPUTED_VALUE"""),22.0)</f>
        <v>22</v>
      </c>
      <c r="D613" t="str">
        <f>IFERROR(__xludf.DUMMYFUNCTION("""COMPUTED_VALUE"""),"FACULTAD DE HUMANIDADES")</f>
        <v>FACULTAD DE HUMANIDADES</v>
      </c>
      <c r="E613" t="str">
        <f>IFERROR(__xludf.DUMMYFUNCTION("""COMPUTED_VALUE"""),"ESCUELA DE PERIODISMO")</f>
        <v>ESCUELA DE PERIODISMO</v>
      </c>
      <c r="F613" t="str">
        <f>IFERROR(__xludf.DUMMYFUNCTION("""COMPUTED_VALUE"""),"Estafeta")</f>
        <v>Estafeta</v>
      </c>
      <c r="G613" t="str">
        <f>IFERROR(__xludf.DUMMYFUNCTION("""COMPUTED_VALUE"""),"ESTAFETA")</f>
        <v>ESTAFETA</v>
      </c>
      <c r="H613">
        <f>IFERROR(__xludf.DUMMYFUNCTION("""COMPUTED_VALUE"""),23.0)</f>
        <v>23</v>
      </c>
      <c r="J613" t="str">
        <f>IFERROR(__xludf.DUMMYFUNCTION("""COMPUTED_VALUE"""),"A CONTRATA")</f>
        <v>A CONTRATA</v>
      </c>
      <c r="K613" t="str">
        <f>IFERROR(__xludf.DUMMYFUNCTION("""COMPUTED_VALUE"""),"AUXILIAR")</f>
        <v>AUXILIAR</v>
      </c>
      <c r="L613" t="str">
        <f>IFERROR(__xludf.DUMMYFUNCTION("""COMPUTED_VALUE"""),"INTERNO")</f>
        <v>INTERNO</v>
      </c>
      <c r="M613">
        <f>IFERROR(__xludf.DUMMYFUNCTION("""COMPUTED_VALUE"""),0.0)</f>
        <v>0</v>
      </c>
      <c r="N613" t="str">
        <f>IFERROR(__xludf.DUMMYFUNCTION("""COMPUTED_VALUE"""),"EXTERNO")</f>
        <v>EXTERNO</v>
      </c>
      <c r="O613">
        <f>IFERROR(__xludf.DUMMYFUNCTION("""COMPUTED_VALUE"""),6.0)</f>
        <v>6</v>
      </c>
      <c r="R613" s="45" t="str">
        <f>IFERROR(__xludf.DUMMYFUNCTION("""COMPUTED_VALUE"""),"SELECCIONADO")</f>
        <v>SELECCIONADO</v>
      </c>
      <c r="S613" s="38">
        <f>IFERROR(__xludf.DUMMYFUNCTION("""COMPUTED_VALUE"""),41722.0)</f>
        <v>41722</v>
      </c>
      <c r="U613" t="str">
        <f>IFERROR(__xludf.DUMMYFUNCTION("""COMPUTED_VALUE"""),"JOSE HUENUQUEO FERRADA")</f>
        <v>JOSE HUENUQUEO FERRADA</v>
      </c>
      <c r="V613" t="str">
        <f>IFERROR(__xludf.DUMMYFUNCTION("""COMPUTED_VALUE"""),"16418228-2")</f>
        <v>16418228-2</v>
      </c>
      <c r="AA613" s="38">
        <f>IFERROR(__xludf.DUMMYFUNCTION("""COMPUTED_VALUE"""),41652.0)</f>
        <v>41652</v>
      </c>
      <c r="AB613" s="38">
        <f>IFERROR(__xludf.DUMMYFUNCTION("""COMPUTED_VALUE"""),41655.0)</f>
        <v>41655</v>
      </c>
      <c r="AH613" t="str">
        <f>IFERROR(__xludf.DUMMYFUNCTION("""COMPUTED_VALUE"""),"PROCESO DE SELECCIÓN")</f>
        <v>PROCESO DE SELECCIÓN</v>
      </c>
      <c r="AL613">
        <f>IFERROR(__xludf.DUMMYFUNCTION("""COMPUTED_VALUE"""),48.0)</f>
        <v>48</v>
      </c>
      <c r="AM613">
        <f>IFERROR(__xludf.DUMMYFUNCTION("""COMPUTED_VALUE"""),2014.0)</f>
        <v>2014</v>
      </c>
    </row>
    <row r="614">
      <c r="A614">
        <f>IFERROR(__xludf.DUMMYFUNCTION("""COMPUTED_VALUE"""),1.210064E7)</f>
        <v>12100640</v>
      </c>
      <c r="B614">
        <f>IFERROR(__xludf.DUMMYFUNCTION("""COMPUTED_VALUE"""),63.0)</f>
        <v>63</v>
      </c>
      <c r="D614" t="str">
        <f>IFERROR(__xludf.DUMMYFUNCTION("""COMPUTED_VALUE"""),"VICERRECTORIA DE VINCULACION CON EL MEDIO")</f>
        <v>VICERRECTORIA DE VINCULACION CON EL MEDIO</v>
      </c>
      <c r="E614" t="str">
        <f>IFERROR(__xludf.DUMMYFUNCTION("""COMPUTED_VALUE"""),"DEPARTAMENTO DE RELACIONES INTERUNIVERSITARIAS E INTERNACIONALES")</f>
        <v>DEPARTAMENTO DE RELACIONES INTERUNIVERSITARIAS E INTERNACIONALES</v>
      </c>
      <c r="F614" t="str">
        <f>IFERROR(__xludf.DUMMYFUNCTION("""COMPUTED_VALUE"""),"Analista de Gestión I")</f>
        <v>Analista de Gestión I</v>
      </c>
      <c r="G614" t="str">
        <f>IFERROR(__xludf.DUMMYFUNCTION("""COMPUTED_VALUE"""),"ANALISTA DE GESTION")</f>
        <v>ANALISTA DE GESTION</v>
      </c>
      <c r="H614">
        <f>IFERROR(__xludf.DUMMYFUNCTION("""COMPUTED_VALUE"""),8.0)</f>
        <v>8</v>
      </c>
      <c r="J614" t="str">
        <f>IFERROR(__xludf.DUMMYFUNCTION("""COMPUTED_VALUE"""),"A CONTRATA")</f>
        <v>A CONTRATA</v>
      </c>
      <c r="K614" t="str">
        <f>IFERROR(__xludf.DUMMYFUNCTION("""COMPUTED_VALUE"""),"PROFESIONAL")</f>
        <v>PROFESIONAL</v>
      </c>
      <c r="L614" t="str">
        <f>IFERROR(__xludf.DUMMYFUNCTION("""COMPUTED_VALUE"""),"INTERNO")</f>
        <v>INTERNO</v>
      </c>
      <c r="M614">
        <f>IFERROR(__xludf.DUMMYFUNCTION("""COMPUTED_VALUE"""),2.0)</f>
        <v>2</v>
      </c>
      <c r="N614" t="str">
        <f>IFERROR(__xludf.DUMMYFUNCTION("""COMPUTED_VALUE"""),"EXTERNO")</f>
        <v>EXTERNO</v>
      </c>
      <c r="O614">
        <f>IFERROR(__xludf.DUMMYFUNCTION("""COMPUTED_VALUE"""),37.0)</f>
        <v>37</v>
      </c>
      <c r="P614">
        <f>IFERROR(__xludf.DUMMYFUNCTION("""COMPUTED_VALUE"""),4.0)</f>
        <v>4</v>
      </c>
      <c r="Q614">
        <f>IFERROR(__xludf.DUMMYFUNCTION("""COMPUTED_VALUE"""),1.0)</f>
        <v>1</v>
      </c>
      <c r="R614" s="45" t="str">
        <f>IFERROR(__xludf.DUMMYFUNCTION("""COMPUTED_VALUE"""),"SELECCIONADA")</f>
        <v>SELECCIONADA</v>
      </c>
      <c r="S614" s="38">
        <f>IFERROR(__xludf.DUMMYFUNCTION("""COMPUTED_VALUE"""),41757.0)</f>
        <v>41757</v>
      </c>
      <c r="U614" t="str">
        <f>IFERROR(__xludf.DUMMYFUNCTION("""COMPUTED_VALUE"""),"BILHA OJEDA TAPIA")</f>
        <v>BILHA OJEDA TAPIA</v>
      </c>
      <c r="V614" t="str">
        <f>IFERROR(__xludf.DUMMYFUNCTION("""COMPUTED_VALUE"""),"12100640-5")</f>
        <v>12100640-5</v>
      </c>
      <c r="AA614" s="38">
        <f>IFERROR(__xludf.DUMMYFUNCTION("""COMPUTED_VALUE"""),41648.0)</f>
        <v>41648</v>
      </c>
      <c r="AB614" s="38">
        <f>IFERROR(__xludf.DUMMYFUNCTION("""COMPUTED_VALUE"""),41655.0)</f>
        <v>41655</v>
      </c>
      <c r="AH614" t="str">
        <f>IFERROR(__xludf.DUMMYFUNCTION("""COMPUTED_VALUE"""),"PROCESO DE SELECCIÓN")</f>
        <v>PROCESO DE SELECCIÓN</v>
      </c>
      <c r="AK614" t="str">
        <f>IFERROR(__xludf.DUMMYFUNCTION("""COMPUTED_VALUE"""),"E")</f>
        <v>E</v>
      </c>
      <c r="AL614">
        <f>IFERROR(__xludf.DUMMYFUNCTION("""COMPUTED_VALUE"""),73.0)</f>
        <v>73</v>
      </c>
      <c r="AM614">
        <f>IFERROR(__xludf.DUMMYFUNCTION("""COMPUTED_VALUE"""),2014.0)</f>
        <v>2014</v>
      </c>
    </row>
    <row r="615">
      <c r="A615">
        <f>IFERROR(__xludf.DUMMYFUNCTION("""COMPUTED_VALUE"""),1.8698458E7)</f>
        <v>18698458</v>
      </c>
      <c r="B615">
        <f>IFERROR(__xludf.DUMMYFUNCTION("""COMPUTED_VALUE"""),109.0)</f>
        <v>109</v>
      </c>
      <c r="D615" t="str">
        <f>IFERROR(__xludf.DUMMYFUNCTION("""COMPUTED_VALUE"""),"PRORRECTORIA")</f>
        <v>PRORRECTORIA</v>
      </c>
      <c r="E615" t="str">
        <f>IFERROR(__xludf.DUMMYFUNCTION("""COMPUTED_VALUE"""),"DEPARTAMENTO DE DESARROLLO DE PERSONAS")</f>
        <v>DEPARTAMENTO DE DESARROLLO DE PERSONAS</v>
      </c>
      <c r="F615" t="str">
        <f>IFERROR(__xludf.DUMMYFUNCTION("""COMPUTED_VALUE"""),"Administrativo de Apoyo")</f>
        <v>Administrativo de Apoyo</v>
      </c>
      <c r="G615" t="str">
        <f>IFERROR(__xludf.DUMMYFUNCTION("""COMPUTED_VALUE"""),"ADMINISTRATIVO DE APOYO")</f>
        <v>ADMINISTRATIVO DE APOYO</v>
      </c>
      <c r="H615">
        <f>IFERROR(__xludf.DUMMYFUNCTION("""COMPUTED_VALUE"""),20.0)</f>
        <v>20</v>
      </c>
      <c r="J615" t="str">
        <f>IFERROR(__xludf.DUMMYFUNCTION("""COMPUTED_VALUE"""),"A CONTRATA")</f>
        <v>A CONTRATA</v>
      </c>
      <c r="K615" t="str">
        <f>IFERROR(__xludf.DUMMYFUNCTION("""COMPUTED_VALUE"""),"ADMINISTRATIVO")</f>
        <v>ADMINISTRATIVO</v>
      </c>
      <c r="L615" t="str">
        <f>IFERROR(__xludf.DUMMYFUNCTION("""COMPUTED_VALUE"""),"INTERNO")</f>
        <v>INTERNO</v>
      </c>
      <c r="M615">
        <f>IFERROR(__xludf.DUMMYFUNCTION("""COMPUTED_VALUE"""),2.0)</f>
        <v>2</v>
      </c>
      <c r="N615" t="str">
        <f>IFERROR(__xludf.DUMMYFUNCTION("""COMPUTED_VALUE"""),"EXTERNO")</f>
        <v>EXTERNO</v>
      </c>
      <c r="O615">
        <f>IFERROR(__xludf.DUMMYFUNCTION("""COMPUTED_VALUE"""),13.0)</f>
        <v>13</v>
      </c>
      <c r="P615">
        <f>IFERROR(__xludf.DUMMYFUNCTION("""COMPUTED_VALUE"""),2.0)</f>
        <v>2</v>
      </c>
      <c r="Q615">
        <f>IFERROR(__xludf.DUMMYFUNCTION("""COMPUTED_VALUE"""),1.0)</f>
        <v>1</v>
      </c>
      <c r="R615" s="45" t="str">
        <f>IFERROR(__xludf.DUMMYFUNCTION("""COMPUTED_VALUE"""),"SELECCIONADA")</f>
        <v>SELECCIONADA</v>
      </c>
      <c r="S615" s="38">
        <f>IFERROR(__xludf.DUMMYFUNCTION("""COMPUTED_VALUE"""),41711.0)</f>
        <v>41711</v>
      </c>
      <c r="U615" t="str">
        <f>IFERROR(__xludf.DUMMYFUNCTION("""COMPUTED_VALUE"""),"CAROLINA FARAY FARAY")</f>
        <v>CAROLINA FARAY FARAY</v>
      </c>
      <c r="V615" t="str">
        <f>IFERROR(__xludf.DUMMYFUNCTION("""COMPUTED_VALUE"""),"18698458-6")</f>
        <v>18698458-6</v>
      </c>
      <c r="W615" t="str">
        <f>IFERROR(__xludf.DUMMYFUNCTION("""COMPUTED_VALUE"""),"No")</f>
        <v>No</v>
      </c>
      <c r="AA615" s="38">
        <f>IFERROR(__xludf.DUMMYFUNCTION("""COMPUTED_VALUE"""),41659.0)</f>
        <v>41659</v>
      </c>
      <c r="AB615" s="38">
        <f>IFERROR(__xludf.DUMMYFUNCTION("""COMPUTED_VALUE"""),41662.0)</f>
        <v>41662</v>
      </c>
      <c r="AH615" t="str">
        <f>IFERROR(__xludf.DUMMYFUNCTION("""COMPUTED_VALUE"""),"PROCESO DE SELECCIÓN")</f>
        <v>PROCESO DE SELECCIÓN</v>
      </c>
      <c r="AK615" t="str">
        <f>IFERROR(__xludf.DUMMYFUNCTION("""COMPUTED_VALUE"""),"C")</f>
        <v>C</v>
      </c>
      <c r="AL615">
        <f>IFERROR(__xludf.DUMMYFUNCTION("""COMPUTED_VALUE"""),36.0)</f>
        <v>36</v>
      </c>
      <c r="AM615">
        <f>IFERROR(__xludf.DUMMYFUNCTION("""COMPUTED_VALUE"""),2014.0)</f>
        <v>2014</v>
      </c>
    </row>
    <row r="616">
      <c r="A616">
        <f>IFERROR(__xludf.DUMMYFUNCTION("""COMPUTED_VALUE"""),1.739137E7)</f>
        <v>17391370</v>
      </c>
      <c r="B616">
        <f>IFERROR(__xludf.DUMMYFUNCTION("""COMPUTED_VALUE"""),53.0)</f>
        <v>53</v>
      </c>
      <c r="D616" t="str">
        <f>IFERROR(__xludf.DUMMYFUNCTION("""COMPUTED_VALUE"""),"VICERRECTORIA DE APOYO AL ESTUDIANTE")</f>
        <v>VICERRECTORIA DE APOYO AL ESTUDIANTE</v>
      </c>
      <c r="E616" t="str">
        <f>IFERROR(__xludf.DUMMYFUNCTION("""COMPUTED_VALUE"""),"DEPARTAMENTO DE BENEFICIOS ESTUDIANTILES")</f>
        <v>DEPARTAMENTO DE BENEFICIOS ESTUDIANTILES</v>
      </c>
      <c r="F616" t="str">
        <f>IFERROR(__xludf.DUMMYFUNCTION("""COMPUTED_VALUE"""),"Secretario C")</f>
        <v>Secretario C</v>
      </c>
      <c r="G616" t="str">
        <f>IFERROR(__xludf.DUMMYFUNCTION("""COMPUTED_VALUE"""),"SECRETARIA ADMINISTRATIVA")</f>
        <v>SECRETARIA ADMINISTRATIVA</v>
      </c>
      <c r="H616">
        <f>IFERROR(__xludf.DUMMYFUNCTION("""COMPUTED_VALUE"""),20.0)</f>
        <v>20</v>
      </c>
      <c r="J616" t="str">
        <f>IFERROR(__xludf.DUMMYFUNCTION("""COMPUTED_VALUE"""),"A CONTRATA")</f>
        <v>A CONTRATA</v>
      </c>
      <c r="K616" t="str">
        <f>IFERROR(__xludf.DUMMYFUNCTION("""COMPUTED_VALUE"""),"ADMINISTRATIVO")</f>
        <v>ADMINISTRATIVO</v>
      </c>
      <c r="L616" t="str">
        <f>IFERROR(__xludf.DUMMYFUNCTION("""COMPUTED_VALUE"""),"INTERNO")</f>
        <v>INTERNO</v>
      </c>
      <c r="M616">
        <f>IFERROR(__xludf.DUMMYFUNCTION("""COMPUTED_VALUE"""),0.0)</f>
        <v>0</v>
      </c>
      <c r="N616" t="str">
        <f>IFERROR(__xludf.DUMMYFUNCTION("""COMPUTED_VALUE"""),"EXTERNO")</f>
        <v>EXTERNO</v>
      </c>
      <c r="O616">
        <f>IFERROR(__xludf.DUMMYFUNCTION("""COMPUTED_VALUE"""),11.0)</f>
        <v>11</v>
      </c>
      <c r="R616" s="45" t="str">
        <f>IFERROR(__xludf.DUMMYFUNCTION("""COMPUTED_VALUE"""),"SELECCIONADA")</f>
        <v>SELECCIONADA</v>
      </c>
      <c r="S616" s="38">
        <f>IFERROR(__xludf.DUMMYFUNCTION("""COMPUTED_VALUE"""),41841.0)</f>
        <v>41841</v>
      </c>
      <c r="U616" t="str">
        <f>IFERROR(__xludf.DUMMYFUNCTION("""COMPUTED_VALUE"""),"INGER VEGA GALARCE")</f>
        <v>INGER VEGA GALARCE</v>
      </c>
      <c r="V616" t="str">
        <f>IFERROR(__xludf.DUMMYFUNCTION("""COMPUTED_VALUE"""),"17391370-2")</f>
        <v>17391370-2</v>
      </c>
      <c r="AA616" s="38">
        <f>IFERROR(__xludf.DUMMYFUNCTION("""COMPUTED_VALUE"""),41658.0)</f>
        <v>41658</v>
      </c>
      <c r="AB616" s="38">
        <f>IFERROR(__xludf.DUMMYFUNCTION("""COMPUTED_VALUE"""),41665.0)</f>
        <v>41665</v>
      </c>
      <c r="AH616" t="str">
        <f>IFERROR(__xludf.DUMMYFUNCTION("""COMPUTED_VALUE"""),"PROCESO DE SELECCIÓN")</f>
        <v>PROCESO DE SELECCIÓN</v>
      </c>
      <c r="AK616" t="str">
        <f>IFERROR(__xludf.DUMMYFUNCTION("""COMPUTED_VALUE"""),"P")</f>
        <v>P</v>
      </c>
      <c r="AL616">
        <f>IFERROR(__xludf.DUMMYFUNCTION("""COMPUTED_VALUE"""),126.0)</f>
        <v>126</v>
      </c>
      <c r="AM616">
        <f>IFERROR(__xludf.DUMMYFUNCTION("""COMPUTED_VALUE"""),2014.0)</f>
        <v>2014</v>
      </c>
    </row>
    <row r="617">
      <c r="A617">
        <f>IFERROR(__xludf.DUMMYFUNCTION("""COMPUTED_VALUE"""),1.3292352E7)</f>
        <v>13292352</v>
      </c>
      <c r="B617">
        <f>IFERROR(__xludf.DUMMYFUNCTION("""COMPUTED_VALUE"""),24.0)</f>
        <v>24</v>
      </c>
      <c r="D617" t="str">
        <f>IFERROR(__xludf.DUMMYFUNCTION("""COMPUTED_VALUE"""),"PRORRECTORIA")</f>
        <v>PRORRECTORIA</v>
      </c>
      <c r="E617" t="str">
        <f>IFERROR(__xludf.DUMMYFUNCTION("""COMPUTED_VALUE"""),"DEPARTAMENTO DE PLANIFICACION PRESUPUESTARIA")</f>
        <v>DEPARTAMENTO DE PLANIFICACION PRESUPUESTARIA</v>
      </c>
      <c r="F617" t="str">
        <f>IFERROR(__xludf.DUMMYFUNCTION("""COMPUTED_VALUE"""),"Analista Presupuestario")</f>
        <v>Analista Presupuestario</v>
      </c>
      <c r="G617" t="str">
        <f>IFERROR(__xludf.DUMMYFUNCTION("""COMPUTED_VALUE"""),"ANALISTA DE PLANIFICACION PRESUPUESTARIA")</f>
        <v>ANALISTA DE PLANIFICACION PRESUPUESTARIA</v>
      </c>
      <c r="H617">
        <f>IFERROR(__xludf.DUMMYFUNCTION("""COMPUTED_VALUE"""),10.0)</f>
        <v>10</v>
      </c>
      <c r="J617" t="str">
        <f>IFERROR(__xludf.DUMMYFUNCTION("""COMPUTED_VALUE"""),"A CONTRATA")</f>
        <v>A CONTRATA</v>
      </c>
      <c r="K617" t="str">
        <f>IFERROR(__xludf.DUMMYFUNCTION("""COMPUTED_VALUE"""),"PROFESIONAL")</f>
        <v>PROFESIONAL</v>
      </c>
      <c r="L617" t="str">
        <f>IFERROR(__xludf.DUMMYFUNCTION("""COMPUTED_VALUE"""),"INTERNO")</f>
        <v>INTERNO</v>
      </c>
      <c r="M617">
        <f>IFERROR(__xludf.DUMMYFUNCTION("""COMPUTED_VALUE"""),9.0)</f>
        <v>9</v>
      </c>
      <c r="N617" t="str">
        <f>IFERROR(__xludf.DUMMYFUNCTION("""COMPUTED_VALUE"""),"EXTERNO")</f>
        <v>EXTERNO</v>
      </c>
      <c r="O617">
        <f>IFERROR(__xludf.DUMMYFUNCTION("""COMPUTED_VALUE"""),42.0)</f>
        <v>42</v>
      </c>
      <c r="R617" s="45" t="str">
        <f>IFERROR(__xludf.DUMMYFUNCTION("""COMPUTED_VALUE"""),"SELECCIONADO")</f>
        <v>SELECCIONADO</v>
      </c>
      <c r="S617" s="38">
        <f>IFERROR(__xludf.DUMMYFUNCTION("""COMPUTED_VALUE"""),41738.0)</f>
        <v>41738</v>
      </c>
      <c r="U617" t="str">
        <f>IFERROR(__xludf.DUMMYFUNCTION("""COMPUTED_VALUE"""),"ARIEL LOPEZ GUZMAN")</f>
        <v>ARIEL LOPEZ GUZMAN</v>
      </c>
      <c r="V617" t="str">
        <f>IFERROR(__xludf.DUMMYFUNCTION("""COMPUTED_VALUE"""),"13292352-3")</f>
        <v>13292352-3</v>
      </c>
      <c r="AA617" s="38">
        <f>IFERROR(__xludf.DUMMYFUNCTION("""COMPUTED_VALUE"""),41703.0)</f>
        <v>41703</v>
      </c>
      <c r="AB617" s="38">
        <f>IFERROR(__xludf.DUMMYFUNCTION("""COMPUTED_VALUE"""),41710.0)</f>
        <v>41710</v>
      </c>
      <c r="AH617" t="str">
        <f>IFERROR(__xludf.DUMMYFUNCTION("""COMPUTED_VALUE"""),"PROCESO DE SELECCIÓN")</f>
        <v>PROCESO DE SELECCIÓN</v>
      </c>
      <c r="AK617" t="str">
        <f>IFERROR(__xludf.DUMMYFUNCTION("""COMPUTED_VALUE"""),"E")</f>
        <v>E</v>
      </c>
      <c r="AL617">
        <f>IFERROR(__xludf.DUMMYFUNCTION("""COMPUTED_VALUE"""),21.0)</f>
        <v>21</v>
      </c>
      <c r="AM617">
        <f>IFERROR(__xludf.DUMMYFUNCTION("""COMPUTED_VALUE"""),2014.0)</f>
        <v>2014</v>
      </c>
    </row>
    <row r="618">
      <c r="A618">
        <f>IFERROR(__xludf.DUMMYFUNCTION("""COMPUTED_VALUE"""),1.6006926E7)</f>
        <v>16006926</v>
      </c>
      <c r="B618">
        <f>IFERROR(__xludf.DUMMYFUNCTION("""COMPUTED_VALUE"""),25.0)</f>
        <v>25</v>
      </c>
      <c r="D618" t="str">
        <f>IFERROR(__xludf.DUMMYFUNCTION("""COMPUTED_VALUE"""),"PRORRECTORIA")</f>
        <v>PRORRECTORIA</v>
      </c>
      <c r="E618" t="str">
        <f>IFERROR(__xludf.DUMMYFUNCTION("""COMPUTED_VALUE"""),"DEPARTAMENTO DE PLANIFICACION PRESUPUESTARIA")</f>
        <v>DEPARTAMENTO DE PLANIFICACION PRESUPUESTARIA</v>
      </c>
      <c r="F618" t="str">
        <f>IFERROR(__xludf.DUMMYFUNCTION("""COMPUTED_VALUE"""),"Analista Presupuestario")</f>
        <v>Analista Presupuestario</v>
      </c>
      <c r="G618" t="str">
        <f>IFERROR(__xludf.DUMMYFUNCTION("""COMPUTED_VALUE"""),"ANALISTA DE PLANIFICACION PRESUPUESTARIA")</f>
        <v>ANALISTA DE PLANIFICACION PRESUPUESTARIA</v>
      </c>
      <c r="H618">
        <f>IFERROR(__xludf.DUMMYFUNCTION("""COMPUTED_VALUE"""),10.0)</f>
        <v>10</v>
      </c>
      <c r="J618" t="str">
        <f>IFERROR(__xludf.DUMMYFUNCTION("""COMPUTED_VALUE"""),"A CONTRATA")</f>
        <v>A CONTRATA</v>
      </c>
      <c r="K618" t="str">
        <f>IFERROR(__xludf.DUMMYFUNCTION("""COMPUTED_VALUE"""),"PROFESIONAL")</f>
        <v>PROFESIONAL</v>
      </c>
      <c r="L618" t="str">
        <f>IFERROR(__xludf.DUMMYFUNCTION("""COMPUTED_VALUE"""),"INTERNO")</f>
        <v>INTERNO</v>
      </c>
      <c r="M618">
        <f>IFERROR(__xludf.DUMMYFUNCTION("""COMPUTED_VALUE"""),9.0)</f>
        <v>9</v>
      </c>
      <c r="N618" t="str">
        <f>IFERROR(__xludf.DUMMYFUNCTION("""COMPUTED_VALUE"""),"EXTERNO")</f>
        <v>EXTERNO</v>
      </c>
      <c r="O618">
        <f>IFERROR(__xludf.DUMMYFUNCTION("""COMPUTED_VALUE"""),42.0)</f>
        <v>42</v>
      </c>
      <c r="R618" s="45" t="str">
        <f>IFERROR(__xludf.DUMMYFUNCTION("""COMPUTED_VALUE"""),"SELECCIONADO")</f>
        <v>SELECCIONADO</v>
      </c>
      <c r="S618" s="38">
        <f>IFERROR(__xludf.DUMMYFUNCTION("""COMPUTED_VALUE"""),41738.0)</f>
        <v>41738</v>
      </c>
      <c r="U618" t="str">
        <f>IFERROR(__xludf.DUMMYFUNCTION("""COMPUTED_VALUE"""),"HERMAN KOHL CRUCES")</f>
        <v>HERMAN KOHL CRUCES</v>
      </c>
      <c r="V618" t="str">
        <f>IFERROR(__xludf.DUMMYFUNCTION("""COMPUTED_VALUE"""),"16006926-0")</f>
        <v>16006926-0</v>
      </c>
      <c r="AA618" s="38">
        <f>IFERROR(__xludf.DUMMYFUNCTION("""COMPUTED_VALUE"""),41703.0)</f>
        <v>41703</v>
      </c>
      <c r="AB618" s="38">
        <f>IFERROR(__xludf.DUMMYFUNCTION("""COMPUTED_VALUE"""),41710.0)</f>
        <v>41710</v>
      </c>
      <c r="AH618" t="str">
        <f>IFERROR(__xludf.DUMMYFUNCTION("""COMPUTED_VALUE"""),"PROCESO DE SELECCIÓN")</f>
        <v>PROCESO DE SELECCIÓN</v>
      </c>
      <c r="AK618" t="str">
        <f>IFERROR(__xludf.DUMMYFUNCTION("""COMPUTED_VALUE"""),"E")</f>
        <v>E</v>
      </c>
      <c r="AL618">
        <f>IFERROR(__xludf.DUMMYFUNCTION("""COMPUTED_VALUE"""),21.0)</f>
        <v>21</v>
      </c>
      <c r="AM618">
        <f>IFERROR(__xludf.DUMMYFUNCTION("""COMPUTED_VALUE"""),2014.0)</f>
        <v>2014</v>
      </c>
    </row>
    <row r="619">
      <c r="A619">
        <f>IFERROR(__xludf.DUMMYFUNCTION("""COMPUTED_VALUE"""),1.3656668E7)</f>
        <v>13656668</v>
      </c>
      <c r="B619">
        <f>IFERROR(__xludf.DUMMYFUNCTION("""COMPUTED_VALUE"""),46.0)</f>
        <v>46</v>
      </c>
      <c r="D619" t="str">
        <f>IFERROR(__xludf.DUMMYFUNCTION("""COMPUTED_VALUE"""),"FACULTAD DE CIENCIAS MEDICAS")</f>
        <v>FACULTAD DE CIENCIAS MEDICAS</v>
      </c>
      <c r="E619" t="str">
        <f>IFERROR(__xludf.DUMMYFUNCTION("""COMPUTED_VALUE"""),"HOSPITAL EL PINO")</f>
        <v>HOSPITAL EL PINO</v>
      </c>
      <c r="F619" t="str">
        <f>IFERROR(__xludf.DUMMYFUNCTION("""COMPUTED_VALUE"""),"Auxiliar de Servicios")</f>
        <v>Auxiliar de Servicios</v>
      </c>
      <c r="G619" t="str">
        <f>IFERROR(__xludf.DUMMYFUNCTION("""COMPUTED_VALUE"""),"AUXILIAR DE SERVICIOS")</f>
        <v>AUXILIAR DE SERVICIOS</v>
      </c>
      <c r="H619">
        <f>IFERROR(__xludf.DUMMYFUNCTION("""COMPUTED_VALUE"""),24.0)</f>
        <v>24</v>
      </c>
      <c r="J619" t="str">
        <f>IFERROR(__xludf.DUMMYFUNCTION("""COMPUTED_VALUE"""),"A CONTRATA")</f>
        <v>A CONTRATA</v>
      </c>
      <c r="K619" t="str">
        <f>IFERROR(__xludf.DUMMYFUNCTION("""COMPUTED_VALUE"""),"AUXILIAR")</f>
        <v>AUXILIAR</v>
      </c>
      <c r="L619" t="str">
        <f>IFERROR(__xludf.DUMMYFUNCTION("""COMPUTED_VALUE"""),"INTERNO")</f>
        <v>INTERNO</v>
      </c>
      <c r="M619">
        <f>IFERROR(__xludf.DUMMYFUNCTION("""COMPUTED_VALUE"""),0.0)</f>
        <v>0</v>
      </c>
      <c r="N619" t="str">
        <f>IFERROR(__xludf.DUMMYFUNCTION("""COMPUTED_VALUE"""),"EXTERNO")</f>
        <v>EXTERNO</v>
      </c>
      <c r="O619">
        <f>IFERROR(__xludf.DUMMYFUNCTION("""COMPUTED_VALUE"""),12.0)</f>
        <v>12</v>
      </c>
      <c r="R619" s="45" t="str">
        <f>IFERROR(__xludf.DUMMYFUNCTION("""COMPUTED_VALUE"""),"SELECCIONADA")</f>
        <v>SELECCIONADA</v>
      </c>
      <c r="S619" s="38">
        <f>IFERROR(__xludf.DUMMYFUNCTION("""COMPUTED_VALUE"""),41750.0)</f>
        <v>41750</v>
      </c>
      <c r="U619" t="str">
        <f>IFERROR(__xludf.DUMMYFUNCTION("""COMPUTED_VALUE"""),"MARIA ARNAIZ PEREZ")</f>
        <v>MARIA ARNAIZ PEREZ</v>
      </c>
      <c r="V619" t="str">
        <f>IFERROR(__xludf.DUMMYFUNCTION("""COMPUTED_VALUE"""),"13656668-7")</f>
        <v>13656668-7</v>
      </c>
      <c r="AA619" s="38">
        <f>IFERROR(__xludf.DUMMYFUNCTION("""COMPUTED_VALUE"""),41703.0)</f>
        <v>41703</v>
      </c>
      <c r="AB619" s="38">
        <f>IFERROR(__xludf.DUMMYFUNCTION("""COMPUTED_VALUE"""),41710.0)</f>
        <v>41710</v>
      </c>
      <c r="AH619" t="str">
        <f>IFERROR(__xludf.DUMMYFUNCTION("""COMPUTED_VALUE"""),"PROCESO DE SELECCIÓN")</f>
        <v>PROCESO DE SELECCIÓN</v>
      </c>
      <c r="AK619" t="str">
        <f>IFERROR(__xludf.DUMMYFUNCTION("""COMPUTED_VALUE"""),"C")</f>
        <v>C</v>
      </c>
      <c r="AL619">
        <f>IFERROR(__xludf.DUMMYFUNCTION("""COMPUTED_VALUE"""),29.0)</f>
        <v>29</v>
      </c>
      <c r="AM619">
        <f>IFERROR(__xludf.DUMMYFUNCTION("""COMPUTED_VALUE"""),2014.0)</f>
        <v>2014</v>
      </c>
    </row>
    <row r="620">
      <c r="A620">
        <f>IFERROR(__xludf.DUMMYFUNCTION("""COMPUTED_VALUE"""),1.3437512E7)</f>
        <v>13437512</v>
      </c>
      <c r="B620">
        <f>IFERROR(__xludf.DUMMYFUNCTION("""COMPUTED_VALUE"""),20.0)</f>
        <v>20</v>
      </c>
      <c r="D620" t="str">
        <f>IFERROR(__xludf.DUMMYFUNCTION("""COMPUTED_VALUE"""),"VICERRECTORIA DE VINCULACION CON EL MEDIO")</f>
        <v>VICERRECTORIA DE VINCULACION CON EL MEDIO</v>
      </c>
      <c r="E620" t="str">
        <f>IFERROR(__xludf.DUMMYFUNCTION("""COMPUTED_VALUE"""),"DEPARTAMENTO DE COMUNICACIONES")</f>
        <v>DEPARTAMENTO DE COMUNICACIONES</v>
      </c>
      <c r="F620" t="str">
        <f>IFERROR(__xludf.DUMMYFUNCTION("""COMPUTED_VALUE"""),"Administrativo Especializado")</f>
        <v>Administrativo Especializado</v>
      </c>
      <c r="G620" t="str">
        <f>IFERROR(__xludf.DUMMYFUNCTION("""COMPUTED_VALUE"""),"ADMINSTRATIVO ESPECIALIZADO")</f>
        <v>ADMINSTRATIVO ESPECIALIZADO</v>
      </c>
      <c r="H620">
        <f>IFERROR(__xludf.DUMMYFUNCTION("""COMPUTED_VALUE"""),12.0)</f>
        <v>12</v>
      </c>
      <c r="J620" t="str">
        <f>IFERROR(__xludf.DUMMYFUNCTION("""COMPUTED_VALUE"""),"A CONTRATA")</f>
        <v>A CONTRATA</v>
      </c>
      <c r="K620" t="str">
        <f>IFERROR(__xludf.DUMMYFUNCTION("""COMPUTED_VALUE"""),"ADMINISTRATIVO")</f>
        <v>ADMINISTRATIVO</v>
      </c>
      <c r="L620" t="str">
        <f>IFERROR(__xludf.DUMMYFUNCTION("""COMPUTED_VALUE"""),"INTERNO")</f>
        <v>INTERNO</v>
      </c>
      <c r="M620">
        <f>IFERROR(__xludf.DUMMYFUNCTION("""COMPUTED_VALUE"""),5.0)</f>
        <v>5</v>
      </c>
      <c r="N620" t="str">
        <f>IFERROR(__xludf.DUMMYFUNCTION("""COMPUTED_VALUE"""),"NO")</f>
        <v>NO</v>
      </c>
      <c r="R620" s="45" t="str">
        <f>IFERROR(__xludf.DUMMYFUNCTION("""COMPUTED_VALUE"""),"SELECCIONADA")</f>
        <v>SELECCIONADA</v>
      </c>
      <c r="S620" s="38">
        <f>IFERROR(__xludf.DUMMYFUNCTION("""COMPUTED_VALUE"""),41737.0)</f>
        <v>41737</v>
      </c>
      <c r="T620" t="str">
        <f>IFERROR(__xludf.DUMMYFUNCTION("""COMPUTED_VALUE"""),"JESSICA RIOZ MUNOZ")</f>
        <v>JESSICA RIOZ MUNOZ</v>
      </c>
      <c r="V620" t="str">
        <f>IFERROR(__xludf.DUMMYFUNCTION("""COMPUTED_VALUE"""),"13437512-4")</f>
        <v>13437512-4</v>
      </c>
      <c r="AA620" s="38">
        <f>IFERROR(__xludf.DUMMYFUNCTION("""COMPUTED_VALUE"""),41704.0)</f>
        <v>41704</v>
      </c>
      <c r="AB620" s="38">
        <f>IFERROR(__xludf.DUMMYFUNCTION("""COMPUTED_VALUE"""),41711.0)</f>
        <v>41711</v>
      </c>
      <c r="AC620">
        <f>IFERROR(__xludf.DUMMYFUNCTION("""COMPUTED_VALUE"""),15.0)</f>
        <v>15</v>
      </c>
      <c r="AD620" t="str">
        <f>IFERROR(__xludf.DUMMYFUNCTION("""COMPUTED_VALUE"""),"ADMINISTRATIVO")</f>
        <v>ADMINISTRATIVO</v>
      </c>
      <c r="AF620" s="46" t="str">
        <f>IFERROR(__xludf.DUMMYFUNCTION("""COMPUTED_VALUE"""),"DEPARTAMENTO DE RELACIONES INTERUNIVERSITARIAS E INTERNACIONALES")</f>
        <v>DEPARTAMENTO DE RELACIONES INTERUNIVERSITARIAS E INTERNACIONALES</v>
      </c>
      <c r="AH620" t="str">
        <f>IFERROR(__xludf.DUMMYFUNCTION("""COMPUTED_VALUE"""),"PROCESO DE SELECCIÓN")</f>
        <v>PROCESO DE SELECCIÓN</v>
      </c>
      <c r="AK620" t="str">
        <f>IFERROR(__xludf.DUMMYFUNCTION("""COMPUTED_VALUE"""),"C")</f>
        <v>C</v>
      </c>
      <c r="AL620">
        <f>IFERROR(__xludf.DUMMYFUNCTION("""COMPUTED_VALUE"""),19.0)</f>
        <v>19</v>
      </c>
      <c r="AM620">
        <f>IFERROR(__xludf.DUMMYFUNCTION("""COMPUTED_VALUE"""),2014.0)</f>
        <v>2014</v>
      </c>
    </row>
    <row r="621">
      <c r="A621">
        <f>IFERROR(__xludf.DUMMYFUNCTION("""COMPUTED_VALUE"""),8815409.0)</f>
        <v>8815409</v>
      </c>
      <c r="B621">
        <f>IFERROR(__xludf.DUMMYFUNCTION("""COMPUTED_VALUE"""),36.0)</f>
        <v>36</v>
      </c>
      <c r="D621" t="str">
        <f>IFERROR(__xludf.DUMMYFUNCTION("""COMPUTED_VALUE"""),"PRORRECTORIA")</f>
        <v>PRORRECTORIA</v>
      </c>
      <c r="E621" t="str">
        <f>IFERROR(__xludf.DUMMYFUNCTION("""COMPUTED_VALUE"""),"DEPARTAMENTO DE ESTUDIOS")</f>
        <v>DEPARTAMENTO DE ESTUDIOS</v>
      </c>
      <c r="F621" t="str">
        <f>IFERROR(__xludf.DUMMYFUNCTION("""COMPUTED_VALUE"""),"Analista de Gestión I")</f>
        <v>Analista de Gestión I</v>
      </c>
      <c r="G621" t="str">
        <f>IFERROR(__xludf.DUMMYFUNCTION("""COMPUTED_VALUE"""),"ANALISTA I")</f>
        <v>ANALISTA I</v>
      </c>
      <c r="H621">
        <f>IFERROR(__xludf.DUMMYFUNCTION("""COMPUTED_VALUE"""),10.0)</f>
        <v>10</v>
      </c>
      <c r="J621" t="str">
        <f>IFERROR(__xludf.DUMMYFUNCTION("""COMPUTED_VALUE"""),"A CONTRATA")</f>
        <v>A CONTRATA</v>
      </c>
      <c r="K621" t="str">
        <f>IFERROR(__xludf.DUMMYFUNCTION("""COMPUTED_VALUE"""),"PROFESIONAL")</f>
        <v>PROFESIONAL</v>
      </c>
      <c r="L621" t="str">
        <f>IFERROR(__xludf.DUMMYFUNCTION("""COMPUTED_VALUE"""),"INTERNO")</f>
        <v>INTERNO</v>
      </c>
      <c r="M621">
        <f>IFERROR(__xludf.DUMMYFUNCTION("""COMPUTED_VALUE"""),0.0)</f>
        <v>0</v>
      </c>
      <c r="N621" t="str">
        <f>IFERROR(__xludf.DUMMYFUNCTION("""COMPUTED_VALUE"""),"EXTERNO")</f>
        <v>EXTERNO</v>
      </c>
      <c r="O621">
        <f>IFERROR(__xludf.DUMMYFUNCTION("""COMPUTED_VALUE"""),6.0)</f>
        <v>6</v>
      </c>
      <c r="R621" s="45" t="str">
        <f>IFERROR(__xludf.DUMMYFUNCTION("""COMPUTED_VALUE"""),"SELECCIONADO")</f>
        <v>SELECCIONADO</v>
      </c>
      <c r="S621" s="38">
        <f>IFERROR(__xludf.DUMMYFUNCTION("""COMPUTED_VALUE"""),41730.0)</f>
        <v>41730</v>
      </c>
      <c r="U621" t="str">
        <f>IFERROR(__xludf.DUMMYFUNCTION("""COMPUTED_VALUE"""),"CARLOS OSSIO PINO")</f>
        <v>CARLOS OSSIO PINO</v>
      </c>
      <c r="V621" t="str">
        <f>IFERROR(__xludf.DUMMYFUNCTION("""COMPUTED_VALUE"""),"08815409-6")</f>
        <v>08815409-6</v>
      </c>
      <c r="AA621" s="38">
        <f>IFERROR(__xludf.DUMMYFUNCTION("""COMPUTED_VALUE"""),41704.0)</f>
        <v>41704</v>
      </c>
      <c r="AB621" s="38">
        <f>IFERROR(__xludf.DUMMYFUNCTION("""COMPUTED_VALUE"""),41711.0)</f>
        <v>41711</v>
      </c>
      <c r="AH621" t="str">
        <f>IFERROR(__xludf.DUMMYFUNCTION("""COMPUTED_VALUE"""),"PROCESO DE SELECCIÓN")</f>
        <v>PROCESO DE SELECCIÓN</v>
      </c>
      <c r="AK621" t="str">
        <f>IFERROR(__xludf.DUMMYFUNCTION("""COMPUTED_VALUE"""),"P")</f>
        <v>P</v>
      </c>
      <c r="AL621">
        <f>IFERROR(__xludf.DUMMYFUNCTION("""COMPUTED_VALUE"""),14.0)</f>
        <v>14</v>
      </c>
      <c r="AM621">
        <f>IFERROR(__xludf.DUMMYFUNCTION("""COMPUTED_VALUE"""),2014.0)</f>
        <v>2014</v>
      </c>
    </row>
    <row r="622">
      <c r="A622">
        <f>IFERROR(__xludf.DUMMYFUNCTION("""COMPUTED_VALUE"""),1.4160744E7)</f>
        <v>14160744</v>
      </c>
      <c r="B622">
        <f>IFERROR(__xludf.DUMMYFUNCTION("""COMPUTED_VALUE"""),31.0)</f>
        <v>31</v>
      </c>
      <c r="D622" t="str">
        <f>IFERROR(__xludf.DUMMYFUNCTION("""COMPUTED_VALUE"""),"FACULTAD DE HUMANIDADES")</f>
        <v>FACULTAD DE HUMANIDADES</v>
      </c>
      <c r="E622" t="str">
        <f>IFERROR(__xludf.DUMMYFUNCTION("""COMPUTED_VALUE"""),"DEPARTAMENTO DE LINGÜISTICA Y LITERATURA")</f>
        <v>DEPARTAMENTO DE LINGÜISTICA Y LITERATURA</v>
      </c>
      <c r="F622" t="str">
        <f>IFERROR(__xludf.DUMMYFUNCTION("""COMPUTED_VALUE"""),"Secretario B")</f>
        <v>Secretario B</v>
      </c>
      <c r="G622" t="str">
        <f>IFERROR(__xludf.DUMMYFUNCTION("""COMPUTED_VALUE"""),"SECRETARIA DE SUBDIRECCION DE DOCENCIA")</f>
        <v>SECRETARIA DE SUBDIRECCION DE DOCENCIA</v>
      </c>
      <c r="H622">
        <f>IFERROR(__xludf.DUMMYFUNCTION("""COMPUTED_VALUE"""),17.0)</f>
        <v>17</v>
      </c>
      <c r="J622" t="str">
        <f>IFERROR(__xludf.DUMMYFUNCTION("""COMPUTED_VALUE"""),"A CONTRATA")</f>
        <v>A CONTRATA</v>
      </c>
      <c r="K622" t="str">
        <f>IFERROR(__xludf.DUMMYFUNCTION("""COMPUTED_VALUE"""),"ADMINISTRATIVO")</f>
        <v>ADMINISTRATIVO</v>
      </c>
      <c r="L622" t="str">
        <f>IFERROR(__xludf.DUMMYFUNCTION("""COMPUTED_VALUE"""),"INTERNO")</f>
        <v>INTERNO</v>
      </c>
      <c r="M622">
        <f>IFERROR(__xludf.DUMMYFUNCTION("""COMPUTED_VALUE"""),1.0)</f>
        <v>1</v>
      </c>
      <c r="N622" t="str">
        <f>IFERROR(__xludf.DUMMYFUNCTION("""COMPUTED_VALUE"""),"EXTERNO")</f>
        <v>EXTERNO</v>
      </c>
      <c r="O622">
        <f>IFERROR(__xludf.DUMMYFUNCTION("""COMPUTED_VALUE"""),8.0)</f>
        <v>8</v>
      </c>
      <c r="R622" s="45" t="str">
        <f>IFERROR(__xludf.DUMMYFUNCTION("""COMPUTED_VALUE"""),"SELECCIONADA")</f>
        <v>SELECCIONADA</v>
      </c>
      <c r="S622" s="38">
        <f>IFERROR(__xludf.DUMMYFUNCTION("""COMPUTED_VALUE"""),41744.0)</f>
        <v>41744</v>
      </c>
      <c r="U622" t="str">
        <f>IFERROR(__xludf.DUMMYFUNCTION("""COMPUTED_VALUE"""),"JENNIFFER ABARCA MEDINA")</f>
        <v>JENNIFFER ABARCA MEDINA</v>
      </c>
      <c r="V622" t="str">
        <f>IFERROR(__xludf.DUMMYFUNCTION("""COMPUTED_VALUE"""),"14160744-8")</f>
        <v>14160744-8</v>
      </c>
      <c r="AA622" s="38">
        <f>IFERROR(__xludf.DUMMYFUNCTION("""COMPUTED_VALUE"""),41705.0)</f>
        <v>41705</v>
      </c>
      <c r="AB622" s="38">
        <f>IFERROR(__xludf.DUMMYFUNCTION("""COMPUTED_VALUE"""),41712.0)</f>
        <v>41712</v>
      </c>
      <c r="AH622" t="str">
        <f>IFERROR(__xludf.DUMMYFUNCTION("""COMPUTED_VALUE"""),"PROCESO DE SELECCIÓN")</f>
        <v>PROCESO DE SELECCIÓN</v>
      </c>
      <c r="AL622">
        <f>IFERROR(__xludf.DUMMYFUNCTION("""COMPUTED_VALUE"""),23.0)</f>
        <v>23</v>
      </c>
      <c r="AM622">
        <f>IFERROR(__xludf.DUMMYFUNCTION("""COMPUTED_VALUE"""),2014.0)</f>
        <v>2014</v>
      </c>
    </row>
    <row r="623">
      <c r="A623">
        <f>IFERROR(__xludf.DUMMYFUNCTION("""COMPUTED_VALUE"""),1.1193867E7)</f>
        <v>11193867</v>
      </c>
      <c r="B623">
        <f>IFERROR(__xludf.DUMMYFUNCTION("""COMPUTED_VALUE"""),39.0)</f>
        <v>39</v>
      </c>
      <c r="D623" t="str">
        <f>IFERROR(__xludf.DUMMYFUNCTION("""COMPUTED_VALUE"""),"VICERRECTORIA DE APOYO AL ESTUDIANTE")</f>
        <v>VICERRECTORIA DE APOYO AL ESTUDIANTE</v>
      </c>
      <c r="E623" t="str">
        <f>IFERROR(__xludf.DUMMYFUNCTION("""COMPUTED_VALUE"""),"UNIDAD DE ATENCION DE SALUD")</f>
        <v>UNIDAD DE ATENCION DE SALUD</v>
      </c>
      <c r="F623" t="str">
        <f>IFERROR(__xludf.DUMMYFUNCTION("""COMPUTED_VALUE"""),"Auxiliar de Enfermería")</f>
        <v>Auxiliar de Enfermería</v>
      </c>
      <c r="G623" t="str">
        <f>IFERROR(__xludf.DUMMYFUNCTION("""COMPUTED_VALUE"""),"AUXILIAR DE ENFERMERIA")</f>
        <v>AUXILIAR DE ENFERMERIA</v>
      </c>
      <c r="H623">
        <f>IFERROR(__xludf.DUMMYFUNCTION("""COMPUTED_VALUE"""),17.0)</f>
        <v>17</v>
      </c>
      <c r="J623" t="str">
        <f>IFERROR(__xludf.DUMMYFUNCTION("""COMPUTED_VALUE"""),"A CONTRATA")</f>
        <v>A CONTRATA</v>
      </c>
      <c r="K623" t="str">
        <f>IFERROR(__xludf.DUMMYFUNCTION("""COMPUTED_VALUE"""),"TECNICO")</f>
        <v>TECNICO</v>
      </c>
      <c r="L623" t="str">
        <f>IFERROR(__xludf.DUMMYFUNCTION("""COMPUTED_VALUE"""),"INTERNO")</f>
        <v>INTERNO</v>
      </c>
      <c r="N623" t="str">
        <f>IFERROR(__xludf.DUMMYFUNCTION("""COMPUTED_VALUE"""),"EXTERNO")</f>
        <v>EXTERNO</v>
      </c>
      <c r="O623">
        <f>IFERROR(__xludf.DUMMYFUNCTION("""COMPUTED_VALUE"""),13.0)</f>
        <v>13</v>
      </c>
      <c r="R623" s="45" t="str">
        <f>IFERROR(__xludf.DUMMYFUNCTION("""COMPUTED_VALUE"""),"SELECCIONADA")</f>
        <v>SELECCIONADA</v>
      </c>
      <c r="S623" s="38">
        <f>IFERROR(__xludf.DUMMYFUNCTION("""COMPUTED_VALUE"""),41792.0)</f>
        <v>41792</v>
      </c>
      <c r="U623" t="str">
        <f>IFERROR(__xludf.DUMMYFUNCTION("""COMPUTED_VALUE"""),"EVELYN FERNANDEZ GONZALEZ")</f>
        <v>EVELYN FERNANDEZ GONZALEZ</v>
      </c>
      <c r="V623" t="str">
        <f>IFERROR(__xludf.DUMMYFUNCTION("""COMPUTED_VALUE"""),"11193867-9")</f>
        <v>11193867-9</v>
      </c>
      <c r="AA623" s="38">
        <f>IFERROR(__xludf.DUMMYFUNCTION("""COMPUTED_VALUE"""),41705.0)</f>
        <v>41705</v>
      </c>
      <c r="AB623" s="38">
        <f>IFERROR(__xludf.DUMMYFUNCTION("""COMPUTED_VALUE"""),41712.0)</f>
        <v>41712</v>
      </c>
      <c r="AH623" t="str">
        <f>IFERROR(__xludf.DUMMYFUNCTION("""COMPUTED_VALUE"""),"PROCESO DE SELECCIÓN")</f>
        <v>PROCESO DE SELECCIÓN</v>
      </c>
      <c r="AK623" t="str">
        <f>IFERROR(__xludf.DUMMYFUNCTION("""COMPUTED_VALUE"""),"E")</f>
        <v>E</v>
      </c>
      <c r="AL623">
        <f>IFERROR(__xludf.DUMMYFUNCTION("""COMPUTED_VALUE"""),57.0)</f>
        <v>57</v>
      </c>
      <c r="AM623">
        <f>IFERROR(__xludf.DUMMYFUNCTION("""COMPUTED_VALUE"""),2014.0)</f>
        <v>2014</v>
      </c>
    </row>
    <row r="624">
      <c r="A624">
        <f>IFERROR(__xludf.DUMMYFUNCTION("""COMPUTED_VALUE"""),1.5415839E7)</f>
        <v>15415839</v>
      </c>
      <c r="B624">
        <f>IFERROR(__xludf.DUMMYFUNCTION("""COMPUTED_VALUE"""),30.0)</f>
        <v>30</v>
      </c>
      <c r="D624" t="str">
        <f>IFERROR(__xludf.DUMMYFUNCTION("""COMPUTED_VALUE"""),"VICERRECTORIA ACADEMICA")</f>
        <v>VICERRECTORIA ACADEMICA</v>
      </c>
      <c r="E624" t="str">
        <f>IFERROR(__xludf.DUMMYFUNCTION("""COMPUTED_VALUE"""),"UNIDAD DE BIBLIOTECAS")</f>
        <v>UNIDAD DE BIBLIOTECAS</v>
      </c>
      <c r="F624" t="str">
        <f>IFERROR(__xludf.DUMMYFUNCTION("""COMPUTED_VALUE"""),"Encargado de Sala")</f>
        <v>Encargado de Sala</v>
      </c>
      <c r="G624" t="str">
        <f>IFERROR(__xludf.DUMMYFUNCTION("""COMPUTED_VALUE"""),"INSPECTOR DE SALA DE LECTURA")</f>
        <v>INSPECTOR DE SALA DE LECTURA</v>
      </c>
      <c r="H624">
        <f>IFERROR(__xludf.DUMMYFUNCTION("""COMPUTED_VALUE"""),21.0)</f>
        <v>21</v>
      </c>
      <c r="J624" t="str">
        <f>IFERROR(__xludf.DUMMYFUNCTION("""COMPUTED_VALUE"""),"A CONTRATA")</f>
        <v>A CONTRATA</v>
      </c>
      <c r="K624" t="str">
        <f>IFERROR(__xludf.DUMMYFUNCTION("""COMPUTED_VALUE"""),"AUXILIAR")</f>
        <v>AUXILIAR</v>
      </c>
      <c r="L624" t="str">
        <f>IFERROR(__xludf.DUMMYFUNCTION("""COMPUTED_VALUE"""),"INTERNO")</f>
        <v>INTERNO</v>
      </c>
      <c r="M624">
        <f>IFERROR(__xludf.DUMMYFUNCTION("""COMPUTED_VALUE"""),0.0)</f>
        <v>0</v>
      </c>
      <c r="N624" t="str">
        <f>IFERROR(__xludf.DUMMYFUNCTION("""COMPUTED_VALUE"""),"EXTERNO")</f>
        <v>EXTERNO</v>
      </c>
      <c r="O624">
        <f>IFERROR(__xludf.DUMMYFUNCTION("""COMPUTED_VALUE"""),3.0)</f>
        <v>3</v>
      </c>
      <c r="R624" s="45" t="str">
        <f>IFERROR(__xludf.DUMMYFUNCTION("""COMPUTED_VALUE"""),"SELECCIONADA")</f>
        <v>SELECCIONADA</v>
      </c>
      <c r="S624" s="38">
        <f>IFERROR(__xludf.DUMMYFUNCTION("""COMPUTED_VALUE"""),41764.0)</f>
        <v>41764</v>
      </c>
      <c r="U624" t="str">
        <f>IFERROR(__xludf.DUMMYFUNCTION("""COMPUTED_VALUE"""),"KATHERINE VALLEJOS BARRIENTOS")</f>
        <v>KATHERINE VALLEJOS BARRIENTOS</v>
      </c>
      <c r="V624" t="str">
        <f>IFERROR(__xludf.DUMMYFUNCTION("""COMPUTED_VALUE"""),"15415839-1")</f>
        <v>15415839-1</v>
      </c>
      <c r="AA624" s="38">
        <f>IFERROR(__xludf.DUMMYFUNCTION("""COMPUTED_VALUE"""),41708.0)</f>
        <v>41708</v>
      </c>
      <c r="AB624" s="38">
        <f>IFERROR(__xludf.DUMMYFUNCTION("""COMPUTED_VALUE"""),41715.0)</f>
        <v>41715</v>
      </c>
      <c r="AH624" t="str">
        <f>IFERROR(__xludf.DUMMYFUNCTION("""COMPUTED_VALUE"""),"PROCESO DE SELECCIÓN")</f>
        <v>PROCESO DE SELECCIÓN</v>
      </c>
      <c r="AK624" t="str">
        <f>IFERROR(__xludf.DUMMYFUNCTION("""COMPUTED_VALUE"""),"P")</f>
        <v>P</v>
      </c>
      <c r="AL624">
        <f>IFERROR(__xludf.DUMMYFUNCTION("""COMPUTED_VALUE"""),36.0)</f>
        <v>36</v>
      </c>
      <c r="AM624">
        <f>IFERROR(__xludf.DUMMYFUNCTION("""COMPUTED_VALUE"""),2014.0)</f>
        <v>2014</v>
      </c>
    </row>
    <row r="625">
      <c r="A625">
        <f>IFERROR(__xludf.DUMMYFUNCTION("""COMPUTED_VALUE"""),1.6252531E7)</f>
        <v>16252531</v>
      </c>
      <c r="B625">
        <f>IFERROR(__xludf.DUMMYFUNCTION("""COMPUTED_VALUE"""),29.0)</f>
        <v>29</v>
      </c>
      <c r="D625" t="str">
        <f>IFERROR(__xludf.DUMMYFUNCTION("""COMPUTED_VALUE"""),"VICERRECTORIA ACADEMICA")</f>
        <v>VICERRECTORIA ACADEMICA</v>
      </c>
      <c r="E625" t="str">
        <f>IFERROR(__xludf.DUMMYFUNCTION("""COMPUTED_VALUE"""),"UNIDAD DE BIBLIOTECAS")</f>
        <v>UNIDAD DE BIBLIOTECAS</v>
      </c>
      <c r="F625" t="str">
        <f>IFERROR(__xludf.DUMMYFUNCTION("""COMPUTED_VALUE"""),"Técnico de Biblioteca")</f>
        <v>Técnico de Biblioteca</v>
      </c>
      <c r="G625" t="str">
        <f>IFERROR(__xludf.DUMMYFUNCTION("""COMPUTED_VALUE"""),"TECNICO DE BIBLIOTECA")</f>
        <v>TECNICO DE BIBLIOTECA</v>
      </c>
      <c r="H625">
        <f>IFERROR(__xludf.DUMMYFUNCTION("""COMPUTED_VALUE"""),18.0)</f>
        <v>18</v>
      </c>
      <c r="J625" t="str">
        <f>IFERROR(__xludf.DUMMYFUNCTION("""COMPUTED_VALUE"""),"A CONTRATA")</f>
        <v>A CONTRATA</v>
      </c>
      <c r="K625" t="str">
        <f>IFERROR(__xludf.DUMMYFUNCTION("""COMPUTED_VALUE"""),"TECNICO")</f>
        <v>TECNICO</v>
      </c>
      <c r="L625" t="str">
        <f>IFERROR(__xludf.DUMMYFUNCTION("""COMPUTED_VALUE"""),"INTERNO")</f>
        <v>INTERNO</v>
      </c>
      <c r="M625">
        <f>IFERROR(__xludf.DUMMYFUNCTION("""COMPUTED_VALUE"""),4.0)</f>
        <v>4</v>
      </c>
      <c r="N625" t="str">
        <f>IFERROR(__xludf.DUMMYFUNCTION("""COMPUTED_VALUE"""),"EXTERNO")</f>
        <v>EXTERNO</v>
      </c>
      <c r="R625" s="45" t="str">
        <f>IFERROR(__xludf.DUMMYFUNCTION("""COMPUTED_VALUE"""),"SELECCIONADA")</f>
        <v>SELECCIONADA</v>
      </c>
      <c r="S625" s="38">
        <f>IFERROR(__xludf.DUMMYFUNCTION("""COMPUTED_VALUE"""),41764.0)</f>
        <v>41764</v>
      </c>
      <c r="U625" t="str">
        <f>IFERROR(__xludf.DUMMYFUNCTION("""COMPUTED_VALUE"""),"SUSANA BRAVO FUENTES")</f>
        <v>SUSANA BRAVO FUENTES</v>
      </c>
      <c r="V625" t="str">
        <f>IFERROR(__xludf.DUMMYFUNCTION("""COMPUTED_VALUE"""),"16252531-K")</f>
        <v>16252531-K</v>
      </c>
      <c r="AA625" s="38">
        <f>IFERROR(__xludf.DUMMYFUNCTION("""COMPUTED_VALUE"""),41710.0)</f>
        <v>41710</v>
      </c>
      <c r="AB625" s="38">
        <f>IFERROR(__xludf.DUMMYFUNCTION("""COMPUTED_VALUE"""),41717.0)</f>
        <v>41717</v>
      </c>
      <c r="AH625" t="str">
        <f>IFERROR(__xludf.DUMMYFUNCTION("""COMPUTED_VALUE"""),"PROCESO DE SELECCIÓN")</f>
        <v>PROCESO DE SELECCIÓN</v>
      </c>
      <c r="AI625" t="str">
        <f>IFERROR(__xludf.DUMMYFUNCTION("""COMPUTED_VALUE"""),"GLORIA RIVEROS")</f>
        <v>GLORIA RIVEROS</v>
      </c>
      <c r="AK625" t="str">
        <f>IFERROR(__xludf.DUMMYFUNCTION("""COMPUTED_VALUE"""),"C")</f>
        <v>C</v>
      </c>
      <c r="AL625">
        <f>IFERROR(__xludf.DUMMYFUNCTION("""COMPUTED_VALUE"""),34.0)</f>
        <v>34</v>
      </c>
      <c r="AM625">
        <f>IFERROR(__xludf.DUMMYFUNCTION("""COMPUTED_VALUE"""),2014.0)</f>
        <v>2014</v>
      </c>
    </row>
    <row r="626">
      <c r="A626">
        <f>IFERROR(__xludf.DUMMYFUNCTION("""COMPUTED_VALUE"""),1.73159E7)</f>
        <v>17315900</v>
      </c>
      <c r="B626">
        <f>IFERROR(__xludf.DUMMYFUNCTION("""COMPUTED_VALUE"""),37.0)</f>
        <v>37</v>
      </c>
      <c r="D626" t="str">
        <f>IFERROR(__xludf.DUMMYFUNCTION("""COMPUTED_VALUE"""),"CONTRALORIA UNIVERSITARIA")</f>
        <v>CONTRALORIA UNIVERSITARIA</v>
      </c>
      <c r="E626" t="str">
        <f>IFERROR(__xludf.DUMMYFUNCTION("""COMPUTED_VALUE"""),"CONTRALORIA UNIVERSITARIA")</f>
        <v>CONTRALORIA UNIVERSITARIA</v>
      </c>
      <c r="G626" t="str">
        <f>IFERROR(__xludf.DUMMYFUNCTION("""COMPUTED_VALUE"""),"AUDITOR DE SISTEMAS INFORMATICOS")</f>
        <v>AUDITOR DE SISTEMAS INFORMATICOS</v>
      </c>
      <c r="H626">
        <f>IFERROR(__xludf.DUMMYFUNCTION("""COMPUTED_VALUE"""),12.0)</f>
        <v>12</v>
      </c>
      <c r="J626" t="str">
        <f>IFERROR(__xludf.DUMMYFUNCTION("""COMPUTED_VALUE"""),"A CONTRATA")</f>
        <v>A CONTRATA</v>
      </c>
      <c r="K626" t="str">
        <f>IFERROR(__xludf.DUMMYFUNCTION("""COMPUTED_VALUE"""),"PROFESIONAL")</f>
        <v>PROFESIONAL</v>
      </c>
      <c r="L626" t="str">
        <f>IFERROR(__xludf.DUMMYFUNCTION("""COMPUTED_VALUE"""),"INTERNO")</f>
        <v>INTERNO</v>
      </c>
      <c r="M626">
        <f>IFERROR(__xludf.DUMMYFUNCTION("""COMPUTED_VALUE"""),0.0)</f>
        <v>0</v>
      </c>
      <c r="N626" t="str">
        <f>IFERROR(__xludf.DUMMYFUNCTION("""COMPUTED_VALUE"""),"EXTERNO")</f>
        <v>EXTERNO</v>
      </c>
      <c r="O626">
        <f>IFERROR(__xludf.DUMMYFUNCTION("""COMPUTED_VALUE"""),7.0)</f>
        <v>7</v>
      </c>
      <c r="R626" s="45" t="str">
        <f>IFERROR(__xludf.DUMMYFUNCTION("""COMPUTED_VALUE"""),"SELECCIONADO")</f>
        <v>SELECCIONADO</v>
      </c>
      <c r="S626" s="38">
        <f>IFERROR(__xludf.DUMMYFUNCTION("""COMPUTED_VALUE"""),41771.0)</f>
        <v>41771</v>
      </c>
      <c r="U626" t="str">
        <f>IFERROR(__xludf.DUMMYFUNCTION("""COMPUTED_VALUE"""),"VICTOR SERRANO VERDUGO")</f>
        <v>VICTOR SERRANO VERDUGO</v>
      </c>
      <c r="V626" t="str">
        <f>IFERROR(__xludf.DUMMYFUNCTION("""COMPUTED_VALUE"""),"17315900-5")</f>
        <v>17315900-5</v>
      </c>
      <c r="AA626" s="38">
        <f>IFERROR(__xludf.DUMMYFUNCTION("""COMPUTED_VALUE"""),41710.0)</f>
        <v>41710</v>
      </c>
      <c r="AB626" s="38">
        <f>IFERROR(__xludf.DUMMYFUNCTION("""COMPUTED_VALUE"""),41717.0)</f>
        <v>41717</v>
      </c>
      <c r="AH626" t="str">
        <f>IFERROR(__xludf.DUMMYFUNCTION("""COMPUTED_VALUE"""),"PROCESO DE SELECCIÓN")</f>
        <v>PROCESO DE SELECCIÓN</v>
      </c>
      <c r="AK626" t="str">
        <f>IFERROR(__xludf.DUMMYFUNCTION("""COMPUTED_VALUE"""),"E")</f>
        <v>E</v>
      </c>
      <c r="AL626">
        <f>IFERROR(__xludf.DUMMYFUNCTION("""COMPUTED_VALUE"""),39.0)</f>
        <v>39</v>
      </c>
      <c r="AM626">
        <f>IFERROR(__xludf.DUMMYFUNCTION("""COMPUTED_VALUE"""),2014.0)</f>
        <v>2014</v>
      </c>
    </row>
    <row r="627">
      <c r="A627">
        <f>IFERROR(__xludf.DUMMYFUNCTION("""COMPUTED_VALUE"""),1.5450488E7)</f>
        <v>15450488</v>
      </c>
      <c r="B627">
        <f>IFERROR(__xludf.DUMMYFUNCTION("""COMPUTED_VALUE"""),27.0)</f>
        <v>27</v>
      </c>
      <c r="D627" t="str">
        <f>IFERROR(__xludf.DUMMYFUNCTION("""COMPUTED_VALUE"""),"FACULTAD DE ADMINISTRACION Y ECONOMIA")</f>
        <v>FACULTAD DE ADMINISTRACION Y ECONOMIA</v>
      </c>
      <c r="E627" t="str">
        <f>IFERROR(__xludf.DUMMYFUNCTION("""COMPUTED_VALUE"""),"DEPARTAMENTO DE ECONOMIA")</f>
        <v>DEPARTAMENTO DE ECONOMIA</v>
      </c>
      <c r="F627" t="str">
        <f>IFERROR(__xludf.DUMMYFUNCTION("""COMPUTED_VALUE"""),"Secretario de Apoyo Docente")</f>
        <v>Secretario de Apoyo Docente</v>
      </c>
      <c r="G627" t="str">
        <f>IFERROR(__xludf.DUMMYFUNCTION("""COMPUTED_VALUE"""),"SECRETARIA DE APOYO DOCENTE")</f>
        <v>SECRETARIA DE APOYO DOCENTE</v>
      </c>
      <c r="H627">
        <f>IFERROR(__xludf.DUMMYFUNCTION("""COMPUTED_VALUE"""),17.0)</f>
        <v>17</v>
      </c>
      <c r="J627" t="str">
        <f>IFERROR(__xludf.DUMMYFUNCTION("""COMPUTED_VALUE"""),"A CONTRATA")</f>
        <v>A CONTRATA</v>
      </c>
      <c r="K627" t="str">
        <f>IFERROR(__xludf.DUMMYFUNCTION("""COMPUTED_VALUE"""),"ADMINISTRATIVO")</f>
        <v>ADMINISTRATIVO</v>
      </c>
      <c r="L627" t="str">
        <f>IFERROR(__xludf.DUMMYFUNCTION("""COMPUTED_VALUE"""),"INTERNO")</f>
        <v>INTERNO</v>
      </c>
      <c r="M627">
        <f>IFERROR(__xludf.DUMMYFUNCTION("""COMPUTED_VALUE"""),0.0)</f>
        <v>0</v>
      </c>
      <c r="N627" t="str">
        <f>IFERROR(__xludf.DUMMYFUNCTION("""COMPUTED_VALUE"""),"EXTERNO")</f>
        <v>EXTERNO</v>
      </c>
      <c r="O627">
        <f>IFERROR(__xludf.DUMMYFUNCTION("""COMPUTED_VALUE"""),4.0)</f>
        <v>4</v>
      </c>
      <c r="R627" s="45" t="str">
        <f>IFERROR(__xludf.DUMMYFUNCTION("""COMPUTED_VALUE"""),"SELECCIONADO")</f>
        <v>SELECCIONADO</v>
      </c>
      <c r="S627" s="38">
        <f>IFERROR(__xludf.DUMMYFUNCTION("""COMPUTED_VALUE"""),41771.0)</f>
        <v>41771</v>
      </c>
      <c r="U627" t="str">
        <f>IFERROR(__xludf.DUMMYFUNCTION("""COMPUTED_VALUE"""),"LILIBETTE CORREA MAULEN")</f>
        <v>LILIBETTE CORREA MAULEN</v>
      </c>
      <c r="V627" t="str">
        <f>IFERROR(__xludf.DUMMYFUNCTION("""COMPUTED_VALUE"""),"15450488-5")</f>
        <v>15450488-5</v>
      </c>
      <c r="AA627" s="38">
        <f>IFERROR(__xludf.DUMMYFUNCTION("""COMPUTED_VALUE"""),41716.0)</f>
        <v>41716</v>
      </c>
      <c r="AB627" s="38">
        <f>IFERROR(__xludf.DUMMYFUNCTION("""COMPUTED_VALUE"""),41723.0)</f>
        <v>41723</v>
      </c>
      <c r="AH627" t="str">
        <f>IFERROR(__xludf.DUMMYFUNCTION("""COMPUTED_VALUE"""),"PROCESO DE SELECCIÓN")</f>
        <v>PROCESO DE SELECCIÓN</v>
      </c>
      <c r="AL627">
        <f>IFERROR(__xludf.DUMMYFUNCTION("""COMPUTED_VALUE"""),35.0)</f>
        <v>35</v>
      </c>
      <c r="AM627">
        <f>IFERROR(__xludf.DUMMYFUNCTION("""COMPUTED_VALUE"""),2014.0)</f>
        <v>2014</v>
      </c>
    </row>
    <row r="628">
      <c r="A628">
        <f>IFERROR(__xludf.DUMMYFUNCTION("""COMPUTED_VALUE"""),1.3756635E7)</f>
        <v>13756635</v>
      </c>
      <c r="B628">
        <f>IFERROR(__xludf.DUMMYFUNCTION("""COMPUTED_VALUE"""),34.0)</f>
        <v>34</v>
      </c>
      <c r="D628" t="str">
        <f>IFERROR(__xludf.DUMMYFUNCTION("""COMPUTED_VALUE"""),"FACULTAD DE ADMINISTRACION Y ECONOMIA")</f>
        <v>FACULTAD DE ADMINISTRACION Y ECONOMIA</v>
      </c>
      <c r="E628" t="str">
        <f>IFERROR(__xludf.DUMMYFUNCTION("""COMPUTED_VALUE"""),"FACULTAD DE ADMINISTRACION Y ECONOMIA")</f>
        <v>FACULTAD DE ADMINISTRACION Y ECONOMIA</v>
      </c>
      <c r="F628" t="str">
        <f>IFERROR(__xludf.DUMMYFUNCTION("""COMPUTED_VALUE"""),"Administrativo de Apoyo")</f>
        <v>Administrativo de Apoyo</v>
      </c>
      <c r="G628" t="str">
        <f>IFERROR(__xludf.DUMMYFUNCTION("""COMPUTED_VALUE"""),"ADMINISTRATIVO DE APOYO")</f>
        <v>ADMINISTRATIVO DE APOYO</v>
      </c>
      <c r="H628">
        <f>IFERROR(__xludf.DUMMYFUNCTION("""COMPUTED_VALUE"""),20.0)</f>
        <v>20</v>
      </c>
      <c r="J628" t="str">
        <f>IFERROR(__xludf.DUMMYFUNCTION("""COMPUTED_VALUE"""),"A CONTRATA")</f>
        <v>A CONTRATA</v>
      </c>
      <c r="K628" t="str">
        <f>IFERROR(__xludf.DUMMYFUNCTION("""COMPUTED_VALUE"""),"ADMINISTRATIVO")</f>
        <v>ADMINISTRATIVO</v>
      </c>
      <c r="L628" t="str">
        <f>IFERROR(__xludf.DUMMYFUNCTION("""COMPUTED_VALUE"""),"INTERNO")</f>
        <v>INTERNO</v>
      </c>
      <c r="N628" t="str">
        <f>IFERROR(__xludf.DUMMYFUNCTION("""COMPUTED_VALUE"""),"EXTERNO")</f>
        <v>EXTERNO</v>
      </c>
      <c r="O628">
        <f>IFERROR(__xludf.DUMMYFUNCTION("""COMPUTED_VALUE"""),7.0)</f>
        <v>7</v>
      </c>
      <c r="R628" s="45" t="str">
        <f>IFERROR(__xludf.DUMMYFUNCTION("""COMPUTED_VALUE"""),"SELECCIONADO")</f>
        <v>SELECCIONADO</v>
      </c>
      <c r="S628" s="38">
        <f>IFERROR(__xludf.DUMMYFUNCTION("""COMPUTED_VALUE"""),41781.0)</f>
        <v>41781</v>
      </c>
      <c r="U628" t="str">
        <f>IFERROR(__xludf.DUMMYFUNCTION("""COMPUTED_VALUE"""),"ALEJANDRO GOMEZ SILVA")</f>
        <v>ALEJANDRO GOMEZ SILVA</v>
      </c>
      <c r="V628" t="str">
        <f>IFERROR(__xludf.DUMMYFUNCTION("""COMPUTED_VALUE"""),"13756635-4")</f>
        <v>13756635-4</v>
      </c>
      <c r="AA628" s="38">
        <f>IFERROR(__xludf.DUMMYFUNCTION("""COMPUTED_VALUE"""),41716.0)</f>
        <v>41716</v>
      </c>
      <c r="AB628" s="38">
        <f>IFERROR(__xludf.DUMMYFUNCTION("""COMPUTED_VALUE"""),41723.0)</f>
        <v>41723</v>
      </c>
      <c r="AH628" t="str">
        <f>IFERROR(__xludf.DUMMYFUNCTION("""COMPUTED_VALUE"""),"PROCESO DE SELECCIÓN")</f>
        <v>PROCESO DE SELECCIÓN</v>
      </c>
      <c r="AK628" t="str">
        <f>IFERROR(__xludf.DUMMYFUNCTION("""COMPUTED_VALUE"""),"E")</f>
        <v>E</v>
      </c>
      <c r="AL628">
        <f>IFERROR(__xludf.DUMMYFUNCTION("""COMPUTED_VALUE"""),43.0)</f>
        <v>43</v>
      </c>
      <c r="AM628">
        <f>IFERROR(__xludf.DUMMYFUNCTION("""COMPUTED_VALUE"""),2014.0)</f>
        <v>2014</v>
      </c>
    </row>
    <row r="629">
      <c r="A629">
        <f>IFERROR(__xludf.DUMMYFUNCTION("""COMPUTED_VALUE"""),1.3062616E7)</f>
        <v>13062616</v>
      </c>
      <c r="B629">
        <f>IFERROR(__xludf.DUMMYFUNCTION("""COMPUTED_VALUE"""),44.0)</f>
        <v>44</v>
      </c>
      <c r="D629" t="str">
        <f>IFERROR(__xludf.DUMMYFUNCTION("""COMPUTED_VALUE"""),"FACULTAD DE ADMINISTRACION Y ECONOMIA")</f>
        <v>FACULTAD DE ADMINISTRACION Y ECONOMIA</v>
      </c>
      <c r="E629" t="str">
        <f>IFERROR(__xludf.DUMMYFUNCTION("""COMPUTED_VALUE"""),"DEPARTAMENTO DE GESTION Y POLITICAS PUBLICAS")</f>
        <v>DEPARTAMENTO DE GESTION Y POLITICAS PUBLICAS</v>
      </c>
      <c r="F629" t="str">
        <f>IFERROR(__xludf.DUMMYFUNCTION("""COMPUTED_VALUE"""),"Secretario de Apoyo Docente")</f>
        <v>Secretario de Apoyo Docente</v>
      </c>
      <c r="G629" t="str">
        <f>IFERROR(__xludf.DUMMYFUNCTION("""COMPUTED_VALUE"""),"SECRETARIA DE APOYO DOCENTE")</f>
        <v>SECRETARIA DE APOYO DOCENTE</v>
      </c>
      <c r="H629">
        <f>IFERROR(__xludf.DUMMYFUNCTION("""COMPUTED_VALUE"""),17.0)</f>
        <v>17</v>
      </c>
      <c r="J629" t="str">
        <f>IFERROR(__xludf.DUMMYFUNCTION("""COMPUTED_VALUE"""),"A CONTRATA")</f>
        <v>A CONTRATA</v>
      </c>
      <c r="K629" t="str">
        <f>IFERROR(__xludf.DUMMYFUNCTION("""COMPUTED_VALUE"""),"ADMINISTRATIVO")</f>
        <v>ADMINISTRATIVO</v>
      </c>
      <c r="L629" t="str">
        <f>IFERROR(__xludf.DUMMYFUNCTION("""COMPUTED_VALUE"""),"INTERNO")</f>
        <v>INTERNO</v>
      </c>
      <c r="M629">
        <f>IFERROR(__xludf.DUMMYFUNCTION("""COMPUTED_VALUE"""),0.0)</f>
        <v>0</v>
      </c>
      <c r="N629" t="str">
        <f>IFERROR(__xludf.DUMMYFUNCTION("""COMPUTED_VALUE"""),"EXTERNO")</f>
        <v>EXTERNO</v>
      </c>
      <c r="O629">
        <f>IFERROR(__xludf.DUMMYFUNCTION("""COMPUTED_VALUE"""),3.0)</f>
        <v>3</v>
      </c>
      <c r="R629" s="45" t="str">
        <f>IFERROR(__xludf.DUMMYFUNCTION("""COMPUTED_VALUE"""),"SELECCIONADA")</f>
        <v>SELECCIONADA</v>
      </c>
      <c r="S629" s="38">
        <f>IFERROR(__xludf.DUMMYFUNCTION("""COMPUTED_VALUE"""),41806.0)</f>
        <v>41806</v>
      </c>
      <c r="U629" t="str">
        <f>IFERROR(__xludf.DUMMYFUNCTION("""COMPUTED_VALUE"""),"ROSA FUENTES MARAMBIO")</f>
        <v>ROSA FUENTES MARAMBIO</v>
      </c>
      <c r="V629" t="str">
        <f>IFERROR(__xludf.DUMMYFUNCTION("""COMPUTED_VALUE"""),"13062616-5")</f>
        <v>13062616-5</v>
      </c>
      <c r="AA629" s="38">
        <f>IFERROR(__xludf.DUMMYFUNCTION("""COMPUTED_VALUE"""),41716.0)</f>
        <v>41716</v>
      </c>
      <c r="AB629" s="38">
        <f>IFERROR(__xludf.DUMMYFUNCTION("""COMPUTED_VALUE"""),41723.0)</f>
        <v>41723</v>
      </c>
      <c r="AH629" t="str">
        <f>IFERROR(__xludf.DUMMYFUNCTION("""COMPUTED_VALUE"""),"PROCESO DE SELECCIÓN")</f>
        <v>PROCESO DE SELECCIÓN</v>
      </c>
      <c r="AK629" t="str">
        <f>IFERROR(__xludf.DUMMYFUNCTION("""COMPUTED_VALUE"""),"C")</f>
        <v>C</v>
      </c>
      <c r="AL629">
        <f>IFERROR(__xludf.DUMMYFUNCTION("""COMPUTED_VALUE"""),60.0)</f>
        <v>60</v>
      </c>
      <c r="AM629">
        <f>IFERROR(__xludf.DUMMYFUNCTION("""COMPUTED_VALUE"""),2014.0)</f>
        <v>2014</v>
      </c>
    </row>
    <row r="630">
      <c r="A630">
        <f>IFERROR(__xludf.DUMMYFUNCTION("""COMPUTED_VALUE"""),1.5794628E7)</f>
        <v>15794628</v>
      </c>
      <c r="B630">
        <f>IFERROR(__xludf.DUMMYFUNCTION("""COMPUTED_VALUE"""),64.0)</f>
        <v>64</v>
      </c>
      <c r="D630" t="str">
        <f>IFERROR(__xludf.DUMMYFUNCTION("""COMPUTED_VALUE"""),"PRORRECTORIA")</f>
        <v>PRORRECTORIA</v>
      </c>
      <c r="E630" t="str">
        <f>IFERROR(__xludf.DUMMYFUNCTION("""COMPUTED_VALUE"""),"ADMINISTRACION GENERAL DE FONDO SOLIDARIO Y CREDITO UNIVERSITARIO")</f>
        <v>ADMINISTRACION GENERAL DE FONDO SOLIDARIO Y CREDITO UNIVERSITARIO</v>
      </c>
      <c r="F630" t="str">
        <f>IFERROR(__xludf.DUMMYFUNCTION("""COMPUTED_VALUE"""),"Secretario B")</f>
        <v>Secretario B</v>
      </c>
      <c r="G630" t="str">
        <f>IFERROR(__xludf.DUMMYFUNCTION("""COMPUTED_VALUE"""),"SECRETARIA DE DEPARTAMENTO")</f>
        <v>SECRETARIA DE DEPARTAMENTO</v>
      </c>
      <c r="H630">
        <f>IFERROR(__xludf.DUMMYFUNCTION("""COMPUTED_VALUE"""),17.0)</f>
        <v>17</v>
      </c>
      <c r="J630" t="str">
        <f>IFERROR(__xludf.DUMMYFUNCTION("""COMPUTED_VALUE"""),"A CONTRATA")</f>
        <v>A CONTRATA</v>
      </c>
      <c r="K630" t="str">
        <f>IFERROR(__xludf.DUMMYFUNCTION("""COMPUTED_VALUE"""),"ADMINISTRATIVO")</f>
        <v>ADMINISTRATIVO</v>
      </c>
      <c r="L630" t="str">
        <f>IFERROR(__xludf.DUMMYFUNCTION("""COMPUTED_VALUE"""),"INTERNO")</f>
        <v>INTERNO</v>
      </c>
      <c r="M630">
        <f>IFERROR(__xludf.DUMMYFUNCTION("""COMPUTED_VALUE"""),0.0)</f>
        <v>0</v>
      </c>
      <c r="N630" t="str">
        <f>IFERROR(__xludf.DUMMYFUNCTION("""COMPUTED_VALUE"""),"EXTERNO")</f>
        <v>EXTERNO</v>
      </c>
      <c r="O630">
        <f>IFERROR(__xludf.DUMMYFUNCTION("""COMPUTED_VALUE"""),4.0)</f>
        <v>4</v>
      </c>
      <c r="P630">
        <f>IFERROR(__xludf.DUMMYFUNCTION("""COMPUTED_VALUE"""),4.0)</f>
        <v>4</v>
      </c>
      <c r="Q630">
        <f>IFERROR(__xludf.DUMMYFUNCTION("""COMPUTED_VALUE"""),1.0)</f>
        <v>1</v>
      </c>
      <c r="R630" s="45" t="str">
        <f>IFERROR(__xludf.DUMMYFUNCTION("""COMPUTED_VALUE"""),"SELECCIONADA")</f>
        <v>SELECCIONADA</v>
      </c>
      <c r="S630" s="38">
        <f>IFERROR(__xludf.DUMMYFUNCTION("""COMPUTED_VALUE"""),41764.0)</f>
        <v>41764</v>
      </c>
      <c r="U630" t="str">
        <f>IFERROR(__xludf.DUMMYFUNCTION("""COMPUTED_VALUE"""),"MARIELA GALAZ MANCILLA")</f>
        <v>MARIELA GALAZ MANCILLA</v>
      </c>
      <c r="V630" t="str">
        <f>IFERROR(__xludf.DUMMYFUNCTION("""COMPUTED_VALUE"""),"15794628-5")</f>
        <v>15794628-5</v>
      </c>
      <c r="AA630" s="38">
        <f>IFERROR(__xludf.DUMMYFUNCTION("""COMPUTED_VALUE"""),41716.0)</f>
        <v>41716</v>
      </c>
      <c r="AB630" s="38">
        <f>IFERROR(__xludf.DUMMYFUNCTION("""COMPUTED_VALUE"""),41723.0)</f>
        <v>41723</v>
      </c>
      <c r="AH630" t="str">
        <f>IFERROR(__xludf.DUMMYFUNCTION("""COMPUTED_VALUE"""),"PROCESO DE SELECCIÓN")</f>
        <v>PROCESO DE SELECCIÓN</v>
      </c>
      <c r="AK630" t="str">
        <f>IFERROR(__xludf.DUMMYFUNCTION("""COMPUTED_VALUE"""),"C")</f>
        <v>C</v>
      </c>
      <c r="AL630">
        <f>IFERROR(__xludf.DUMMYFUNCTION("""COMPUTED_VALUE"""),30.0)</f>
        <v>30</v>
      </c>
      <c r="AM630">
        <f>IFERROR(__xludf.DUMMYFUNCTION("""COMPUTED_VALUE"""),2014.0)</f>
        <v>2014</v>
      </c>
    </row>
    <row r="631">
      <c r="A631">
        <f>IFERROR(__xludf.DUMMYFUNCTION("""COMPUTED_VALUE"""),8403087.0)</f>
        <v>8403087</v>
      </c>
      <c r="B631">
        <f>IFERROR(__xludf.DUMMYFUNCTION("""COMPUTED_VALUE"""),23.0)</f>
        <v>23</v>
      </c>
      <c r="D631" t="str">
        <f>IFERROR(__xludf.DUMMYFUNCTION("""COMPUTED_VALUE"""),"VICERRECTORIA DE APOYO AL ESTUDIANTE")</f>
        <v>VICERRECTORIA DE APOYO AL ESTUDIANTE</v>
      </c>
      <c r="E631" t="str">
        <f>IFERROR(__xludf.DUMMYFUNCTION("""COMPUTED_VALUE"""),"DEPARTAMENTO DE GESTION DEL DEPORTE Y CULTURA")</f>
        <v>DEPARTAMENTO DE GESTION DEL DEPORTE Y CULTURA</v>
      </c>
      <c r="F631" t="str">
        <f>IFERROR(__xludf.DUMMYFUNCTION("""COMPUTED_VALUE"""),"Entrenador Deportivo")</f>
        <v>Entrenador Deportivo</v>
      </c>
      <c r="G631" t="str">
        <f>IFERROR(__xludf.DUMMYFUNCTION("""COMPUTED_VALUE"""),"PROFESOR ENTRENADOR DE TENIS (1/2 JORNADA)")</f>
        <v>PROFESOR ENTRENADOR DE TENIS (1/2 JORNADA)</v>
      </c>
      <c r="H631">
        <f>IFERROR(__xludf.DUMMYFUNCTION("""COMPUTED_VALUE"""),14.0)</f>
        <v>14</v>
      </c>
      <c r="J631" t="str">
        <f>IFERROR(__xludf.DUMMYFUNCTION("""COMPUTED_VALUE"""),"A CONTRATA")</f>
        <v>A CONTRATA</v>
      </c>
      <c r="K631" t="str">
        <f>IFERROR(__xludf.DUMMYFUNCTION("""COMPUTED_VALUE"""),"PROFESIONAL")</f>
        <v>PROFESIONAL</v>
      </c>
      <c r="L631" t="str">
        <f>IFERROR(__xludf.DUMMYFUNCTION("""COMPUTED_VALUE"""),"INTERNO")</f>
        <v>INTERNO</v>
      </c>
      <c r="N631" t="str">
        <f>IFERROR(__xludf.DUMMYFUNCTION("""COMPUTED_VALUE"""),"EXTERNO")</f>
        <v>EXTERNO</v>
      </c>
      <c r="O631">
        <f>IFERROR(__xludf.DUMMYFUNCTION("""COMPUTED_VALUE"""),2.0)</f>
        <v>2</v>
      </c>
      <c r="R631" s="45" t="str">
        <f>IFERROR(__xludf.DUMMYFUNCTION("""COMPUTED_VALUE"""),"SELECCIONADA")</f>
        <v>SELECCIONADA</v>
      </c>
      <c r="S631" s="38">
        <f>IFERROR(__xludf.DUMMYFUNCTION("""COMPUTED_VALUE"""),41738.0)</f>
        <v>41738</v>
      </c>
      <c r="U631" t="str">
        <f>IFERROR(__xludf.DUMMYFUNCTION("""COMPUTED_VALUE"""),"ANDRES VASQUEZ SAAVEDRA")</f>
        <v>ANDRES VASQUEZ SAAVEDRA</v>
      </c>
      <c r="V631" t="str">
        <f>IFERROR(__xludf.DUMMYFUNCTION("""COMPUTED_VALUE"""),"08403087-2")</f>
        <v>08403087-2</v>
      </c>
      <c r="AA631" s="38">
        <f>IFERROR(__xludf.DUMMYFUNCTION("""COMPUTED_VALUE"""),41722.0)</f>
        <v>41722</v>
      </c>
      <c r="AB631" s="38">
        <f>IFERROR(__xludf.DUMMYFUNCTION("""COMPUTED_VALUE"""),41724.0)</f>
        <v>41724</v>
      </c>
      <c r="AH631" t="str">
        <f>IFERROR(__xludf.DUMMYFUNCTION("""COMPUTED_VALUE"""),"PROCESO DE SELECCIÓN")</f>
        <v>PROCESO DE SELECCIÓN</v>
      </c>
      <c r="AL631">
        <f>IFERROR(__xludf.DUMMYFUNCTION("""COMPUTED_VALUE"""),11.0)</f>
        <v>11</v>
      </c>
      <c r="AM631">
        <f>IFERROR(__xludf.DUMMYFUNCTION("""COMPUTED_VALUE"""),2014.0)</f>
        <v>2014</v>
      </c>
    </row>
    <row r="632">
      <c r="A632">
        <f>IFERROR(__xludf.DUMMYFUNCTION("""COMPUTED_VALUE"""),1.4154969E7)</f>
        <v>14154969</v>
      </c>
      <c r="B632">
        <f>IFERROR(__xludf.DUMMYFUNCTION("""COMPUTED_VALUE"""),28.0)</f>
        <v>28</v>
      </c>
      <c r="D632" t="str">
        <f>IFERROR(__xludf.DUMMYFUNCTION("""COMPUTED_VALUE"""),"VICERRECTORIA ACADEMICA")</f>
        <v>VICERRECTORIA ACADEMICA</v>
      </c>
      <c r="E632" t="str">
        <f>IFERROR(__xludf.DUMMYFUNCTION("""COMPUTED_VALUE"""),"UNIDAD DE BIBLIOTECAS")</f>
        <v>UNIDAD DE BIBLIOTECAS</v>
      </c>
      <c r="F632" t="str">
        <f>IFERROR(__xludf.DUMMYFUNCTION("""COMPUTED_VALUE"""),"Técnico de Biblioteca")</f>
        <v>Técnico de Biblioteca</v>
      </c>
      <c r="G632" t="str">
        <f>IFERROR(__xludf.DUMMYFUNCTION("""COMPUTED_VALUE"""),"TECNICO DE BIBLIOTECA")</f>
        <v>TECNICO DE BIBLIOTECA</v>
      </c>
      <c r="H632">
        <f>IFERROR(__xludf.DUMMYFUNCTION("""COMPUTED_VALUE"""),18.0)</f>
        <v>18</v>
      </c>
      <c r="J632" t="str">
        <f>IFERROR(__xludf.DUMMYFUNCTION("""COMPUTED_VALUE"""),"A CONTRATA")</f>
        <v>A CONTRATA</v>
      </c>
      <c r="K632" t="str">
        <f>IFERROR(__xludf.DUMMYFUNCTION("""COMPUTED_VALUE"""),"TECNICO")</f>
        <v>TECNICO</v>
      </c>
      <c r="L632" t="str">
        <f>IFERROR(__xludf.DUMMYFUNCTION("""COMPUTED_VALUE"""),"INTERNO")</f>
        <v>INTERNO</v>
      </c>
      <c r="M632">
        <f>IFERROR(__xludf.DUMMYFUNCTION("""COMPUTED_VALUE"""),1.0)</f>
        <v>1</v>
      </c>
      <c r="N632" t="str">
        <f>IFERROR(__xludf.DUMMYFUNCTION("""COMPUTED_VALUE"""),"NO")</f>
        <v>NO</v>
      </c>
      <c r="R632" s="45" t="str">
        <f>IFERROR(__xludf.DUMMYFUNCTION("""COMPUTED_VALUE"""),"SELECCIONADO")</f>
        <v>SELECCIONADO</v>
      </c>
      <c r="S632" s="38">
        <f>IFERROR(__xludf.DUMMYFUNCTION("""COMPUTED_VALUE"""),41764.0)</f>
        <v>41764</v>
      </c>
      <c r="T632" t="str">
        <f>IFERROR(__xludf.DUMMYFUNCTION("""COMPUTED_VALUE"""),"ROBERTO FLORES DONAS")</f>
        <v>ROBERTO FLORES DONAS</v>
      </c>
      <c r="V632" t="str">
        <f>IFERROR(__xludf.DUMMYFUNCTION("""COMPUTED_VALUE"""),"14154969-3")</f>
        <v>14154969-3</v>
      </c>
      <c r="AA632" s="38">
        <f>IFERROR(__xludf.DUMMYFUNCTION("""COMPUTED_VALUE"""),41725.0)</f>
        <v>41725</v>
      </c>
      <c r="AB632" s="38">
        <f>IFERROR(__xludf.DUMMYFUNCTION("""COMPUTED_VALUE"""),41731.0)</f>
        <v>41731</v>
      </c>
      <c r="AC632">
        <f>IFERROR(__xludf.DUMMYFUNCTION("""COMPUTED_VALUE"""),21.0)</f>
        <v>21</v>
      </c>
      <c r="AD632" t="str">
        <f>IFERROR(__xludf.DUMMYFUNCTION("""COMPUTED_VALUE"""),"ADMINISTRATIVO")</f>
        <v>ADMINISTRATIVO</v>
      </c>
      <c r="AF632" s="46" t="str">
        <f>IFERROR(__xludf.DUMMYFUNCTION("""COMPUTED_VALUE"""),"ASISTENTE DE BIBLIOTECA")</f>
        <v>ASISTENTE DE BIBLIOTECA</v>
      </c>
      <c r="AH632" t="str">
        <f>IFERROR(__xludf.DUMMYFUNCTION("""COMPUTED_VALUE"""),"PROCESO DE SELECCIÓN")</f>
        <v>PROCESO DE SELECCIÓN</v>
      </c>
      <c r="AI632" t="str">
        <f>IFERROR(__xludf.DUMMYFUNCTION("""COMPUTED_VALUE"""),"MARIO DE LA MAZA")</f>
        <v>MARIO DE LA MAZA</v>
      </c>
      <c r="AK632" t="str">
        <f>IFERROR(__xludf.DUMMYFUNCTION("""COMPUTED_VALUE"""),"P")</f>
        <v>P</v>
      </c>
      <c r="AL632">
        <f>IFERROR(__xludf.DUMMYFUNCTION("""COMPUTED_VALUE"""),24.0)</f>
        <v>24</v>
      </c>
      <c r="AM632">
        <f>IFERROR(__xludf.DUMMYFUNCTION("""COMPUTED_VALUE"""),2014.0)</f>
        <v>2014</v>
      </c>
    </row>
    <row r="633">
      <c r="A633">
        <f>IFERROR(__xludf.DUMMYFUNCTION("""COMPUTED_VALUE"""),9961713.0)</f>
        <v>9961713</v>
      </c>
      <c r="B633">
        <f>IFERROR(__xludf.DUMMYFUNCTION("""COMPUTED_VALUE"""),32.0)</f>
        <v>32</v>
      </c>
      <c r="D633" t="str">
        <f>IFERROR(__xludf.DUMMYFUNCTION("""COMPUTED_VALUE"""),"FACULTAD DE CIENCIAS MEDICAS")</f>
        <v>FACULTAD DE CIENCIAS MEDICAS</v>
      </c>
      <c r="E633" t="str">
        <f>IFERROR(__xludf.DUMMYFUNCTION("""COMPUTED_VALUE"""),"LICENCIATURA EN CIENCIAS DE LA ACTIVIDAD FISICA")</f>
        <v>LICENCIATURA EN CIENCIAS DE LA ACTIVIDAD FISICA</v>
      </c>
      <c r="F633" t="str">
        <f>IFERROR(__xludf.DUMMYFUNCTION("""COMPUTED_VALUE"""),"Secretario de Apoyo Docente")</f>
        <v>Secretario de Apoyo Docente</v>
      </c>
      <c r="G633" t="str">
        <f>IFERROR(__xludf.DUMMYFUNCTION("""COMPUTED_VALUE"""),"SECRETARIA DE APOYO DOCENTE")</f>
        <v>SECRETARIA DE APOYO DOCENTE</v>
      </c>
      <c r="H633">
        <f>IFERROR(__xludf.DUMMYFUNCTION("""COMPUTED_VALUE"""),17.0)</f>
        <v>17</v>
      </c>
      <c r="J633" t="str">
        <f>IFERROR(__xludf.DUMMYFUNCTION("""COMPUTED_VALUE"""),"A CONTRATA")</f>
        <v>A CONTRATA</v>
      </c>
      <c r="K633" t="str">
        <f>IFERROR(__xludf.DUMMYFUNCTION("""COMPUTED_VALUE"""),"ADMINISTRATIVO")</f>
        <v>ADMINISTRATIVO</v>
      </c>
      <c r="L633" t="str">
        <f>IFERROR(__xludf.DUMMYFUNCTION("""COMPUTED_VALUE"""),"INTERNO")</f>
        <v>INTERNO</v>
      </c>
      <c r="M633">
        <f>IFERROR(__xludf.DUMMYFUNCTION("""COMPUTED_VALUE"""),1.0)</f>
        <v>1</v>
      </c>
      <c r="N633" t="str">
        <f>IFERROR(__xludf.DUMMYFUNCTION("""COMPUTED_VALUE"""),"NO")</f>
        <v>NO</v>
      </c>
      <c r="R633" s="45" t="str">
        <f>IFERROR(__xludf.DUMMYFUNCTION("""COMPUTED_VALUE"""),"SELECCIONADA")</f>
        <v>SELECCIONADA</v>
      </c>
      <c r="S633" s="38">
        <f>IFERROR(__xludf.DUMMYFUNCTION("""COMPUTED_VALUE"""),41764.0)</f>
        <v>41764</v>
      </c>
      <c r="T633" t="str">
        <f>IFERROR(__xludf.DUMMYFUNCTION("""COMPUTED_VALUE"""),"MIRTA LEYTON CASTILLO")</f>
        <v>MIRTA LEYTON CASTILLO</v>
      </c>
      <c r="V633" t="str">
        <f>IFERROR(__xludf.DUMMYFUNCTION("""COMPUTED_VALUE"""),"09961713-6")</f>
        <v>09961713-6</v>
      </c>
      <c r="AA633" s="38">
        <f>IFERROR(__xludf.DUMMYFUNCTION("""COMPUTED_VALUE"""),41729.0)</f>
        <v>41729</v>
      </c>
      <c r="AB633" s="38">
        <f>IFERROR(__xludf.DUMMYFUNCTION("""COMPUTED_VALUE"""),41736.0)</f>
        <v>41736</v>
      </c>
      <c r="AC633">
        <f>IFERROR(__xludf.DUMMYFUNCTION("""COMPUTED_VALUE"""),21.0)</f>
        <v>21</v>
      </c>
      <c r="AD633" t="str">
        <f>IFERROR(__xludf.DUMMYFUNCTION("""COMPUTED_VALUE"""),"ADMINISTRATIVO")</f>
        <v>ADMINISTRATIVO</v>
      </c>
      <c r="AF633" s="46" t="str">
        <f>IFERROR(__xludf.DUMMYFUNCTION("""COMPUTED_VALUE"""),"ADMINISTRATIVO DE REGISTRO CURRICULAR")</f>
        <v>ADMINISTRATIVO DE REGISTRO CURRICULAR</v>
      </c>
      <c r="AH633" t="str">
        <f>IFERROR(__xludf.DUMMYFUNCTION("""COMPUTED_VALUE"""),"PROCESO DE SELECCIÓN")</f>
        <v>PROCESO DE SELECCIÓN</v>
      </c>
      <c r="AK633" t="str">
        <f>IFERROR(__xludf.DUMMYFUNCTION("""COMPUTED_VALUE"""),"P")</f>
        <v>P</v>
      </c>
      <c r="AL633">
        <f>IFERROR(__xludf.DUMMYFUNCTION("""COMPUTED_VALUE"""),21.0)</f>
        <v>21</v>
      </c>
      <c r="AM633">
        <f>IFERROR(__xludf.DUMMYFUNCTION("""COMPUTED_VALUE"""),2014.0)</f>
        <v>2014</v>
      </c>
    </row>
    <row r="634">
      <c r="A634">
        <f>IFERROR(__xludf.DUMMYFUNCTION("""COMPUTED_VALUE"""),1.6567441E7)</f>
        <v>16567441</v>
      </c>
      <c r="B634">
        <f>IFERROR(__xludf.DUMMYFUNCTION("""COMPUTED_VALUE"""),41.0)</f>
        <v>41</v>
      </c>
      <c r="D634" t="str">
        <f>IFERROR(__xludf.DUMMYFUNCTION("""COMPUTED_VALUE"""),"VICERRECTORIA ACADEMICA")</f>
        <v>VICERRECTORIA ACADEMICA</v>
      </c>
      <c r="E634" t="str">
        <f>IFERROR(__xludf.DUMMYFUNCTION("""COMPUTED_VALUE"""),"DIRECCION DE PREGRADO")</f>
        <v>DIRECCION DE PREGRADO</v>
      </c>
      <c r="F634" t="str">
        <f>IFERROR(__xludf.DUMMYFUNCTION("""COMPUTED_VALUE"""),"Analista de Gestión II")</f>
        <v>Analista de Gestión II</v>
      </c>
      <c r="G634" t="str">
        <f>IFERROR(__xludf.DUMMYFUNCTION("""COMPUTED_VALUE"""),"ANALISTA II")</f>
        <v>ANALISTA II</v>
      </c>
      <c r="H634">
        <f>IFERROR(__xludf.DUMMYFUNCTION("""COMPUTED_VALUE"""),12.0)</f>
        <v>12</v>
      </c>
      <c r="J634" t="str">
        <f>IFERROR(__xludf.DUMMYFUNCTION("""COMPUTED_VALUE"""),"A CONTRATA")</f>
        <v>A CONTRATA</v>
      </c>
      <c r="K634" t="str">
        <f>IFERROR(__xludf.DUMMYFUNCTION("""COMPUTED_VALUE"""),"PROFESIONAL")</f>
        <v>PROFESIONAL</v>
      </c>
      <c r="L634" t="str">
        <f>IFERROR(__xludf.DUMMYFUNCTION("""COMPUTED_VALUE"""),"INTERNO")</f>
        <v>INTERNO</v>
      </c>
      <c r="M634">
        <f>IFERROR(__xludf.DUMMYFUNCTION("""COMPUTED_VALUE"""),4.0)</f>
        <v>4</v>
      </c>
      <c r="N634" t="str">
        <f>IFERROR(__xludf.DUMMYFUNCTION("""COMPUTED_VALUE"""),"EXTERNO")</f>
        <v>EXTERNO</v>
      </c>
      <c r="O634">
        <f>IFERROR(__xludf.DUMMYFUNCTION("""COMPUTED_VALUE"""),9.0)</f>
        <v>9</v>
      </c>
      <c r="R634" s="45" t="str">
        <f>IFERROR(__xludf.DUMMYFUNCTION("""COMPUTED_VALUE"""),"SELECCIONADA")</f>
        <v>SELECCIONADA</v>
      </c>
      <c r="S634" s="38">
        <f>IFERROR(__xludf.DUMMYFUNCTION("""COMPUTED_VALUE"""),41792.0)</f>
        <v>41792</v>
      </c>
      <c r="U634" t="str">
        <f>IFERROR(__xludf.DUMMYFUNCTION("""COMPUTED_VALUE"""),"CARLA LUCERO CARO")</f>
        <v>CARLA LUCERO CARO</v>
      </c>
      <c r="V634" t="str">
        <f>IFERROR(__xludf.DUMMYFUNCTION("""COMPUTED_VALUE"""),"16567441-3")</f>
        <v>16567441-3</v>
      </c>
      <c r="AA634" s="38">
        <f>IFERROR(__xludf.DUMMYFUNCTION("""COMPUTED_VALUE"""),41740.0)</f>
        <v>41740</v>
      </c>
      <c r="AB634" s="38">
        <f>IFERROR(__xludf.DUMMYFUNCTION("""COMPUTED_VALUE"""),41747.0)</f>
        <v>41747</v>
      </c>
      <c r="AH634" t="str">
        <f>IFERROR(__xludf.DUMMYFUNCTION("""COMPUTED_VALUE"""),"PROCESO DE SELECCIÓN")</f>
        <v>PROCESO DE SELECCIÓN</v>
      </c>
      <c r="AK634" t="str">
        <f>IFERROR(__xludf.DUMMYFUNCTION("""COMPUTED_VALUE"""),"P")</f>
        <v>P</v>
      </c>
      <c r="AL634">
        <f>IFERROR(__xludf.DUMMYFUNCTION("""COMPUTED_VALUE"""),32.0)</f>
        <v>32</v>
      </c>
      <c r="AM634">
        <f>IFERROR(__xludf.DUMMYFUNCTION("""COMPUTED_VALUE"""),2014.0)</f>
        <v>2014</v>
      </c>
    </row>
    <row r="635">
      <c r="A635">
        <f>IFERROR(__xludf.DUMMYFUNCTION("""COMPUTED_VALUE"""),1.7254484E7)</f>
        <v>17254484</v>
      </c>
      <c r="B635">
        <f>IFERROR(__xludf.DUMMYFUNCTION("""COMPUTED_VALUE"""),58.0)</f>
        <v>58</v>
      </c>
      <c r="D635" t="str">
        <f>IFERROR(__xludf.DUMMYFUNCTION("""COMPUTED_VALUE"""),"FACULTAD DE ADMINISTRACION Y ECONOMIA")</f>
        <v>FACULTAD DE ADMINISTRACION Y ECONOMIA</v>
      </c>
      <c r="E635" t="str">
        <f>IFERROR(__xludf.DUMMYFUNCTION("""COMPUTED_VALUE"""),"FACULTAD DE ADMINISTRACION Y ECONOMIA")</f>
        <v>FACULTAD DE ADMINISTRACION Y ECONOMIA</v>
      </c>
      <c r="F635" t="str">
        <f>IFERROR(__xludf.DUMMYFUNCTION("""COMPUTED_VALUE"""),"Jefe de Oficina")</f>
        <v>Jefe de Oficina</v>
      </c>
      <c r="G635" t="str">
        <f>IFERROR(__xludf.DUMMYFUNCTION("""COMPUTED_VALUE"""),"JEFE DE BIENES Y SERVICIOS")</f>
        <v>JEFE DE BIENES Y SERVICIOS</v>
      </c>
      <c r="H635">
        <f>IFERROR(__xludf.DUMMYFUNCTION("""COMPUTED_VALUE"""),10.0)</f>
        <v>10</v>
      </c>
      <c r="J635" t="str">
        <f>IFERROR(__xludf.DUMMYFUNCTION("""COMPUTED_VALUE"""),"A CONTRATA")</f>
        <v>A CONTRATA</v>
      </c>
      <c r="K635" t="str">
        <f>IFERROR(__xludf.DUMMYFUNCTION("""COMPUTED_VALUE"""),"ADMINISTRATIVO")</f>
        <v>ADMINISTRATIVO</v>
      </c>
      <c r="L635" t="str">
        <f>IFERROR(__xludf.DUMMYFUNCTION("""COMPUTED_VALUE"""),"INTERNO")</f>
        <v>INTERNO</v>
      </c>
      <c r="M635">
        <f>IFERROR(__xludf.DUMMYFUNCTION("""COMPUTED_VALUE"""),9.0)</f>
        <v>9</v>
      </c>
      <c r="N635" t="str">
        <f>IFERROR(__xludf.DUMMYFUNCTION("""COMPUTED_VALUE"""),"EXTERNO")</f>
        <v>EXTERNO</v>
      </c>
      <c r="O635">
        <f>IFERROR(__xludf.DUMMYFUNCTION("""COMPUTED_VALUE"""),6.0)</f>
        <v>6</v>
      </c>
      <c r="P635">
        <f>IFERROR(__xludf.DUMMYFUNCTION("""COMPUTED_VALUE"""),1.0)</f>
        <v>1</v>
      </c>
      <c r="Q635">
        <f>IFERROR(__xludf.DUMMYFUNCTION("""COMPUTED_VALUE"""),2.0)</f>
        <v>2</v>
      </c>
      <c r="R635" s="45" t="str">
        <f>IFERROR(__xludf.DUMMYFUNCTION("""COMPUTED_VALUE"""),"SELECCIONADA")</f>
        <v>SELECCIONADA</v>
      </c>
      <c r="S635" s="38">
        <f>IFERROR(__xludf.DUMMYFUNCTION("""COMPUTED_VALUE"""),41820.0)</f>
        <v>41820</v>
      </c>
      <c r="U635" t="str">
        <f>IFERROR(__xludf.DUMMYFUNCTION("""COMPUTED_VALUE"""),"GERALDINE ALVAREZ RUBILLO")</f>
        <v>GERALDINE ALVAREZ RUBILLO</v>
      </c>
      <c r="V635" t="str">
        <f>IFERROR(__xludf.DUMMYFUNCTION("""COMPUTED_VALUE"""),"17254484-3")</f>
        <v>17254484-3</v>
      </c>
      <c r="AA635" s="38">
        <f>IFERROR(__xludf.DUMMYFUNCTION("""COMPUTED_VALUE"""),41745.0)</f>
        <v>41745</v>
      </c>
      <c r="AB635" s="38">
        <f>IFERROR(__xludf.DUMMYFUNCTION("""COMPUTED_VALUE"""),41752.0)</f>
        <v>41752</v>
      </c>
      <c r="AH635" t="str">
        <f>IFERROR(__xludf.DUMMYFUNCTION("""COMPUTED_VALUE"""),"PROCESO DE SELECCIÓN")</f>
        <v>PROCESO DE SELECCIÓN</v>
      </c>
      <c r="AK635" t="str">
        <f>IFERROR(__xludf.DUMMYFUNCTION("""COMPUTED_VALUE"""),"E")</f>
        <v>E</v>
      </c>
      <c r="AL635">
        <f>IFERROR(__xludf.DUMMYFUNCTION("""COMPUTED_VALUE"""),49.0)</f>
        <v>49</v>
      </c>
      <c r="AM635">
        <f>IFERROR(__xludf.DUMMYFUNCTION("""COMPUTED_VALUE"""),2014.0)</f>
        <v>2014</v>
      </c>
    </row>
    <row r="636">
      <c r="A636">
        <f>IFERROR(__xludf.DUMMYFUNCTION("""COMPUTED_VALUE"""),1.2477339E7)</f>
        <v>12477339</v>
      </c>
      <c r="B636">
        <f>IFERROR(__xludf.DUMMYFUNCTION("""COMPUTED_VALUE"""),42.0)</f>
        <v>42</v>
      </c>
      <c r="D636" t="str">
        <f>IFERROR(__xludf.DUMMYFUNCTION("""COMPUTED_VALUE"""),"FACULTAD DE CIENCIAS MEDICAS")</f>
        <v>FACULTAD DE CIENCIAS MEDICAS</v>
      </c>
      <c r="E636" t="str">
        <f>IFERROR(__xludf.DUMMYFUNCTION("""COMPUTED_VALUE"""),"LICENCIATURA EN CIENCIAS DE LA ACTIVIDAD FISICA")</f>
        <v>LICENCIATURA EN CIENCIAS DE LA ACTIVIDAD FISICA</v>
      </c>
      <c r="F636" t="str">
        <f>IFERROR(__xludf.DUMMYFUNCTION("""COMPUTED_VALUE"""),"Auxiliar de Servicios")</f>
        <v>Auxiliar de Servicios</v>
      </c>
      <c r="G636" t="str">
        <f>IFERROR(__xludf.DUMMYFUNCTION("""COMPUTED_VALUE"""),"AUXILIAR DE SERVICIOS")</f>
        <v>AUXILIAR DE SERVICIOS</v>
      </c>
      <c r="H636">
        <f>IFERROR(__xludf.DUMMYFUNCTION("""COMPUTED_VALUE"""),23.0)</f>
        <v>23</v>
      </c>
      <c r="J636" t="str">
        <f>IFERROR(__xludf.DUMMYFUNCTION("""COMPUTED_VALUE"""),"A CONTRATA")</f>
        <v>A CONTRATA</v>
      </c>
      <c r="K636" t="str">
        <f>IFERROR(__xludf.DUMMYFUNCTION("""COMPUTED_VALUE"""),"AUXILIAR")</f>
        <v>AUXILIAR</v>
      </c>
      <c r="L636" t="str">
        <f>IFERROR(__xludf.DUMMYFUNCTION("""COMPUTED_VALUE"""),"INTERNO")</f>
        <v>INTERNO</v>
      </c>
      <c r="M636">
        <f>IFERROR(__xludf.DUMMYFUNCTION("""COMPUTED_VALUE"""),0.0)</f>
        <v>0</v>
      </c>
      <c r="N636" t="str">
        <f>IFERROR(__xludf.DUMMYFUNCTION("""COMPUTED_VALUE"""),"EXTERNO")</f>
        <v>EXTERNO</v>
      </c>
      <c r="O636">
        <f>IFERROR(__xludf.DUMMYFUNCTION("""COMPUTED_VALUE"""),14.0)</f>
        <v>14</v>
      </c>
      <c r="R636" s="45" t="str">
        <f>IFERROR(__xludf.DUMMYFUNCTION("""COMPUTED_VALUE"""),"SELECCIONADO")</f>
        <v>SELECCIONADO</v>
      </c>
      <c r="S636" s="38">
        <f>IFERROR(__xludf.DUMMYFUNCTION("""COMPUTED_VALUE"""),41799.0)</f>
        <v>41799</v>
      </c>
      <c r="U636" t="str">
        <f>IFERROR(__xludf.DUMMYFUNCTION("""COMPUTED_VALUE"""),"SERGIO GAETE HERNANDEZ")</f>
        <v>SERGIO GAETE HERNANDEZ</v>
      </c>
      <c r="V636" t="str">
        <f>IFERROR(__xludf.DUMMYFUNCTION("""COMPUTED_VALUE"""),"12477339-3")</f>
        <v>12477339-3</v>
      </c>
      <c r="AA636" s="38">
        <f>IFERROR(__xludf.DUMMYFUNCTION("""COMPUTED_VALUE"""),41750.0)</f>
        <v>41750</v>
      </c>
      <c r="AB636" s="38">
        <f>IFERROR(__xludf.DUMMYFUNCTION("""COMPUTED_VALUE"""),41757.0)</f>
        <v>41757</v>
      </c>
      <c r="AH636" t="str">
        <f>IFERROR(__xludf.DUMMYFUNCTION("""COMPUTED_VALUE"""),"PROCESO DE SELECCIÓN")</f>
        <v>PROCESO DE SELECCIÓN</v>
      </c>
      <c r="AL636">
        <f>IFERROR(__xludf.DUMMYFUNCTION("""COMPUTED_VALUE"""),31.0)</f>
        <v>31</v>
      </c>
      <c r="AM636">
        <f>IFERROR(__xludf.DUMMYFUNCTION("""COMPUTED_VALUE"""),2014.0)</f>
        <v>2014</v>
      </c>
    </row>
    <row r="637">
      <c r="A637">
        <f>IFERROR(__xludf.DUMMYFUNCTION("""COMPUTED_VALUE"""),1.2264463E7)</f>
        <v>12264463</v>
      </c>
      <c r="B637">
        <f>IFERROR(__xludf.DUMMYFUNCTION("""COMPUTED_VALUE"""),40.0)</f>
        <v>40</v>
      </c>
      <c r="D637" t="str">
        <f>IFERROR(__xludf.DUMMYFUNCTION("""COMPUTED_VALUE"""),"FACULTAD DE HUMANIDADES")</f>
        <v>FACULTAD DE HUMANIDADES</v>
      </c>
      <c r="E637" t="str">
        <f>IFERROR(__xludf.DUMMYFUNCTION("""COMPUTED_VALUE"""),"DEPARTAMENTO DE LINGÜISTICA Y LITERATURA")</f>
        <v>DEPARTAMENTO DE LINGÜISTICA Y LITERATURA</v>
      </c>
      <c r="F637" t="str">
        <f>IFERROR(__xludf.DUMMYFUNCTION("""COMPUTED_VALUE"""),"Jefe de Sección")</f>
        <v>Jefe de Sección</v>
      </c>
      <c r="G637" t="str">
        <f>IFERROR(__xludf.DUMMYFUNCTION("""COMPUTED_VALUE"""),"SUPERVISOR DE MONITORES PROYECTO INGLES B-LEARNING")</f>
        <v>SUPERVISOR DE MONITORES PROYECTO INGLES B-LEARNING</v>
      </c>
      <c r="H637">
        <f>IFERROR(__xludf.DUMMYFUNCTION("""COMPUTED_VALUE"""),10.0)</f>
        <v>10</v>
      </c>
      <c r="J637" t="str">
        <f>IFERROR(__xludf.DUMMYFUNCTION("""COMPUTED_VALUE"""),"A CONTRATA")</f>
        <v>A CONTRATA</v>
      </c>
      <c r="K637" t="str">
        <f>IFERROR(__xludf.DUMMYFUNCTION("""COMPUTED_VALUE"""),"PROFESIONAL")</f>
        <v>PROFESIONAL</v>
      </c>
      <c r="L637" t="str">
        <f>IFERROR(__xludf.DUMMYFUNCTION("""COMPUTED_VALUE"""),"INTERNO")</f>
        <v>INTERNO</v>
      </c>
      <c r="M637">
        <f>IFERROR(__xludf.DUMMYFUNCTION("""COMPUTED_VALUE"""),7.0)</f>
        <v>7</v>
      </c>
      <c r="N637" t="str">
        <f>IFERROR(__xludf.DUMMYFUNCTION("""COMPUTED_VALUE"""),"NO")</f>
        <v>NO</v>
      </c>
      <c r="R637" s="45" t="str">
        <f>IFERROR(__xludf.DUMMYFUNCTION("""COMPUTED_VALUE"""),"SELECCIONADA")</f>
        <v>SELECCIONADA</v>
      </c>
      <c r="S637" s="38">
        <f>IFERROR(__xludf.DUMMYFUNCTION("""COMPUTED_VALUE"""),41799.0)</f>
        <v>41799</v>
      </c>
      <c r="T637" t="str">
        <f>IFERROR(__xludf.DUMMYFUNCTION("""COMPUTED_VALUE"""),"JULIA BARRAZA SAN MARTIN")</f>
        <v>JULIA BARRAZA SAN MARTIN</v>
      </c>
      <c r="V637" t="str">
        <f>IFERROR(__xludf.DUMMYFUNCTION("""COMPUTED_VALUE"""),"12264463-4")</f>
        <v>12264463-4</v>
      </c>
      <c r="AA637" s="38">
        <f>IFERROR(__xludf.DUMMYFUNCTION("""COMPUTED_VALUE"""),41751.0)</f>
        <v>41751</v>
      </c>
      <c r="AB637" s="38">
        <f>IFERROR(__xludf.DUMMYFUNCTION("""COMPUTED_VALUE"""),41758.0)</f>
        <v>41758</v>
      </c>
      <c r="AC637">
        <f>IFERROR(__xludf.DUMMYFUNCTION("""COMPUTED_VALUE"""),14.0)</f>
        <v>14</v>
      </c>
      <c r="AD637" t="str">
        <f>IFERROR(__xludf.DUMMYFUNCTION("""COMPUTED_VALUE"""),"PROFESIONAL")</f>
        <v>PROFESIONAL</v>
      </c>
      <c r="AF637" s="46" t="str">
        <f>IFERROR(__xludf.DUMMYFUNCTION("""COMPUTED_VALUE"""),"ANALISTA DE CAPACITACION Y DESARROLLO")</f>
        <v>ANALISTA DE CAPACITACION Y DESARROLLO</v>
      </c>
      <c r="AH637" t="str">
        <f>IFERROR(__xludf.DUMMYFUNCTION("""COMPUTED_VALUE"""),"PROCESO DE SELECCIÓN")</f>
        <v>PROCESO DE SELECCIÓN</v>
      </c>
      <c r="AK637" t="str">
        <f>IFERROR(__xludf.DUMMYFUNCTION("""COMPUTED_VALUE"""),"P")</f>
        <v>P</v>
      </c>
      <c r="AL637">
        <f>IFERROR(__xludf.DUMMYFUNCTION("""COMPUTED_VALUE"""),30.0)</f>
        <v>30</v>
      </c>
      <c r="AM637">
        <f>IFERROR(__xludf.DUMMYFUNCTION("""COMPUTED_VALUE"""),2014.0)</f>
        <v>2014</v>
      </c>
    </row>
    <row r="638">
      <c r="A638">
        <f>IFERROR(__xludf.DUMMYFUNCTION("""COMPUTED_VALUE"""),1.2748537E7)</f>
        <v>12748537</v>
      </c>
      <c r="B638">
        <f>IFERROR(__xludf.DUMMYFUNCTION("""COMPUTED_VALUE"""),33.0)</f>
        <v>33</v>
      </c>
      <c r="D638" t="str">
        <f>IFERROR(__xludf.DUMMYFUNCTION("""COMPUTED_VALUE"""),"VICERRECTORIA DE APOYO AL ESTUDIANTE")</f>
        <v>VICERRECTORIA DE APOYO AL ESTUDIANTE</v>
      </c>
      <c r="E638" t="str">
        <f>IFERROR(__xludf.DUMMYFUNCTION("""COMPUTED_VALUE"""),"DEPARTAMENTO DE GESTION DEL DEPORTE Y CULTURA")</f>
        <v>DEPARTAMENTO DE GESTION DEL DEPORTE Y CULTURA</v>
      </c>
      <c r="F638" t="str">
        <f>IFERROR(__xludf.DUMMYFUNCTION("""COMPUTED_VALUE"""),"Jefe de Sección")</f>
        <v>Jefe de Sección</v>
      </c>
      <c r="G638" t="str">
        <f>IFERROR(__xludf.DUMMYFUNCTION("""COMPUTED_VALUE"""),"COORDINADOR DE SECCION DE CURSOS DEPORTIVOS")</f>
        <v>COORDINADOR DE SECCION DE CURSOS DEPORTIVOS</v>
      </c>
      <c r="H638">
        <f>IFERROR(__xludf.DUMMYFUNCTION("""COMPUTED_VALUE"""),10.0)</f>
        <v>10</v>
      </c>
      <c r="J638" t="str">
        <f>IFERROR(__xludf.DUMMYFUNCTION("""COMPUTED_VALUE"""),"A CONTRATA")</f>
        <v>A CONTRATA</v>
      </c>
      <c r="K638" t="str">
        <f>IFERROR(__xludf.DUMMYFUNCTION("""COMPUTED_VALUE"""),"PROFESIONAL")</f>
        <v>PROFESIONAL</v>
      </c>
      <c r="L638" t="str">
        <f>IFERROR(__xludf.DUMMYFUNCTION("""COMPUTED_VALUE"""),"INTERNO")</f>
        <v>INTERNO</v>
      </c>
      <c r="M638">
        <f>IFERROR(__xludf.DUMMYFUNCTION("""COMPUTED_VALUE"""),2.0)</f>
        <v>2</v>
      </c>
      <c r="N638" t="str">
        <f>IFERROR(__xludf.DUMMYFUNCTION("""COMPUTED_VALUE"""),"NO")</f>
        <v>NO</v>
      </c>
      <c r="R638" s="45" t="str">
        <f>IFERROR(__xludf.DUMMYFUNCTION("""COMPUTED_VALUE"""),"SELECCIONADO")</f>
        <v>SELECCIONADO</v>
      </c>
      <c r="S638" s="38">
        <f>IFERROR(__xludf.DUMMYFUNCTION("""COMPUTED_VALUE"""),41785.0)</f>
        <v>41785</v>
      </c>
      <c r="T638" t="str">
        <f>IFERROR(__xludf.DUMMYFUNCTION("""COMPUTED_VALUE"""),"CRISTIAN FERRADA MENDEZ")</f>
        <v>CRISTIAN FERRADA MENDEZ</v>
      </c>
      <c r="V638" t="str">
        <f>IFERROR(__xludf.DUMMYFUNCTION("""COMPUTED_VALUE"""),"12748537-2")</f>
        <v>12748537-2</v>
      </c>
      <c r="AA638" s="38">
        <f>IFERROR(__xludf.DUMMYFUNCTION("""COMPUTED_VALUE"""),41754.0)</f>
        <v>41754</v>
      </c>
      <c r="AB638" s="38">
        <f>IFERROR(__xludf.DUMMYFUNCTION("""COMPUTED_VALUE"""),41761.0)</f>
        <v>41761</v>
      </c>
      <c r="AC638">
        <f>IFERROR(__xludf.DUMMYFUNCTION("""COMPUTED_VALUE"""),12.0)</f>
        <v>12</v>
      </c>
      <c r="AD638" t="str">
        <f>IFERROR(__xludf.DUMMYFUNCTION("""COMPUTED_VALUE"""),"PROFESIONAL")</f>
        <v>PROFESIONAL</v>
      </c>
      <c r="AF638" s="46" t="str">
        <f>IFERROR(__xludf.DUMMYFUNCTION("""COMPUTED_VALUE"""),"DEPARTAMENTO DE GESTION DE DEPORTE Y CULTURA")</f>
        <v>DEPARTAMENTO DE GESTION DE DEPORTE Y CULTURA</v>
      </c>
      <c r="AH638" t="str">
        <f>IFERROR(__xludf.DUMMYFUNCTION("""COMPUTED_VALUE"""),"PROCESO DE SELECCIÓN")</f>
        <v>PROCESO DE SELECCIÓN</v>
      </c>
      <c r="AK638" t="str">
        <f>IFERROR(__xludf.DUMMYFUNCTION("""COMPUTED_VALUE"""),"P")</f>
        <v>P</v>
      </c>
      <c r="AL638">
        <f>IFERROR(__xludf.DUMMYFUNCTION("""COMPUTED_VALUE"""),17.0)</f>
        <v>17</v>
      </c>
      <c r="AM638">
        <f>IFERROR(__xludf.DUMMYFUNCTION("""COMPUTED_VALUE"""),2014.0)</f>
        <v>2014</v>
      </c>
    </row>
    <row r="639">
      <c r="A639">
        <f>IFERROR(__xludf.DUMMYFUNCTION("""COMPUTED_VALUE"""),1.3063123E7)</f>
        <v>13063123</v>
      </c>
      <c r="B639">
        <f>IFERROR(__xludf.DUMMYFUNCTION("""COMPUTED_VALUE"""),35.0)</f>
        <v>35</v>
      </c>
      <c r="D639" t="str">
        <f>IFERROR(__xludf.DUMMYFUNCTION("""COMPUTED_VALUE"""),"FACULTAD DE CIENCIA")</f>
        <v>FACULTAD DE CIENCIA</v>
      </c>
      <c r="E639" t="str">
        <f>IFERROR(__xludf.DUMMYFUNCTION("""COMPUTED_VALUE"""),"FACULTAD DE CIENCIA")</f>
        <v>FACULTAD DE CIENCIA</v>
      </c>
      <c r="F639" t="str">
        <f>IFERROR(__xludf.DUMMYFUNCTION("""COMPUTED_VALUE"""),"Encargado Administrativo de Unidad Académica")</f>
        <v>Encargado Administrativo de Unidad Académica</v>
      </c>
      <c r="G639" t="str">
        <f>IFERROR(__xludf.DUMMYFUNCTION("""COMPUTED_VALUE"""),"JEFE ADMINISTRATIVO")</f>
        <v>JEFE ADMINISTRATIVO</v>
      </c>
      <c r="H639">
        <f>IFERROR(__xludf.DUMMYFUNCTION("""COMPUTED_VALUE"""),10.0)</f>
        <v>10</v>
      </c>
      <c r="J639" t="str">
        <f>IFERROR(__xludf.DUMMYFUNCTION("""COMPUTED_VALUE"""),"A CONTRATA")</f>
        <v>A CONTRATA</v>
      </c>
      <c r="K639" t="str">
        <f>IFERROR(__xludf.DUMMYFUNCTION("""COMPUTED_VALUE"""),"ADMINISTRATIVO")</f>
        <v>ADMINISTRATIVO</v>
      </c>
      <c r="L639" t="str">
        <f>IFERROR(__xludf.DUMMYFUNCTION("""COMPUTED_VALUE"""),"INTERNO")</f>
        <v>INTERNO</v>
      </c>
      <c r="M639">
        <f>IFERROR(__xludf.DUMMYFUNCTION("""COMPUTED_VALUE"""),8.0)</f>
        <v>8</v>
      </c>
      <c r="N639" t="str">
        <f>IFERROR(__xludf.DUMMYFUNCTION("""COMPUTED_VALUE"""),"NO")</f>
        <v>NO</v>
      </c>
      <c r="R639" s="45" t="str">
        <f>IFERROR(__xludf.DUMMYFUNCTION("""COMPUTED_VALUE"""),"SELECCIONADO")</f>
        <v>SELECCIONADO</v>
      </c>
      <c r="S639" s="38">
        <f>IFERROR(__xludf.DUMMYFUNCTION("""COMPUTED_VALUE"""),41785.0)</f>
        <v>41785</v>
      </c>
      <c r="T639" t="str">
        <f>IFERROR(__xludf.DUMMYFUNCTION("""COMPUTED_VALUE"""),"MARCELO AVILA SOTO")</f>
        <v>MARCELO AVILA SOTO</v>
      </c>
      <c r="V639" t="str">
        <f>IFERROR(__xludf.DUMMYFUNCTION("""COMPUTED_VALUE"""),"13063123-1")</f>
        <v>13063123-1</v>
      </c>
      <c r="AA639" s="38">
        <f>IFERROR(__xludf.DUMMYFUNCTION("""COMPUTED_VALUE"""),41785.0)</f>
        <v>41785</v>
      </c>
      <c r="AB639" s="38">
        <f>IFERROR(__xludf.DUMMYFUNCTION("""COMPUTED_VALUE"""),41761.0)</f>
        <v>41761</v>
      </c>
      <c r="AC639">
        <f>IFERROR(__xludf.DUMMYFUNCTION("""COMPUTED_VALUE"""),15.0)</f>
        <v>15</v>
      </c>
      <c r="AD639" t="str">
        <f>IFERROR(__xludf.DUMMYFUNCTION("""COMPUTED_VALUE"""),"ADMINISTRATIVO")</f>
        <v>ADMINISTRATIVO</v>
      </c>
      <c r="AF639" s="46" t="str">
        <f>IFERROR(__xludf.DUMMYFUNCTION("""COMPUTED_VALUE"""),"DEPARTAMENTO DE RECURSOS HUMANOS")</f>
        <v>DEPARTAMENTO DE RECURSOS HUMANOS</v>
      </c>
      <c r="AH639" t="str">
        <f>IFERROR(__xludf.DUMMYFUNCTION("""COMPUTED_VALUE"""),"PROCESO DE SELECCIÓN")</f>
        <v>PROCESO DE SELECCIÓN</v>
      </c>
      <c r="AK639" t="str">
        <f>IFERROR(__xludf.DUMMYFUNCTION("""COMPUTED_VALUE"""),"C")</f>
        <v>C</v>
      </c>
      <c r="AL639">
        <f>IFERROR(__xludf.DUMMYFUNCTION("""COMPUTED_VALUE"""),17.0)</f>
        <v>17</v>
      </c>
      <c r="AM639">
        <f>IFERROR(__xludf.DUMMYFUNCTION("""COMPUTED_VALUE"""),2014.0)</f>
        <v>2014</v>
      </c>
    </row>
    <row r="640">
      <c r="A640">
        <f>IFERROR(__xludf.DUMMYFUNCTION("""COMPUTED_VALUE"""),1.2900867E7)</f>
        <v>12900867</v>
      </c>
      <c r="B640">
        <f>IFERROR(__xludf.DUMMYFUNCTION("""COMPUTED_VALUE"""),38.0)</f>
        <v>38</v>
      </c>
      <c r="D640" t="str">
        <f>IFERROR(__xludf.DUMMYFUNCTION("""COMPUTED_VALUE"""),"VICERRECTORIA DE APOYO AL ESTUDIANTE")</f>
        <v>VICERRECTORIA DE APOYO AL ESTUDIANTE</v>
      </c>
      <c r="E640" t="str">
        <f>IFERROR(__xludf.DUMMYFUNCTION("""COMPUTED_VALUE"""),"UNIDAD DE ADMINISTRACION DE SERVICIOS ALIMENTARIOS")</f>
        <v>UNIDAD DE ADMINISTRACION DE SERVICIOS ALIMENTARIOS</v>
      </c>
      <c r="F640" t="str">
        <f>IFERROR(__xludf.DUMMYFUNCTION("""COMPUTED_VALUE"""),"Auxiliar de Servicios")</f>
        <v>Auxiliar de Servicios</v>
      </c>
      <c r="G640" t="str">
        <f>IFERROR(__xludf.DUMMYFUNCTION("""COMPUTED_VALUE"""),"AUXILIAR DE SERVICIOS")</f>
        <v>AUXILIAR DE SERVICIOS</v>
      </c>
      <c r="H640">
        <f>IFERROR(__xludf.DUMMYFUNCTION("""COMPUTED_VALUE"""),23.0)</f>
        <v>23</v>
      </c>
      <c r="J640" t="str">
        <f>IFERROR(__xludf.DUMMYFUNCTION("""COMPUTED_VALUE"""),"A CONTRATA")</f>
        <v>A CONTRATA</v>
      </c>
      <c r="K640" t="str">
        <f>IFERROR(__xludf.DUMMYFUNCTION("""COMPUTED_VALUE"""),"AUXILIAR")</f>
        <v>AUXILIAR</v>
      </c>
      <c r="L640" t="str">
        <f>IFERROR(__xludf.DUMMYFUNCTION("""COMPUTED_VALUE"""),"INTERNO")</f>
        <v>INTERNO</v>
      </c>
      <c r="M640">
        <f>IFERROR(__xludf.DUMMYFUNCTION("""COMPUTED_VALUE"""),0.0)</f>
        <v>0</v>
      </c>
      <c r="N640" t="str">
        <f>IFERROR(__xludf.DUMMYFUNCTION("""COMPUTED_VALUE"""),"EXTERNO")</f>
        <v>EXTERNO</v>
      </c>
      <c r="O640">
        <f>IFERROR(__xludf.DUMMYFUNCTION("""COMPUTED_VALUE"""),4.0)</f>
        <v>4</v>
      </c>
      <c r="R640" s="45" t="str">
        <f>IFERROR(__xludf.DUMMYFUNCTION("""COMPUTED_VALUE"""),"SELECCIONADA")</f>
        <v>SELECCIONADA</v>
      </c>
      <c r="S640" s="38">
        <f>IFERROR(__xludf.DUMMYFUNCTION("""COMPUTED_VALUE"""),41799.0)</f>
        <v>41799</v>
      </c>
      <c r="U640" t="str">
        <f>IFERROR(__xludf.DUMMYFUNCTION("""COMPUTED_VALUE"""),"RAQUEL AVILA GALVEZ")</f>
        <v>RAQUEL AVILA GALVEZ</v>
      </c>
      <c r="V640" t="str">
        <f>IFERROR(__xludf.DUMMYFUNCTION("""COMPUTED_VALUE"""),"12900867-9")</f>
        <v>12900867-9</v>
      </c>
      <c r="AA640" s="38">
        <f>IFERROR(__xludf.DUMMYFUNCTION("""COMPUTED_VALUE"""),41757.0)</f>
        <v>41757</v>
      </c>
      <c r="AB640" s="38">
        <f>IFERROR(__xludf.DUMMYFUNCTION("""COMPUTED_VALUE"""),41764.0)</f>
        <v>41764</v>
      </c>
      <c r="AH640" t="str">
        <f>IFERROR(__xludf.DUMMYFUNCTION("""COMPUTED_VALUE"""),"PROCESO DE SELECCIÓN")</f>
        <v>PROCESO DE SELECCIÓN</v>
      </c>
      <c r="AK640" t="str">
        <f>IFERROR(__xludf.DUMMYFUNCTION("""COMPUTED_VALUE"""),"E")</f>
        <v>E</v>
      </c>
      <c r="AL640">
        <f>IFERROR(__xludf.DUMMYFUNCTION("""COMPUTED_VALUE"""),26.0)</f>
        <v>26</v>
      </c>
      <c r="AM640">
        <f>IFERROR(__xludf.DUMMYFUNCTION("""COMPUTED_VALUE"""),2014.0)</f>
        <v>2014</v>
      </c>
    </row>
    <row r="641">
      <c r="A641">
        <f>IFERROR(__xludf.DUMMYFUNCTION("""COMPUTED_VALUE"""),1.6615699E7)</f>
        <v>16615699</v>
      </c>
      <c r="B641">
        <f>IFERROR(__xludf.DUMMYFUNCTION("""COMPUTED_VALUE"""),62.0)</f>
        <v>62</v>
      </c>
      <c r="D641" t="str">
        <f>IFERROR(__xludf.DUMMYFUNCTION("""COMPUTED_VALUE"""),"PRORRECTORIA")</f>
        <v>PRORRECTORIA</v>
      </c>
      <c r="E641" t="str">
        <f>IFERROR(__xludf.DUMMYFUNCTION("""COMPUTED_VALUE"""),"DEPARTAMENTO DE RECURSOS HUMANOS")</f>
        <v>DEPARTAMENTO DE RECURSOS HUMANOS</v>
      </c>
      <c r="F641" t="str">
        <f>IFERROR(__xludf.DUMMYFUNCTION("""COMPUTED_VALUE"""),"Asistente Social Personal")</f>
        <v>Asistente Social Personal</v>
      </c>
      <c r="G641" t="str">
        <f>IFERROR(__xludf.DUMMYFUNCTION("""COMPUTED_VALUE"""),"ASISTENTE SOCIAL")</f>
        <v>ASISTENTE SOCIAL</v>
      </c>
      <c r="H641">
        <f>IFERROR(__xludf.DUMMYFUNCTION("""COMPUTED_VALUE"""),13.0)</f>
        <v>13</v>
      </c>
      <c r="J641" t="str">
        <f>IFERROR(__xludf.DUMMYFUNCTION("""COMPUTED_VALUE"""),"A CONTRATA")</f>
        <v>A CONTRATA</v>
      </c>
      <c r="K641" t="str">
        <f>IFERROR(__xludf.DUMMYFUNCTION("""COMPUTED_VALUE"""),"PROFESIONAL")</f>
        <v>PROFESIONAL</v>
      </c>
      <c r="L641" t="str">
        <f>IFERROR(__xludf.DUMMYFUNCTION("""COMPUTED_VALUE"""),"INTERNO")</f>
        <v>INTERNO</v>
      </c>
      <c r="M641">
        <f>IFERROR(__xludf.DUMMYFUNCTION("""COMPUTED_VALUE"""),4.0)</f>
        <v>4</v>
      </c>
      <c r="N641" t="str">
        <f>IFERROR(__xludf.DUMMYFUNCTION("""COMPUTED_VALUE"""),"NO")</f>
        <v>NO</v>
      </c>
      <c r="P641">
        <f>IFERROR(__xludf.DUMMYFUNCTION("""COMPUTED_VALUE"""),3.0)</f>
        <v>3</v>
      </c>
      <c r="Q641">
        <f>IFERROR(__xludf.DUMMYFUNCTION("""COMPUTED_VALUE"""),0.0)</f>
        <v>0</v>
      </c>
      <c r="R641" s="45" t="str">
        <f>IFERROR(__xludf.DUMMYFUNCTION("""COMPUTED_VALUE"""),"SELECCIONADA")</f>
        <v>SELECCIONADA</v>
      </c>
      <c r="S641" s="38">
        <f>IFERROR(__xludf.DUMMYFUNCTION("""COMPUTED_VALUE"""),41792.0)</f>
        <v>41792</v>
      </c>
      <c r="T641" t="str">
        <f>IFERROR(__xludf.DUMMYFUNCTION("""COMPUTED_VALUE"""),"ANGELICA FAJARDO LAZO")</f>
        <v>ANGELICA FAJARDO LAZO</v>
      </c>
      <c r="V641" t="str">
        <f>IFERROR(__xludf.DUMMYFUNCTION("""COMPUTED_VALUE"""),"16615699-8")</f>
        <v>16615699-8</v>
      </c>
      <c r="AA641" s="38">
        <f>IFERROR(__xludf.DUMMYFUNCTION("""COMPUTED_VALUE"""),41757.0)</f>
        <v>41757</v>
      </c>
      <c r="AB641" s="38">
        <f>IFERROR(__xludf.DUMMYFUNCTION("""COMPUTED_VALUE"""),41764.0)</f>
        <v>41764</v>
      </c>
      <c r="AC641">
        <f>IFERROR(__xludf.DUMMYFUNCTION("""COMPUTED_VALUE"""),17.0)</f>
        <v>17</v>
      </c>
      <c r="AD641" t="str">
        <f>IFERROR(__xludf.DUMMYFUNCTION("""COMPUTED_VALUE"""),"ADMINISTRATIVO")</f>
        <v>ADMINISTRATIVO</v>
      </c>
      <c r="AF641" s="46" t="str">
        <f>IFERROR(__xludf.DUMMYFUNCTION("""COMPUTED_VALUE"""),"PROGRAMA DE BACHILLERATO")</f>
        <v>PROGRAMA DE BACHILLERATO</v>
      </c>
      <c r="AH641" t="str">
        <f>IFERROR(__xludf.DUMMYFUNCTION("""COMPUTED_VALUE"""),"PROCESO DE SELECCIÓN")</f>
        <v>PROCESO DE SELECCIÓN</v>
      </c>
      <c r="AK641" t="str">
        <f>IFERROR(__xludf.DUMMYFUNCTION("""COMPUTED_VALUE"""),"C")</f>
        <v>C</v>
      </c>
      <c r="AL641">
        <f>IFERROR(__xludf.DUMMYFUNCTION("""COMPUTED_VALUE"""),21.0)</f>
        <v>21</v>
      </c>
      <c r="AM641">
        <f>IFERROR(__xludf.DUMMYFUNCTION("""COMPUTED_VALUE"""),2014.0)</f>
        <v>2014</v>
      </c>
    </row>
    <row r="642">
      <c r="A642">
        <f>IFERROR(__xludf.DUMMYFUNCTION("""COMPUTED_VALUE"""),1.3453913E7)</f>
        <v>13453913</v>
      </c>
      <c r="B642">
        <f>IFERROR(__xludf.DUMMYFUNCTION("""COMPUTED_VALUE"""),70.0)</f>
        <v>70</v>
      </c>
      <c r="D642" t="str">
        <f>IFERROR(__xludf.DUMMYFUNCTION("""COMPUTED_VALUE"""),"PRORRECTORIA")</f>
        <v>PRORRECTORIA</v>
      </c>
      <c r="E642" t="str">
        <f>IFERROR(__xludf.DUMMYFUNCTION("""COMPUTED_VALUE"""),"DEPARTAMENTO DE RECURSOS HUMANOS")</f>
        <v>DEPARTAMENTO DE RECURSOS HUMANOS</v>
      </c>
      <c r="F642" t="str">
        <f>IFERROR(__xludf.DUMMYFUNCTION("""COMPUTED_VALUE"""),"Técnico Contable")</f>
        <v>Técnico Contable</v>
      </c>
      <c r="G642" t="str">
        <f>IFERROR(__xludf.DUMMYFUNCTION("""COMPUTED_VALUE"""),"TECNICO CONTABLE")</f>
        <v>TECNICO CONTABLE</v>
      </c>
      <c r="H642">
        <f>IFERROR(__xludf.DUMMYFUNCTION("""COMPUTED_VALUE"""),14.0)</f>
        <v>14</v>
      </c>
      <c r="J642" t="str">
        <f>IFERROR(__xludf.DUMMYFUNCTION("""COMPUTED_VALUE"""),"A CONTRATA")</f>
        <v>A CONTRATA</v>
      </c>
      <c r="K642" t="str">
        <f>IFERROR(__xludf.DUMMYFUNCTION("""COMPUTED_VALUE"""),"TECNICO")</f>
        <v>TECNICO</v>
      </c>
      <c r="L642" t="str">
        <f>IFERROR(__xludf.DUMMYFUNCTION("""COMPUTED_VALUE"""),"INTERNO")</f>
        <v>INTERNO</v>
      </c>
      <c r="M642">
        <f>IFERROR(__xludf.DUMMYFUNCTION("""COMPUTED_VALUE"""),0.0)</f>
        <v>0</v>
      </c>
      <c r="N642" t="str">
        <f>IFERROR(__xludf.DUMMYFUNCTION("""COMPUTED_VALUE"""),"NO")</f>
        <v>NO</v>
      </c>
      <c r="P642">
        <f>IFERROR(__xludf.DUMMYFUNCTION("""COMPUTED_VALUE"""),1.0)</f>
        <v>1</v>
      </c>
      <c r="Q642">
        <f>IFERROR(__xludf.DUMMYFUNCTION("""COMPUTED_VALUE"""),0.0)</f>
        <v>0</v>
      </c>
      <c r="R642" s="45" t="str">
        <f>IFERROR(__xludf.DUMMYFUNCTION("""COMPUTED_VALUE"""),"SELECCIONADO")</f>
        <v>SELECCIONADO</v>
      </c>
      <c r="S642" s="38">
        <f>IFERROR(__xludf.DUMMYFUNCTION("""COMPUTED_VALUE"""),41792.0)</f>
        <v>41792</v>
      </c>
      <c r="T642" t="str">
        <f>IFERROR(__xludf.DUMMYFUNCTION("""COMPUTED_VALUE"""),"RODRIGO BORQUEZ CONTRERAS")</f>
        <v>RODRIGO BORQUEZ CONTRERAS</v>
      </c>
      <c r="V642" t="str">
        <f>IFERROR(__xludf.DUMMYFUNCTION("""COMPUTED_VALUE"""),"13453913-5")</f>
        <v>13453913-5</v>
      </c>
      <c r="AA642" s="38">
        <f>IFERROR(__xludf.DUMMYFUNCTION("""COMPUTED_VALUE"""),41758.0)</f>
        <v>41758</v>
      </c>
      <c r="AB642" s="38">
        <f>IFERROR(__xludf.DUMMYFUNCTION("""COMPUTED_VALUE"""),41765.0)</f>
        <v>41765</v>
      </c>
      <c r="AC642">
        <f>IFERROR(__xludf.DUMMYFUNCTION("""COMPUTED_VALUE"""),18.0)</f>
        <v>18</v>
      </c>
      <c r="AD642" t="str">
        <f>IFERROR(__xludf.DUMMYFUNCTION("""COMPUTED_VALUE"""),"TECNICO")</f>
        <v>TECNICO</v>
      </c>
      <c r="AF642" s="46" t="str">
        <f>IFERROR(__xludf.DUMMYFUNCTION("""COMPUTED_VALUE"""),"UNIDAD DE BIENESTAR DEL PERSONAL")</f>
        <v>UNIDAD DE BIENESTAR DEL PERSONAL</v>
      </c>
      <c r="AH642" t="str">
        <f>IFERROR(__xludf.DUMMYFUNCTION("""COMPUTED_VALUE"""),"PROCESO DE SELECCIÓN")</f>
        <v>PROCESO DE SELECCIÓN</v>
      </c>
      <c r="AK642" t="str">
        <f>IFERROR(__xludf.DUMMYFUNCTION("""COMPUTED_VALUE"""),"P")</f>
        <v>P</v>
      </c>
      <c r="AL642">
        <f>IFERROR(__xludf.DUMMYFUNCTION("""COMPUTED_VALUE"""),20.0)</f>
        <v>20</v>
      </c>
      <c r="AM642">
        <f>IFERROR(__xludf.DUMMYFUNCTION("""COMPUTED_VALUE"""),2014.0)</f>
        <v>2014</v>
      </c>
    </row>
    <row r="643">
      <c r="A643">
        <f>IFERROR(__xludf.DUMMYFUNCTION("""COMPUTED_VALUE"""),8771005.0)</f>
        <v>8771005</v>
      </c>
      <c r="B643">
        <f>IFERROR(__xludf.DUMMYFUNCTION("""COMPUTED_VALUE"""),50.0)</f>
        <v>50</v>
      </c>
      <c r="D643" t="str">
        <f>IFERROR(__xludf.DUMMYFUNCTION("""COMPUTED_VALUE"""),"FACULTAD DE CIENCIA")</f>
        <v>FACULTAD DE CIENCIA</v>
      </c>
      <c r="E643" t="str">
        <f>IFERROR(__xludf.DUMMYFUNCTION("""COMPUTED_VALUE"""),"DEPARTAMENTO DE FISICA")</f>
        <v>DEPARTAMENTO DE FISICA</v>
      </c>
      <c r="F643" t="str">
        <f>IFERROR(__xludf.DUMMYFUNCTION("""COMPUTED_VALUE"""),"Técnico de Laboratorio")</f>
        <v>Técnico de Laboratorio</v>
      </c>
      <c r="G643" t="str">
        <f>IFERROR(__xludf.DUMMYFUNCTION("""COMPUTED_VALUE"""),"TECNICO ELECTRONICO")</f>
        <v>TECNICO ELECTRONICO</v>
      </c>
      <c r="H643">
        <f>IFERROR(__xludf.DUMMYFUNCTION("""COMPUTED_VALUE"""),17.0)</f>
        <v>17</v>
      </c>
      <c r="J643" t="str">
        <f>IFERROR(__xludf.DUMMYFUNCTION("""COMPUTED_VALUE"""),"A CONTRATA")</f>
        <v>A CONTRATA</v>
      </c>
      <c r="K643" t="str">
        <f>IFERROR(__xludf.DUMMYFUNCTION("""COMPUTED_VALUE"""),"TECNICO")</f>
        <v>TECNICO</v>
      </c>
      <c r="L643" t="str">
        <f>IFERROR(__xludf.DUMMYFUNCTION("""COMPUTED_VALUE"""),"INTERNO")</f>
        <v>INTERNO</v>
      </c>
      <c r="M643">
        <f>IFERROR(__xludf.DUMMYFUNCTION("""COMPUTED_VALUE"""),0.0)</f>
        <v>0</v>
      </c>
      <c r="N643" t="str">
        <f>IFERROR(__xludf.DUMMYFUNCTION("""COMPUTED_VALUE"""),"EXTERNO")</f>
        <v>EXTERNO</v>
      </c>
      <c r="O643">
        <f>IFERROR(__xludf.DUMMYFUNCTION("""COMPUTED_VALUE"""),5.0)</f>
        <v>5</v>
      </c>
      <c r="R643" s="45" t="str">
        <f>IFERROR(__xludf.DUMMYFUNCTION("""COMPUTED_VALUE"""),"SELECCIONADO")</f>
        <v>SELECCIONADO</v>
      </c>
      <c r="S643" s="38">
        <f>IFERROR(__xludf.DUMMYFUNCTION("""COMPUTED_VALUE"""),41807.0)</f>
        <v>41807</v>
      </c>
      <c r="U643" t="str">
        <f>IFERROR(__xludf.DUMMYFUNCTION("""COMPUTED_VALUE"""),"ALEXEI ITURRIAGA CASTRO")</f>
        <v>ALEXEI ITURRIAGA CASTRO</v>
      </c>
      <c r="V643" t="str">
        <f>IFERROR(__xludf.DUMMYFUNCTION("""COMPUTED_VALUE"""),"08771005-K")</f>
        <v>08771005-K</v>
      </c>
      <c r="AA643" s="38">
        <f>IFERROR(__xludf.DUMMYFUNCTION("""COMPUTED_VALUE"""),41765.0)</f>
        <v>41765</v>
      </c>
      <c r="AB643" s="38">
        <f>IFERROR(__xludf.DUMMYFUNCTION("""COMPUTED_VALUE"""),41772.0)</f>
        <v>41772</v>
      </c>
      <c r="AH643" t="str">
        <f>IFERROR(__xludf.DUMMYFUNCTION("""COMPUTED_VALUE"""),"PROCESO DE SELECCIÓN")</f>
        <v>PROCESO DE SELECCIÓN</v>
      </c>
      <c r="AK643" t="str">
        <f>IFERROR(__xludf.DUMMYFUNCTION("""COMPUTED_VALUE"""),"E")</f>
        <v>E</v>
      </c>
      <c r="AL643">
        <f>IFERROR(__xludf.DUMMYFUNCTION("""COMPUTED_VALUE"""),26.0)</f>
        <v>26</v>
      </c>
      <c r="AM643">
        <f>IFERROR(__xludf.DUMMYFUNCTION("""COMPUTED_VALUE"""),2014.0)</f>
        <v>2014</v>
      </c>
    </row>
    <row r="644">
      <c r="A644">
        <f>IFERROR(__xludf.DUMMYFUNCTION("""COMPUTED_VALUE"""),1.7089843E7)</f>
        <v>17089843</v>
      </c>
      <c r="B644">
        <f>IFERROR(__xludf.DUMMYFUNCTION("""COMPUTED_VALUE"""),110.0)</f>
        <v>110</v>
      </c>
      <c r="D644" t="str">
        <f>IFERROR(__xludf.DUMMYFUNCTION("""COMPUTED_VALUE"""),"PRORRECTORIA")</f>
        <v>PRORRECTORIA</v>
      </c>
      <c r="E644" t="str">
        <f>IFERROR(__xludf.DUMMYFUNCTION("""COMPUTED_VALUE"""),"DEPARTAMENTO DE DESARROLLO DE PERSONAS")</f>
        <v>DEPARTAMENTO DE DESARROLLO DE PERSONAS</v>
      </c>
      <c r="F644" t="str">
        <f>IFERROR(__xludf.DUMMYFUNCTION("""COMPUTED_VALUE"""),"Analista de Gestión I")</f>
        <v>Analista de Gestión I</v>
      </c>
      <c r="G644" t="str">
        <f>IFERROR(__xludf.DUMMYFUNCTION("""COMPUTED_VALUE"""),"ANALISTA I")</f>
        <v>ANALISTA I</v>
      </c>
      <c r="H644">
        <f>IFERROR(__xludf.DUMMYFUNCTION("""COMPUTED_VALUE"""),10.0)</f>
        <v>10</v>
      </c>
      <c r="J644" t="str">
        <f>IFERROR(__xludf.DUMMYFUNCTION("""COMPUTED_VALUE"""),"A CONTRATA")</f>
        <v>A CONTRATA</v>
      </c>
      <c r="K644" t="str">
        <f>IFERROR(__xludf.DUMMYFUNCTION("""COMPUTED_VALUE"""),"PROFESIONAL")</f>
        <v>PROFESIONAL</v>
      </c>
      <c r="L644" t="str">
        <f>IFERROR(__xludf.DUMMYFUNCTION("""COMPUTED_VALUE"""),"INTERNO")</f>
        <v>INTERNO</v>
      </c>
      <c r="M644">
        <f>IFERROR(__xludf.DUMMYFUNCTION("""COMPUTED_VALUE"""),3.0)</f>
        <v>3</v>
      </c>
      <c r="N644" t="str">
        <f>IFERROR(__xludf.DUMMYFUNCTION("""COMPUTED_VALUE"""),"EXTERNO")</f>
        <v>EXTERNO</v>
      </c>
      <c r="O644">
        <f>IFERROR(__xludf.DUMMYFUNCTION("""COMPUTED_VALUE"""),7.0)</f>
        <v>7</v>
      </c>
      <c r="P644">
        <f>IFERROR(__xludf.DUMMYFUNCTION("""COMPUTED_VALUE"""),1.0)</f>
        <v>1</v>
      </c>
      <c r="Q644">
        <f>IFERROR(__xludf.DUMMYFUNCTION("""COMPUTED_VALUE"""),1.0)</f>
        <v>1</v>
      </c>
      <c r="R644" s="45" t="str">
        <f>IFERROR(__xludf.DUMMYFUNCTION("""COMPUTED_VALUE"""),"SELECCIONADO")</f>
        <v>SELECCIONADO</v>
      </c>
      <c r="S644" s="38">
        <f>IFERROR(__xludf.DUMMYFUNCTION("""COMPUTED_VALUE"""),41791.0)</f>
        <v>41791</v>
      </c>
      <c r="U644" t="str">
        <f>IFERROR(__xludf.DUMMYFUNCTION("""COMPUTED_VALUE"""),"ANDRES GONZALEZ SANTA CRUZ")</f>
        <v>ANDRES GONZALEZ SANTA CRUZ</v>
      </c>
      <c r="V644" t="str">
        <f>IFERROR(__xludf.DUMMYFUNCTION("""COMPUTED_VALUE"""),"17089843-5")</f>
        <v>17089843-5</v>
      </c>
      <c r="W644" t="str">
        <f>IFERROR(__xludf.DUMMYFUNCTION("""COMPUTED_VALUE"""),"No")</f>
        <v>No</v>
      </c>
      <c r="AA644" s="38">
        <f>IFERROR(__xludf.DUMMYFUNCTION("""COMPUTED_VALUE"""),41773.0)</f>
        <v>41773</v>
      </c>
      <c r="AB644" s="38">
        <f>IFERROR(__xludf.DUMMYFUNCTION("""COMPUTED_VALUE"""),41775.0)</f>
        <v>41775</v>
      </c>
      <c r="AH644" t="str">
        <f>IFERROR(__xludf.DUMMYFUNCTION("""COMPUTED_VALUE"""),"PROCESO DE SELECCIÓN")</f>
        <v>PROCESO DE SELECCIÓN</v>
      </c>
      <c r="AK644" t="str">
        <f>IFERROR(__xludf.DUMMYFUNCTION("""COMPUTED_VALUE"""),"P")</f>
        <v>P</v>
      </c>
      <c r="AL644">
        <f>IFERROR(__xludf.DUMMYFUNCTION("""COMPUTED_VALUE"""),11.0)</f>
        <v>11</v>
      </c>
      <c r="AM644">
        <f>IFERROR(__xludf.DUMMYFUNCTION("""COMPUTED_VALUE"""),2014.0)</f>
        <v>2014</v>
      </c>
    </row>
    <row r="645">
      <c r="A645">
        <f>IFERROR(__xludf.DUMMYFUNCTION("""COMPUTED_VALUE"""),8038677.0)</f>
        <v>8038677</v>
      </c>
      <c r="B645">
        <f>IFERROR(__xludf.DUMMYFUNCTION("""COMPUTED_VALUE"""),49.0)</f>
        <v>49</v>
      </c>
      <c r="D645" t="str">
        <f>IFERROR(__xludf.DUMMYFUNCTION("""COMPUTED_VALUE"""),"VICERRECTORIA DE VINCULACION CON EL MEDIO")</f>
        <v>VICERRECTORIA DE VINCULACION CON EL MEDIO</v>
      </c>
      <c r="E645" t="str">
        <f>IFERROR(__xludf.DUMMYFUNCTION("""COMPUTED_VALUE"""),"DEPARTAMENTO EDITORIAL")</f>
        <v>DEPARTAMENTO EDITORIAL</v>
      </c>
      <c r="F645" t="str">
        <f>IFERROR(__xludf.DUMMYFUNCTION("""COMPUTED_VALUE"""),"Administrativo Especializado")</f>
        <v>Administrativo Especializado</v>
      </c>
      <c r="G645" t="str">
        <f>IFERROR(__xludf.DUMMYFUNCTION("""COMPUTED_VALUE"""),"ADMINISTRATIVO ESPECIALIZADO")</f>
        <v>ADMINISTRATIVO ESPECIALIZADO</v>
      </c>
      <c r="H645">
        <f>IFERROR(__xludf.DUMMYFUNCTION("""COMPUTED_VALUE"""),10.0)</f>
        <v>10</v>
      </c>
      <c r="J645" t="str">
        <f>IFERROR(__xludf.DUMMYFUNCTION("""COMPUTED_VALUE"""),"A CONTRATA")</f>
        <v>A CONTRATA</v>
      </c>
      <c r="K645" t="str">
        <f>IFERROR(__xludf.DUMMYFUNCTION("""COMPUTED_VALUE"""),"ADMINISTRATIVO")</f>
        <v>ADMINISTRATIVO</v>
      </c>
      <c r="L645" t="str">
        <f>IFERROR(__xludf.DUMMYFUNCTION("""COMPUTED_VALUE"""),"INTERNO")</f>
        <v>INTERNO</v>
      </c>
      <c r="M645">
        <f>IFERROR(__xludf.DUMMYFUNCTION("""COMPUTED_VALUE"""),3.0)</f>
        <v>3</v>
      </c>
      <c r="N645" t="str">
        <f>IFERROR(__xludf.DUMMYFUNCTION("""COMPUTED_VALUE"""),"EXTERNO")</f>
        <v>EXTERNO</v>
      </c>
      <c r="R645" s="45" t="str">
        <f>IFERROR(__xludf.DUMMYFUNCTION("""COMPUTED_VALUE"""),"SELECCIONADA")</f>
        <v>SELECCIONADA</v>
      </c>
      <c r="S645" s="38">
        <f>IFERROR(__xludf.DUMMYFUNCTION("""COMPUTED_VALUE"""),41827.0)</f>
        <v>41827</v>
      </c>
      <c r="U645" t="str">
        <f>IFERROR(__xludf.DUMMYFUNCTION("""COMPUTED_VALUE"""),"CARMEN JULIA RIOSECO WACKERLING")</f>
        <v>CARMEN JULIA RIOSECO WACKERLING</v>
      </c>
      <c r="V645" t="str">
        <f>IFERROR(__xludf.DUMMYFUNCTION("""COMPUTED_VALUE"""),"08038677-K")</f>
        <v>08038677-K</v>
      </c>
      <c r="AA645" s="38">
        <f>IFERROR(__xludf.DUMMYFUNCTION("""COMPUTED_VALUE"""),41772.0)</f>
        <v>41772</v>
      </c>
      <c r="AB645" s="38">
        <f>IFERROR(__xludf.DUMMYFUNCTION("""COMPUTED_VALUE"""),41779.0)</f>
        <v>41779</v>
      </c>
      <c r="AH645" t="str">
        <f>IFERROR(__xludf.DUMMYFUNCTION("""COMPUTED_VALUE"""),"PROCESO DE SELECCIÓN")</f>
        <v>PROCESO DE SELECCIÓN</v>
      </c>
      <c r="AK645" t="str">
        <f>IFERROR(__xludf.DUMMYFUNCTION("""COMPUTED_VALUE"""),"P")</f>
        <v>P</v>
      </c>
      <c r="AL645">
        <f>IFERROR(__xludf.DUMMYFUNCTION("""COMPUTED_VALUE"""),35.0)</f>
        <v>35</v>
      </c>
      <c r="AM645">
        <f>IFERROR(__xludf.DUMMYFUNCTION("""COMPUTED_VALUE"""),2014.0)</f>
        <v>2014</v>
      </c>
    </row>
    <row r="646">
      <c r="A646">
        <f>IFERROR(__xludf.DUMMYFUNCTION("""COMPUTED_VALUE"""),1.4284438E7)</f>
        <v>14284438</v>
      </c>
      <c r="B646">
        <f>IFERROR(__xludf.DUMMYFUNCTION("""COMPUTED_VALUE"""),54.0)</f>
        <v>54</v>
      </c>
      <c r="D646" t="str">
        <f>IFERROR(__xludf.DUMMYFUNCTION("""COMPUTED_VALUE"""),"VICERRECTORIA ACADEMICA")</f>
        <v>VICERRECTORIA ACADEMICA</v>
      </c>
      <c r="E646" t="str">
        <f>IFERROR(__xludf.DUMMYFUNCTION("""COMPUTED_VALUE"""),"UNIE-CITECAMP")</f>
        <v>UNIE-CITECAMP</v>
      </c>
      <c r="F646" t="str">
        <f>IFERROR(__xludf.DUMMYFUNCTION("""COMPUTED_VALUE"""),"Mayordomo")</f>
        <v>Mayordomo</v>
      </c>
      <c r="G646" t="str">
        <f>IFERROR(__xludf.DUMMYFUNCTION("""COMPUTED_VALUE"""),"MAYORDOMO")</f>
        <v>MAYORDOMO</v>
      </c>
      <c r="H646">
        <f>IFERROR(__xludf.DUMMYFUNCTION("""COMPUTED_VALUE"""),21.0)</f>
        <v>21</v>
      </c>
      <c r="J646" t="str">
        <f>IFERROR(__xludf.DUMMYFUNCTION("""COMPUTED_VALUE"""),"A CONTRATA")</f>
        <v>A CONTRATA</v>
      </c>
      <c r="K646" t="str">
        <f>IFERROR(__xludf.DUMMYFUNCTION("""COMPUTED_VALUE"""),"AUXILIAR")</f>
        <v>AUXILIAR</v>
      </c>
      <c r="L646" t="str">
        <f>IFERROR(__xludf.DUMMYFUNCTION("""COMPUTED_VALUE"""),"INTERNO")</f>
        <v>INTERNO</v>
      </c>
      <c r="M646">
        <f>IFERROR(__xludf.DUMMYFUNCTION("""COMPUTED_VALUE"""),0.0)</f>
        <v>0</v>
      </c>
      <c r="N646" t="str">
        <f>IFERROR(__xludf.DUMMYFUNCTION("""COMPUTED_VALUE"""),"EXTERNO")</f>
        <v>EXTERNO</v>
      </c>
      <c r="O646">
        <f>IFERROR(__xludf.DUMMYFUNCTION("""COMPUTED_VALUE"""),11.0)</f>
        <v>11</v>
      </c>
      <c r="R646" s="45" t="str">
        <f>IFERROR(__xludf.DUMMYFUNCTION("""COMPUTED_VALUE"""),"SELECCIONADO")</f>
        <v>SELECCIONADO</v>
      </c>
      <c r="S646" s="38">
        <f>IFERROR(__xludf.DUMMYFUNCTION("""COMPUTED_VALUE"""),41834.0)</f>
        <v>41834</v>
      </c>
      <c r="U646" t="str">
        <f>IFERROR(__xludf.DUMMYFUNCTION("""COMPUTED_VALUE"""),"HUGO BUSTOS SAEZ")</f>
        <v>HUGO BUSTOS SAEZ</v>
      </c>
      <c r="V646" t="str">
        <f>IFERROR(__xludf.DUMMYFUNCTION("""COMPUTED_VALUE"""),"14284438-9")</f>
        <v>14284438-9</v>
      </c>
      <c r="AA646" s="38">
        <f>IFERROR(__xludf.DUMMYFUNCTION("""COMPUTED_VALUE"""),41772.0)</f>
        <v>41772</v>
      </c>
      <c r="AB646" s="38">
        <f>IFERROR(__xludf.DUMMYFUNCTION("""COMPUTED_VALUE"""),41779.0)</f>
        <v>41779</v>
      </c>
      <c r="AH646" t="str">
        <f>IFERROR(__xludf.DUMMYFUNCTION("""COMPUTED_VALUE"""),"PROCESO DE SELECCIÓN")</f>
        <v>PROCESO DE SELECCIÓN</v>
      </c>
      <c r="AK646" t="str">
        <f>IFERROR(__xludf.DUMMYFUNCTION("""COMPUTED_VALUE"""),"E")</f>
        <v>E</v>
      </c>
      <c r="AL646">
        <f>IFERROR(__xludf.DUMMYFUNCTION("""COMPUTED_VALUE"""),40.0)</f>
        <v>40</v>
      </c>
      <c r="AM646">
        <f>IFERROR(__xludf.DUMMYFUNCTION("""COMPUTED_VALUE"""),2014.0)</f>
        <v>2014</v>
      </c>
    </row>
    <row r="647">
      <c r="A647">
        <f>IFERROR(__xludf.DUMMYFUNCTION("""COMPUTED_VALUE"""),1.4349291E7)</f>
        <v>14349291</v>
      </c>
      <c r="B647">
        <f>IFERROR(__xludf.DUMMYFUNCTION("""COMPUTED_VALUE"""),56.0)</f>
        <v>56</v>
      </c>
      <c r="D647" t="str">
        <f>IFERROR(__xludf.DUMMYFUNCTION("""COMPUTED_VALUE"""),"FACULTAD DE INGENIERIA")</f>
        <v>FACULTAD DE INGENIERIA</v>
      </c>
      <c r="E647" t="str">
        <f>IFERROR(__xludf.DUMMYFUNCTION("""COMPUTED_VALUE"""),"DEPARTAMENTO DE INGENIERIA GEOGRAFICA")</f>
        <v>DEPARTAMENTO DE INGENIERIA GEOGRAFICA</v>
      </c>
      <c r="F647" t="str">
        <f>IFERROR(__xludf.DUMMYFUNCTION("""COMPUTED_VALUE"""),"Técnico de Laboratorio")</f>
        <v>Técnico de Laboratorio</v>
      </c>
      <c r="G647" t="str">
        <f>IFERROR(__xludf.DUMMYFUNCTION("""COMPUTED_VALUE"""),"TECNICO DE LABORATORIO")</f>
        <v>TECNICO DE LABORATORIO</v>
      </c>
      <c r="H647">
        <f>IFERROR(__xludf.DUMMYFUNCTION("""COMPUTED_VALUE"""),17.0)</f>
        <v>17</v>
      </c>
      <c r="J647" t="str">
        <f>IFERROR(__xludf.DUMMYFUNCTION("""COMPUTED_VALUE"""),"A CONTRATA")</f>
        <v>A CONTRATA</v>
      </c>
      <c r="K647" t="str">
        <f>IFERROR(__xludf.DUMMYFUNCTION("""COMPUTED_VALUE"""),"TECNICO")</f>
        <v>TECNICO</v>
      </c>
      <c r="L647" t="str">
        <f>IFERROR(__xludf.DUMMYFUNCTION("""COMPUTED_VALUE"""),"INTERNO")</f>
        <v>INTERNO</v>
      </c>
      <c r="M647">
        <f>IFERROR(__xludf.DUMMYFUNCTION("""COMPUTED_VALUE"""),2.0)</f>
        <v>2</v>
      </c>
      <c r="N647" t="str">
        <f>IFERROR(__xludf.DUMMYFUNCTION("""COMPUTED_VALUE"""),"EXTERNO")</f>
        <v>EXTERNO</v>
      </c>
      <c r="O647">
        <f>IFERROR(__xludf.DUMMYFUNCTION("""COMPUTED_VALUE"""),3.0)</f>
        <v>3</v>
      </c>
      <c r="P647">
        <f>IFERROR(__xludf.DUMMYFUNCTION("""COMPUTED_VALUE"""),1.0)</f>
        <v>1</v>
      </c>
      <c r="Q647">
        <f>IFERROR(__xludf.DUMMYFUNCTION("""COMPUTED_VALUE"""),1.0)</f>
        <v>1</v>
      </c>
      <c r="R647" s="45" t="str">
        <f>IFERROR(__xludf.DUMMYFUNCTION("""COMPUTED_VALUE"""),"SELECCIONADO")</f>
        <v>SELECCIONADO</v>
      </c>
      <c r="S647" s="38">
        <f>IFERROR(__xludf.DUMMYFUNCTION("""COMPUTED_VALUE"""),41852.0)</f>
        <v>41852</v>
      </c>
      <c r="U647" t="str">
        <f>IFERROR(__xludf.DUMMYFUNCTION("""COMPUTED_VALUE"""),"FERNANDO ISLA RODRIGUEZ")</f>
        <v>FERNANDO ISLA RODRIGUEZ</v>
      </c>
      <c r="V647" t="str">
        <f>IFERROR(__xludf.DUMMYFUNCTION("""COMPUTED_VALUE"""),"14349291-5")</f>
        <v>14349291-5</v>
      </c>
      <c r="AA647" s="38">
        <f>IFERROR(__xludf.DUMMYFUNCTION("""COMPUTED_VALUE"""),41778.0)</f>
        <v>41778</v>
      </c>
      <c r="AB647" s="38">
        <f>IFERROR(__xludf.DUMMYFUNCTION("""COMPUTED_VALUE"""),41785.0)</f>
        <v>41785</v>
      </c>
      <c r="AH647" t="str">
        <f>IFERROR(__xludf.DUMMYFUNCTION("""COMPUTED_VALUE"""),"PROCESO DE SELECCIÓN")</f>
        <v>PROCESO DE SELECCIÓN</v>
      </c>
      <c r="AK647" t="str">
        <f>IFERROR(__xludf.DUMMYFUNCTION("""COMPUTED_VALUE"""),"P")</f>
        <v>P</v>
      </c>
      <c r="AL647">
        <f>IFERROR(__xludf.DUMMYFUNCTION("""COMPUTED_VALUE"""),50.0)</f>
        <v>50</v>
      </c>
      <c r="AM647">
        <f>IFERROR(__xludf.DUMMYFUNCTION("""COMPUTED_VALUE"""),2014.0)</f>
        <v>2014</v>
      </c>
    </row>
    <row r="648">
      <c r="A648">
        <f>IFERROR(__xludf.DUMMYFUNCTION("""COMPUTED_VALUE"""),1.6861876E7)</f>
        <v>16861876</v>
      </c>
      <c r="B648">
        <f>IFERROR(__xludf.DUMMYFUNCTION("""COMPUTED_VALUE"""),47.0)</f>
        <v>47</v>
      </c>
      <c r="D648" t="str">
        <f>IFERROR(__xludf.DUMMYFUNCTION("""COMPUTED_VALUE"""),"VICERRECTORIA DE APOYO AL ESTUDIANTE")</f>
        <v>VICERRECTORIA DE APOYO AL ESTUDIANTE</v>
      </c>
      <c r="E648" t="str">
        <f>IFERROR(__xludf.DUMMYFUNCTION("""COMPUTED_VALUE"""),"DEPARTAMENTO DE GESTION DEL DEPORTE Y CULTURA")</f>
        <v>DEPARTAMENTO DE GESTION DEL DEPORTE Y CULTURA</v>
      </c>
      <c r="F648" t="str">
        <f>IFERROR(__xludf.DUMMYFUNCTION("""COMPUTED_VALUE"""),"Auxiliar de Servicios")</f>
        <v>Auxiliar de Servicios</v>
      </c>
      <c r="G648" t="str">
        <f>IFERROR(__xludf.DUMMYFUNCTION("""COMPUTED_VALUE"""),"AUXILIAR DE SERVICIOS")</f>
        <v>AUXILIAR DE SERVICIOS</v>
      </c>
      <c r="H648">
        <f>IFERROR(__xludf.DUMMYFUNCTION("""COMPUTED_VALUE"""),23.0)</f>
        <v>23</v>
      </c>
      <c r="J648" t="str">
        <f>IFERROR(__xludf.DUMMYFUNCTION("""COMPUTED_VALUE"""),"A CONTRATA")</f>
        <v>A CONTRATA</v>
      </c>
      <c r="K648" t="str">
        <f>IFERROR(__xludf.DUMMYFUNCTION("""COMPUTED_VALUE"""),"AUXILIAR")</f>
        <v>AUXILIAR</v>
      </c>
      <c r="L648" t="str">
        <f>IFERROR(__xludf.DUMMYFUNCTION("""COMPUTED_VALUE"""),"INTERNO")</f>
        <v>INTERNO</v>
      </c>
      <c r="M648">
        <f>IFERROR(__xludf.DUMMYFUNCTION("""COMPUTED_VALUE"""),0.0)</f>
        <v>0</v>
      </c>
      <c r="N648" t="str">
        <f>IFERROR(__xludf.DUMMYFUNCTION("""COMPUTED_VALUE"""),"EXTERNO")</f>
        <v>EXTERNO</v>
      </c>
      <c r="O648">
        <f>IFERROR(__xludf.DUMMYFUNCTION("""COMPUTED_VALUE"""),11.0)</f>
        <v>11</v>
      </c>
      <c r="R648" s="45" t="str">
        <f>IFERROR(__xludf.DUMMYFUNCTION("""COMPUTED_VALUE"""),"SELECCIONADO")</f>
        <v>SELECCIONADO</v>
      </c>
      <c r="S648" s="38">
        <f>IFERROR(__xludf.DUMMYFUNCTION("""COMPUTED_VALUE"""),41827.0)</f>
        <v>41827</v>
      </c>
      <c r="U648" t="str">
        <f>IFERROR(__xludf.DUMMYFUNCTION("""COMPUTED_VALUE"""),"MAURICIO VALENZUELA ARANCIBIA")</f>
        <v>MAURICIO VALENZUELA ARANCIBIA</v>
      </c>
      <c r="V648" t="str">
        <f>IFERROR(__xludf.DUMMYFUNCTION("""COMPUTED_VALUE"""),"16861876-K")</f>
        <v>16861876-K</v>
      </c>
      <c r="AA648" s="38">
        <f>IFERROR(__xludf.DUMMYFUNCTION("""COMPUTED_VALUE"""),41788.0)</f>
        <v>41788</v>
      </c>
      <c r="AB648" s="38">
        <f>IFERROR(__xludf.DUMMYFUNCTION("""COMPUTED_VALUE"""),41792.0)</f>
        <v>41792</v>
      </c>
      <c r="AH648" t="str">
        <f>IFERROR(__xludf.DUMMYFUNCTION("""COMPUTED_VALUE"""),"PROCESO DE SELECCIÓN")</f>
        <v>PROCESO DE SELECCIÓN</v>
      </c>
      <c r="AK648" t="str">
        <f>IFERROR(__xludf.DUMMYFUNCTION("""COMPUTED_VALUE"""),"E")</f>
        <v>E</v>
      </c>
      <c r="AL648">
        <f>IFERROR(__xludf.DUMMYFUNCTION("""COMPUTED_VALUE"""),26.0)</f>
        <v>26</v>
      </c>
      <c r="AM648">
        <f>IFERROR(__xludf.DUMMYFUNCTION("""COMPUTED_VALUE"""),2014.0)</f>
        <v>2014</v>
      </c>
    </row>
    <row r="649">
      <c r="A649">
        <f>IFERROR(__xludf.DUMMYFUNCTION("""COMPUTED_VALUE"""),1.4404679E7)</f>
        <v>14404679</v>
      </c>
      <c r="B649">
        <f>IFERROR(__xludf.DUMMYFUNCTION("""COMPUTED_VALUE"""),52.0)</f>
        <v>52</v>
      </c>
      <c r="D649" t="str">
        <f>IFERROR(__xludf.DUMMYFUNCTION("""COMPUTED_VALUE"""),"FACULTAD DE CIENCIAS MEDICAS")</f>
        <v>FACULTAD DE CIENCIAS MEDICAS</v>
      </c>
      <c r="E649" t="str">
        <f>IFERROR(__xludf.DUMMYFUNCTION("""COMPUTED_VALUE"""),"FACULTAD DE CIENCIAS MEDICAS")</f>
        <v>FACULTAD DE CIENCIAS MEDICAS</v>
      </c>
      <c r="F649" t="str">
        <f>IFERROR(__xludf.DUMMYFUNCTION("""COMPUTED_VALUE"""),"Mayordomo")</f>
        <v>Mayordomo</v>
      </c>
      <c r="G649" t="str">
        <f>IFERROR(__xludf.DUMMYFUNCTION("""COMPUTED_VALUE"""),"MAYORDOMO")</f>
        <v>MAYORDOMO</v>
      </c>
      <c r="H649">
        <f>IFERROR(__xludf.DUMMYFUNCTION("""COMPUTED_VALUE"""),21.0)</f>
        <v>21</v>
      </c>
      <c r="J649" t="str">
        <f>IFERROR(__xludf.DUMMYFUNCTION("""COMPUTED_VALUE"""),"A CONTRATA")</f>
        <v>A CONTRATA</v>
      </c>
      <c r="K649" t="str">
        <f>IFERROR(__xludf.DUMMYFUNCTION("""COMPUTED_VALUE"""),"AUXILIAR")</f>
        <v>AUXILIAR</v>
      </c>
      <c r="L649" t="str">
        <f>IFERROR(__xludf.DUMMYFUNCTION("""COMPUTED_VALUE"""),"INTERNO")</f>
        <v>INTERNO</v>
      </c>
      <c r="M649">
        <f>IFERROR(__xludf.DUMMYFUNCTION("""COMPUTED_VALUE"""),0.0)</f>
        <v>0</v>
      </c>
      <c r="N649" t="str">
        <f>IFERROR(__xludf.DUMMYFUNCTION("""COMPUTED_VALUE"""),"EXTERNO")</f>
        <v>EXTERNO</v>
      </c>
      <c r="O649">
        <f>IFERROR(__xludf.DUMMYFUNCTION("""COMPUTED_VALUE"""),13.0)</f>
        <v>13</v>
      </c>
      <c r="R649" s="45" t="str">
        <f>IFERROR(__xludf.DUMMYFUNCTION("""COMPUTED_VALUE"""),"SELECCIONADO")</f>
        <v>SELECCIONADO</v>
      </c>
      <c r="S649" s="38">
        <f>IFERROR(__xludf.DUMMYFUNCTION("""COMPUTED_VALUE"""),41834.0)</f>
        <v>41834</v>
      </c>
      <c r="U649" t="str">
        <f>IFERROR(__xludf.DUMMYFUNCTION("""COMPUTED_VALUE"""),"ALEJANDRO MARTINEZ NAVIA")</f>
        <v>ALEJANDRO MARTINEZ NAVIA</v>
      </c>
      <c r="V649" t="str">
        <f>IFERROR(__xludf.DUMMYFUNCTION("""COMPUTED_VALUE"""),"14404679-K")</f>
        <v>14404679-K</v>
      </c>
      <c r="AA649" s="38">
        <f>IFERROR(__xludf.DUMMYFUNCTION("""COMPUTED_VALUE"""),41785.0)</f>
        <v>41785</v>
      </c>
      <c r="AB649" s="38">
        <f>IFERROR(__xludf.DUMMYFUNCTION("""COMPUTED_VALUE"""),41792.0)</f>
        <v>41792</v>
      </c>
      <c r="AH649" t="str">
        <f>IFERROR(__xludf.DUMMYFUNCTION("""COMPUTED_VALUE"""),"PROCESO DE SELECCIÓN")</f>
        <v>PROCESO DE SELECCIÓN</v>
      </c>
      <c r="AL649">
        <f>IFERROR(__xludf.DUMMYFUNCTION("""COMPUTED_VALUE"""),31.0)</f>
        <v>31</v>
      </c>
      <c r="AM649">
        <f>IFERROR(__xludf.DUMMYFUNCTION("""COMPUTED_VALUE"""),2014.0)</f>
        <v>2014</v>
      </c>
    </row>
    <row r="650">
      <c r="A650">
        <f>IFERROR(__xludf.DUMMYFUNCTION("""COMPUTED_VALUE"""),1.3451143E7)</f>
        <v>13451143</v>
      </c>
      <c r="B650">
        <f>IFERROR(__xludf.DUMMYFUNCTION("""COMPUTED_VALUE"""),45.0)</f>
        <v>45</v>
      </c>
      <c r="D650" t="str">
        <f>IFERROR(__xludf.DUMMYFUNCTION("""COMPUTED_VALUE"""),"VICERRECTORIA ACADEMICA")</f>
        <v>VICERRECTORIA ACADEMICA</v>
      </c>
      <c r="E650" t="str">
        <f>IFERROR(__xludf.DUMMYFUNCTION("""COMPUTED_VALUE"""),"UNIDAD DE REGISTRO ACADEMICO Y CURRICULAR")</f>
        <v>UNIDAD DE REGISTRO ACADEMICO Y CURRICULAR</v>
      </c>
      <c r="F650" t="str">
        <f>IFERROR(__xludf.DUMMYFUNCTION("""COMPUTED_VALUE"""),"Administrativo de Registro Académico")</f>
        <v>Administrativo de Registro Académico</v>
      </c>
      <c r="G650" t="str">
        <f>IFERROR(__xludf.DUMMYFUNCTION("""COMPUTED_VALUE"""),"ADMINISTRATIVO DE REGISTRO ACADEMICO")</f>
        <v>ADMINISTRATIVO DE REGISTRO ACADEMICO</v>
      </c>
      <c r="H650">
        <f>IFERROR(__xludf.DUMMYFUNCTION("""COMPUTED_VALUE"""),17.0)</f>
        <v>17</v>
      </c>
      <c r="J650" t="str">
        <f>IFERROR(__xludf.DUMMYFUNCTION("""COMPUTED_VALUE"""),"A CONTRATA")</f>
        <v>A CONTRATA</v>
      </c>
      <c r="K650" t="str">
        <f>IFERROR(__xludf.DUMMYFUNCTION("""COMPUTED_VALUE"""),"ADMINISTRATIVO")</f>
        <v>ADMINISTRATIVO</v>
      </c>
      <c r="L650" t="str">
        <f>IFERROR(__xludf.DUMMYFUNCTION("""COMPUTED_VALUE"""),"INTERNO")</f>
        <v>INTERNO</v>
      </c>
      <c r="M650">
        <f>IFERROR(__xludf.DUMMYFUNCTION("""COMPUTED_VALUE"""),2.0)</f>
        <v>2</v>
      </c>
      <c r="N650" t="str">
        <f>IFERROR(__xludf.DUMMYFUNCTION("""COMPUTED_VALUE"""),"NO")</f>
        <v>NO</v>
      </c>
      <c r="R650" s="45" t="str">
        <f>IFERROR(__xludf.DUMMYFUNCTION("""COMPUTED_VALUE"""),"SELECCIONADO")</f>
        <v>SELECCIONADO</v>
      </c>
      <c r="S650" s="38">
        <f>IFERROR(__xludf.DUMMYFUNCTION("""COMPUTED_VALUE"""),41821.0)</f>
        <v>41821</v>
      </c>
      <c r="T650" t="str">
        <f>IFERROR(__xludf.DUMMYFUNCTION("""COMPUTED_VALUE"""),"MIGUEL ROMAN FARIAS")</f>
        <v>MIGUEL ROMAN FARIAS</v>
      </c>
      <c r="V650" t="str">
        <f>IFERROR(__xludf.DUMMYFUNCTION("""COMPUTED_VALUE"""),"13451143-5")</f>
        <v>13451143-5</v>
      </c>
      <c r="AA650" s="38">
        <f>IFERROR(__xludf.DUMMYFUNCTION("""COMPUTED_VALUE"""),41787.0)</f>
        <v>41787</v>
      </c>
      <c r="AB650" s="38">
        <f>IFERROR(__xludf.DUMMYFUNCTION("""COMPUTED_VALUE"""),41794.0)</f>
        <v>41794</v>
      </c>
      <c r="AC650">
        <f>IFERROR(__xludf.DUMMYFUNCTION("""COMPUTED_VALUE"""),21.0)</f>
        <v>21</v>
      </c>
      <c r="AD650" t="str">
        <f>IFERROR(__xludf.DUMMYFUNCTION("""COMPUTED_VALUE"""),"ADMINISTRATIVO")</f>
        <v>ADMINISTRATIVO</v>
      </c>
      <c r="AF650" s="46" t="str">
        <f>IFERROR(__xludf.DUMMYFUNCTION("""COMPUTED_VALUE"""),"DEPARTAMENTO DE REGISTRO ACADEMICO")</f>
        <v>DEPARTAMENTO DE REGISTRO ACADEMICO</v>
      </c>
      <c r="AH650" t="str">
        <f>IFERROR(__xludf.DUMMYFUNCTION("""COMPUTED_VALUE"""),"PROCESO DE SELECCIÓN")</f>
        <v>PROCESO DE SELECCIÓN</v>
      </c>
      <c r="AK650" t="str">
        <f>IFERROR(__xludf.DUMMYFUNCTION("""COMPUTED_VALUE"""),"P")</f>
        <v>P</v>
      </c>
      <c r="AL650">
        <f>IFERROR(__xludf.DUMMYFUNCTION("""COMPUTED_VALUE"""),20.0)</f>
        <v>20</v>
      </c>
      <c r="AM650">
        <f>IFERROR(__xludf.DUMMYFUNCTION("""COMPUTED_VALUE"""),2014.0)</f>
        <v>2014</v>
      </c>
    </row>
    <row r="651">
      <c r="A651">
        <f>IFERROR(__xludf.DUMMYFUNCTION("""COMPUTED_VALUE"""),1.7767326E7)</f>
        <v>17767326</v>
      </c>
      <c r="B651">
        <f>IFERROR(__xludf.DUMMYFUNCTION("""COMPUTED_VALUE"""),48.0)</f>
        <v>48</v>
      </c>
      <c r="D651" t="str">
        <f>IFERROR(__xludf.DUMMYFUNCTION("""COMPUTED_VALUE"""),"FACULTAD DE HUMANIDADES")</f>
        <v>FACULTAD DE HUMANIDADES</v>
      </c>
      <c r="E651" t="str">
        <f>IFERROR(__xludf.DUMMYFUNCTION("""COMPUTED_VALUE"""),"DEPARTAMENTO DE LINGÜISTICA Y LITERATURA")</f>
        <v>DEPARTAMENTO DE LINGÜISTICA Y LITERATURA</v>
      </c>
      <c r="F651" t="str">
        <f>IFERROR(__xludf.DUMMYFUNCTION("""COMPUTED_VALUE"""),"Secretario de Apoyo Docente")</f>
        <v>Secretario de Apoyo Docente</v>
      </c>
      <c r="G651" t="str">
        <f>IFERROR(__xludf.DUMMYFUNCTION("""COMPUTED_VALUE"""),"SECRETARIA DE APOYO DOCENTE")</f>
        <v>SECRETARIA DE APOYO DOCENTE</v>
      </c>
      <c r="H651">
        <f>IFERROR(__xludf.DUMMYFUNCTION("""COMPUTED_VALUE"""),17.0)</f>
        <v>17</v>
      </c>
      <c r="J651" t="str">
        <f>IFERROR(__xludf.DUMMYFUNCTION("""COMPUTED_VALUE"""),"A CONTRATA")</f>
        <v>A CONTRATA</v>
      </c>
      <c r="K651" t="str">
        <f>IFERROR(__xludf.DUMMYFUNCTION("""COMPUTED_VALUE"""),"ADMINISTRATIVO")</f>
        <v>ADMINISTRATIVO</v>
      </c>
      <c r="L651" t="str">
        <f>IFERROR(__xludf.DUMMYFUNCTION("""COMPUTED_VALUE"""),"INTERNO")</f>
        <v>INTERNO</v>
      </c>
      <c r="M651">
        <f>IFERROR(__xludf.DUMMYFUNCTION("""COMPUTED_VALUE"""),0.0)</f>
        <v>0</v>
      </c>
      <c r="N651" t="str">
        <f>IFERROR(__xludf.DUMMYFUNCTION("""COMPUTED_VALUE"""),"EXTERNO")</f>
        <v>EXTERNO</v>
      </c>
      <c r="O651">
        <f>IFERROR(__xludf.DUMMYFUNCTION("""COMPUTED_VALUE"""),7.0)</f>
        <v>7</v>
      </c>
      <c r="R651" s="45" t="str">
        <f>IFERROR(__xludf.DUMMYFUNCTION("""COMPUTED_VALUE"""),"SELECCIONADA")</f>
        <v>SELECCIONADA</v>
      </c>
      <c r="S651" s="38">
        <f>IFERROR(__xludf.DUMMYFUNCTION("""COMPUTED_VALUE"""),41821.0)</f>
        <v>41821</v>
      </c>
      <c r="U651" t="str">
        <f>IFERROR(__xludf.DUMMYFUNCTION("""COMPUTED_VALUE"""),"SUGEY VISCARRA REBOLLEDO")</f>
        <v>SUGEY VISCARRA REBOLLEDO</v>
      </c>
      <c r="V651" t="str">
        <f>IFERROR(__xludf.DUMMYFUNCTION("""COMPUTED_VALUE"""),"17767326-9")</f>
        <v>17767326-9</v>
      </c>
      <c r="AA651" s="38">
        <f>IFERROR(__xludf.DUMMYFUNCTION("""COMPUTED_VALUE"""),41792.0)</f>
        <v>41792</v>
      </c>
      <c r="AB651" s="38">
        <f>IFERROR(__xludf.DUMMYFUNCTION("""COMPUTED_VALUE"""),41794.0)</f>
        <v>41794</v>
      </c>
      <c r="AH651" t="str">
        <f>IFERROR(__xludf.DUMMYFUNCTION("""COMPUTED_VALUE"""),"PROCESO DE SELECCIÓN")</f>
        <v>PROCESO DE SELECCIÓN</v>
      </c>
      <c r="AK651" t="str">
        <f>IFERROR(__xludf.DUMMYFUNCTION("""COMPUTED_VALUE"""),"P")</f>
        <v>P</v>
      </c>
      <c r="AL651">
        <f>IFERROR(__xludf.DUMMYFUNCTION("""COMPUTED_VALUE"""),20.0)</f>
        <v>20</v>
      </c>
      <c r="AM651">
        <f>IFERROR(__xludf.DUMMYFUNCTION("""COMPUTED_VALUE"""),2014.0)</f>
        <v>2014</v>
      </c>
    </row>
    <row r="652">
      <c r="A652">
        <f>IFERROR(__xludf.DUMMYFUNCTION("""COMPUTED_VALUE"""),1.3454355E7)</f>
        <v>13454355</v>
      </c>
      <c r="B652">
        <f>IFERROR(__xludf.DUMMYFUNCTION("""COMPUTED_VALUE"""),69.0)</f>
        <v>69</v>
      </c>
      <c r="D652" t="str">
        <f>IFERROR(__xludf.DUMMYFUNCTION("""COMPUTED_VALUE"""),"PRORRECTORIA")</f>
        <v>PRORRECTORIA</v>
      </c>
      <c r="E652" t="str">
        <f>IFERROR(__xludf.DUMMYFUNCTION("""COMPUTED_VALUE"""),"DEPARTAMENTO DE RECURSOS HUMANOS")</f>
        <v>DEPARTAMENTO DE RECURSOS HUMANOS</v>
      </c>
      <c r="F652" t="str">
        <f>IFERROR(__xludf.DUMMYFUNCTION("""COMPUTED_VALUE"""),"Administrativo de Apoyo")</f>
        <v>Administrativo de Apoyo</v>
      </c>
      <c r="G652" t="str">
        <f>IFERROR(__xludf.DUMMYFUNCTION("""COMPUTED_VALUE"""),"ADMINISTRATIVO DE APOYO")</f>
        <v>ADMINISTRATIVO DE APOYO</v>
      </c>
      <c r="H652">
        <f>IFERROR(__xludf.DUMMYFUNCTION("""COMPUTED_VALUE"""),20.0)</f>
        <v>20</v>
      </c>
      <c r="J652" t="str">
        <f>IFERROR(__xludf.DUMMYFUNCTION("""COMPUTED_VALUE"""),"A CONTRATA")</f>
        <v>A CONTRATA</v>
      </c>
      <c r="K652" t="str">
        <f>IFERROR(__xludf.DUMMYFUNCTION("""COMPUTED_VALUE"""),"ADMINISTRATIVO")</f>
        <v>ADMINISTRATIVO</v>
      </c>
      <c r="L652" t="str">
        <f>IFERROR(__xludf.DUMMYFUNCTION("""COMPUTED_VALUE"""),"INTERNO")</f>
        <v>INTERNO</v>
      </c>
      <c r="M652">
        <f>IFERROR(__xludf.DUMMYFUNCTION("""COMPUTED_VALUE"""),0.0)</f>
        <v>0</v>
      </c>
      <c r="N652" t="str">
        <f>IFERROR(__xludf.DUMMYFUNCTION("""COMPUTED_VALUE"""),"EXTERNO")</f>
        <v>EXTERNO</v>
      </c>
      <c r="O652">
        <f>IFERROR(__xludf.DUMMYFUNCTION("""COMPUTED_VALUE"""),6.0)</f>
        <v>6</v>
      </c>
      <c r="P652">
        <f>IFERROR(__xludf.DUMMYFUNCTION("""COMPUTED_VALUE"""),1.0)</f>
        <v>1</v>
      </c>
      <c r="Q652">
        <f>IFERROR(__xludf.DUMMYFUNCTION("""COMPUTED_VALUE"""),1.0)</f>
        <v>1</v>
      </c>
      <c r="R652" s="45" t="str">
        <f>IFERROR(__xludf.DUMMYFUNCTION("""COMPUTED_VALUE"""),"SELECCIONADO")</f>
        <v>SELECCIONADO</v>
      </c>
      <c r="S652" s="38">
        <f>IFERROR(__xludf.DUMMYFUNCTION("""COMPUTED_VALUE"""),41841.0)</f>
        <v>41841</v>
      </c>
      <c r="U652" t="str">
        <f>IFERROR(__xludf.DUMMYFUNCTION("""COMPUTED_VALUE"""),"DANIEL JORDAN CASTRO")</f>
        <v>DANIEL JORDAN CASTRO</v>
      </c>
      <c r="V652" t="str">
        <f>IFERROR(__xludf.DUMMYFUNCTION("""COMPUTED_VALUE"""),"13454355-8")</f>
        <v>13454355-8</v>
      </c>
      <c r="AA652" s="38">
        <f>IFERROR(__xludf.DUMMYFUNCTION("""COMPUTED_VALUE"""),41788.0)</f>
        <v>41788</v>
      </c>
      <c r="AB652" s="38">
        <f>IFERROR(__xludf.DUMMYFUNCTION("""COMPUTED_VALUE"""),41795.0)</f>
        <v>41795</v>
      </c>
      <c r="AH652" t="str">
        <f>IFERROR(__xludf.DUMMYFUNCTION("""COMPUTED_VALUE"""),"PROCESO DE SELECCIÓN")</f>
        <v>PROCESO DE SELECCIÓN</v>
      </c>
      <c r="AK652" t="str">
        <f>IFERROR(__xludf.DUMMYFUNCTION("""COMPUTED_VALUE"""),"C")</f>
        <v>C</v>
      </c>
      <c r="AL652">
        <f>IFERROR(__xludf.DUMMYFUNCTION("""COMPUTED_VALUE"""),33.0)</f>
        <v>33</v>
      </c>
      <c r="AM652">
        <f>IFERROR(__xludf.DUMMYFUNCTION("""COMPUTED_VALUE"""),2014.0)</f>
        <v>2014</v>
      </c>
    </row>
    <row r="653">
      <c r="A653">
        <f>IFERROR(__xludf.DUMMYFUNCTION("""COMPUTED_VALUE"""),1.5774828E7)</f>
        <v>15774828</v>
      </c>
      <c r="B653">
        <f>IFERROR(__xludf.DUMMYFUNCTION("""COMPUTED_VALUE"""),51.0)</f>
        <v>51</v>
      </c>
      <c r="D653" t="str">
        <f>IFERROR(__xludf.DUMMYFUNCTION("""COMPUTED_VALUE"""),"VICERRECTORIA ACADEMICA")</f>
        <v>VICERRECTORIA ACADEMICA</v>
      </c>
      <c r="E653" t="str">
        <f>IFERROR(__xludf.DUMMYFUNCTION("""COMPUTED_VALUE"""),"UNIDAD DE BIBLIOTECAS")</f>
        <v>UNIDAD DE BIBLIOTECAS</v>
      </c>
      <c r="F653" t="str">
        <f>IFERROR(__xludf.DUMMYFUNCTION("""COMPUTED_VALUE"""),"Asistente de Biblioteca")</f>
        <v>Asistente de Biblioteca</v>
      </c>
      <c r="G653" t="str">
        <f>IFERROR(__xludf.DUMMYFUNCTION("""COMPUTED_VALUE"""),"ASISTENTE DE BIBLIOTECA")</f>
        <v>ASISTENTE DE BIBLIOTECA</v>
      </c>
      <c r="H653">
        <f>IFERROR(__xludf.DUMMYFUNCTION("""COMPUTED_VALUE"""),20.0)</f>
        <v>20</v>
      </c>
      <c r="J653" t="str">
        <f>IFERROR(__xludf.DUMMYFUNCTION("""COMPUTED_VALUE"""),"A CONTRATA")</f>
        <v>A CONTRATA</v>
      </c>
      <c r="K653" t="str">
        <f>IFERROR(__xludf.DUMMYFUNCTION("""COMPUTED_VALUE"""),"ADMINISTRATIVO")</f>
        <v>ADMINISTRATIVO</v>
      </c>
      <c r="L653" t="str">
        <f>IFERROR(__xludf.DUMMYFUNCTION("""COMPUTED_VALUE"""),"INTERNO")</f>
        <v>INTERNO</v>
      </c>
      <c r="M653">
        <f>IFERROR(__xludf.DUMMYFUNCTION("""COMPUTED_VALUE"""),0.0)</f>
        <v>0</v>
      </c>
      <c r="N653" t="str">
        <f>IFERROR(__xludf.DUMMYFUNCTION("""COMPUTED_VALUE"""),"EXTERNO")</f>
        <v>EXTERNO</v>
      </c>
      <c r="O653">
        <f>IFERROR(__xludf.DUMMYFUNCTION("""COMPUTED_VALUE"""),5.0)</f>
        <v>5</v>
      </c>
      <c r="R653" s="45" t="str">
        <f>IFERROR(__xludf.DUMMYFUNCTION("""COMPUTED_VALUE"""),"SELECCIONADO")</f>
        <v>SELECCIONADO</v>
      </c>
      <c r="S653" s="38">
        <f>IFERROR(__xludf.DUMMYFUNCTION("""COMPUTED_VALUE"""),41841.0)</f>
        <v>41841</v>
      </c>
      <c r="U653" t="str">
        <f>IFERROR(__xludf.DUMMYFUNCTION("""COMPUTED_VALUE"""),"ALEXIS ARELLANO FARIAS")</f>
        <v>ALEXIS ARELLANO FARIAS</v>
      </c>
      <c r="V653" t="str">
        <f>IFERROR(__xludf.DUMMYFUNCTION("""COMPUTED_VALUE"""),"15774828-9")</f>
        <v>15774828-9</v>
      </c>
      <c r="AA653" s="38">
        <f>IFERROR(__xludf.DUMMYFUNCTION("""COMPUTED_VALUE"""),41793.0)</f>
        <v>41793</v>
      </c>
      <c r="AB653" s="38">
        <f>IFERROR(__xludf.DUMMYFUNCTION("""COMPUTED_VALUE"""),41800.0)</f>
        <v>41800</v>
      </c>
      <c r="AH653" t="str">
        <f>IFERROR(__xludf.DUMMYFUNCTION("""COMPUTED_VALUE"""),"PROCESO DE SELECCIÓN")</f>
        <v>PROCESO DE SELECCIÓN</v>
      </c>
      <c r="AK653" t="str">
        <f>IFERROR(__xludf.DUMMYFUNCTION("""COMPUTED_VALUE"""),"C")</f>
        <v>C</v>
      </c>
      <c r="AL653">
        <f>IFERROR(__xludf.DUMMYFUNCTION("""COMPUTED_VALUE"""),30.0)</f>
        <v>30</v>
      </c>
      <c r="AM653">
        <f>IFERROR(__xludf.DUMMYFUNCTION("""COMPUTED_VALUE"""),2014.0)</f>
        <v>2014</v>
      </c>
    </row>
    <row r="654">
      <c r="A654">
        <f>IFERROR(__xludf.DUMMYFUNCTION("""COMPUTED_VALUE"""),1.7741571E7)</f>
        <v>17741571</v>
      </c>
      <c r="B654">
        <f>IFERROR(__xludf.DUMMYFUNCTION("""COMPUTED_VALUE"""),68.0)</f>
        <v>68</v>
      </c>
      <c r="D654" t="str">
        <f>IFERROR(__xludf.DUMMYFUNCTION("""COMPUTED_VALUE"""),"PRORRECTORIA")</f>
        <v>PRORRECTORIA</v>
      </c>
      <c r="E654" t="str">
        <f>IFERROR(__xludf.DUMMYFUNCTION("""COMPUTED_VALUE"""),"DEPARTAMENTO DE RECURSOS HUMANOS")</f>
        <v>DEPARTAMENTO DE RECURSOS HUMANOS</v>
      </c>
      <c r="F654" t="str">
        <f>IFERROR(__xludf.DUMMYFUNCTION("""COMPUTED_VALUE"""),"Administrativo de Recursos Humanos")</f>
        <v>Administrativo de Recursos Humanos</v>
      </c>
      <c r="G654" t="str">
        <f>IFERROR(__xludf.DUMMYFUNCTION("""COMPUTED_VALUE"""),"ADMINISTRATIVO DE RECURSOS HUMANOS")</f>
        <v>ADMINISTRATIVO DE RECURSOS HUMANOS</v>
      </c>
      <c r="H654">
        <f>IFERROR(__xludf.DUMMYFUNCTION("""COMPUTED_VALUE"""),17.0)</f>
        <v>17</v>
      </c>
      <c r="J654" t="str">
        <f>IFERROR(__xludf.DUMMYFUNCTION("""COMPUTED_VALUE"""),"A CONTRATA")</f>
        <v>A CONTRATA</v>
      </c>
      <c r="K654" t="str">
        <f>IFERROR(__xludf.DUMMYFUNCTION("""COMPUTED_VALUE"""),"ADMINISTRATIVO")</f>
        <v>ADMINISTRATIVO</v>
      </c>
      <c r="L654" t="str">
        <f>IFERROR(__xludf.DUMMYFUNCTION("""COMPUTED_VALUE"""),"INTERNO")</f>
        <v>INTERNO</v>
      </c>
      <c r="M654">
        <f>IFERROR(__xludf.DUMMYFUNCTION("""COMPUTED_VALUE"""),0.0)</f>
        <v>0</v>
      </c>
      <c r="N654" t="str">
        <f>IFERROR(__xludf.DUMMYFUNCTION("""COMPUTED_VALUE"""),"EXTERNO")</f>
        <v>EXTERNO</v>
      </c>
      <c r="O654">
        <f>IFERROR(__xludf.DUMMYFUNCTION("""COMPUTED_VALUE"""),6.0)</f>
        <v>6</v>
      </c>
      <c r="P654">
        <f>IFERROR(__xludf.DUMMYFUNCTION("""COMPUTED_VALUE"""),1.0)</f>
        <v>1</v>
      </c>
      <c r="Q654">
        <f>IFERROR(__xludf.DUMMYFUNCTION("""COMPUTED_VALUE"""),1.0)</f>
        <v>1</v>
      </c>
      <c r="R654" s="45" t="str">
        <f>IFERROR(__xludf.DUMMYFUNCTION("""COMPUTED_VALUE"""),"SELECCIONADO")</f>
        <v>SELECCIONADO</v>
      </c>
      <c r="S654" s="38">
        <f>IFERROR(__xludf.DUMMYFUNCTION("""COMPUTED_VALUE"""),41821.0)</f>
        <v>41821</v>
      </c>
      <c r="U654" t="str">
        <f>IFERROR(__xludf.DUMMYFUNCTION("""COMPUTED_VALUE"""),"MARTIN ANGULO RUIZ")</f>
        <v>MARTIN ANGULO RUIZ</v>
      </c>
      <c r="V654" t="str">
        <f>IFERROR(__xludf.DUMMYFUNCTION("""COMPUTED_VALUE"""),"17741571-5")</f>
        <v>17741571-5</v>
      </c>
      <c r="AA654" s="38">
        <f>IFERROR(__xludf.DUMMYFUNCTION("""COMPUTED_VALUE"""),41796.0)</f>
        <v>41796</v>
      </c>
      <c r="AB654" s="38">
        <f>IFERROR(__xludf.DUMMYFUNCTION("""COMPUTED_VALUE"""),41800.0)</f>
        <v>41800</v>
      </c>
      <c r="AH654" t="str">
        <f>IFERROR(__xludf.DUMMYFUNCTION("""COMPUTED_VALUE"""),"PROCESO DE SELECCIÓN")</f>
        <v>PROCESO DE SELECCIÓN</v>
      </c>
      <c r="AI654" t="str">
        <f>IFERROR(__xludf.DUMMYFUNCTION("""COMPUTED_VALUE"""),"MARCELO AVILA SOTO")</f>
        <v>MARCELO AVILA SOTO</v>
      </c>
      <c r="AK654" t="str">
        <f>IFERROR(__xludf.DUMMYFUNCTION("""COMPUTED_VALUE"""),"C")</f>
        <v>C</v>
      </c>
      <c r="AL654">
        <f>IFERROR(__xludf.DUMMYFUNCTION("""COMPUTED_VALUE"""),16.0)</f>
        <v>16</v>
      </c>
      <c r="AM654">
        <f>IFERROR(__xludf.DUMMYFUNCTION("""COMPUTED_VALUE"""),2014.0)</f>
        <v>2014</v>
      </c>
    </row>
    <row r="655">
      <c r="A655">
        <f>IFERROR(__xludf.DUMMYFUNCTION("""COMPUTED_VALUE"""),1.364038E7)</f>
        <v>13640380</v>
      </c>
      <c r="B655">
        <f>IFERROR(__xludf.DUMMYFUNCTION("""COMPUTED_VALUE"""),43.0)</f>
        <v>43</v>
      </c>
      <c r="D655" t="str">
        <f>IFERROR(__xludf.DUMMYFUNCTION("""COMPUTED_VALUE"""),"VICERRECTORIA DE APOYO AL ESTUDIANTE")</f>
        <v>VICERRECTORIA DE APOYO AL ESTUDIANTE</v>
      </c>
      <c r="E655" t="str">
        <f>IFERROR(__xludf.DUMMYFUNCTION("""COMPUTED_VALUE"""),"UNIDAD DE ATENCION DE SALUD")</f>
        <v>UNIDAD DE ATENCION DE SALUD</v>
      </c>
      <c r="F655" t="str">
        <f>IFERROR(__xludf.DUMMYFUNCTION("""COMPUTED_VALUE"""),"Médicos y Dentistas")</f>
        <v>Médicos y Dentistas</v>
      </c>
      <c r="G655" t="str">
        <f>IFERROR(__xludf.DUMMYFUNCTION("""COMPUTED_VALUE"""),"MEDICO CIRUJANO")</f>
        <v>MEDICO CIRUJANO</v>
      </c>
      <c r="J655" t="str">
        <f>IFERROR(__xludf.DUMMYFUNCTION("""COMPUTED_VALUE"""),"Por 22 hr. Ley 15.076")</f>
        <v>Por 22 hr. Ley 15.076</v>
      </c>
      <c r="K655" t="str">
        <f>IFERROR(__xludf.DUMMYFUNCTION("""COMPUTED_VALUE"""),"PROFESIONAL")</f>
        <v>PROFESIONAL</v>
      </c>
      <c r="L655" t="str">
        <f>IFERROR(__xludf.DUMMYFUNCTION("""COMPUTED_VALUE"""),"INTERNO")</f>
        <v>INTERNO</v>
      </c>
      <c r="M655">
        <f>IFERROR(__xludf.DUMMYFUNCTION("""COMPUTED_VALUE"""),0.0)</f>
        <v>0</v>
      </c>
      <c r="N655" t="str">
        <f>IFERROR(__xludf.DUMMYFUNCTION("""COMPUTED_VALUE"""),"EXTERNO")</f>
        <v>EXTERNO</v>
      </c>
      <c r="O655">
        <f>IFERROR(__xludf.DUMMYFUNCTION("""COMPUTED_VALUE"""),1.0)</f>
        <v>1</v>
      </c>
      <c r="R655" s="45" t="str">
        <f>IFERROR(__xludf.DUMMYFUNCTION("""COMPUTED_VALUE"""),"SELECCIONADO")</f>
        <v>SELECCIONADO</v>
      </c>
      <c r="S655" s="38">
        <f>IFERROR(__xludf.DUMMYFUNCTION("""COMPUTED_VALUE"""),41813.0)</f>
        <v>41813</v>
      </c>
      <c r="U655" t="str">
        <f>IFERROR(__xludf.DUMMYFUNCTION("""COMPUTED_VALUE"""),"JOSE EGANA RODRIGUEZ")</f>
        <v>JOSE EGANA RODRIGUEZ</v>
      </c>
      <c r="V655" t="str">
        <f>IFERROR(__xludf.DUMMYFUNCTION("""COMPUTED_VALUE"""),"13640380-K")</f>
        <v>13640380-K</v>
      </c>
      <c r="AA655" s="38">
        <f>IFERROR(__xludf.DUMMYFUNCTION("""COMPUTED_VALUE"""),41774.0)</f>
        <v>41774</v>
      </c>
      <c r="AB655" s="38">
        <f>IFERROR(__xludf.DUMMYFUNCTION("""COMPUTED_VALUE"""),41802.0)</f>
        <v>41802</v>
      </c>
      <c r="AH655" t="str">
        <f>IFERROR(__xludf.DUMMYFUNCTION("""COMPUTED_VALUE"""),"PROCESO DE SELECCIÓN")</f>
        <v>PROCESO DE SELECCIÓN</v>
      </c>
      <c r="AK655" t="str">
        <f>IFERROR(__xludf.DUMMYFUNCTION("""COMPUTED_VALUE"""),"E")</f>
        <v>E</v>
      </c>
      <c r="AL655">
        <f>IFERROR(__xludf.DUMMYFUNCTION("""COMPUTED_VALUE"""),8.0)</f>
        <v>8</v>
      </c>
      <c r="AM655">
        <f>IFERROR(__xludf.DUMMYFUNCTION("""COMPUTED_VALUE"""),2014.0)</f>
        <v>2014</v>
      </c>
    </row>
    <row r="656">
      <c r="A656">
        <f>IFERROR(__xludf.DUMMYFUNCTION("""COMPUTED_VALUE"""),1.3067959E7)</f>
        <v>13067959</v>
      </c>
      <c r="B656">
        <f>IFERROR(__xludf.DUMMYFUNCTION("""COMPUTED_VALUE"""),106.0)</f>
        <v>106</v>
      </c>
      <c r="D656" t="str">
        <f>IFERROR(__xludf.DUMMYFUNCTION("""COMPUTED_VALUE"""),"FACULTAD TECNOLOGICA")</f>
        <v>FACULTAD TECNOLOGICA</v>
      </c>
      <c r="E656" t="str">
        <f>IFERROR(__xludf.DUMMYFUNCTION("""COMPUTED_VALUE"""),"FACULTAD TECNOLOGICA")</f>
        <v>FACULTAD TECNOLOGICA</v>
      </c>
      <c r="F656" t="str">
        <f>IFERROR(__xludf.DUMMYFUNCTION("""COMPUTED_VALUE"""),"Asistente Social Estudiantil")</f>
        <v>Asistente Social Estudiantil</v>
      </c>
      <c r="G656" t="str">
        <f>IFERROR(__xludf.DUMMYFUNCTION("""COMPUTED_VALUE"""),"ASISTENTE SOCIAL")</f>
        <v>ASISTENTE SOCIAL</v>
      </c>
      <c r="H656">
        <f>IFERROR(__xludf.DUMMYFUNCTION("""COMPUTED_VALUE"""),13.0)</f>
        <v>13</v>
      </c>
      <c r="J656" t="str">
        <f>IFERROR(__xludf.DUMMYFUNCTION("""COMPUTED_VALUE"""),"A CONTRATA")</f>
        <v>A CONTRATA</v>
      </c>
      <c r="K656" t="str">
        <f>IFERROR(__xludf.DUMMYFUNCTION("""COMPUTED_VALUE"""),"PROFESIONAL")</f>
        <v>PROFESIONAL</v>
      </c>
      <c r="L656" t="str">
        <f>IFERROR(__xludf.DUMMYFUNCTION("""COMPUTED_VALUE"""),"INTERNO")</f>
        <v>INTERNO</v>
      </c>
      <c r="M656">
        <f>IFERROR(__xludf.DUMMYFUNCTION("""COMPUTED_VALUE"""),5.0)</f>
        <v>5</v>
      </c>
      <c r="N656" t="str">
        <f>IFERROR(__xludf.DUMMYFUNCTION("""COMPUTED_VALUE"""),"NO")</f>
        <v>NO</v>
      </c>
      <c r="P656">
        <f>IFERROR(__xludf.DUMMYFUNCTION("""COMPUTED_VALUE"""),1.0)</f>
        <v>1</v>
      </c>
      <c r="R656" s="45" t="str">
        <f>IFERROR(__xludf.DUMMYFUNCTION("""COMPUTED_VALUE"""),"SELECCIONADA")</f>
        <v>SELECCIONADA</v>
      </c>
      <c r="S656" s="38">
        <f>IFERROR(__xludf.DUMMYFUNCTION("""COMPUTED_VALUE"""),41852.0)</f>
        <v>41852</v>
      </c>
      <c r="T656" t="str">
        <f>IFERROR(__xludf.DUMMYFUNCTION("""COMPUTED_VALUE"""),"PAULA HERNANDEZ BANNOUT")</f>
        <v>PAULA HERNANDEZ BANNOUT</v>
      </c>
      <c r="V656" t="str">
        <f>IFERROR(__xludf.DUMMYFUNCTION("""COMPUTED_VALUE"""),"13067959-5")</f>
        <v>13067959-5</v>
      </c>
      <c r="W656" t="str">
        <f>IFERROR(__xludf.DUMMYFUNCTION("""COMPUTED_VALUE"""),"SI")</f>
        <v>SI</v>
      </c>
      <c r="X656" t="str">
        <f>IFERROR(__xludf.DUMMYFUNCTION("""COMPUTED_VALUE"""),"AUTOCONTROL")</f>
        <v>AUTOCONTROL</v>
      </c>
      <c r="Y656" t="str">
        <f>IFERROR(__xludf.DUMMYFUNCTION("""COMPUTED_VALUE"""),"TRABAJO EN EQUIPO")</f>
        <v>TRABAJO EN EQUIPO</v>
      </c>
      <c r="AA656" s="38">
        <f>IFERROR(__xludf.DUMMYFUNCTION("""COMPUTED_VALUE"""),41795.0)</f>
        <v>41795</v>
      </c>
      <c r="AB656" s="38">
        <f>IFERROR(__xludf.DUMMYFUNCTION("""COMPUTED_VALUE"""),41802.0)</f>
        <v>41802</v>
      </c>
      <c r="AC656">
        <f>IFERROR(__xludf.DUMMYFUNCTION("""COMPUTED_VALUE"""),13.0)</f>
        <v>13</v>
      </c>
      <c r="AD656" t="str">
        <f>IFERROR(__xludf.DUMMYFUNCTION("""COMPUTED_VALUE"""),"PROFESIONAL")</f>
        <v>PROFESIONAL</v>
      </c>
      <c r="AF656" s="46" t="str">
        <f>IFERROR(__xludf.DUMMYFUNCTION("""COMPUTED_VALUE"""),"FACULTAD TECNOLOGICA")</f>
        <v>FACULTAD TECNOLOGICA</v>
      </c>
      <c r="AH656" t="str">
        <f>IFERROR(__xludf.DUMMYFUNCTION("""COMPUTED_VALUE"""),"PROCESO DE SELECCIÓN")</f>
        <v>PROCESO DE SELECCIÓN</v>
      </c>
      <c r="AK656" t="str">
        <f>IFERROR(__xludf.DUMMYFUNCTION("""COMPUTED_VALUE"""),"C")</f>
        <v>C</v>
      </c>
      <c r="AL656">
        <f>IFERROR(__xludf.DUMMYFUNCTION("""COMPUTED_VALUE"""),37.0)</f>
        <v>37</v>
      </c>
      <c r="AM656">
        <f>IFERROR(__xludf.DUMMYFUNCTION("""COMPUTED_VALUE"""),2014.0)</f>
        <v>2014</v>
      </c>
    </row>
    <row r="657">
      <c r="A657">
        <f>IFERROR(__xludf.DUMMYFUNCTION("""COMPUTED_VALUE"""),1.5794147E7)</f>
        <v>15794147</v>
      </c>
      <c r="B657">
        <f>IFERROR(__xludf.DUMMYFUNCTION("""COMPUTED_VALUE"""),57.0)</f>
        <v>57</v>
      </c>
      <c r="D657" t="str">
        <f>IFERROR(__xludf.DUMMYFUNCTION("""COMPUTED_VALUE"""),"VICERRECTORIA DE APOYO AL ESTUDIANTE")</f>
        <v>VICERRECTORIA DE APOYO AL ESTUDIANTE</v>
      </c>
      <c r="E657" t="str">
        <f>IFERROR(__xludf.DUMMYFUNCTION("""COMPUTED_VALUE"""),"DEPARTAMENTO DE GESTION DEL DEPORTE Y CULTURA")</f>
        <v>DEPARTAMENTO DE GESTION DEL DEPORTE Y CULTURA</v>
      </c>
      <c r="F657" t="str">
        <f>IFERROR(__xludf.DUMMYFUNCTION("""COMPUTED_VALUE"""),"Entrenador Deportivo")</f>
        <v>Entrenador Deportivo</v>
      </c>
      <c r="G657" t="str">
        <f>IFERROR(__xludf.DUMMYFUNCTION("""COMPUTED_VALUE"""),"PROFESOR ENTRENADOR DE ATLETISMO (1/2 JORNADA)")</f>
        <v>PROFESOR ENTRENADOR DE ATLETISMO (1/2 JORNADA)</v>
      </c>
      <c r="H657">
        <f>IFERROR(__xludf.DUMMYFUNCTION("""COMPUTED_VALUE"""),13.0)</f>
        <v>13</v>
      </c>
      <c r="J657" t="str">
        <f>IFERROR(__xludf.DUMMYFUNCTION("""COMPUTED_VALUE"""),"A CONTRATA")</f>
        <v>A CONTRATA</v>
      </c>
      <c r="K657" t="str">
        <f>IFERROR(__xludf.DUMMYFUNCTION("""COMPUTED_VALUE"""),"PROFESIONAL")</f>
        <v>PROFESIONAL</v>
      </c>
      <c r="L657" t="str">
        <f>IFERROR(__xludf.DUMMYFUNCTION("""COMPUTED_VALUE"""),"INTERNO")</f>
        <v>INTERNO</v>
      </c>
      <c r="M657">
        <f>IFERROR(__xludf.DUMMYFUNCTION("""COMPUTED_VALUE"""),1.0)</f>
        <v>1</v>
      </c>
      <c r="N657" t="str">
        <f>IFERROR(__xludf.DUMMYFUNCTION("""COMPUTED_VALUE"""),"NO")</f>
        <v>NO</v>
      </c>
      <c r="P657">
        <f>IFERROR(__xludf.DUMMYFUNCTION("""COMPUTED_VALUE"""),1.0)</f>
        <v>1</v>
      </c>
      <c r="Q657">
        <f>IFERROR(__xludf.DUMMYFUNCTION("""COMPUTED_VALUE"""),0.0)</f>
        <v>0</v>
      </c>
      <c r="R657" s="45" t="str">
        <f>IFERROR(__xludf.DUMMYFUNCTION("""COMPUTED_VALUE"""),"SELECCIONADA")</f>
        <v>SELECCIONADA</v>
      </c>
      <c r="S657" s="38">
        <f>IFERROR(__xludf.DUMMYFUNCTION("""COMPUTED_VALUE"""),41852.0)</f>
        <v>41852</v>
      </c>
      <c r="T657" t="str">
        <f>IFERROR(__xludf.DUMMYFUNCTION("""COMPUTED_VALUE"""),"ROXANA SILVA ZUNIGA")</f>
        <v>ROXANA SILVA ZUNIGA</v>
      </c>
      <c r="V657" t="str">
        <f>IFERROR(__xludf.DUMMYFUNCTION("""COMPUTED_VALUE"""),"15794147-K")</f>
        <v>15794147-K</v>
      </c>
      <c r="AA657" s="38">
        <f>IFERROR(__xludf.DUMMYFUNCTION("""COMPUTED_VALUE"""),41817.0)</f>
        <v>41817</v>
      </c>
      <c r="AB657" s="38">
        <f>IFERROR(__xludf.DUMMYFUNCTION("""COMPUTED_VALUE"""),41823.0)</f>
        <v>41823</v>
      </c>
      <c r="AF657" s="46" t="str">
        <f>IFERROR(__xludf.DUMMYFUNCTION("""COMPUTED_VALUE"""),"DEPARTAMENTO DE GESTION DE DEPORTE Y CULTURA")</f>
        <v>DEPARTAMENTO DE GESTION DE DEPORTE Y CULTURA</v>
      </c>
      <c r="AG657" s="46" t="str">
        <f>IFERROR(__xludf.DUMMYFUNCTION("""COMPUTED_VALUE"""),"PROFESOR HORA")</f>
        <v>PROFESOR HORA</v>
      </c>
      <c r="AH657" t="str">
        <f>IFERROR(__xludf.DUMMYFUNCTION("""COMPUTED_VALUE"""),"PROCESO DE SELECCIÓN")</f>
        <v>PROCESO DE SELECCIÓN</v>
      </c>
      <c r="AK657" t="str">
        <f>IFERROR(__xludf.DUMMYFUNCTION("""COMPUTED_VALUE"""),"P")</f>
        <v>P</v>
      </c>
      <c r="AL657">
        <f>IFERROR(__xludf.DUMMYFUNCTION("""COMPUTED_VALUE"""),22.0)</f>
        <v>22</v>
      </c>
      <c r="AM657">
        <f>IFERROR(__xludf.DUMMYFUNCTION("""COMPUTED_VALUE"""),2014.0)</f>
        <v>2014</v>
      </c>
    </row>
    <row r="658">
      <c r="A658">
        <f>IFERROR(__xludf.DUMMYFUNCTION("""COMPUTED_VALUE"""),1.3465223E7)</f>
        <v>13465223</v>
      </c>
      <c r="B658">
        <f>IFERROR(__xludf.DUMMYFUNCTION("""COMPUTED_VALUE"""),55.0)</f>
        <v>55</v>
      </c>
      <c r="D658" t="str">
        <f>IFERROR(__xludf.DUMMYFUNCTION("""COMPUTED_VALUE"""),"FACULTAD DE INGENIERIA")</f>
        <v>FACULTAD DE INGENIERIA</v>
      </c>
      <c r="E658" t="str">
        <f>IFERROR(__xludf.DUMMYFUNCTION("""COMPUTED_VALUE"""),"DEPARTAMENTO DE INGENIERIA GEOGRAFICA")</f>
        <v>DEPARTAMENTO DE INGENIERIA GEOGRAFICA</v>
      </c>
      <c r="F658" t="str">
        <f>IFERROR(__xludf.DUMMYFUNCTION("""COMPUTED_VALUE"""),"Secretario de Apoyo Docente")</f>
        <v>Secretario de Apoyo Docente</v>
      </c>
      <c r="G658" t="str">
        <f>IFERROR(__xludf.DUMMYFUNCTION("""COMPUTED_VALUE"""),"SECRETARIA DE APOYO DOCENTE")</f>
        <v>SECRETARIA DE APOYO DOCENTE</v>
      </c>
      <c r="H658">
        <f>IFERROR(__xludf.DUMMYFUNCTION("""COMPUTED_VALUE"""),17.0)</f>
        <v>17</v>
      </c>
      <c r="J658" t="str">
        <f>IFERROR(__xludf.DUMMYFUNCTION("""COMPUTED_VALUE"""),"A CONTRATA")</f>
        <v>A CONTRATA</v>
      </c>
      <c r="K658" t="str">
        <f>IFERROR(__xludf.DUMMYFUNCTION("""COMPUTED_VALUE"""),"ADMINISTRATIVO")</f>
        <v>ADMINISTRATIVO</v>
      </c>
      <c r="L658" t="str">
        <f>IFERROR(__xludf.DUMMYFUNCTION("""COMPUTED_VALUE"""),"INTERNO")</f>
        <v>INTERNO</v>
      </c>
      <c r="M658">
        <f>IFERROR(__xludf.DUMMYFUNCTION("""COMPUTED_VALUE"""),1.0)</f>
        <v>1</v>
      </c>
      <c r="N658" t="str">
        <f>IFERROR(__xludf.DUMMYFUNCTION("""COMPUTED_VALUE"""),"NO")</f>
        <v>NO</v>
      </c>
      <c r="R658" s="45" t="str">
        <f>IFERROR(__xludf.DUMMYFUNCTION("""COMPUTED_VALUE"""),"SELECCIONADA")</f>
        <v>SELECCIONADA</v>
      </c>
      <c r="S658" s="38">
        <f>IFERROR(__xludf.DUMMYFUNCTION("""COMPUTED_VALUE"""),41852.0)</f>
        <v>41852</v>
      </c>
      <c r="T658" t="str">
        <f>IFERROR(__xludf.DUMMYFUNCTION("""COMPUTED_VALUE"""),"SABINA HUERTA SERRANO")</f>
        <v>SABINA HUERTA SERRANO</v>
      </c>
      <c r="V658" t="str">
        <f>IFERROR(__xludf.DUMMYFUNCTION("""COMPUTED_VALUE"""),"13465223-3")</f>
        <v>13465223-3</v>
      </c>
      <c r="AA658" s="38">
        <f>IFERROR(__xludf.DUMMYFUNCTION("""COMPUTED_VALUE"""),41820.0)</f>
        <v>41820</v>
      </c>
      <c r="AB658" s="38">
        <f>IFERROR(__xludf.DUMMYFUNCTION("""COMPUTED_VALUE"""),41827.0)</f>
        <v>41827</v>
      </c>
      <c r="AC658">
        <f>IFERROR(__xludf.DUMMYFUNCTION("""COMPUTED_VALUE"""),19.0)</f>
        <v>19</v>
      </c>
      <c r="AD658" t="str">
        <f>IFERROR(__xludf.DUMMYFUNCTION("""COMPUTED_VALUE"""),"ADMINISTRATIVO")</f>
        <v>ADMINISTRATIVO</v>
      </c>
      <c r="AF658" s="46" t="str">
        <f>IFERROR(__xludf.DUMMYFUNCTION("""COMPUTED_VALUE"""),"DEPARTAMENTO DE FISICA")</f>
        <v>DEPARTAMENTO DE FISICA</v>
      </c>
      <c r="AH658" t="str">
        <f>IFERROR(__xludf.DUMMYFUNCTION("""COMPUTED_VALUE"""),"PROCESO DE SELECCIÓN")</f>
        <v>PROCESO DE SELECCIÓN</v>
      </c>
      <c r="AK658" t="str">
        <f>IFERROR(__xludf.DUMMYFUNCTION("""COMPUTED_VALUE"""),"P")</f>
        <v>P</v>
      </c>
      <c r="AL658">
        <f>IFERROR(__xludf.DUMMYFUNCTION("""COMPUTED_VALUE"""),20.0)</f>
        <v>20</v>
      </c>
      <c r="AM658">
        <f>IFERROR(__xludf.DUMMYFUNCTION("""COMPUTED_VALUE"""),2014.0)</f>
        <v>2014</v>
      </c>
    </row>
    <row r="659">
      <c r="A659">
        <f>IFERROR(__xludf.DUMMYFUNCTION("""COMPUTED_VALUE"""),1.5348018E7)</f>
        <v>15348018</v>
      </c>
      <c r="B659">
        <f>IFERROR(__xludf.DUMMYFUNCTION("""COMPUTED_VALUE"""),65.0)</f>
        <v>65</v>
      </c>
      <c r="D659" t="str">
        <f>IFERROR(__xludf.DUMMYFUNCTION("""COMPUTED_VALUE"""),"PRORRECTORIA")</f>
        <v>PRORRECTORIA</v>
      </c>
      <c r="E659" t="str">
        <f>IFERROR(__xludf.DUMMYFUNCTION("""COMPUTED_VALUE"""),"UNIDAD DE BIENESTAR DEL PERSONAL")</f>
        <v>UNIDAD DE BIENESTAR DEL PERSONAL</v>
      </c>
      <c r="F659" t="str">
        <f>IFERROR(__xludf.DUMMYFUNCTION("""COMPUTED_VALUE"""),"Administrativo Contable")</f>
        <v>Administrativo Contable</v>
      </c>
      <c r="G659" t="str">
        <f>IFERROR(__xludf.DUMMYFUNCTION("""COMPUTED_VALUE"""),"ADMINISTRATIVO CONTABLE")</f>
        <v>ADMINISTRATIVO CONTABLE</v>
      </c>
      <c r="H659">
        <f>IFERROR(__xludf.DUMMYFUNCTION("""COMPUTED_VALUE"""),17.0)</f>
        <v>17</v>
      </c>
      <c r="J659" t="str">
        <f>IFERROR(__xludf.DUMMYFUNCTION("""COMPUTED_VALUE"""),"A CONTRATA")</f>
        <v>A CONTRATA</v>
      </c>
      <c r="K659" t="str">
        <f>IFERROR(__xludf.DUMMYFUNCTION("""COMPUTED_VALUE"""),"TECNICO")</f>
        <v>TECNICO</v>
      </c>
      <c r="L659" t="str">
        <f>IFERROR(__xludf.DUMMYFUNCTION("""COMPUTED_VALUE"""),"INTERNO")</f>
        <v>INTERNO</v>
      </c>
      <c r="M659">
        <f>IFERROR(__xludf.DUMMYFUNCTION("""COMPUTED_VALUE"""),0.0)</f>
        <v>0</v>
      </c>
      <c r="N659" t="str">
        <f>IFERROR(__xludf.DUMMYFUNCTION("""COMPUTED_VALUE"""),"EXTERNO")</f>
        <v>EXTERNO</v>
      </c>
      <c r="O659">
        <f>IFERROR(__xludf.DUMMYFUNCTION("""COMPUTED_VALUE"""),8.0)</f>
        <v>8</v>
      </c>
      <c r="P659">
        <f>IFERROR(__xludf.DUMMYFUNCTION("""COMPUTED_VALUE"""),1.0)</f>
        <v>1</v>
      </c>
      <c r="Q659">
        <f>IFERROR(__xludf.DUMMYFUNCTION("""COMPUTED_VALUE"""),1.0)</f>
        <v>1</v>
      </c>
      <c r="R659" s="45" t="str">
        <f>IFERROR(__xludf.DUMMYFUNCTION("""COMPUTED_VALUE"""),"SELECCIONADO")</f>
        <v>SELECCIONADO</v>
      </c>
      <c r="S659" s="38">
        <f>IFERROR(__xludf.DUMMYFUNCTION("""COMPUTED_VALUE"""),41869.0)</f>
        <v>41869</v>
      </c>
      <c r="U659" t="str">
        <f>IFERROR(__xludf.DUMMYFUNCTION("""COMPUTED_VALUE"""),"JORGE ANDRES PEREZ PARDO")</f>
        <v>JORGE ANDRES PEREZ PARDO</v>
      </c>
      <c r="V659" t="str">
        <f>IFERROR(__xludf.DUMMYFUNCTION("""COMPUTED_VALUE"""),"15348018-4")</f>
        <v>15348018-4</v>
      </c>
      <c r="AA659" s="38">
        <f>IFERROR(__xludf.DUMMYFUNCTION("""COMPUTED_VALUE"""),41823.0)</f>
        <v>41823</v>
      </c>
      <c r="AB659" s="38">
        <f>IFERROR(__xludf.DUMMYFUNCTION("""COMPUTED_VALUE"""),41830.0)</f>
        <v>41830</v>
      </c>
      <c r="AH659" t="str">
        <f>IFERROR(__xludf.DUMMYFUNCTION("""COMPUTED_VALUE"""),"PROCESO DE SELECCIÓN")</f>
        <v>PROCESO DE SELECCIÓN</v>
      </c>
      <c r="AK659" t="str">
        <f>IFERROR(__xludf.DUMMYFUNCTION("""COMPUTED_VALUE"""),"C")</f>
        <v>C</v>
      </c>
      <c r="AL659">
        <f>IFERROR(__xludf.DUMMYFUNCTION("""COMPUTED_VALUE"""),28.0)</f>
        <v>28</v>
      </c>
      <c r="AM659">
        <f>IFERROR(__xludf.DUMMYFUNCTION("""COMPUTED_VALUE"""),2014.0)</f>
        <v>2014</v>
      </c>
    </row>
    <row r="660">
      <c r="A660">
        <f>IFERROR(__xludf.DUMMYFUNCTION("""COMPUTED_VALUE"""),1.612203E7)</f>
        <v>16122030</v>
      </c>
      <c r="B660">
        <f>IFERROR(__xludf.DUMMYFUNCTION("""COMPUTED_VALUE"""),73.0)</f>
        <v>73</v>
      </c>
      <c r="D660" t="str">
        <f>IFERROR(__xludf.DUMMYFUNCTION("""COMPUTED_VALUE"""),"FACULTAD DE INGENIERIA")</f>
        <v>FACULTAD DE INGENIERIA</v>
      </c>
      <c r="E660" t="str">
        <f>IFERROR(__xludf.DUMMYFUNCTION("""COMPUTED_VALUE"""),"DEPARTAMENTO DE INGENIERIA EN MINAS")</f>
        <v>DEPARTAMENTO DE INGENIERIA EN MINAS</v>
      </c>
      <c r="F660" t="str">
        <f>IFERROR(__xludf.DUMMYFUNCTION("""COMPUTED_VALUE"""),"Estafeta")</f>
        <v>Estafeta</v>
      </c>
      <c r="G660" t="str">
        <f>IFERROR(__xludf.DUMMYFUNCTION("""COMPUTED_VALUE"""),"ESTAFETA")</f>
        <v>ESTAFETA</v>
      </c>
      <c r="H660">
        <f>IFERROR(__xludf.DUMMYFUNCTION("""COMPUTED_VALUE"""),23.0)</f>
        <v>23</v>
      </c>
      <c r="J660" t="str">
        <f>IFERROR(__xludf.DUMMYFUNCTION("""COMPUTED_VALUE"""),"A CONTRATA")</f>
        <v>A CONTRATA</v>
      </c>
      <c r="K660" t="str">
        <f>IFERROR(__xludf.DUMMYFUNCTION("""COMPUTED_VALUE"""),"AUXILIAR")</f>
        <v>AUXILIAR</v>
      </c>
      <c r="L660" t="str">
        <f>IFERROR(__xludf.DUMMYFUNCTION("""COMPUTED_VALUE"""),"INTERNO")</f>
        <v>INTERNO</v>
      </c>
      <c r="M660">
        <f>IFERROR(__xludf.DUMMYFUNCTION("""COMPUTED_VALUE"""),0.0)</f>
        <v>0</v>
      </c>
      <c r="N660" t="str">
        <f>IFERROR(__xludf.DUMMYFUNCTION("""COMPUTED_VALUE"""),"EXTERNO")</f>
        <v>EXTERNO</v>
      </c>
      <c r="O660">
        <f>IFERROR(__xludf.DUMMYFUNCTION("""COMPUTED_VALUE"""),4.0)</f>
        <v>4</v>
      </c>
      <c r="P660">
        <f>IFERROR(__xludf.DUMMYFUNCTION("""COMPUTED_VALUE"""),1.0)</f>
        <v>1</v>
      </c>
      <c r="Q660">
        <f>IFERROR(__xludf.DUMMYFUNCTION("""COMPUTED_VALUE"""),1.0)</f>
        <v>1</v>
      </c>
      <c r="R660" s="45" t="str">
        <f>IFERROR(__xludf.DUMMYFUNCTION("""COMPUTED_VALUE"""),"SELECCIONADO")</f>
        <v>SELECCIONADO</v>
      </c>
      <c r="S660" s="38">
        <f>IFERROR(__xludf.DUMMYFUNCTION("""COMPUTED_VALUE"""),41883.0)</f>
        <v>41883</v>
      </c>
      <c r="U660" t="str">
        <f>IFERROR(__xludf.DUMMYFUNCTION("""COMPUTED_VALUE"""),"LUCIANO LEYTON SILVA")</f>
        <v>LUCIANO LEYTON SILVA</v>
      </c>
      <c r="V660" t="str">
        <f>IFERROR(__xludf.DUMMYFUNCTION("""COMPUTED_VALUE"""),"16122030-2")</f>
        <v>16122030-2</v>
      </c>
      <c r="AA660" s="38">
        <f>IFERROR(__xludf.DUMMYFUNCTION("""COMPUTED_VALUE"""),41828.0)</f>
        <v>41828</v>
      </c>
      <c r="AB660" s="38">
        <f>IFERROR(__xludf.DUMMYFUNCTION("""COMPUTED_VALUE"""),41835.0)</f>
        <v>41835</v>
      </c>
      <c r="AH660" t="str">
        <f>IFERROR(__xludf.DUMMYFUNCTION("""COMPUTED_VALUE"""),"PROCESO DE SELECCIÓN")</f>
        <v>PROCESO DE SELECCIÓN</v>
      </c>
      <c r="AK660" t="str">
        <f>IFERROR(__xludf.DUMMYFUNCTION("""COMPUTED_VALUE"""),"P")</f>
        <v>P</v>
      </c>
      <c r="AL660">
        <f>IFERROR(__xludf.DUMMYFUNCTION("""COMPUTED_VALUE"""),35.0)</f>
        <v>35</v>
      </c>
      <c r="AM660">
        <f>IFERROR(__xludf.DUMMYFUNCTION("""COMPUTED_VALUE"""),2014.0)</f>
        <v>2014</v>
      </c>
    </row>
    <row r="661">
      <c r="A661">
        <f>IFERROR(__xludf.DUMMYFUNCTION("""COMPUTED_VALUE"""),1.5979607E7)</f>
        <v>15979607</v>
      </c>
      <c r="B661">
        <f>IFERROR(__xludf.DUMMYFUNCTION("""COMPUTED_VALUE"""),74.0)</f>
        <v>74</v>
      </c>
      <c r="D661" t="str">
        <f>IFERROR(__xludf.DUMMYFUNCTION("""COMPUTED_VALUE"""),"PRORRECTORIA")</f>
        <v>PRORRECTORIA</v>
      </c>
      <c r="E661" t="str">
        <f>IFERROR(__xludf.DUMMYFUNCTION("""COMPUTED_VALUE"""),"DEPARTAMENTO DE FINANZAS Y TESORERIA")</f>
        <v>DEPARTAMENTO DE FINANZAS Y TESORERIA</v>
      </c>
      <c r="F661" t="str">
        <f>IFERROR(__xludf.DUMMYFUNCTION("""COMPUTED_VALUE"""),"Jefe de Área")</f>
        <v>Jefe de Área</v>
      </c>
      <c r="G661" t="str">
        <f>IFERROR(__xludf.DUMMYFUNCTION("""COMPUTED_VALUE"""),"JEFE DE AREA DE CONTABILIDAD")</f>
        <v>JEFE DE AREA DE CONTABILIDAD</v>
      </c>
      <c r="H661">
        <f>IFERROR(__xludf.DUMMYFUNCTION("""COMPUTED_VALUE"""),6.0)</f>
        <v>6</v>
      </c>
      <c r="J661" t="str">
        <f>IFERROR(__xludf.DUMMYFUNCTION("""COMPUTED_VALUE"""),"A CONTRATA")</f>
        <v>A CONTRATA</v>
      </c>
      <c r="K661" t="str">
        <f>IFERROR(__xludf.DUMMYFUNCTION("""COMPUTED_VALUE"""),"PROFESIONAL")</f>
        <v>PROFESIONAL</v>
      </c>
      <c r="L661" t="str">
        <f>IFERROR(__xludf.DUMMYFUNCTION("""COMPUTED_VALUE"""),"INTERNO")</f>
        <v>INTERNO</v>
      </c>
      <c r="M661">
        <f>IFERROR(__xludf.DUMMYFUNCTION("""COMPUTED_VALUE"""),3.0)</f>
        <v>3</v>
      </c>
      <c r="N661" t="str">
        <f>IFERROR(__xludf.DUMMYFUNCTION("""COMPUTED_VALUE"""),"EXTERNO")</f>
        <v>EXTERNO</v>
      </c>
      <c r="O661">
        <f>IFERROR(__xludf.DUMMYFUNCTION("""COMPUTED_VALUE"""),9.0)</f>
        <v>9</v>
      </c>
      <c r="P661">
        <f>IFERROR(__xludf.DUMMYFUNCTION("""COMPUTED_VALUE"""),2.0)</f>
        <v>2</v>
      </c>
      <c r="Q661">
        <f>IFERROR(__xludf.DUMMYFUNCTION("""COMPUTED_VALUE"""),1.0)</f>
        <v>1</v>
      </c>
      <c r="R661" s="45" t="str">
        <f>IFERROR(__xludf.DUMMYFUNCTION("""COMPUTED_VALUE"""),"SELECCIONADA")</f>
        <v>SELECCIONADA</v>
      </c>
      <c r="S661" s="38">
        <f>IFERROR(__xludf.DUMMYFUNCTION("""COMPUTED_VALUE"""),41883.0)</f>
        <v>41883</v>
      </c>
      <c r="U661" t="str">
        <f>IFERROR(__xludf.DUMMYFUNCTION("""COMPUTED_VALUE"""),"CLAUDIA PIZARRO VERA")</f>
        <v>CLAUDIA PIZARRO VERA</v>
      </c>
      <c r="V661" t="str">
        <f>IFERROR(__xludf.DUMMYFUNCTION("""COMPUTED_VALUE"""),"15979607-8")</f>
        <v>15979607-8</v>
      </c>
      <c r="AA661" s="38">
        <f>IFERROR(__xludf.DUMMYFUNCTION("""COMPUTED_VALUE"""),41829.0)</f>
        <v>41829</v>
      </c>
      <c r="AB661" s="38">
        <f>IFERROR(__xludf.DUMMYFUNCTION("""COMPUTED_VALUE"""),41836.0)</f>
        <v>41836</v>
      </c>
      <c r="AH661" t="str">
        <f>IFERROR(__xludf.DUMMYFUNCTION("""COMPUTED_VALUE"""),"PROCESO DE SELECCIÓN")</f>
        <v>PROCESO DE SELECCIÓN</v>
      </c>
      <c r="AK661" t="str">
        <f>IFERROR(__xludf.DUMMYFUNCTION("""COMPUTED_VALUE"""),"E")</f>
        <v>E</v>
      </c>
      <c r="AL661">
        <f>IFERROR(__xludf.DUMMYFUNCTION("""COMPUTED_VALUE"""),34.0)</f>
        <v>34</v>
      </c>
      <c r="AM661">
        <f>IFERROR(__xludf.DUMMYFUNCTION("""COMPUTED_VALUE"""),2014.0)</f>
        <v>2014</v>
      </c>
    </row>
    <row r="662">
      <c r="A662">
        <f>IFERROR(__xludf.DUMMYFUNCTION("""COMPUTED_VALUE"""),1.7986671E7)</f>
        <v>17986671</v>
      </c>
      <c r="B662">
        <f>IFERROR(__xludf.DUMMYFUNCTION("""COMPUTED_VALUE"""),75.0)</f>
        <v>75</v>
      </c>
      <c r="D662" t="str">
        <f>IFERROR(__xludf.DUMMYFUNCTION("""COMPUTED_VALUE"""),"VICERRECTORIA DE VINCULACION CON EL MEDIO")</f>
        <v>VICERRECTORIA DE VINCULACION CON EL MEDIO</v>
      </c>
      <c r="E662" t="str">
        <f>IFERROR(__xludf.DUMMYFUNCTION("""COMPUTED_VALUE"""),"DEPARTAMENTO DE COMUNICACIONES")</f>
        <v>DEPARTAMENTO DE COMUNICACIONES</v>
      </c>
      <c r="F662" t="str">
        <f>IFERROR(__xludf.DUMMYFUNCTION("""COMPUTED_VALUE"""),"Radio Controlador")</f>
        <v>Radio Controlador</v>
      </c>
      <c r="G662" t="str">
        <f>IFERROR(__xludf.DUMMYFUNCTION("""COMPUTED_VALUE"""),"RADIO OPERADOR")</f>
        <v>RADIO OPERADOR</v>
      </c>
      <c r="H662">
        <f>IFERROR(__xludf.DUMMYFUNCTION("""COMPUTED_VALUE"""),17.0)</f>
        <v>17</v>
      </c>
      <c r="J662" t="str">
        <f>IFERROR(__xludf.DUMMYFUNCTION("""COMPUTED_VALUE"""),"A CONTRATA")</f>
        <v>A CONTRATA</v>
      </c>
      <c r="K662" t="str">
        <f>IFERROR(__xludf.DUMMYFUNCTION("""COMPUTED_VALUE"""),"TECNICO")</f>
        <v>TECNICO</v>
      </c>
      <c r="L662" t="str">
        <f>IFERROR(__xludf.DUMMYFUNCTION("""COMPUTED_VALUE"""),"INTERNO")</f>
        <v>INTERNO</v>
      </c>
      <c r="M662">
        <f>IFERROR(__xludf.DUMMYFUNCTION("""COMPUTED_VALUE"""),0.0)</f>
        <v>0</v>
      </c>
      <c r="N662" t="str">
        <f>IFERROR(__xludf.DUMMYFUNCTION("""COMPUTED_VALUE"""),"EXTERNO")</f>
        <v>EXTERNO</v>
      </c>
      <c r="O662">
        <f>IFERROR(__xludf.DUMMYFUNCTION("""COMPUTED_VALUE"""),5.0)</f>
        <v>5</v>
      </c>
      <c r="P662">
        <f>IFERROR(__xludf.DUMMYFUNCTION("""COMPUTED_VALUE"""),2.0)</f>
        <v>2</v>
      </c>
      <c r="Q662">
        <f>IFERROR(__xludf.DUMMYFUNCTION("""COMPUTED_VALUE"""),1.0)</f>
        <v>1</v>
      </c>
      <c r="R662" s="45" t="str">
        <f>IFERROR(__xludf.DUMMYFUNCTION("""COMPUTED_VALUE"""),"SELECCIONADO")</f>
        <v>SELECCIONADO</v>
      </c>
      <c r="S662" s="38">
        <f>IFERROR(__xludf.DUMMYFUNCTION("""COMPUTED_VALUE"""),41883.0)</f>
        <v>41883</v>
      </c>
      <c r="U662" t="str">
        <f>IFERROR(__xludf.DUMMYFUNCTION("""COMPUTED_VALUE"""),"ALEXIS ARMIJO HUERTA")</f>
        <v>ALEXIS ARMIJO HUERTA</v>
      </c>
      <c r="V662" t="str">
        <f>IFERROR(__xludf.DUMMYFUNCTION("""COMPUTED_VALUE"""),"17986671-4")</f>
        <v>17986671-4</v>
      </c>
      <c r="AA662" s="38">
        <f>IFERROR(__xludf.DUMMYFUNCTION("""COMPUTED_VALUE"""),41831.0)</f>
        <v>41831</v>
      </c>
      <c r="AB662" s="38">
        <f>IFERROR(__xludf.DUMMYFUNCTION("""COMPUTED_VALUE"""),41838.0)</f>
        <v>41838</v>
      </c>
      <c r="AH662" t="str">
        <f>IFERROR(__xludf.DUMMYFUNCTION("""COMPUTED_VALUE"""),"PROCESO DE SELECCIÓN")</f>
        <v>PROCESO DE SELECCIÓN</v>
      </c>
      <c r="AK662" t="str">
        <f>IFERROR(__xludf.DUMMYFUNCTION("""COMPUTED_VALUE"""),"P")</f>
        <v>P</v>
      </c>
      <c r="AL662">
        <f>IFERROR(__xludf.DUMMYFUNCTION("""COMPUTED_VALUE"""),32.0)</f>
        <v>32</v>
      </c>
      <c r="AM662">
        <f>IFERROR(__xludf.DUMMYFUNCTION("""COMPUTED_VALUE"""),2014.0)</f>
        <v>2014</v>
      </c>
    </row>
    <row r="663">
      <c r="A663">
        <f>IFERROR(__xludf.DUMMYFUNCTION("""COMPUTED_VALUE"""),1.700759E7)</f>
        <v>17007590</v>
      </c>
      <c r="D663" t="str">
        <f>IFERROR(__xludf.DUMMYFUNCTION("""COMPUTED_VALUE"""),"VICERRECTORIA DE VINCULACION CON EL MEDIO")</f>
        <v>VICERRECTORIA DE VINCULACION CON EL MEDIO</v>
      </c>
      <c r="E663" t="str">
        <f>IFERROR(__xludf.DUMMYFUNCTION("""COMPUTED_VALUE"""),"DEPARTAMENTO DE COMUNICACIONES")</f>
        <v>DEPARTAMENTO DE COMUNICACIONES</v>
      </c>
      <c r="F663" t="str">
        <f>IFERROR(__xludf.DUMMYFUNCTION("""COMPUTED_VALUE"""),"Radio Controlador")</f>
        <v>Radio Controlador</v>
      </c>
      <c r="G663" t="str">
        <f>IFERROR(__xludf.DUMMYFUNCTION("""COMPUTED_VALUE"""),"RADIO OPERADOR")</f>
        <v>RADIO OPERADOR</v>
      </c>
      <c r="H663">
        <f>IFERROR(__xludf.DUMMYFUNCTION("""COMPUTED_VALUE"""),17.0)</f>
        <v>17</v>
      </c>
      <c r="J663" t="str">
        <f>IFERROR(__xludf.DUMMYFUNCTION("""COMPUTED_VALUE"""),"A CONTRATA")</f>
        <v>A CONTRATA</v>
      </c>
      <c r="K663" t="str">
        <f>IFERROR(__xludf.DUMMYFUNCTION("""COMPUTED_VALUE"""),"TECNICO")</f>
        <v>TECNICO</v>
      </c>
      <c r="L663" t="str">
        <f>IFERROR(__xludf.DUMMYFUNCTION("""COMPUTED_VALUE"""),"INTERNO")</f>
        <v>INTERNO</v>
      </c>
      <c r="M663">
        <f>IFERROR(__xludf.DUMMYFUNCTION("""COMPUTED_VALUE"""),0.0)</f>
        <v>0</v>
      </c>
      <c r="N663" t="str">
        <f>IFERROR(__xludf.DUMMYFUNCTION("""COMPUTED_VALUE"""),"EXTERNO")</f>
        <v>EXTERNO</v>
      </c>
      <c r="O663">
        <f>IFERROR(__xludf.DUMMYFUNCTION("""COMPUTED_VALUE"""),5.0)</f>
        <v>5</v>
      </c>
      <c r="P663">
        <f>IFERROR(__xludf.DUMMYFUNCTION("""COMPUTED_VALUE"""),2.0)</f>
        <v>2</v>
      </c>
      <c r="Q663">
        <f>IFERROR(__xludf.DUMMYFUNCTION("""COMPUTED_VALUE"""),1.0)</f>
        <v>1</v>
      </c>
      <c r="R663" s="45" t="str">
        <f>IFERROR(__xludf.DUMMYFUNCTION("""COMPUTED_VALUE"""),"SELECCIONADO")</f>
        <v>SELECCIONADO</v>
      </c>
      <c r="S663" s="38">
        <f>IFERROR(__xludf.DUMMYFUNCTION("""COMPUTED_VALUE"""),41883.0)</f>
        <v>41883</v>
      </c>
      <c r="U663" t="str">
        <f>IFERROR(__xludf.DUMMYFUNCTION("""COMPUTED_VALUE"""),"NICOLAS ORDENES FUENTES")</f>
        <v>NICOLAS ORDENES FUENTES</v>
      </c>
      <c r="V663" t="str">
        <f>IFERROR(__xludf.DUMMYFUNCTION("""COMPUTED_VALUE"""),"17007590-0")</f>
        <v>17007590-0</v>
      </c>
      <c r="AA663" s="38">
        <f>IFERROR(__xludf.DUMMYFUNCTION("""COMPUTED_VALUE"""),41831.0)</f>
        <v>41831</v>
      </c>
      <c r="AB663" s="38">
        <f>IFERROR(__xludf.DUMMYFUNCTION("""COMPUTED_VALUE"""),41838.0)</f>
        <v>41838</v>
      </c>
      <c r="AH663" t="str">
        <f>IFERROR(__xludf.DUMMYFUNCTION("""COMPUTED_VALUE"""),"PROCESO DE SELECCIÓN")</f>
        <v>PROCESO DE SELECCIÓN</v>
      </c>
      <c r="AK663" t="str">
        <f>IFERROR(__xludf.DUMMYFUNCTION("""COMPUTED_VALUE"""),"P")</f>
        <v>P</v>
      </c>
      <c r="AL663">
        <f>IFERROR(__xludf.DUMMYFUNCTION("""COMPUTED_VALUE"""),32.0)</f>
        <v>32</v>
      </c>
      <c r="AM663">
        <f>IFERROR(__xludf.DUMMYFUNCTION("""COMPUTED_VALUE"""),2014.0)</f>
        <v>2014</v>
      </c>
    </row>
    <row r="664">
      <c r="A664">
        <f>IFERROR(__xludf.DUMMYFUNCTION("""COMPUTED_VALUE"""),1.7167377E7)</f>
        <v>17167377</v>
      </c>
      <c r="B664">
        <f>IFERROR(__xludf.DUMMYFUNCTION("""COMPUTED_VALUE"""),76.0)</f>
        <v>76</v>
      </c>
      <c r="D664" t="str">
        <f>IFERROR(__xludf.DUMMYFUNCTION("""COMPUTED_VALUE"""),"VICERRECTORIA DE VINCULACION CON EL MEDIO")</f>
        <v>VICERRECTORIA DE VINCULACION CON EL MEDIO</v>
      </c>
      <c r="E664" t="str">
        <f>IFERROR(__xludf.DUMMYFUNCTION("""COMPUTED_VALUE"""),"DEPARTAMENTO DE COMUNICACIONES")</f>
        <v>DEPARTAMENTO DE COMUNICACIONES</v>
      </c>
      <c r="F664" t="str">
        <f>IFERROR(__xludf.DUMMYFUNCTION("""COMPUTED_VALUE"""),"Camarógrafo")</f>
        <v>Camarógrafo</v>
      </c>
      <c r="G664" t="str">
        <f>IFERROR(__xludf.DUMMYFUNCTION("""COMPUTED_VALUE"""),"CAMAROGRAFO")</f>
        <v>CAMAROGRAFO</v>
      </c>
      <c r="H664">
        <f>IFERROR(__xludf.DUMMYFUNCTION("""COMPUTED_VALUE"""),13.0)</f>
        <v>13</v>
      </c>
      <c r="J664" t="str">
        <f>IFERROR(__xludf.DUMMYFUNCTION("""COMPUTED_VALUE"""),"A CONTRATA")</f>
        <v>A CONTRATA</v>
      </c>
      <c r="K664" t="str">
        <f>IFERROR(__xludf.DUMMYFUNCTION("""COMPUTED_VALUE"""),"TECNICO")</f>
        <v>TECNICO</v>
      </c>
      <c r="L664" t="str">
        <f>IFERROR(__xludf.DUMMYFUNCTION("""COMPUTED_VALUE"""),"INTERNO")</f>
        <v>INTERNO</v>
      </c>
      <c r="M664">
        <f>IFERROR(__xludf.DUMMYFUNCTION("""COMPUTED_VALUE"""),0.0)</f>
        <v>0</v>
      </c>
      <c r="N664" t="str">
        <f>IFERROR(__xludf.DUMMYFUNCTION("""COMPUTED_VALUE"""),"EXTERNO")</f>
        <v>EXTERNO</v>
      </c>
      <c r="O664">
        <f>IFERROR(__xludf.DUMMYFUNCTION("""COMPUTED_VALUE"""),17.0)</f>
        <v>17</v>
      </c>
      <c r="P664">
        <f>IFERROR(__xludf.DUMMYFUNCTION("""COMPUTED_VALUE"""),2.0)</f>
        <v>2</v>
      </c>
      <c r="Q664">
        <f>IFERROR(__xludf.DUMMYFUNCTION("""COMPUTED_VALUE"""),1.0)</f>
        <v>1</v>
      </c>
      <c r="R664" s="45" t="str">
        <f>IFERROR(__xludf.DUMMYFUNCTION("""COMPUTED_VALUE"""),"SELECCIONADO")</f>
        <v>SELECCIONADO</v>
      </c>
      <c r="S664" s="38">
        <f>IFERROR(__xludf.DUMMYFUNCTION("""COMPUTED_VALUE"""),41871.0)</f>
        <v>41871</v>
      </c>
      <c r="U664" t="str">
        <f>IFERROR(__xludf.DUMMYFUNCTION("""COMPUTED_VALUE"""),"BASTIAN GONZALEZ TAPIA")</f>
        <v>BASTIAN GONZALEZ TAPIA</v>
      </c>
      <c r="V664" t="str">
        <f>IFERROR(__xludf.DUMMYFUNCTION("""COMPUTED_VALUE"""),"17167377-1")</f>
        <v>17167377-1</v>
      </c>
      <c r="AA664" s="38">
        <f>IFERROR(__xludf.DUMMYFUNCTION("""COMPUTED_VALUE"""),41831.0)</f>
        <v>41831</v>
      </c>
      <c r="AB664" s="38">
        <f>IFERROR(__xludf.DUMMYFUNCTION("""COMPUTED_VALUE"""),41838.0)</f>
        <v>41838</v>
      </c>
      <c r="AH664" t="str">
        <f>IFERROR(__xludf.DUMMYFUNCTION("""COMPUTED_VALUE"""),"PROCESO DE SELECCIÓN")</f>
        <v>PROCESO DE SELECCIÓN</v>
      </c>
      <c r="AK664" t="str">
        <f>IFERROR(__xludf.DUMMYFUNCTION("""COMPUTED_VALUE"""),"C")</f>
        <v>C</v>
      </c>
      <c r="AL664">
        <f>IFERROR(__xludf.DUMMYFUNCTION("""COMPUTED_VALUE"""),24.0)</f>
        <v>24</v>
      </c>
      <c r="AM664">
        <f>IFERROR(__xludf.DUMMYFUNCTION("""COMPUTED_VALUE"""),2014.0)</f>
        <v>2014</v>
      </c>
    </row>
    <row r="665">
      <c r="A665">
        <f>IFERROR(__xludf.DUMMYFUNCTION("""COMPUTED_VALUE"""),1.4147405E7)</f>
        <v>14147405</v>
      </c>
      <c r="B665">
        <f>IFERROR(__xludf.DUMMYFUNCTION("""COMPUTED_VALUE"""),82.0)</f>
        <v>82</v>
      </c>
      <c r="D665" t="str">
        <f>IFERROR(__xludf.DUMMYFUNCTION("""COMPUTED_VALUE"""),"VICERRECTORIA ACADEMICA")</f>
        <v>VICERRECTORIA ACADEMICA</v>
      </c>
      <c r="E665" t="str">
        <f>IFERROR(__xludf.DUMMYFUNCTION("""COMPUTED_VALUE"""),"UNIDAD DE BIBLIOTECAS")</f>
        <v>UNIDAD DE BIBLIOTECAS</v>
      </c>
      <c r="F665" t="str">
        <f>IFERROR(__xludf.DUMMYFUNCTION("""COMPUTED_VALUE"""),"Jefe de Sección")</f>
        <v>Jefe de Sección</v>
      </c>
      <c r="G665" t="str">
        <f>IFERROR(__xludf.DUMMYFUNCTION("""COMPUTED_VALUE"""),"JEFE DE SECCION DE BIBLIOTECA")</f>
        <v>JEFE DE SECCION DE BIBLIOTECA</v>
      </c>
      <c r="H665">
        <f>IFERROR(__xludf.DUMMYFUNCTION("""COMPUTED_VALUE"""),10.0)</f>
        <v>10</v>
      </c>
      <c r="J665" t="str">
        <f>IFERROR(__xludf.DUMMYFUNCTION("""COMPUTED_VALUE"""),"A CONTRATA")</f>
        <v>A CONTRATA</v>
      </c>
      <c r="K665" t="str">
        <f>IFERROR(__xludf.DUMMYFUNCTION("""COMPUTED_VALUE"""),"PROFESIONAL")</f>
        <v>PROFESIONAL</v>
      </c>
      <c r="L665" t="str">
        <f>IFERROR(__xludf.DUMMYFUNCTION("""COMPUTED_VALUE"""),"INTERNO")</f>
        <v>INTERNO</v>
      </c>
      <c r="M665">
        <f>IFERROR(__xludf.DUMMYFUNCTION("""COMPUTED_VALUE"""),2.0)</f>
        <v>2</v>
      </c>
      <c r="N665" t="str">
        <f>IFERROR(__xludf.DUMMYFUNCTION("""COMPUTED_VALUE"""),"EXTERNO")</f>
        <v>EXTERNO</v>
      </c>
      <c r="O665">
        <f>IFERROR(__xludf.DUMMYFUNCTION("""COMPUTED_VALUE"""),32.0)</f>
        <v>32</v>
      </c>
      <c r="P665">
        <f>IFERROR(__xludf.DUMMYFUNCTION("""COMPUTED_VALUE"""),4.0)</f>
        <v>4</v>
      </c>
      <c r="Q665">
        <f>IFERROR(__xludf.DUMMYFUNCTION("""COMPUTED_VALUE"""),1.0)</f>
        <v>1</v>
      </c>
      <c r="R665" s="45" t="str">
        <f>IFERROR(__xludf.DUMMYFUNCTION("""COMPUTED_VALUE"""),"SELECCIONADO")</f>
        <v>SELECCIONADO</v>
      </c>
      <c r="S665" s="38">
        <f>IFERROR(__xludf.DUMMYFUNCTION("""COMPUTED_VALUE"""),41911.0)</f>
        <v>41911</v>
      </c>
      <c r="U665" t="str">
        <f>IFERROR(__xludf.DUMMYFUNCTION("""COMPUTED_VALUE"""),"FRANCISCO BUSTOS NAULIN")</f>
        <v>FRANCISCO BUSTOS NAULIN</v>
      </c>
      <c r="V665" t="str">
        <f>IFERROR(__xludf.DUMMYFUNCTION("""COMPUTED_VALUE"""),"14147405-7")</f>
        <v>14147405-7</v>
      </c>
      <c r="AA665" s="38">
        <f>IFERROR(__xludf.DUMMYFUNCTION("""COMPUTED_VALUE"""),41831.0)</f>
        <v>41831</v>
      </c>
      <c r="AB665" s="38">
        <f>IFERROR(__xludf.DUMMYFUNCTION("""COMPUTED_VALUE"""),41838.0)</f>
        <v>41838</v>
      </c>
      <c r="AH665" t="str">
        <f>IFERROR(__xludf.DUMMYFUNCTION("""COMPUTED_VALUE"""),"PROCESO DE SELECCIÓN")</f>
        <v>PROCESO DE SELECCIÓN</v>
      </c>
      <c r="AK665" t="str">
        <f>IFERROR(__xludf.DUMMYFUNCTION("""COMPUTED_VALUE"""),"E")</f>
        <v>E</v>
      </c>
      <c r="AL665">
        <f>IFERROR(__xludf.DUMMYFUNCTION("""COMPUTED_VALUE"""),52.0)</f>
        <v>52</v>
      </c>
      <c r="AM665">
        <f>IFERROR(__xludf.DUMMYFUNCTION("""COMPUTED_VALUE"""),2014.0)</f>
        <v>2014</v>
      </c>
    </row>
    <row r="666">
      <c r="A666">
        <f>IFERROR(__xludf.DUMMYFUNCTION("""COMPUTED_VALUE"""),1.7543051E7)</f>
        <v>17543051</v>
      </c>
      <c r="B666">
        <f>IFERROR(__xludf.DUMMYFUNCTION("""COMPUTED_VALUE"""),108.0)</f>
        <v>108</v>
      </c>
      <c r="D666" t="str">
        <f>IFERROR(__xludf.DUMMYFUNCTION("""COMPUTED_VALUE"""),"VICERRECTORIA DE VINCULACION CON EL MEDIO")</f>
        <v>VICERRECTORIA DE VINCULACION CON EL MEDIO</v>
      </c>
      <c r="E666" t="str">
        <f>IFERROR(__xludf.DUMMYFUNCTION("""COMPUTED_VALUE"""),"VICERRECTORIA DE VINCULACION CON EL MEDIO")</f>
        <v>VICERRECTORIA DE VINCULACION CON EL MEDIO</v>
      </c>
      <c r="F666" t="str">
        <f>IFERROR(__xludf.DUMMYFUNCTION("""COMPUTED_VALUE"""),"Analista de Gestión I")</f>
        <v>Analista de Gestión I</v>
      </c>
      <c r="G666" t="str">
        <f>IFERROR(__xludf.DUMMYFUNCTION("""COMPUTED_VALUE"""),"ANALISTA DE GESTION")</f>
        <v>ANALISTA DE GESTION</v>
      </c>
      <c r="H666">
        <f>IFERROR(__xludf.DUMMYFUNCTION("""COMPUTED_VALUE"""),10.0)</f>
        <v>10</v>
      </c>
      <c r="J666" t="str">
        <f>IFERROR(__xludf.DUMMYFUNCTION("""COMPUTED_VALUE"""),"A CONTRATA")</f>
        <v>A CONTRATA</v>
      </c>
      <c r="K666" t="str">
        <f>IFERROR(__xludf.DUMMYFUNCTION("""COMPUTED_VALUE"""),"PROFESIONAL")</f>
        <v>PROFESIONAL</v>
      </c>
      <c r="L666" t="str">
        <f>IFERROR(__xludf.DUMMYFUNCTION("""COMPUTED_VALUE"""),"INTERNO")</f>
        <v>INTERNO</v>
      </c>
      <c r="M666">
        <f>IFERROR(__xludf.DUMMYFUNCTION("""COMPUTED_VALUE"""),1.0)</f>
        <v>1</v>
      </c>
      <c r="N666" t="str">
        <f>IFERROR(__xludf.DUMMYFUNCTION("""COMPUTED_VALUE"""),"EXTERNO")</f>
        <v>EXTERNO</v>
      </c>
      <c r="O666">
        <f>IFERROR(__xludf.DUMMYFUNCTION("""COMPUTED_VALUE"""),24.0)</f>
        <v>24</v>
      </c>
      <c r="P666">
        <f>IFERROR(__xludf.DUMMYFUNCTION("""COMPUTED_VALUE"""),2.0)</f>
        <v>2</v>
      </c>
      <c r="Q666">
        <f>IFERROR(__xludf.DUMMYFUNCTION("""COMPUTED_VALUE"""),1.0)</f>
        <v>1</v>
      </c>
      <c r="R666" s="45" t="str">
        <f>IFERROR(__xludf.DUMMYFUNCTION("""COMPUTED_VALUE"""),"SELECCIONADA")</f>
        <v>SELECCIONADA</v>
      </c>
      <c r="S666" s="38">
        <f>IFERROR(__xludf.DUMMYFUNCTION("""COMPUTED_VALUE"""),41863.0)</f>
        <v>41863</v>
      </c>
      <c r="U666" t="str">
        <f>IFERROR(__xludf.DUMMYFUNCTION("""COMPUTED_VALUE"""),"NATALIA MEJIAS ROJAS")</f>
        <v>NATALIA MEJIAS ROJAS</v>
      </c>
      <c r="V666" t="str">
        <f>IFERROR(__xludf.DUMMYFUNCTION("""COMPUTED_VALUE"""),"17543051-2")</f>
        <v>17543051-2</v>
      </c>
      <c r="W666" t="str">
        <f>IFERROR(__xludf.DUMMYFUNCTION("""COMPUTED_VALUE"""),"SI")</f>
        <v>SI</v>
      </c>
      <c r="AA666" s="38">
        <f>IFERROR(__xludf.DUMMYFUNCTION("""COMPUTED_VALUE"""),41831.0)</f>
        <v>41831</v>
      </c>
      <c r="AB666" s="38">
        <f>IFERROR(__xludf.DUMMYFUNCTION("""COMPUTED_VALUE"""),41838.0)</f>
        <v>41838</v>
      </c>
      <c r="AH666" t="str">
        <f>IFERROR(__xludf.DUMMYFUNCTION("""COMPUTED_VALUE"""),"PROCESO DE SELECCIÓN")</f>
        <v>PROCESO DE SELECCIÓN</v>
      </c>
      <c r="AK666" t="str">
        <f>IFERROR(__xludf.DUMMYFUNCTION("""COMPUTED_VALUE"""),"P")</f>
        <v>P</v>
      </c>
      <c r="AL666">
        <f>IFERROR(__xludf.DUMMYFUNCTION("""COMPUTED_VALUE"""),18.0)</f>
        <v>18</v>
      </c>
      <c r="AM666">
        <f>IFERROR(__xludf.DUMMYFUNCTION("""COMPUTED_VALUE"""),2014.0)</f>
        <v>2014</v>
      </c>
    </row>
    <row r="667">
      <c r="A667">
        <f>IFERROR(__xludf.DUMMYFUNCTION("""COMPUTED_VALUE"""),1.5942362E7)</f>
        <v>15942362</v>
      </c>
      <c r="B667">
        <f>IFERROR(__xludf.DUMMYFUNCTION("""COMPUTED_VALUE"""),59.0)</f>
        <v>59</v>
      </c>
      <c r="D667" t="str">
        <f>IFERROR(__xludf.DUMMYFUNCTION("""COMPUTED_VALUE"""),"FACULTAD DE INGENIERIA")</f>
        <v>FACULTAD DE INGENIERIA</v>
      </c>
      <c r="E667" t="str">
        <f>IFERROR(__xludf.DUMMYFUNCTION("""COMPUTED_VALUE"""),"FACULTAD DE INGENIERIA")</f>
        <v>FACULTAD DE INGENIERIA</v>
      </c>
      <c r="F667" t="str">
        <f>IFERROR(__xludf.DUMMYFUNCTION("""COMPUTED_VALUE"""),"Secretario A")</f>
        <v>Secretario A</v>
      </c>
      <c r="G667" t="str">
        <f>IFERROR(__xludf.DUMMYFUNCTION("""COMPUTED_VALUE"""),"SECRETARIA DE DECANO")</f>
        <v>SECRETARIA DE DECANO</v>
      </c>
      <c r="H667">
        <f>IFERROR(__xludf.DUMMYFUNCTION("""COMPUTED_VALUE"""),13.0)</f>
        <v>13</v>
      </c>
      <c r="J667" t="str">
        <f>IFERROR(__xludf.DUMMYFUNCTION("""COMPUTED_VALUE"""),"A CONTRATA")</f>
        <v>A CONTRATA</v>
      </c>
      <c r="K667" t="str">
        <f>IFERROR(__xludf.DUMMYFUNCTION("""COMPUTED_VALUE"""),"ADMINISTRATIVO")</f>
        <v>ADMINISTRATIVO</v>
      </c>
      <c r="L667" t="str">
        <f>IFERROR(__xludf.DUMMYFUNCTION("""COMPUTED_VALUE"""),"INTERNO")</f>
        <v>INTERNO</v>
      </c>
      <c r="M667">
        <f>IFERROR(__xludf.DUMMYFUNCTION("""COMPUTED_VALUE"""),4.0)</f>
        <v>4</v>
      </c>
      <c r="N667" t="str">
        <f>IFERROR(__xludf.DUMMYFUNCTION("""COMPUTED_VALUE"""),"EXTERNO")</f>
        <v>EXTERNO</v>
      </c>
      <c r="O667">
        <f>IFERROR(__xludf.DUMMYFUNCTION("""COMPUTED_VALUE"""),26.0)</f>
        <v>26</v>
      </c>
      <c r="P667">
        <f>IFERROR(__xludf.DUMMYFUNCTION("""COMPUTED_VALUE"""),1.0)</f>
        <v>1</v>
      </c>
      <c r="Q667">
        <f>IFERROR(__xludf.DUMMYFUNCTION("""COMPUTED_VALUE"""),1.0)</f>
        <v>1</v>
      </c>
      <c r="R667" s="45" t="str">
        <f>IFERROR(__xludf.DUMMYFUNCTION("""COMPUTED_VALUE"""),"SELECCIONADA")</f>
        <v>SELECCIONADA</v>
      </c>
      <c r="S667" s="38">
        <f>IFERROR(__xludf.DUMMYFUNCTION("""COMPUTED_VALUE"""),41852.0)</f>
        <v>41852</v>
      </c>
      <c r="U667" t="str">
        <f>IFERROR(__xludf.DUMMYFUNCTION("""COMPUTED_VALUE"""),"LEONOR CORDERO RIQUELME")</f>
        <v>LEONOR CORDERO RIQUELME</v>
      </c>
      <c r="V667" t="str">
        <f>IFERROR(__xludf.DUMMYFUNCTION("""COMPUTED_VALUE"""),"15942362-K")</f>
        <v>15942362-K</v>
      </c>
      <c r="AA667" s="38">
        <f>IFERROR(__xludf.DUMMYFUNCTION("""COMPUTED_VALUE"""),41746.0)</f>
        <v>41746</v>
      </c>
      <c r="AB667" s="38">
        <f>IFERROR(__xludf.DUMMYFUNCTION("""COMPUTED_VALUE"""),41844.0)</f>
        <v>41844</v>
      </c>
      <c r="AH667" t="str">
        <f>IFERROR(__xludf.DUMMYFUNCTION("""COMPUTED_VALUE"""),"PROCESO DE SELECCIÓN")</f>
        <v>PROCESO DE SELECCIÓN</v>
      </c>
      <c r="AK667" t="str">
        <f>IFERROR(__xludf.DUMMYFUNCTION("""COMPUTED_VALUE"""),"P")</f>
        <v>P</v>
      </c>
      <c r="AL667">
        <f>IFERROR(__xludf.DUMMYFUNCTION("""COMPUTED_VALUE"""),7.0)</f>
        <v>7</v>
      </c>
      <c r="AM667">
        <f>IFERROR(__xludf.DUMMYFUNCTION("""COMPUTED_VALUE"""),2014.0)</f>
        <v>2014</v>
      </c>
    </row>
    <row r="668">
      <c r="A668">
        <f>IFERROR(__xludf.DUMMYFUNCTION("""COMPUTED_VALUE"""),1.7190373E7)</f>
        <v>17190373</v>
      </c>
      <c r="B668">
        <f>IFERROR(__xludf.DUMMYFUNCTION("""COMPUTED_VALUE"""),60.0)</f>
        <v>60</v>
      </c>
      <c r="D668" t="str">
        <f>IFERROR(__xludf.DUMMYFUNCTION("""COMPUTED_VALUE"""),"FACULTAD DE INGENIERIA")</f>
        <v>FACULTAD DE INGENIERIA</v>
      </c>
      <c r="E668" t="str">
        <f>IFERROR(__xludf.DUMMYFUNCTION("""COMPUTED_VALUE"""),"FACULTAD DE INGENIERIA")</f>
        <v>FACULTAD DE INGENIERIA</v>
      </c>
      <c r="F668" t="str">
        <f>IFERROR(__xludf.DUMMYFUNCTION("""COMPUTED_VALUE"""),"Secretario B")</f>
        <v>Secretario B</v>
      </c>
      <c r="G668" t="str">
        <f>IFERROR(__xludf.DUMMYFUNCTION("""COMPUTED_VALUE"""),"SECRETARIA DE SECRETARIO DE FACULTAD")</f>
        <v>SECRETARIA DE SECRETARIO DE FACULTAD</v>
      </c>
      <c r="H668">
        <f>IFERROR(__xludf.DUMMYFUNCTION("""COMPUTED_VALUE"""),17.0)</f>
        <v>17</v>
      </c>
      <c r="J668" t="str">
        <f>IFERROR(__xludf.DUMMYFUNCTION("""COMPUTED_VALUE"""),"A CONTRATA")</f>
        <v>A CONTRATA</v>
      </c>
      <c r="K668" t="str">
        <f>IFERROR(__xludf.DUMMYFUNCTION("""COMPUTED_VALUE"""),"ADMINISTRATIVO")</f>
        <v>ADMINISTRATIVO</v>
      </c>
      <c r="L668" t="str">
        <f>IFERROR(__xludf.DUMMYFUNCTION("""COMPUTED_VALUE"""),"INTERNO")</f>
        <v>INTERNO</v>
      </c>
      <c r="M668">
        <f>IFERROR(__xludf.DUMMYFUNCTION("""COMPUTED_VALUE"""),1.0)</f>
        <v>1</v>
      </c>
      <c r="N668" t="str">
        <f>IFERROR(__xludf.DUMMYFUNCTION("""COMPUTED_VALUE"""),"EXTERNO")</f>
        <v>EXTERNO</v>
      </c>
      <c r="O668">
        <f>IFERROR(__xludf.DUMMYFUNCTION("""COMPUTED_VALUE"""),5.0)</f>
        <v>5</v>
      </c>
      <c r="P668">
        <f>IFERROR(__xludf.DUMMYFUNCTION("""COMPUTED_VALUE"""),1.0)</f>
        <v>1</v>
      </c>
      <c r="Q668">
        <f>IFERROR(__xludf.DUMMYFUNCTION("""COMPUTED_VALUE"""),1.0)</f>
        <v>1</v>
      </c>
      <c r="R668" s="45" t="str">
        <f>IFERROR(__xludf.DUMMYFUNCTION("""COMPUTED_VALUE"""),"SELECCIONADA")</f>
        <v>SELECCIONADA</v>
      </c>
      <c r="S668" s="38">
        <f>IFERROR(__xludf.DUMMYFUNCTION("""COMPUTED_VALUE"""),41852.0)</f>
        <v>41852</v>
      </c>
      <c r="U668" t="str">
        <f>IFERROR(__xludf.DUMMYFUNCTION("""COMPUTED_VALUE"""),"ESTEFANI LEIVA GONZALEZ")</f>
        <v>ESTEFANI LEIVA GONZALEZ</v>
      </c>
      <c r="V668" t="str">
        <f>IFERROR(__xludf.DUMMYFUNCTION("""COMPUTED_VALUE"""),"17190373-4")</f>
        <v>17190373-4</v>
      </c>
      <c r="AA668" s="38">
        <f>IFERROR(__xludf.DUMMYFUNCTION("""COMPUTED_VALUE"""),41745.0)</f>
        <v>41745</v>
      </c>
      <c r="AB668" s="38">
        <f>IFERROR(__xludf.DUMMYFUNCTION("""COMPUTED_VALUE"""),41844.0)</f>
        <v>41844</v>
      </c>
      <c r="AH668" t="str">
        <f>IFERROR(__xludf.DUMMYFUNCTION("""COMPUTED_VALUE"""),"PROCESO DE SELECCIÓN")</f>
        <v>PROCESO DE SELECCIÓN</v>
      </c>
      <c r="AK668" t="str">
        <f>IFERROR(__xludf.DUMMYFUNCTION("""COMPUTED_VALUE"""),"P")</f>
        <v>P</v>
      </c>
      <c r="AL668">
        <f>IFERROR(__xludf.DUMMYFUNCTION("""COMPUTED_VALUE"""),7.0)</f>
        <v>7</v>
      </c>
      <c r="AM668">
        <f>IFERROR(__xludf.DUMMYFUNCTION("""COMPUTED_VALUE"""),2014.0)</f>
        <v>2014</v>
      </c>
    </row>
    <row r="669">
      <c r="A669">
        <f>IFERROR(__xludf.DUMMYFUNCTION("""COMPUTED_VALUE"""),8754079.0)</f>
        <v>8754079</v>
      </c>
      <c r="B669">
        <f>IFERROR(__xludf.DUMMYFUNCTION("""COMPUTED_VALUE"""),61.0)</f>
        <v>61</v>
      </c>
      <c r="D669" t="str">
        <f>IFERROR(__xludf.DUMMYFUNCTION("""COMPUTED_VALUE"""),"FACULTAD DE INGENIERIA")</f>
        <v>FACULTAD DE INGENIERIA</v>
      </c>
      <c r="E669" t="str">
        <f>IFERROR(__xludf.DUMMYFUNCTION("""COMPUTED_VALUE"""),"FACULTAD DE INGENIERIA")</f>
        <v>FACULTAD DE INGENIERIA</v>
      </c>
      <c r="F669" t="str">
        <f>IFERROR(__xludf.DUMMYFUNCTION("""COMPUTED_VALUE"""),"Secretario B")</f>
        <v>Secretario B</v>
      </c>
      <c r="G669" t="str">
        <f>IFERROR(__xludf.DUMMYFUNCTION("""COMPUTED_VALUE"""),"SECRETARIA DE VICEDECANATO")</f>
        <v>SECRETARIA DE VICEDECANATO</v>
      </c>
      <c r="H669">
        <f>IFERROR(__xludf.DUMMYFUNCTION("""COMPUTED_VALUE"""),17.0)</f>
        <v>17</v>
      </c>
      <c r="J669" t="str">
        <f>IFERROR(__xludf.DUMMYFUNCTION("""COMPUTED_VALUE"""),"A CONTRATA")</f>
        <v>A CONTRATA</v>
      </c>
      <c r="K669" t="str">
        <f>IFERROR(__xludf.DUMMYFUNCTION("""COMPUTED_VALUE"""),"ADMINISTRATIVO")</f>
        <v>ADMINISTRATIVO</v>
      </c>
      <c r="L669" t="str">
        <f>IFERROR(__xludf.DUMMYFUNCTION("""COMPUTED_VALUE"""),"INTERNO")</f>
        <v>INTERNO</v>
      </c>
      <c r="M669">
        <f>IFERROR(__xludf.DUMMYFUNCTION("""COMPUTED_VALUE"""),2.0)</f>
        <v>2</v>
      </c>
      <c r="N669" t="str">
        <f>IFERROR(__xludf.DUMMYFUNCTION("""COMPUTED_VALUE"""),"EXTERNO")</f>
        <v>EXTERNO</v>
      </c>
      <c r="O669">
        <f>IFERROR(__xludf.DUMMYFUNCTION("""COMPUTED_VALUE"""),5.0)</f>
        <v>5</v>
      </c>
      <c r="P669">
        <f>IFERROR(__xludf.DUMMYFUNCTION("""COMPUTED_VALUE"""),1.0)</f>
        <v>1</v>
      </c>
      <c r="Q669">
        <f>IFERROR(__xludf.DUMMYFUNCTION("""COMPUTED_VALUE"""),1.0)</f>
        <v>1</v>
      </c>
      <c r="R669" s="45" t="str">
        <f>IFERROR(__xludf.DUMMYFUNCTION("""COMPUTED_VALUE"""),"SELECCIONADA")</f>
        <v>SELECCIONADA</v>
      </c>
      <c r="S669" s="38">
        <f>IFERROR(__xludf.DUMMYFUNCTION("""COMPUTED_VALUE"""),41852.0)</f>
        <v>41852</v>
      </c>
      <c r="U669" t="str">
        <f>IFERROR(__xludf.DUMMYFUNCTION("""COMPUTED_VALUE"""),"ALMA WILLSCHRE TAPIA")</f>
        <v>ALMA WILLSCHRE TAPIA</v>
      </c>
      <c r="V669" t="str">
        <f>IFERROR(__xludf.DUMMYFUNCTION("""COMPUTED_VALUE"""),"08754079-0")</f>
        <v>08754079-0</v>
      </c>
      <c r="AA669" s="38">
        <f>IFERROR(__xludf.DUMMYFUNCTION("""COMPUTED_VALUE"""),41745.0)</f>
        <v>41745</v>
      </c>
      <c r="AB669" s="38">
        <f>IFERROR(__xludf.DUMMYFUNCTION("""COMPUTED_VALUE"""),41844.0)</f>
        <v>41844</v>
      </c>
      <c r="AH669" t="str">
        <f>IFERROR(__xludf.DUMMYFUNCTION("""COMPUTED_VALUE"""),"PROCESO DE SELECCIÓN")</f>
        <v>PROCESO DE SELECCIÓN</v>
      </c>
      <c r="AK669" t="str">
        <f>IFERROR(__xludf.DUMMYFUNCTION("""COMPUTED_VALUE"""),"P")</f>
        <v>P</v>
      </c>
      <c r="AL669">
        <f>IFERROR(__xludf.DUMMYFUNCTION("""COMPUTED_VALUE"""),7.0)</f>
        <v>7</v>
      </c>
      <c r="AM669">
        <f>IFERROR(__xludf.DUMMYFUNCTION("""COMPUTED_VALUE"""),2014.0)</f>
        <v>2014</v>
      </c>
    </row>
    <row r="670">
      <c r="A670">
        <f>IFERROR(__xludf.DUMMYFUNCTION("""COMPUTED_VALUE"""),1.3680355E7)</f>
        <v>13680355</v>
      </c>
      <c r="B670">
        <f>IFERROR(__xludf.DUMMYFUNCTION("""COMPUTED_VALUE"""),78.0)</f>
        <v>78</v>
      </c>
      <c r="D670" t="str">
        <f>IFERROR(__xludf.DUMMYFUNCTION("""COMPUTED_VALUE"""),"FACULTAD DE QUIMICA Y BIOLOGIA")</f>
        <v>FACULTAD DE QUIMICA Y BIOLOGIA</v>
      </c>
      <c r="E670" t="str">
        <f>IFERROR(__xludf.DUMMYFUNCTION("""COMPUTED_VALUE"""),"DEPARTAMENTO DE BIOLOGIA")</f>
        <v>DEPARTAMENTO DE BIOLOGIA</v>
      </c>
      <c r="F670" t="str">
        <f>IFERROR(__xludf.DUMMYFUNCTION("""COMPUTED_VALUE"""),"Secretario B")</f>
        <v>Secretario B</v>
      </c>
      <c r="G670" t="str">
        <f>IFERROR(__xludf.DUMMYFUNCTION("""COMPUTED_VALUE"""),"SECRETARIA DE DIRECCION")</f>
        <v>SECRETARIA DE DIRECCION</v>
      </c>
      <c r="H670">
        <f>IFERROR(__xludf.DUMMYFUNCTION("""COMPUTED_VALUE"""),17.0)</f>
        <v>17</v>
      </c>
      <c r="J670" t="str">
        <f>IFERROR(__xludf.DUMMYFUNCTION("""COMPUTED_VALUE"""),"A CONTRATA")</f>
        <v>A CONTRATA</v>
      </c>
      <c r="K670" t="str">
        <f>IFERROR(__xludf.DUMMYFUNCTION("""COMPUTED_VALUE"""),"ADMINISTRATIVO")</f>
        <v>ADMINISTRATIVO</v>
      </c>
      <c r="L670" t="str">
        <f>IFERROR(__xludf.DUMMYFUNCTION("""COMPUTED_VALUE"""),"INTERNO")</f>
        <v>INTERNO</v>
      </c>
      <c r="M670">
        <f>IFERROR(__xludf.DUMMYFUNCTION("""COMPUTED_VALUE"""),0.0)</f>
        <v>0</v>
      </c>
      <c r="N670" t="str">
        <f>IFERROR(__xludf.DUMMYFUNCTION("""COMPUTED_VALUE"""),"EXTERNO")</f>
        <v>EXTERNO</v>
      </c>
      <c r="O670">
        <f>IFERROR(__xludf.DUMMYFUNCTION("""COMPUTED_VALUE"""),6.0)</f>
        <v>6</v>
      </c>
      <c r="P670">
        <f>IFERROR(__xludf.DUMMYFUNCTION("""COMPUTED_VALUE"""),1.0)</f>
        <v>1</v>
      </c>
      <c r="Q670">
        <f>IFERROR(__xludf.DUMMYFUNCTION("""COMPUTED_VALUE"""),1.0)</f>
        <v>1</v>
      </c>
      <c r="R670" s="45" t="str">
        <f>IFERROR(__xludf.DUMMYFUNCTION("""COMPUTED_VALUE"""),"SELECCIONADA")</f>
        <v>SELECCIONADA</v>
      </c>
      <c r="S670" s="38">
        <f>IFERROR(__xludf.DUMMYFUNCTION("""COMPUTED_VALUE"""),41883.0)</f>
        <v>41883</v>
      </c>
      <c r="U670" t="str">
        <f>IFERROR(__xludf.DUMMYFUNCTION("""COMPUTED_VALUE"""),"MARIELA PILQUINIR RETAMAL")</f>
        <v>MARIELA PILQUINIR RETAMAL</v>
      </c>
      <c r="V670" t="str">
        <f>IFERROR(__xludf.DUMMYFUNCTION("""COMPUTED_VALUE"""),"13680355-7")</f>
        <v>13680355-7</v>
      </c>
      <c r="W670" t="str">
        <f>IFERROR(__xludf.DUMMYFUNCTION("""COMPUTED_VALUE"""),"SI")</f>
        <v>SI</v>
      </c>
      <c r="AA670" s="38">
        <f>IFERROR(__xludf.DUMMYFUNCTION("""COMPUTED_VALUE"""),41837.0)</f>
        <v>41837</v>
      </c>
      <c r="AB670" s="38">
        <f>IFERROR(__xludf.DUMMYFUNCTION("""COMPUTED_VALUE"""),41844.0)</f>
        <v>41844</v>
      </c>
      <c r="AH670" t="str">
        <f>IFERROR(__xludf.DUMMYFUNCTION("""COMPUTED_VALUE"""),"PROCESO DE SELECCIÓN")</f>
        <v>PROCESO DE SELECCIÓN</v>
      </c>
      <c r="AK670" t="str">
        <f>IFERROR(__xludf.DUMMYFUNCTION("""COMPUTED_VALUE"""),"P")</f>
        <v>P</v>
      </c>
      <c r="AL670">
        <f>IFERROR(__xludf.DUMMYFUNCTION("""COMPUTED_VALUE"""),28.0)</f>
        <v>28</v>
      </c>
      <c r="AM670">
        <f>IFERROR(__xludf.DUMMYFUNCTION("""COMPUTED_VALUE"""),2014.0)</f>
        <v>2014</v>
      </c>
    </row>
    <row r="671">
      <c r="A671">
        <f>IFERROR(__xludf.DUMMYFUNCTION("""COMPUTED_VALUE"""),1.1649015E7)</f>
        <v>11649015</v>
      </c>
      <c r="B671">
        <f>IFERROR(__xludf.DUMMYFUNCTION("""COMPUTED_VALUE"""),107.0)</f>
        <v>107</v>
      </c>
      <c r="D671" t="str">
        <f>IFERROR(__xludf.DUMMYFUNCTION("""COMPUTED_VALUE"""),"VICERRECTORIA ACADEMICA")</f>
        <v>VICERRECTORIA ACADEMICA</v>
      </c>
      <c r="E671" t="str">
        <f>IFERROR(__xludf.DUMMYFUNCTION("""COMPUTED_VALUE"""),"DEPARTAMENTO DE REGISTRO ACADEMICO Y CURRICULAR")</f>
        <v>DEPARTAMENTO DE REGISTRO ACADEMICO Y CURRICULAR</v>
      </c>
      <c r="F671" t="str">
        <f>IFERROR(__xludf.DUMMYFUNCTION("""COMPUTED_VALUE"""),"Administrativo de Registro Académico")</f>
        <v>Administrativo de Registro Académico</v>
      </c>
      <c r="G671" t="str">
        <f>IFERROR(__xludf.DUMMYFUNCTION("""COMPUTED_VALUE"""),"ADMINISTRATIVO DE REGISTRO ACADEMICO")</f>
        <v>ADMINISTRATIVO DE REGISTRO ACADEMICO</v>
      </c>
      <c r="H671">
        <f>IFERROR(__xludf.DUMMYFUNCTION("""COMPUTED_VALUE"""),17.0)</f>
        <v>17</v>
      </c>
      <c r="J671" t="str">
        <f>IFERROR(__xludf.DUMMYFUNCTION("""COMPUTED_VALUE"""),"A CONTRATA")</f>
        <v>A CONTRATA</v>
      </c>
      <c r="K671" t="str">
        <f>IFERROR(__xludf.DUMMYFUNCTION("""COMPUTED_VALUE"""),"ADMINISTRATIVO")</f>
        <v>ADMINISTRATIVO</v>
      </c>
      <c r="L671" t="str">
        <f>IFERROR(__xludf.DUMMYFUNCTION("""COMPUTED_VALUE"""),"INTERNO")</f>
        <v>INTERNO</v>
      </c>
      <c r="M671">
        <f>IFERROR(__xludf.DUMMYFUNCTION("""COMPUTED_VALUE"""),3.0)</f>
        <v>3</v>
      </c>
      <c r="N671" t="str">
        <f>IFERROR(__xludf.DUMMYFUNCTION("""COMPUTED_VALUE"""),"NO")</f>
        <v>NO</v>
      </c>
      <c r="P671">
        <f>IFERROR(__xludf.DUMMYFUNCTION("""COMPUTED_VALUE"""),2.0)</f>
        <v>2</v>
      </c>
      <c r="R671" s="45" t="str">
        <f>IFERROR(__xludf.DUMMYFUNCTION("""COMPUTED_VALUE"""),"SELECCIONADA")</f>
        <v>SELECCIONADA</v>
      </c>
      <c r="S671" s="38">
        <f>IFERROR(__xludf.DUMMYFUNCTION("""COMPUTED_VALUE"""),41883.0)</f>
        <v>41883</v>
      </c>
      <c r="T671" t="str">
        <f>IFERROR(__xludf.DUMMYFUNCTION("""COMPUTED_VALUE"""),"ANA MARIA LEIVA ORELLANA")</f>
        <v>ANA MARIA LEIVA ORELLANA</v>
      </c>
      <c r="V671" t="str">
        <f>IFERROR(__xludf.DUMMYFUNCTION("""COMPUTED_VALUE"""),"11649015-3")</f>
        <v>11649015-3</v>
      </c>
      <c r="W671" t="str">
        <f>IFERROR(__xludf.DUMMYFUNCTION("""COMPUTED_VALUE"""),"SI")</f>
        <v>SI</v>
      </c>
      <c r="X671" t="str">
        <f>IFERROR(__xludf.DUMMYFUNCTION("""COMPUTED_VALUE"""),"ORIENTACION A LOS RESULTADOS")</f>
        <v>ORIENTACION A LOS RESULTADOS</v>
      </c>
      <c r="AA671" s="38">
        <f>IFERROR(__xludf.DUMMYFUNCTION("""COMPUTED_VALUE"""),41837.0)</f>
        <v>41837</v>
      </c>
      <c r="AB671" s="38">
        <f>IFERROR(__xludf.DUMMYFUNCTION("""COMPUTED_VALUE"""),41844.0)</f>
        <v>41844</v>
      </c>
      <c r="AC671">
        <f>IFERROR(__xludf.DUMMYFUNCTION("""COMPUTED_VALUE"""),20.0)</f>
        <v>20</v>
      </c>
      <c r="AD671" t="str">
        <f>IFERROR(__xludf.DUMMYFUNCTION("""COMPUTED_VALUE"""),"ADMINISTRATIVO")</f>
        <v>ADMINISTRATIVO</v>
      </c>
      <c r="AF671" s="46" t="str">
        <f>IFERROR(__xludf.DUMMYFUNCTION("""COMPUTED_VALUE"""),"SECRETARIA GENERAL")</f>
        <v>SECRETARIA GENERAL</v>
      </c>
      <c r="AH671" t="str">
        <f>IFERROR(__xludf.DUMMYFUNCTION("""COMPUTED_VALUE"""),"PROCESO DE SELECCIÓN")</f>
        <v>PROCESO DE SELECCIÓN</v>
      </c>
      <c r="AK671" t="str">
        <f>IFERROR(__xludf.DUMMYFUNCTION("""COMPUTED_VALUE"""),"C")</f>
        <v>C</v>
      </c>
      <c r="AL671">
        <f>IFERROR(__xludf.DUMMYFUNCTION("""COMPUTED_VALUE"""),28.0)</f>
        <v>28</v>
      </c>
      <c r="AM671">
        <f>IFERROR(__xludf.DUMMYFUNCTION("""COMPUTED_VALUE"""),2014.0)</f>
        <v>2014</v>
      </c>
    </row>
    <row r="672">
      <c r="A672">
        <f>IFERROR(__xludf.DUMMYFUNCTION("""COMPUTED_VALUE"""),1.224042E7)</f>
        <v>12240420</v>
      </c>
      <c r="B672">
        <f>IFERROR(__xludf.DUMMYFUNCTION("""COMPUTED_VALUE"""),79.0)</f>
        <v>79</v>
      </c>
      <c r="D672" t="str">
        <f>IFERROR(__xludf.DUMMYFUNCTION("""COMPUTED_VALUE"""),"FACULTAD DE QUIMICA Y BIOLOGIA")</f>
        <v>FACULTAD DE QUIMICA Y BIOLOGIA</v>
      </c>
      <c r="E672" t="str">
        <f>IFERROR(__xludf.DUMMYFUNCTION("""COMPUTED_VALUE"""),"FACULTAD DE QUIMICA Y BIOLOGIA")</f>
        <v>FACULTAD DE QUIMICA Y BIOLOGIA</v>
      </c>
      <c r="F672" t="str">
        <f>IFERROR(__xludf.DUMMYFUNCTION("""COMPUTED_VALUE"""),"Asistente de Mantención")</f>
        <v>Asistente de Mantención</v>
      </c>
      <c r="G672" t="str">
        <f>IFERROR(__xludf.DUMMYFUNCTION("""COMPUTED_VALUE"""),"ASISTENTE DE MANTENCION")</f>
        <v>ASISTENTE DE MANTENCION</v>
      </c>
      <c r="H672">
        <f>IFERROR(__xludf.DUMMYFUNCTION("""COMPUTED_VALUE"""),20.0)</f>
        <v>20</v>
      </c>
      <c r="J672" t="str">
        <f>IFERROR(__xludf.DUMMYFUNCTION("""COMPUTED_VALUE"""),"A CONTRATA")</f>
        <v>A CONTRATA</v>
      </c>
      <c r="K672" t="str">
        <f>IFERROR(__xludf.DUMMYFUNCTION("""COMPUTED_VALUE"""),"TECNICO")</f>
        <v>TECNICO</v>
      </c>
      <c r="L672" t="str">
        <f>IFERROR(__xludf.DUMMYFUNCTION("""COMPUTED_VALUE"""),"INTERNO")</f>
        <v>INTERNO</v>
      </c>
      <c r="M672">
        <f>IFERROR(__xludf.DUMMYFUNCTION("""COMPUTED_VALUE"""),0.0)</f>
        <v>0</v>
      </c>
      <c r="N672" t="str">
        <f>IFERROR(__xludf.DUMMYFUNCTION("""COMPUTED_VALUE"""),"EXTERNO")</f>
        <v>EXTERNO</v>
      </c>
      <c r="O672">
        <f>IFERROR(__xludf.DUMMYFUNCTION("""COMPUTED_VALUE"""),2.0)</f>
        <v>2</v>
      </c>
      <c r="P672">
        <f>IFERROR(__xludf.DUMMYFUNCTION("""COMPUTED_VALUE"""),2.0)</f>
        <v>2</v>
      </c>
      <c r="Q672">
        <f>IFERROR(__xludf.DUMMYFUNCTION("""COMPUTED_VALUE"""),2.0)</f>
        <v>2</v>
      </c>
      <c r="R672" s="45" t="str">
        <f>IFERROR(__xludf.DUMMYFUNCTION("""COMPUTED_VALUE"""),"SELECCIONADO")</f>
        <v>SELECCIONADO</v>
      </c>
      <c r="S672" s="38">
        <f>IFERROR(__xludf.DUMMYFUNCTION("""COMPUTED_VALUE"""),41883.0)</f>
        <v>41883</v>
      </c>
      <c r="U672" t="str">
        <f>IFERROR(__xludf.DUMMYFUNCTION("""COMPUTED_VALUE"""),"PABLO ARIAS SALAZAR")</f>
        <v>PABLO ARIAS SALAZAR</v>
      </c>
      <c r="V672" t="str">
        <f>IFERROR(__xludf.DUMMYFUNCTION("""COMPUTED_VALUE"""),"12240420-K")</f>
        <v>12240420-K</v>
      </c>
      <c r="W672" t="str">
        <f>IFERROR(__xludf.DUMMYFUNCTION("""COMPUTED_VALUE"""),"SI")</f>
        <v>SI</v>
      </c>
      <c r="AA672" s="38">
        <f>IFERROR(__xludf.DUMMYFUNCTION("""COMPUTED_VALUE"""),41843.0)</f>
        <v>41843</v>
      </c>
      <c r="AB672" s="38">
        <f>IFERROR(__xludf.DUMMYFUNCTION("""COMPUTED_VALUE"""),41850.0)</f>
        <v>41850</v>
      </c>
      <c r="AH672" t="str">
        <f>IFERROR(__xludf.DUMMYFUNCTION("""COMPUTED_VALUE"""),"PROCESO DE SELECCIÓN")</f>
        <v>PROCESO DE SELECCIÓN</v>
      </c>
      <c r="AK672" t="str">
        <f>IFERROR(__xludf.DUMMYFUNCTION("""COMPUTED_VALUE"""),"C")</f>
        <v>C</v>
      </c>
      <c r="AL672">
        <f>IFERROR(__xludf.DUMMYFUNCTION("""COMPUTED_VALUE"""),24.0)</f>
        <v>24</v>
      </c>
      <c r="AM672">
        <f>IFERROR(__xludf.DUMMYFUNCTION("""COMPUTED_VALUE"""),2014.0)</f>
        <v>2014</v>
      </c>
    </row>
    <row r="673">
      <c r="A673">
        <f>IFERROR(__xludf.DUMMYFUNCTION("""COMPUTED_VALUE"""),1.5539457E7)</f>
        <v>15539457</v>
      </c>
      <c r="D673" t="str">
        <f>IFERROR(__xludf.DUMMYFUNCTION("""COMPUTED_VALUE"""),"FACULTAD DE QUIMICA Y BIOLOGIA")</f>
        <v>FACULTAD DE QUIMICA Y BIOLOGIA</v>
      </c>
      <c r="E673" t="str">
        <f>IFERROR(__xludf.DUMMYFUNCTION("""COMPUTED_VALUE"""),"FACULTAD DE QUIMICA Y BIOLOGIA")</f>
        <v>FACULTAD DE QUIMICA Y BIOLOGIA</v>
      </c>
      <c r="F673" t="str">
        <f>IFERROR(__xludf.DUMMYFUNCTION("""COMPUTED_VALUE"""),"Asistente de Mantención")</f>
        <v>Asistente de Mantención</v>
      </c>
      <c r="G673" t="str">
        <f>IFERROR(__xludf.DUMMYFUNCTION("""COMPUTED_VALUE"""),"ASISTENTE DE MANTENCION")</f>
        <v>ASISTENTE DE MANTENCION</v>
      </c>
      <c r="H673">
        <f>IFERROR(__xludf.DUMMYFUNCTION("""COMPUTED_VALUE"""),20.0)</f>
        <v>20</v>
      </c>
      <c r="J673" t="str">
        <f>IFERROR(__xludf.DUMMYFUNCTION("""COMPUTED_VALUE"""),"A CONTRATA")</f>
        <v>A CONTRATA</v>
      </c>
      <c r="K673" t="str">
        <f>IFERROR(__xludf.DUMMYFUNCTION("""COMPUTED_VALUE"""),"TECNICO")</f>
        <v>TECNICO</v>
      </c>
      <c r="L673" t="str">
        <f>IFERROR(__xludf.DUMMYFUNCTION("""COMPUTED_VALUE"""),"INTERNO")</f>
        <v>INTERNO</v>
      </c>
      <c r="M673">
        <f>IFERROR(__xludf.DUMMYFUNCTION("""COMPUTED_VALUE"""),0.0)</f>
        <v>0</v>
      </c>
      <c r="N673" t="str">
        <f>IFERROR(__xludf.DUMMYFUNCTION("""COMPUTED_VALUE"""),"EXTERNO")</f>
        <v>EXTERNO</v>
      </c>
      <c r="O673">
        <f>IFERROR(__xludf.DUMMYFUNCTION("""COMPUTED_VALUE"""),2.0)</f>
        <v>2</v>
      </c>
      <c r="P673">
        <f>IFERROR(__xludf.DUMMYFUNCTION("""COMPUTED_VALUE"""),2.0)</f>
        <v>2</v>
      </c>
      <c r="Q673">
        <f>IFERROR(__xludf.DUMMYFUNCTION("""COMPUTED_VALUE"""),2.0)</f>
        <v>2</v>
      </c>
      <c r="R673" s="45" t="str">
        <f>IFERROR(__xludf.DUMMYFUNCTION("""COMPUTED_VALUE"""),"SELECCIONADO")</f>
        <v>SELECCIONADO</v>
      </c>
      <c r="S673" s="38">
        <f>IFERROR(__xludf.DUMMYFUNCTION("""COMPUTED_VALUE"""),41883.0)</f>
        <v>41883</v>
      </c>
      <c r="U673" t="str">
        <f>IFERROR(__xludf.DUMMYFUNCTION("""COMPUTED_VALUE"""),"CRISTIAN PENA GONZALEZ")</f>
        <v>CRISTIAN PENA GONZALEZ</v>
      </c>
      <c r="V673" t="str">
        <f>IFERROR(__xludf.DUMMYFUNCTION("""COMPUTED_VALUE"""),"15539457-9")</f>
        <v>15539457-9</v>
      </c>
      <c r="AA673" s="38">
        <f>IFERROR(__xludf.DUMMYFUNCTION("""COMPUTED_VALUE"""),41843.0)</f>
        <v>41843</v>
      </c>
      <c r="AB673" s="38">
        <f>IFERROR(__xludf.DUMMYFUNCTION("""COMPUTED_VALUE"""),41850.0)</f>
        <v>41850</v>
      </c>
      <c r="AH673" t="str">
        <f>IFERROR(__xludf.DUMMYFUNCTION("""COMPUTED_VALUE"""),"PROCESO DE SELECCIÓN")</f>
        <v>PROCESO DE SELECCIÓN</v>
      </c>
      <c r="AK673" t="str">
        <f>IFERROR(__xludf.DUMMYFUNCTION("""COMPUTED_VALUE"""),"C")</f>
        <v>C</v>
      </c>
      <c r="AL673">
        <f>IFERROR(__xludf.DUMMYFUNCTION("""COMPUTED_VALUE"""),24.0)</f>
        <v>24</v>
      </c>
      <c r="AM673">
        <f>IFERROR(__xludf.DUMMYFUNCTION("""COMPUTED_VALUE"""),2014.0)</f>
        <v>2014</v>
      </c>
    </row>
    <row r="674">
      <c r="A674">
        <f>IFERROR(__xludf.DUMMYFUNCTION("""COMPUTED_VALUE"""),1.2688602E7)</f>
        <v>12688602</v>
      </c>
      <c r="B674">
        <f>IFERROR(__xludf.DUMMYFUNCTION("""COMPUTED_VALUE"""),71.0)</f>
        <v>71</v>
      </c>
      <c r="D674" t="str">
        <f>IFERROR(__xludf.DUMMYFUNCTION("""COMPUTED_VALUE"""),"FACULTAD DE CIENCIA")</f>
        <v>FACULTAD DE CIENCIA</v>
      </c>
      <c r="E674" t="str">
        <f>IFERROR(__xludf.DUMMYFUNCTION("""COMPUTED_VALUE"""),"DEPARTAMENTO DE FISICA")</f>
        <v>DEPARTAMENTO DE FISICA</v>
      </c>
      <c r="F674" t="str">
        <f>IFERROR(__xludf.DUMMYFUNCTION("""COMPUTED_VALUE"""),"Secretario B")</f>
        <v>Secretario B</v>
      </c>
      <c r="G674" t="str">
        <f>IFERROR(__xludf.DUMMYFUNCTION("""COMPUTED_VALUE"""),"SECRETARIA DE SUBDIRECCION DE DOCENCIA")</f>
        <v>SECRETARIA DE SUBDIRECCION DE DOCENCIA</v>
      </c>
      <c r="H674">
        <f>IFERROR(__xludf.DUMMYFUNCTION("""COMPUTED_VALUE"""),17.0)</f>
        <v>17</v>
      </c>
      <c r="J674" t="str">
        <f>IFERROR(__xludf.DUMMYFUNCTION("""COMPUTED_VALUE"""),"A CONTRATA")</f>
        <v>A CONTRATA</v>
      </c>
      <c r="K674" t="str">
        <f>IFERROR(__xludf.DUMMYFUNCTION("""COMPUTED_VALUE"""),"ADMINISTRATIVO")</f>
        <v>ADMINISTRATIVO</v>
      </c>
      <c r="L674" t="str">
        <f>IFERROR(__xludf.DUMMYFUNCTION("""COMPUTED_VALUE"""),"INTERNO")</f>
        <v>INTERNO</v>
      </c>
      <c r="M674">
        <f>IFERROR(__xludf.DUMMYFUNCTION("""COMPUTED_VALUE"""),1.0)</f>
        <v>1</v>
      </c>
      <c r="N674" t="str">
        <f>IFERROR(__xludf.DUMMYFUNCTION("""COMPUTED_VALUE"""),"NO")</f>
        <v>NO</v>
      </c>
      <c r="P674">
        <f>IFERROR(__xludf.DUMMYFUNCTION("""COMPUTED_VALUE"""),1.0)</f>
        <v>1</v>
      </c>
      <c r="R674" s="45" t="str">
        <f>IFERROR(__xludf.DUMMYFUNCTION("""COMPUTED_VALUE"""),"SELECCIONADA")</f>
        <v>SELECCIONADA</v>
      </c>
      <c r="S674" s="38">
        <f>IFERROR(__xludf.DUMMYFUNCTION("""COMPUTED_VALUE"""),41869.0)</f>
        <v>41869</v>
      </c>
      <c r="T674" t="str">
        <f>IFERROR(__xludf.DUMMYFUNCTION("""COMPUTED_VALUE"""),"MAGALY SEPULVEDA SEPULVEDA")</f>
        <v>MAGALY SEPULVEDA SEPULVEDA</v>
      </c>
      <c r="V674" t="str">
        <f>IFERROR(__xludf.DUMMYFUNCTION("""COMPUTED_VALUE"""),"12688602-0")</f>
        <v>12688602-0</v>
      </c>
      <c r="AA674" s="38">
        <f>IFERROR(__xludf.DUMMYFUNCTION("""COMPUTED_VALUE"""),41848.0)</f>
        <v>41848</v>
      </c>
      <c r="AB674" s="38">
        <f>IFERROR(__xludf.DUMMYFUNCTION("""COMPUTED_VALUE"""),41851.0)</f>
        <v>41851</v>
      </c>
      <c r="AC674">
        <f>IFERROR(__xludf.DUMMYFUNCTION("""COMPUTED_VALUE"""),17.0)</f>
        <v>17</v>
      </c>
      <c r="AD674" t="str">
        <f>IFERROR(__xludf.DUMMYFUNCTION("""COMPUTED_VALUE"""),"ADMINISTRATIVO")</f>
        <v>ADMINISTRATIVO</v>
      </c>
      <c r="AF674" s="46" t="str">
        <f>IFERROR(__xludf.DUMMYFUNCTION("""COMPUTED_VALUE"""),"ESCUELA DE ARQUITECTURA")</f>
        <v>ESCUELA DE ARQUITECTURA</v>
      </c>
      <c r="AH674" t="str">
        <f>IFERROR(__xludf.DUMMYFUNCTION("""COMPUTED_VALUE"""),"PROCESO DE SELECCIÓN")</f>
        <v>PROCESO DE SELECCIÓN</v>
      </c>
      <c r="AK674" t="str">
        <f>IFERROR(__xludf.DUMMYFUNCTION("""COMPUTED_VALUE"""),"P")</f>
        <v>P</v>
      </c>
      <c r="AL674">
        <f>IFERROR(__xludf.DUMMYFUNCTION("""COMPUTED_VALUE"""),13.0)</f>
        <v>13</v>
      </c>
      <c r="AM674">
        <f>IFERROR(__xludf.DUMMYFUNCTION("""COMPUTED_VALUE"""),2014.0)</f>
        <v>2014</v>
      </c>
    </row>
    <row r="675">
      <c r="A675">
        <f>IFERROR(__xludf.DUMMYFUNCTION("""COMPUTED_VALUE"""),1.5636029E7)</f>
        <v>15636029</v>
      </c>
      <c r="B675">
        <f>IFERROR(__xludf.DUMMYFUNCTION("""COMPUTED_VALUE"""),88.0)</f>
        <v>88</v>
      </c>
      <c r="D675" t="str">
        <f>IFERROR(__xludf.DUMMYFUNCTION("""COMPUTED_VALUE"""),"FACULTAD DE HUMANIDADES")</f>
        <v>FACULTAD DE HUMANIDADES</v>
      </c>
      <c r="E675" t="str">
        <f>IFERROR(__xludf.DUMMYFUNCTION("""COMPUTED_VALUE"""),"ESCUELA DE PERIODISMO")</f>
        <v>ESCUELA DE PERIODISMO</v>
      </c>
      <c r="F675" t="str">
        <f>IFERROR(__xludf.DUMMYFUNCTION("""COMPUTED_VALUE"""),"Encargado Técnico de Laboratorio")</f>
        <v>Encargado Técnico de Laboratorio</v>
      </c>
      <c r="G675" t="str">
        <f>IFERROR(__xludf.DUMMYFUNCTION("""COMPUTED_VALUE"""),"ENCARGADO TECNICO DE LABORATORIO")</f>
        <v>ENCARGADO TECNICO DE LABORATORIO</v>
      </c>
      <c r="H675">
        <f>IFERROR(__xludf.DUMMYFUNCTION("""COMPUTED_VALUE"""),14.0)</f>
        <v>14</v>
      </c>
      <c r="J675" t="str">
        <f>IFERROR(__xludf.DUMMYFUNCTION("""COMPUTED_VALUE"""),"A CONTRATA")</f>
        <v>A CONTRATA</v>
      </c>
      <c r="K675" t="str">
        <f>IFERROR(__xludf.DUMMYFUNCTION("""COMPUTED_VALUE"""),"TECNICO")</f>
        <v>TECNICO</v>
      </c>
      <c r="L675" t="str">
        <f>IFERROR(__xludf.DUMMYFUNCTION("""COMPUTED_VALUE"""),"INTERNO")</f>
        <v>INTERNO</v>
      </c>
      <c r="M675">
        <f>IFERROR(__xludf.DUMMYFUNCTION("""COMPUTED_VALUE"""),2.0)</f>
        <v>2</v>
      </c>
      <c r="N675" t="str">
        <f>IFERROR(__xludf.DUMMYFUNCTION("""COMPUTED_VALUE"""),"EXTERNO")</f>
        <v>EXTERNO</v>
      </c>
      <c r="O675">
        <f>IFERROR(__xludf.DUMMYFUNCTION("""COMPUTED_VALUE"""),5.0)</f>
        <v>5</v>
      </c>
      <c r="P675">
        <f>IFERROR(__xludf.DUMMYFUNCTION("""COMPUTED_VALUE"""),1.0)</f>
        <v>1</v>
      </c>
      <c r="Q675">
        <f>IFERROR(__xludf.DUMMYFUNCTION("""COMPUTED_VALUE"""),3.0)</f>
        <v>3</v>
      </c>
      <c r="R675" s="45" t="str">
        <f>IFERROR(__xludf.DUMMYFUNCTION("""COMPUTED_VALUE"""),"SELECCIONADO")</f>
        <v>SELECCIONADO</v>
      </c>
      <c r="S675" s="38">
        <f>IFERROR(__xludf.DUMMYFUNCTION("""COMPUTED_VALUE"""),41927.0)</f>
        <v>41927</v>
      </c>
      <c r="U675" t="str">
        <f>IFERROR(__xludf.DUMMYFUNCTION("""COMPUTED_VALUE"""),"DIEGO LLOPIS MEDINA")</f>
        <v>DIEGO LLOPIS MEDINA</v>
      </c>
      <c r="V675" t="str">
        <f>IFERROR(__xludf.DUMMYFUNCTION("""COMPUTED_VALUE"""),"15636029-5")</f>
        <v>15636029-5</v>
      </c>
      <c r="AA675" s="38">
        <f>IFERROR(__xludf.DUMMYFUNCTION("""COMPUTED_VALUE"""),41844.0)</f>
        <v>41844</v>
      </c>
      <c r="AB675" s="38">
        <f>IFERROR(__xludf.DUMMYFUNCTION("""COMPUTED_VALUE"""),41851.0)</f>
        <v>41851</v>
      </c>
      <c r="AH675" t="str">
        <f>IFERROR(__xludf.DUMMYFUNCTION("""COMPUTED_VALUE"""),"PROCESO DE SELECCIÓN")</f>
        <v>PROCESO DE SELECCIÓN</v>
      </c>
      <c r="AK675" t="str">
        <f>IFERROR(__xludf.DUMMYFUNCTION("""COMPUTED_VALUE"""),"C")</f>
        <v>C</v>
      </c>
      <c r="AL675">
        <f>IFERROR(__xludf.DUMMYFUNCTION("""COMPUTED_VALUE"""),55.0)</f>
        <v>55</v>
      </c>
      <c r="AM675">
        <f>IFERROR(__xludf.DUMMYFUNCTION("""COMPUTED_VALUE"""),2014.0)</f>
        <v>2014</v>
      </c>
    </row>
    <row r="676">
      <c r="A676">
        <f>IFERROR(__xludf.DUMMYFUNCTION("""COMPUTED_VALUE"""),1.9283391E7)</f>
        <v>19283391</v>
      </c>
      <c r="B676">
        <f>IFERROR(__xludf.DUMMYFUNCTION("""COMPUTED_VALUE"""),89.0)</f>
        <v>89</v>
      </c>
      <c r="D676" t="str">
        <f>IFERROR(__xludf.DUMMYFUNCTION("""COMPUTED_VALUE"""),"SECRETARIA GENERAL")</f>
        <v>SECRETARIA GENERAL</v>
      </c>
      <c r="E676" t="str">
        <f>IFERROR(__xludf.DUMMYFUNCTION("""COMPUTED_VALUE"""),"SECRETARIA GENERAL")</f>
        <v>SECRETARIA GENERAL</v>
      </c>
      <c r="F676" t="str">
        <f>IFERROR(__xludf.DUMMYFUNCTION("""COMPUTED_VALUE"""),"Secretario B")</f>
        <v>Secretario B</v>
      </c>
      <c r="G676" t="str">
        <f>IFERROR(__xludf.DUMMYFUNCTION("""COMPUTED_VALUE"""),"SECRETARIA DE DEPARTAMENTO")</f>
        <v>SECRETARIA DE DEPARTAMENTO</v>
      </c>
      <c r="H676">
        <f>IFERROR(__xludf.DUMMYFUNCTION("""COMPUTED_VALUE"""),17.0)</f>
        <v>17</v>
      </c>
      <c r="J676" t="str">
        <f>IFERROR(__xludf.DUMMYFUNCTION("""COMPUTED_VALUE"""),"A CONTRATA")</f>
        <v>A CONTRATA</v>
      </c>
      <c r="K676" t="str">
        <f>IFERROR(__xludf.DUMMYFUNCTION("""COMPUTED_VALUE"""),"ADMINISTRATIVO")</f>
        <v>ADMINISTRATIVO</v>
      </c>
      <c r="L676" t="str">
        <f>IFERROR(__xludf.DUMMYFUNCTION("""COMPUTED_VALUE"""),"INTERNO")</f>
        <v>INTERNO</v>
      </c>
      <c r="M676">
        <f>IFERROR(__xludf.DUMMYFUNCTION("""COMPUTED_VALUE"""),0.0)</f>
        <v>0</v>
      </c>
      <c r="N676" t="str">
        <f>IFERROR(__xludf.DUMMYFUNCTION("""COMPUTED_VALUE"""),"EXTERNO")</f>
        <v>EXTERNO</v>
      </c>
      <c r="O676">
        <f>IFERROR(__xludf.DUMMYFUNCTION("""COMPUTED_VALUE"""),18.0)</f>
        <v>18</v>
      </c>
      <c r="P676">
        <f>IFERROR(__xludf.DUMMYFUNCTION("""COMPUTED_VALUE"""),1.0)</f>
        <v>1</v>
      </c>
      <c r="Q676">
        <f>IFERROR(__xludf.DUMMYFUNCTION("""COMPUTED_VALUE"""),1.0)</f>
        <v>1</v>
      </c>
      <c r="R676" s="45" t="str">
        <f>IFERROR(__xludf.DUMMYFUNCTION("""COMPUTED_VALUE"""),"SELECCIONADA")</f>
        <v>SELECCIONADA</v>
      </c>
      <c r="S676" s="38">
        <f>IFERROR(__xludf.DUMMYFUNCTION("""COMPUTED_VALUE"""),41944.0)</f>
        <v>41944</v>
      </c>
      <c r="U676" t="str">
        <f>IFERROR(__xludf.DUMMYFUNCTION("""COMPUTED_VALUE"""),"DANIELA ESTAY ZORRICUETA")</f>
        <v>DANIELA ESTAY ZORRICUETA</v>
      </c>
      <c r="V676" t="str">
        <f>IFERROR(__xludf.DUMMYFUNCTION("""COMPUTED_VALUE"""),"19283391-4")</f>
        <v>19283391-4</v>
      </c>
      <c r="W676" t="str">
        <f>IFERROR(__xludf.DUMMYFUNCTION("""COMPUTED_VALUE"""),"SI")</f>
        <v>SI</v>
      </c>
      <c r="AA676" s="38">
        <f>IFERROR(__xludf.DUMMYFUNCTION("""COMPUTED_VALUE"""),41858.0)</f>
        <v>41858</v>
      </c>
      <c r="AB676" s="38">
        <f>IFERROR(__xludf.DUMMYFUNCTION("""COMPUTED_VALUE"""),41865.0)</f>
        <v>41865</v>
      </c>
      <c r="AH676" t="str">
        <f>IFERROR(__xludf.DUMMYFUNCTION("""COMPUTED_VALUE"""),"PROCESO DE SELECCIÓN")</f>
        <v>PROCESO DE SELECCIÓN</v>
      </c>
      <c r="AK676" t="str">
        <f>IFERROR(__xludf.DUMMYFUNCTION("""COMPUTED_VALUE"""),"P")</f>
        <v>P</v>
      </c>
      <c r="AL676">
        <f>IFERROR(__xludf.DUMMYFUNCTION("""COMPUTED_VALUE"""),57.0)</f>
        <v>57</v>
      </c>
      <c r="AM676">
        <f>IFERROR(__xludf.DUMMYFUNCTION("""COMPUTED_VALUE"""),2014.0)</f>
        <v>2014</v>
      </c>
    </row>
    <row r="677">
      <c r="A677">
        <f>IFERROR(__xludf.DUMMYFUNCTION("""COMPUTED_VALUE"""),1.8463575E7)</f>
        <v>18463575</v>
      </c>
      <c r="B677">
        <f>IFERROR(__xludf.DUMMYFUNCTION("""COMPUTED_VALUE"""),80.0)</f>
        <v>80</v>
      </c>
      <c r="D677" t="str">
        <f>IFERROR(__xludf.DUMMYFUNCTION("""COMPUTED_VALUE"""),"FACULTAD DE CIENCIA")</f>
        <v>FACULTAD DE CIENCIA</v>
      </c>
      <c r="E677" t="str">
        <f>IFERROR(__xludf.DUMMYFUNCTION("""COMPUTED_VALUE"""),"DEPARTAMENTO DE FISICA")</f>
        <v>DEPARTAMENTO DE FISICA</v>
      </c>
      <c r="F677" t="str">
        <f>IFERROR(__xludf.DUMMYFUNCTION("""COMPUTED_VALUE"""),"Estafeta")</f>
        <v>Estafeta</v>
      </c>
      <c r="G677" t="str">
        <f>IFERROR(__xludf.DUMMYFUNCTION("""COMPUTED_VALUE"""),"ESTAFETA")</f>
        <v>ESTAFETA</v>
      </c>
      <c r="H677">
        <f>IFERROR(__xludf.DUMMYFUNCTION("""COMPUTED_VALUE"""),23.0)</f>
        <v>23</v>
      </c>
      <c r="J677" t="str">
        <f>IFERROR(__xludf.DUMMYFUNCTION("""COMPUTED_VALUE"""),"A CONTRATA")</f>
        <v>A CONTRATA</v>
      </c>
      <c r="K677" t="str">
        <f>IFERROR(__xludf.DUMMYFUNCTION("""COMPUTED_VALUE"""),"AUXILIAR")</f>
        <v>AUXILIAR</v>
      </c>
      <c r="L677" t="str">
        <f>IFERROR(__xludf.DUMMYFUNCTION("""COMPUTED_VALUE"""),"INTERNO")</f>
        <v>INTERNO</v>
      </c>
      <c r="M677">
        <f>IFERROR(__xludf.DUMMYFUNCTION("""COMPUTED_VALUE"""),0.0)</f>
        <v>0</v>
      </c>
      <c r="N677" t="str">
        <f>IFERROR(__xludf.DUMMYFUNCTION("""COMPUTED_VALUE"""),"EXTERNO")</f>
        <v>EXTERNO</v>
      </c>
      <c r="O677">
        <f>IFERROR(__xludf.DUMMYFUNCTION("""COMPUTED_VALUE"""),19.0)</f>
        <v>19</v>
      </c>
      <c r="P677">
        <f>IFERROR(__xludf.DUMMYFUNCTION("""COMPUTED_VALUE"""),3.0)</f>
        <v>3</v>
      </c>
      <c r="Q677">
        <f>IFERROR(__xludf.DUMMYFUNCTION("""COMPUTED_VALUE"""),1.0)</f>
        <v>1</v>
      </c>
      <c r="R677" s="45" t="str">
        <f>IFERROR(__xludf.DUMMYFUNCTION("""COMPUTED_VALUE"""),"SELECCIONADA")</f>
        <v>SELECCIONADA</v>
      </c>
      <c r="S677" s="38">
        <f>IFERROR(__xludf.DUMMYFUNCTION("""COMPUTED_VALUE"""),41907.0)</f>
        <v>41907</v>
      </c>
      <c r="U677" t="str">
        <f>IFERROR(__xludf.DUMMYFUNCTION("""COMPUTED_VALUE"""),"PAMELA VEGA ESQUIVEL")</f>
        <v>PAMELA VEGA ESQUIVEL</v>
      </c>
      <c r="V677" t="str">
        <f>IFERROR(__xludf.DUMMYFUNCTION("""COMPUTED_VALUE"""),"18463575-5")</f>
        <v>18463575-5</v>
      </c>
      <c r="AA677" s="38">
        <f>IFERROR(__xludf.DUMMYFUNCTION("""COMPUTED_VALUE"""),41862.0)</f>
        <v>41862</v>
      </c>
      <c r="AB677" s="38">
        <f>IFERROR(__xludf.DUMMYFUNCTION("""COMPUTED_VALUE"""),41869.0)</f>
        <v>41869</v>
      </c>
      <c r="AH677" t="str">
        <f>IFERROR(__xludf.DUMMYFUNCTION("""COMPUTED_VALUE"""),"PROCESO DE SELECCIÓN")</f>
        <v>PROCESO DE SELECCIÓN</v>
      </c>
      <c r="AK677" t="str">
        <f>IFERROR(__xludf.DUMMYFUNCTION("""COMPUTED_VALUE"""),"C")</f>
        <v>C</v>
      </c>
      <c r="AL677">
        <f>IFERROR(__xludf.DUMMYFUNCTION("""COMPUTED_VALUE"""),29.0)</f>
        <v>29</v>
      </c>
      <c r="AM677">
        <f>IFERROR(__xludf.DUMMYFUNCTION("""COMPUTED_VALUE"""),2014.0)</f>
        <v>2014</v>
      </c>
    </row>
    <row r="678">
      <c r="A678">
        <f>IFERROR(__xludf.DUMMYFUNCTION("""COMPUTED_VALUE"""),1.2249498E7)</f>
        <v>12249498</v>
      </c>
      <c r="B678">
        <f>IFERROR(__xludf.DUMMYFUNCTION("""COMPUTED_VALUE"""),81.0)</f>
        <v>81</v>
      </c>
      <c r="D678" t="str">
        <f>IFERROR(__xludf.DUMMYFUNCTION("""COMPUTED_VALUE"""),"VICERRECTORIA ACADEMICA")</f>
        <v>VICERRECTORIA ACADEMICA</v>
      </c>
      <c r="E678" t="str">
        <f>IFERROR(__xludf.DUMMYFUNCTION("""COMPUTED_VALUE"""),"UNIDAD DE REGISTRO ACADEMICO Y CURRICULAR")</f>
        <v>UNIDAD DE REGISTRO ACADEMICO Y CURRICULAR</v>
      </c>
      <c r="F678" t="str">
        <f>IFERROR(__xludf.DUMMYFUNCTION("""COMPUTED_VALUE"""),"Administrativo de Apoyo")</f>
        <v>Administrativo de Apoyo</v>
      </c>
      <c r="G678" t="str">
        <f>IFERROR(__xludf.DUMMYFUNCTION("""COMPUTED_VALUE"""),"ADMINISTRATIVO DE APOYO")</f>
        <v>ADMINISTRATIVO DE APOYO</v>
      </c>
      <c r="H678">
        <f>IFERROR(__xludf.DUMMYFUNCTION("""COMPUTED_VALUE"""),20.0)</f>
        <v>20</v>
      </c>
      <c r="J678" t="str">
        <f>IFERROR(__xludf.DUMMYFUNCTION("""COMPUTED_VALUE"""),"A CONTRATA")</f>
        <v>A CONTRATA</v>
      </c>
      <c r="K678" t="str">
        <f>IFERROR(__xludf.DUMMYFUNCTION("""COMPUTED_VALUE"""),"ADMINISTRATIVO")</f>
        <v>ADMINISTRATIVO</v>
      </c>
      <c r="L678" t="str">
        <f>IFERROR(__xludf.DUMMYFUNCTION("""COMPUTED_VALUE"""),"INTERNO")</f>
        <v>INTERNO</v>
      </c>
      <c r="M678">
        <f>IFERROR(__xludf.DUMMYFUNCTION("""COMPUTED_VALUE"""),1.0)</f>
        <v>1</v>
      </c>
      <c r="N678" t="str">
        <f>IFERROR(__xludf.DUMMYFUNCTION("""COMPUTED_VALUE"""),"NO")</f>
        <v>NO</v>
      </c>
      <c r="P678">
        <f>IFERROR(__xludf.DUMMYFUNCTION("""COMPUTED_VALUE"""),1.0)</f>
        <v>1</v>
      </c>
      <c r="Q678">
        <f>IFERROR(__xludf.DUMMYFUNCTION("""COMPUTED_VALUE"""),0.0)</f>
        <v>0</v>
      </c>
      <c r="R678" s="45" t="str">
        <f>IFERROR(__xludf.DUMMYFUNCTION("""COMPUTED_VALUE"""),"SELECCIONADA")</f>
        <v>SELECCIONADA</v>
      </c>
      <c r="S678" s="38">
        <f>IFERROR(__xludf.DUMMYFUNCTION("""COMPUTED_VALUE"""),41905.0)</f>
        <v>41905</v>
      </c>
      <c r="T678" t="str">
        <f>IFERROR(__xludf.DUMMYFUNCTION("""COMPUTED_VALUE"""),"MONICA MUNOZ RIQUELME")</f>
        <v>MONICA MUNOZ RIQUELME</v>
      </c>
      <c r="V678" t="str">
        <f>IFERROR(__xludf.DUMMYFUNCTION("""COMPUTED_VALUE"""),"12249498-5")</f>
        <v>12249498-5</v>
      </c>
      <c r="W678" t="str">
        <f>IFERROR(__xludf.DUMMYFUNCTION("""COMPUTED_VALUE"""),"SI")</f>
        <v>SI</v>
      </c>
      <c r="Y678" t="str">
        <f>IFERROR(__xludf.DUMMYFUNCTION("""COMPUTED_VALUE"""),"TRABAJO EN EQUIPO")</f>
        <v>TRABAJO EN EQUIPO</v>
      </c>
      <c r="AA678" s="38">
        <f>IFERROR(__xludf.DUMMYFUNCTION("""COMPUTED_VALUE"""),41864.0)</f>
        <v>41864</v>
      </c>
      <c r="AB678" s="38">
        <f>IFERROR(__xludf.DUMMYFUNCTION("""COMPUTED_VALUE"""),41871.0)</f>
        <v>41871</v>
      </c>
      <c r="AC678">
        <f>IFERROR(__xludf.DUMMYFUNCTION("""COMPUTED_VALUE"""),21.0)</f>
        <v>21</v>
      </c>
      <c r="AD678" t="str">
        <f>IFERROR(__xludf.DUMMYFUNCTION("""COMPUTED_VALUE"""),"AUXILIAR")</f>
        <v>AUXILIAR</v>
      </c>
      <c r="AF678" s="46" t="str">
        <f>IFERROR(__xludf.DUMMYFUNCTION("""COMPUTED_VALUE"""),"VICERRECTORIA ACADEMICA")</f>
        <v>VICERRECTORIA ACADEMICA</v>
      </c>
      <c r="AH678" t="str">
        <f>IFERROR(__xludf.DUMMYFUNCTION("""COMPUTED_VALUE"""),"PROCESO DE SELECCIÓN")</f>
        <v>PROCESO DE SELECCIÓN</v>
      </c>
      <c r="AK678" t="str">
        <f>IFERROR(__xludf.DUMMYFUNCTION("""COMPUTED_VALUE"""),"P")</f>
        <v>P</v>
      </c>
      <c r="AL678">
        <f>IFERROR(__xludf.DUMMYFUNCTION("""COMPUTED_VALUE"""),25.0)</f>
        <v>25</v>
      </c>
      <c r="AM678">
        <f>IFERROR(__xludf.DUMMYFUNCTION("""COMPUTED_VALUE"""),2014.0)</f>
        <v>2014</v>
      </c>
    </row>
    <row r="679">
      <c r="A679">
        <f>IFERROR(__xludf.DUMMYFUNCTION("""COMPUTED_VALUE"""),1.7411947E7)</f>
        <v>17411947</v>
      </c>
      <c r="B679">
        <f>IFERROR(__xludf.DUMMYFUNCTION("""COMPUTED_VALUE"""),111.0)</f>
        <v>111</v>
      </c>
      <c r="D679" t="str">
        <f>IFERROR(__xludf.DUMMYFUNCTION("""COMPUTED_VALUE"""),"FACULTAD DE INGENIERIA")</f>
        <v>FACULTAD DE INGENIERIA</v>
      </c>
      <c r="E679" t="str">
        <f>IFERROR(__xludf.DUMMYFUNCTION("""COMPUTED_VALUE"""),"DEPARTAMENTO DE INGENIERIA EN MINAS")</f>
        <v>DEPARTAMENTO DE INGENIERIA EN MINAS</v>
      </c>
      <c r="F679" t="str">
        <f>IFERROR(__xludf.DUMMYFUNCTION("""COMPUTED_VALUE"""),"Técnico de Soporte Básico en Computación")</f>
        <v>Técnico de Soporte Básico en Computación</v>
      </c>
      <c r="G679" t="str">
        <f>IFERROR(__xludf.DUMMYFUNCTION("""COMPUTED_VALUE"""),"TECNICO DE SOPORTE BASICO EN COMPUTACION")</f>
        <v>TECNICO DE SOPORTE BASICO EN COMPUTACION</v>
      </c>
      <c r="H679">
        <f>IFERROR(__xludf.DUMMYFUNCTION("""COMPUTED_VALUE"""),17.0)</f>
        <v>17</v>
      </c>
      <c r="J679" t="str">
        <f>IFERROR(__xludf.DUMMYFUNCTION("""COMPUTED_VALUE"""),"A CONTRATA")</f>
        <v>A CONTRATA</v>
      </c>
      <c r="K679" t="str">
        <f>IFERROR(__xludf.DUMMYFUNCTION("""COMPUTED_VALUE"""),"TECNICO")</f>
        <v>TECNICO</v>
      </c>
      <c r="L679" t="str">
        <f>IFERROR(__xludf.DUMMYFUNCTION("""COMPUTED_VALUE"""),"INTERNO")</f>
        <v>INTERNO</v>
      </c>
      <c r="M679">
        <f>IFERROR(__xludf.DUMMYFUNCTION("""COMPUTED_VALUE"""),1.0)</f>
        <v>1</v>
      </c>
      <c r="N679" t="str">
        <f>IFERROR(__xludf.DUMMYFUNCTION("""COMPUTED_VALUE"""),"EXTERNO")</f>
        <v>EXTERNO</v>
      </c>
      <c r="O679">
        <f>IFERROR(__xludf.DUMMYFUNCTION("""COMPUTED_VALUE"""),4.0)</f>
        <v>4</v>
      </c>
      <c r="P679">
        <f>IFERROR(__xludf.DUMMYFUNCTION("""COMPUTED_VALUE"""),1.0)</f>
        <v>1</v>
      </c>
      <c r="Q679">
        <f>IFERROR(__xludf.DUMMYFUNCTION("""COMPUTED_VALUE"""),2.0)</f>
        <v>2</v>
      </c>
      <c r="R679" s="45" t="str">
        <f>IFERROR(__xludf.DUMMYFUNCTION("""COMPUTED_VALUE"""),"SELECCIONADO")</f>
        <v>SELECCIONADO</v>
      </c>
      <c r="S679" s="38">
        <f>IFERROR(__xludf.DUMMYFUNCTION("""COMPUTED_VALUE"""),41915.0)</f>
        <v>41915</v>
      </c>
      <c r="U679" t="str">
        <f>IFERROR(__xludf.DUMMYFUNCTION("""COMPUTED_VALUE"""),"ROBERTO ORELLANA TAMAYO")</f>
        <v>ROBERTO ORELLANA TAMAYO</v>
      </c>
      <c r="V679" t="str">
        <f>IFERROR(__xludf.DUMMYFUNCTION("""COMPUTED_VALUE"""),"17411947-3")</f>
        <v>17411947-3</v>
      </c>
      <c r="W679" t="str">
        <f>IFERROR(__xludf.DUMMYFUNCTION("""COMPUTED_VALUE"""),"No")</f>
        <v>No</v>
      </c>
      <c r="AA679" s="38">
        <f>IFERROR(__xludf.DUMMYFUNCTION("""COMPUTED_VALUE"""),41869.0)</f>
        <v>41869</v>
      </c>
      <c r="AB679" s="38">
        <f>IFERROR(__xludf.DUMMYFUNCTION("""COMPUTED_VALUE"""),41876.0)</f>
        <v>41876</v>
      </c>
      <c r="AH679" t="str">
        <f>IFERROR(__xludf.DUMMYFUNCTION("""COMPUTED_VALUE"""),"PROCESO DE SELECCIÓN")</f>
        <v>PROCESO DE SELECCIÓN</v>
      </c>
      <c r="AK679" t="str">
        <f>IFERROR(__xludf.DUMMYFUNCTION("""COMPUTED_VALUE"""),"E")</f>
        <v>E</v>
      </c>
      <c r="AL679">
        <f>IFERROR(__xludf.DUMMYFUNCTION("""COMPUTED_VALUE"""),30.0)</f>
        <v>30</v>
      </c>
      <c r="AM679">
        <f>IFERROR(__xludf.DUMMYFUNCTION("""COMPUTED_VALUE"""),2014.0)</f>
        <v>2014</v>
      </c>
    </row>
    <row r="680">
      <c r="A680">
        <f>IFERROR(__xludf.DUMMYFUNCTION("""COMPUTED_VALUE"""),1.562301E7)</f>
        <v>15623010</v>
      </c>
      <c r="B680">
        <f>IFERROR(__xludf.DUMMYFUNCTION("""COMPUTED_VALUE"""),85.0)</f>
        <v>85</v>
      </c>
      <c r="D680" t="str">
        <f>IFERROR(__xludf.DUMMYFUNCTION("""COMPUTED_VALUE"""),"SECRETARIA GENERAL")</f>
        <v>SECRETARIA GENERAL</v>
      </c>
      <c r="E680" t="str">
        <f>IFERROR(__xludf.DUMMYFUNCTION("""COMPUTED_VALUE"""),"SECRETARIA GENERAL")</f>
        <v>SECRETARIA GENERAL</v>
      </c>
      <c r="F680" t="str">
        <f>IFERROR(__xludf.DUMMYFUNCTION("""COMPUTED_VALUE"""),"Administrativo de Apoyo")</f>
        <v>Administrativo de Apoyo</v>
      </c>
      <c r="G680" t="str">
        <f>IFERROR(__xludf.DUMMYFUNCTION("""COMPUTED_VALUE"""),"ADMINISTRATIVO DE APOYO")</f>
        <v>ADMINISTRATIVO DE APOYO</v>
      </c>
      <c r="H680">
        <f>IFERROR(__xludf.DUMMYFUNCTION("""COMPUTED_VALUE"""),20.0)</f>
        <v>20</v>
      </c>
      <c r="J680" t="str">
        <f>IFERROR(__xludf.DUMMYFUNCTION("""COMPUTED_VALUE"""),"A CONTRATA")</f>
        <v>A CONTRATA</v>
      </c>
      <c r="K680" t="str">
        <f>IFERROR(__xludf.DUMMYFUNCTION("""COMPUTED_VALUE"""),"ADMINISTRATIVO")</f>
        <v>ADMINISTRATIVO</v>
      </c>
      <c r="L680" t="str">
        <f>IFERROR(__xludf.DUMMYFUNCTION("""COMPUTED_VALUE"""),"INTERNO")</f>
        <v>INTERNO</v>
      </c>
      <c r="M680">
        <f>IFERROR(__xludf.DUMMYFUNCTION("""COMPUTED_VALUE"""),0.0)</f>
        <v>0</v>
      </c>
      <c r="N680" t="str">
        <f>IFERROR(__xludf.DUMMYFUNCTION("""COMPUTED_VALUE"""),"EXTERNO")</f>
        <v>EXTERNO</v>
      </c>
      <c r="O680">
        <f>IFERROR(__xludf.DUMMYFUNCTION("""COMPUTED_VALUE"""),29.0)</f>
        <v>29</v>
      </c>
      <c r="P680">
        <f>IFERROR(__xludf.DUMMYFUNCTION("""COMPUTED_VALUE"""),1.0)</f>
        <v>1</v>
      </c>
      <c r="Q680">
        <f>IFERROR(__xludf.DUMMYFUNCTION("""COMPUTED_VALUE"""),1.0)</f>
        <v>1</v>
      </c>
      <c r="R680" s="45" t="str">
        <f>IFERROR(__xludf.DUMMYFUNCTION("""COMPUTED_VALUE"""),"SELECCIONADO")</f>
        <v>SELECCIONADO</v>
      </c>
      <c r="S680" s="38">
        <f>IFERROR(__xludf.DUMMYFUNCTION("""COMPUTED_VALUE"""),41953.0)</f>
        <v>41953</v>
      </c>
      <c r="U680" t="str">
        <f>IFERROR(__xludf.DUMMYFUNCTION("""COMPUTED_VALUE"""),"LUIS FRIAS SAAVEDRA")</f>
        <v>LUIS FRIAS SAAVEDRA</v>
      </c>
      <c r="V680" t="str">
        <f>IFERROR(__xludf.DUMMYFUNCTION("""COMPUTED_VALUE"""),"15623010-3")</f>
        <v>15623010-3</v>
      </c>
      <c r="W680" t="str">
        <f>IFERROR(__xludf.DUMMYFUNCTION("""COMPUTED_VALUE"""),"SI")</f>
        <v>SI</v>
      </c>
      <c r="X680" t="str">
        <f>IFERROR(__xludf.DUMMYFUNCTION("""COMPUTED_VALUE"""),"COMUNICACION")</f>
        <v>COMUNICACION</v>
      </c>
      <c r="AA680" s="38">
        <f>IFERROR(__xludf.DUMMYFUNCTION("""COMPUTED_VALUE"""),41870.0)</f>
        <v>41870</v>
      </c>
      <c r="AB680" s="38">
        <f>IFERROR(__xludf.DUMMYFUNCTION("""COMPUTED_VALUE"""),41877.0)</f>
        <v>41877</v>
      </c>
      <c r="AC680">
        <f>IFERROR(__xludf.DUMMYFUNCTION("""COMPUTED_VALUE"""),20.0)</f>
        <v>20</v>
      </c>
      <c r="AD680" t="str">
        <f>IFERROR(__xludf.DUMMYFUNCTION("""COMPUTED_VALUE"""),"ADMINISTRATIVO")</f>
        <v>ADMINISTRATIVO</v>
      </c>
      <c r="AH680" t="str">
        <f>IFERROR(__xludf.DUMMYFUNCTION("""COMPUTED_VALUE"""),"PROCESO DE SELECCIÓN")</f>
        <v>PROCESO DE SELECCIÓN</v>
      </c>
      <c r="AK680" t="str">
        <f>IFERROR(__xludf.DUMMYFUNCTION("""COMPUTED_VALUE"""),"E")</f>
        <v>E</v>
      </c>
      <c r="AL680">
        <f>IFERROR(__xludf.DUMMYFUNCTION("""COMPUTED_VALUE"""),55.0)</f>
        <v>55</v>
      </c>
      <c r="AM680">
        <f>IFERROR(__xludf.DUMMYFUNCTION("""COMPUTED_VALUE"""),2014.0)</f>
        <v>2014</v>
      </c>
    </row>
    <row r="681">
      <c r="A681">
        <f>IFERROR(__xludf.DUMMYFUNCTION("""COMPUTED_VALUE"""),1.3920637E7)</f>
        <v>13920637</v>
      </c>
      <c r="B681">
        <f>IFERROR(__xludf.DUMMYFUNCTION("""COMPUTED_VALUE"""),86.0)</f>
        <v>86</v>
      </c>
      <c r="D681" t="str">
        <f>IFERROR(__xludf.DUMMYFUNCTION("""COMPUTED_VALUE"""),"PRORRECTORIA")</f>
        <v>PRORRECTORIA</v>
      </c>
      <c r="E681" t="str">
        <f>IFERROR(__xludf.DUMMYFUNCTION("""COMPUTED_VALUE"""),"UNIDAD DE BIENESTAR DEL PERSONAL")</f>
        <v>UNIDAD DE BIENESTAR DEL PERSONAL</v>
      </c>
      <c r="F681" t="str">
        <f>IFERROR(__xludf.DUMMYFUNCTION("""COMPUTED_VALUE"""),"Técnico en Atención de Párvulos")</f>
        <v>Técnico en Atención de Párvulos</v>
      </c>
      <c r="G681" t="str">
        <f>IFERROR(__xludf.DUMMYFUNCTION("""COMPUTED_VALUE"""),"TECNICO EN PARVULOS")</f>
        <v>TECNICO EN PARVULOS</v>
      </c>
      <c r="H681">
        <f>IFERROR(__xludf.DUMMYFUNCTION("""COMPUTED_VALUE"""),21.0)</f>
        <v>21</v>
      </c>
      <c r="J681" t="str">
        <f>IFERROR(__xludf.DUMMYFUNCTION("""COMPUTED_VALUE"""),"A CONTRATA")</f>
        <v>A CONTRATA</v>
      </c>
      <c r="K681" t="str">
        <f>IFERROR(__xludf.DUMMYFUNCTION("""COMPUTED_VALUE"""),"TECNICO")</f>
        <v>TECNICO</v>
      </c>
      <c r="L681" t="str">
        <f>IFERROR(__xludf.DUMMYFUNCTION("""COMPUTED_VALUE"""),"INTERNO")</f>
        <v>INTERNO</v>
      </c>
      <c r="M681">
        <f>IFERROR(__xludf.DUMMYFUNCTION("""COMPUTED_VALUE"""),0.0)</f>
        <v>0</v>
      </c>
      <c r="N681" t="str">
        <f>IFERROR(__xludf.DUMMYFUNCTION("""COMPUTED_VALUE"""),"EXTERNO")</f>
        <v>EXTERNO</v>
      </c>
      <c r="O681">
        <f>IFERROR(__xludf.DUMMYFUNCTION("""COMPUTED_VALUE"""),16.0)</f>
        <v>16</v>
      </c>
      <c r="P681">
        <f>IFERROR(__xludf.DUMMYFUNCTION("""COMPUTED_VALUE"""),2.0)</f>
        <v>2</v>
      </c>
      <c r="Q681">
        <f>IFERROR(__xludf.DUMMYFUNCTION("""COMPUTED_VALUE"""),3.0)</f>
        <v>3</v>
      </c>
      <c r="R681" s="45" t="str">
        <f>IFERROR(__xludf.DUMMYFUNCTION("""COMPUTED_VALUE"""),"SELECCIONADA")</f>
        <v>SELECCIONADA</v>
      </c>
      <c r="S681" s="38">
        <f>IFERROR(__xludf.DUMMYFUNCTION("""COMPUTED_VALUE"""),41913.0)</f>
        <v>41913</v>
      </c>
      <c r="U681" t="str">
        <f>IFERROR(__xludf.DUMMYFUNCTION("""COMPUTED_VALUE"""),"DANIELA IRIGOYEN INFANTE")</f>
        <v>DANIELA IRIGOYEN INFANTE</v>
      </c>
      <c r="V681" t="str">
        <f>IFERROR(__xludf.DUMMYFUNCTION("""COMPUTED_VALUE"""),"13920637-1")</f>
        <v>13920637-1</v>
      </c>
      <c r="W681" t="str">
        <f>IFERROR(__xludf.DUMMYFUNCTION("""COMPUTED_VALUE"""),"SI")</f>
        <v>SI</v>
      </c>
      <c r="X681" t="str">
        <f>IFERROR(__xludf.DUMMYFUNCTION("""COMPUTED_VALUE"""),"AUTOCONTROL")</f>
        <v>AUTOCONTROL</v>
      </c>
      <c r="AA681" s="38">
        <f>IFERROR(__xludf.DUMMYFUNCTION("""COMPUTED_VALUE"""),41870.0)</f>
        <v>41870</v>
      </c>
      <c r="AB681" s="38">
        <f>IFERROR(__xludf.DUMMYFUNCTION("""COMPUTED_VALUE"""),41877.0)</f>
        <v>41877</v>
      </c>
      <c r="AH681" t="str">
        <f>IFERROR(__xludf.DUMMYFUNCTION("""COMPUTED_VALUE"""),"PROCESO DE SELECCIÓN")</f>
        <v>PROCESO DE SELECCIÓN</v>
      </c>
      <c r="AK681" t="str">
        <f>IFERROR(__xludf.DUMMYFUNCTION("""COMPUTED_VALUE"""),"C")</f>
        <v>C</v>
      </c>
      <c r="AL681">
        <f>IFERROR(__xludf.DUMMYFUNCTION("""COMPUTED_VALUE"""),27.0)</f>
        <v>27</v>
      </c>
      <c r="AM681">
        <f>IFERROR(__xludf.DUMMYFUNCTION("""COMPUTED_VALUE"""),2014.0)</f>
        <v>2014</v>
      </c>
    </row>
    <row r="682">
      <c r="A682">
        <f>IFERROR(__xludf.DUMMYFUNCTION("""COMPUTED_VALUE"""),1.5585394E7)</f>
        <v>15585394</v>
      </c>
      <c r="B682">
        <f>IFERROR(__xludf.DUMMYFUNCTION("""COMPUTED_VALUE"""),83.0)</f>
        <v>83</v>
      </c>
      <c r="D682" t="str">
        <f>IFERROR(__xludf.DUMMYFUNCTION("""COMPUTED_VALUE"""),"FACULTAD DE CIENCIAS MEDICAS")</f>
        <v>FACULTAD DE CIENCIAS MEDICAS</v>
      </c>
      <c r="E682" t="str">
        <f>IFERROR(__xludf.DUMMYFUNCTION("""COMPUTED_VALUE"""),"FACULTAD DE CIENCIAS MEDICAS")</f>
        <v>FACULTAD DE CIENCIAS MEDICAS</v>
      </c>
      <c r="F682" t="str">
        <f>IFERROR(__xludf.DUMMYFUNCTION("""COMPUTED_VALUE"""),"Administrativo de Registro Curricular")</f>
        <v>Administrativo de Registro Curricular</v>
      </c>
      <c r="G682" t="str">
        <f>IFERROR(__xludf.DUMMYFUNCTION("""COMPUTED_VALUE"""),"ADMINISTRATIVO DE REGISTRO CURRICULAR")</f>
        <v>ADMINISTRATIVO DE REGISTRO CURRICULAR</v>
      </c>
      <c r="H682">
        <f>IFERROR(__xludf.DUMMYFUNCTION("""COMPUTED_VALUE"""),17.0)</f>
        <v>17</v>
      </c>
      <c r="J682" t="str">
        <f>IFERROR(__xludf.DUMMYFUNCTION("""COMPUTED_VALUE"""),"A CONTRATA")</f>
        <v>A CONTRATA</v>
      </c>
      <c r="K682" t="str">
        <f>IFERROR(__xludf.DUMMYFUNCTION("""COMPUTED_VALUE"""),"ADMINISTRATIVO")</f>
        <v>ADMINISTRATIVO</v>
      </c>
      <c r="L682" t="str">
        <f>IFERROR(__xludf.DUMMYFUNCTION("""COMPUTED_VALUE"""),"INTERNO")</f>
        <v>INTERNO</v>
      </c>
      <c r="M682">
        <f>IFERROR(__xludf.DUMMYFUNCTION("""COMPUTED_VALUE"""),1.0)</f>
        <v>1</v>
      </c>
      <c r="N682" t="str">
        <f>IFERROR(__xludf.DUMMYFUNCTION("""COMPUTED_VALUE"""),"EXTERNO")</f>
        <v>EXTERNO</v>
      </c>
      <c r="O682">
        <f>IFERROR(__xludf.DUMMYFUNCTION("""COMPUTED_VALUE"""),9.0)</f>
        <v>9</v>
      </c>
      <c r="P682">
        <f>IFERROR(__xludf.DUMMYFUNCTION("""COMPUTED_VALUE"""),1.0)</f>
        <v>1</v>
      </c>
      <c r="Q682">
        <f>IFERROR(__xludf.DUMMYFUNCTION("""COMPUTED_VALUE"""),1.0)</f>
        <v>1</v>
      </c>
      <c r="R682" s="45" t="str">
        <f>IFERROR(__xludf.DUMMYFUNCTION("""COMPUTED_VALUE"""),"SELECCIONADA")</f>
        <v>SELECCIONADA</v>
      </c>
      <c r="S682" s="38">
        <f>IFERROR(__xludf.DUMMYFUNCTION("""COMPUTED_VALUE"""),41944.0)</f>
        <v>41944</v>
      </c>
      <c r="U682" t="str">
        <f>IFERROR(__xludf.DUMMYFUNCTION("""COMPUTED_VALUE"""),"ELIZABETH FUENTES ROJAS")</f>
        <v>ELIZABETH FUENTES ROJAS</v>
      </c>
      <c r="V682" t="str">
        <f>IFERROR(__xludf.DUMMYFUNCTION("""COMPUTED_VALUE"""),"15585394-8")</f>
        <v>15585394-8</v>
      </c>
      <c r="W682" t="str">
        <f>IFERROR(__xludf.DUMMYFUNCTION("""COMPUTED_VALUE"""),"No")</f>
        <v>No</v>
      </c>
      <c r="AA682" s="38">
        <f>IFERROR(__xludf.DUMMYFUNCTION("""COMPUTED_VALUE"""),41876.0)</f>
        <v>41876</v>
      </c>
      <c r="AB682" s="38">
        <f>IFERROR(__xludf.DUMMYFUNCTION("""COMPUTED_VALUE"""),41883.0)</f>
        <v>41883</v>
      </c>
      <c r="AH682" t="str">
        <f>IFERROR(__xludf.DUMMYFUNCTION("""COMPUTED_VALUE"""),"PROCESO DE SELECCIÓN")</f>
        <v>PROCESO DE SELECCIÓN</v>
      </c>
      <c r="AK682" t="str">
        <f>IFERROR(__xludf.DUMMYFUNCTION("""COMPUTED_VALUE"""),"P")</f>
        <v>P</v>
      </c>
      <c r="AL682">
        <f>IFERROR(__xludf.DUMMYFUNCTION("""COMPUTED_VALUE"""),45.0)</f>
        <v>45</v>
      </c>
      <c r="AM682">
        <f>IFERROR(__xludf.DUMMYFUNCTION("""COMPUTED_VALUE"""),2014.0)</f>
        <v>2014</v>
      </c>
    </row>
    <row r="683">
      <c r="A683">
        <f>IFERROR(__xludf.DUMMYFUNCTION("""COMPUTED_VALUE"""),1.8756734E7)</f>
        <v>18756734</v>
      </c>
      <c r="B683">
        <f>IFERROR(__xludf.DUMMYFUNCTION("""COMPUTED_VALUE"""),112.0)</f>
        <v>112</v>
      </c>
      <c r="D683" t="str">
        <f>IFERROR(__xludf.DUMMYFUNCTION("""COMPUTED_VALUE"""),"FACULTAD DE INGENIERIA")</f>
        <v>FACULTAD DE INGENIERIA</v>
      </c>
      <c r="E683" t="str">
        <f>IFERROR(__xludf.DUMMYFUNCTION("""COMPUTED_VALUE"""),"FACULTAD DE INGENIERIA")</f>
        <v>FACULTAD DE INGENIERIA</v>
      </c>
      <c r="F683" t="str">
        <f>IFERROR(__xludf.DUMMYFUNCTION("""COMPUTED_VALUE"""),"Secretario C")</f>
        <v>Secretario C</v>
      </c>
      <c r="G683" t="str">
        <f>IFERROR(__xludf.DUMMYFUNCTION("""COMPUTED_VALUE"""),"SECRETARIA ADMINISTRATIVA")</f>
        <v>SECRETARIA ADMINISTRATIVA</v>
      </c>
      <c r="H683">
        <f>IFERROR(__xludf.DUMMYFUNCTION("""COMPUTED_VALUE"""),20.0)</f>
        <v>20</v>
      </c>
      <c r="J683" t="str">
        <f>IFERROR(__xludf.DUMMYFUNCTION("""COMPUTED_VALUE"""),"A CONTRATA")</f>
        <v>A CONTRATA</v>
      </c>
      <c r="K683" t="str">
        <f>IFERROR(__xludf.DUMMYFUNCTION("""COMPUTED_VALUE"""),"ADMINISTRATIVO")</f>
        <v>ADMINISTRATIVO</v>
      </c>
      <c r="L683" t="str">
        <f>IFERROR(__xludf.DUMMYFUNCTION("""COMPUTED_VALUE"""),"INTERNO")</f>
        <v>INTERNO</v>
      </c>
      <c r="M683">
        <f>IFERROR(__xludf.DUMMYFUNCTION("""COMPUTED_VALUE"""),0.0)</f>
        <v>0</v>
      </c>
      <c r="N683" t="str">
        <f>IFERROR(__xludf.DUMMYFUNCTION("""COMPUTED_VALUE"""),"EXTERNO")</f>
        <v>EXTERNO</v>
      </c>
      <c r="O683">
        <f>IFERROR(__xludf.DUMMYFUNCTION("""COMPUTED_VALUE"""),5.0)</f>
        <v>5</v>
      </c>
      <c r="P683">
        <f>IFERROR(__xludf.DUMMYFUNCTION("""COMPUTED_VALUE"""),1.0)</f>
        <v>1</v>
      </c>
      <c r="Q683">
        <f>IFERROR(__xludf.DUMMYFUNCTION("""COMPUTED_VALUE"""),2.0)</f>
        <v>2</v>
      </c>
      <c r="R683" s="45" t="str">
        <f>IFERROR(__xludf.DUMMYFUNCTION("""COMPUTED_VALUE"""),"SELECCIONADA")</f>
        <v>SELECCIONADA</v>
      </c>
      <c r="S683" s="38">
        <f>IFERROR(__xludf.DUMMYFUNCTION("""COMPUTED_VALUE"""),41927.0)</f>
        <v>41927</v>
      </c>
      <c r="U683" t="str">
        <f>IFERROR(__xludf.DUMMYFUNCTION("""COMPUTED_VALUE"""),"ROMINA ROJAS TREMOLAO")</f>
        <v>ROMINA ROJAS TREMOLAO</v>
      </c>
      <c r="V683" t="str">
        <f>IFERROR(__xludf.DUMMYFUNCTION("""COMPUTED_VALUE"""),"18756734-3")</f>
        <v>18756734-3</v>
      </c>
      <c r="W683" t="str">
        <f>IFERROR(__xludf.DUMMYFUNCTION("""COMPUTED_VALUE"""),"SI")</f>
        <v>SI</v>
      </c>
      <c r="X683" t="str">
        <f>IFERROR(__xludf.DUMMYFUNCTION("""COMPUTED_VALUE"""),"PREOCUPACION POR EL ORDEN Y LA CLARIDAD")</f>
        <v>PREOCUPACION POR EL ORDEN Y LA CLARIDAD</v>
      </c>
      <c r="AA683" s="38">
        <f>IFERROR(__xludf.DUMMYFUNCTION("""COMPUTED_VALUE"""),41878.0)</f>
        <v>41878</v>
      </c>
      <c r="AB683" s="38">
        <f>IFERROR(__xludf.DUMMYFUNCTION("""COMPUTED_VALUE"""),41885.0)</f>
        <v>41885</v>
      </c>
      <c r="AH683" t="str">
        <f>IFERROR(__xludf.DUMMYFUNCTION("""COMPUTED_VALUE"""),"PROCESO DE SELECCIÓN")</f>
        <v>PROCESO DE SELECCIÓN</v>
      </c>
      <c r="AK683" t="str">
        <f>IFERROR(__xludf.DUMMYFUNCTION("""COMPUTED_VALUE"""),"P")</f>
        <v>P</v>
      </c>
      <c r="AL683">
        <f>IFERROR(__xludf.DUMMYFUNCTION("""COMPUTED_VALUE"""),31.0)</f>
        <v>31</v>
      </c>
      <c r="AM683">
        <f>IFERROR(__xludf.DUMMYFUNCTION("""COMPUTED_VALUE"""),2014.0)</f>
        <v>2014</v>
      </c>
    </row>
    <row r="684">
      <c r="A684">
        <f>IFERROR(__xludf.DUMMYFUNCTION("""COMPUTED_VALUE"""),1.6747183E7)</f>
        <v>16747183</v>
      </c>
      <c r="B684">
        <f>IFERROR(__xludf.DUMMYFUNCTION("""COMPUTED_VALUE"""),125.0)</f>
        <v>125</v>
      </c>
      <c r="D684" t="str">
        <f>IFERROR(__xludf.DUMMYFUNCTION("""COMPUTED_VALUE"""),"FACULTAD DE HUMANIDADES")</f>
        <v>FACULTAD DE HUMANIDADES</v>
      </c>
      <c r="E684" t="str">
        <f>IFERROR(__xludf.DUMMYFUNCTION("""COMPUTED_VALUE"""),"FACULTAD DE HUMANIDADES")</f>
        <v>FACULTAD DE HUMANIDADES</v>
      </c>
      <c r="F684" t="str">
        <f>IFERROR(__xludf.DUMMYFUNCTION("""COMPUTED_VALUE"""),"Analista de Gestión I")</f>
        <v>Analista de Gestión I</v>
      </c>
      <c r="G684" t="str">
        <f>IFERROR(__xludf.DUMMYFUNCTION("""COMPUTED_VALUE"""),"ANALISTA DE GESTION")</f>
        <v>ANALISTA DE GESTION</v>
      </c>
      <c r="H684">
        <f>IFERROR(__xludf.DUMMYFUNCTION("""COMPUTED_VALUE"""),10.0)</f>
        <v>10</v>
      </c>
      <c r="J684" t="str">
        <f>IFERROR(__xludf.DUMMYFUNCTION("""COMPUTED_VALUE"""),"A CONTRATA")</f>
        <v>A CONTRATA</v>
      </c>
      <c r="K684" t="str">
        <f>IFERROR(__xludf.DUMMYFUNCTION("""COMPUTED_VALUE"""),"PROFESIONAL")</f>
        <v>PROFESIONAL</v>
      </c>
      <c r="L684" t="str">
        <f>IFERROR(__xludf.DUMMYFUNCTION("""COMPUTED_VALUE"""),"INTERNO")</f>
        <v>INTERNO</v>
      </c>
      <c r="M684">
        <f>IFERROR(__xludf.DUMMYFUNCTION("""COMPUTED_VALUE"""),11.0)</f>
        <v>11</v>
      </c>
      <c r="N684" t="str">
        <f>IFERROR(__xludf.DUMMYFUNCTION("""COMPUTED_VALUE"""),"NO")</f>
        <v>NO</v>
      </c>
      <c r="P684">
        <f>IFERROR(__xludf.DUMMYFUNCTION("""COMPUTED_VALUE"""),3.0)</f>
        <v>3</v>
      </c>
      <c r="Q684">
        <f>IFERROR(__xludf.DUMMYFUNCTION("""COMPUTED_VALUE"""),0.0)</f>
        <v>0</v>
      </c>
      <c r="R684" s="45" t="str">
        <f>IFERROR(__xludf.DUMMYFUNCTION("""COMPUTED_VALUE"""),"SELECCIONADO")</f>
        <v>SELECCIONADO</v>
      </c>
      <c r="S684" s="38">
        <f>IFERROR(__xludf.DUMMYFUNCTION("""COMPUTED_VALUE"""),41982.0)</f>
        <v>41982</v>
      </c>
      <c r="T684" t="str">
        <f>IFERROR(__xludf.DUMMYFUNCTION("""COMPUTED_VALUE"""),"HECTOR RIOS JARA")</f>
        <v>HECTOR RIOS JARA</v>
      </c>
      <c r="V684" t="str">
        <f>IFERROR(__xludf.DUMMYFUNCTION("""COMPUTED_VALUE"""),"16747183-8")</f>
        <v>16747183-8</v>
      </c>
      <c r="W684" t="str">
        <f>IFERROR(__xludf.DUMMYFUNCTION("""COMPUTED_VALUE"""),"SI")</f>
        <v>SI</v>
      </c>
      <c r="Y684" t="str">
        <f>IFERROR(__xludf.DUMMYFUNCTION("""COMPUTED_VALUE"""),"Orientacion a los Resultados")</f>
        <v>Orientacion a los Resultados</v>
      </c>
      <c r="Z684" t="str">
        <f>IFERROR(__xludf.DUMMYFUNCTION("""COMPUTED_VALUE"""),"TRABAJO EN EQUIPO")</f>
        <v>TRABAJO EN EQUIPO</v>
      </c>
      <c r="AA684" s="38">
        <f>IFERROR(__xludf.DUMMYFUNCTION("""COMPUTED_VALUE"""),41879.0)</f>
        <v>41879</v>
      </c>
      <c r="AB684" s="38">
        <f>IFERROR(__xludf.DUMMYFUNCTION("""COMPUTED_VALUE"""),41886.0)</f>
        <v>41886</v>
      </c>
      <c r="AD684" t="str">
        <f>IFERROR(__xludf.DUMMYFUNCTION("""COMPUTED_VALUE"""),"PROFESOR HRA")</f>
        <v>PROFESOR HRA</v>
      </c>
      <c r="AH684" t="str">
        <f>IFERROR(__xludf.DUMMYFUNCTION("""COMPUTED_VALUE"""),"PROCESO DE SELECCIÓN")</f>
        <v>PROCESO DE SELECCIÓN</v>
      </c>
      <c r="AI684" t="str">
        <f>IFERROR(__xludf.DUMMYFUNCTION("""COMPUTED_VALUE"""),"TAMARA WONG")</f>
        <v>TAMARA WONG</v>
      </c>
      <c r="AK684" t="str">
        <f>IFERROR(__xludf.DUMMYFUNCTION("""COMPUTED_VALUE"""),"P")</f>
        <v>P</v>
      </c>
      <c r="AL684">
        <f>IFERROR(__xludf.DUMMYFUNCTION("""COMPUTED_VALUE"""),69.0)</f>
        <v>69</v>
      </c>
      <c r="AM684">
        <f>IFERROR(__xludf.DUMMYFUNCTION("""COMPUTED_VALUE"""),2014.0)</f>
        <v>2014</v>
      </c>
    </row>
    <row r="685">
      <c r="A685">
        <f>IFERROR(__xludf.DUMMYFUNCTION("""COMPUTED_VALUE"""),1.3549917E7)</f>
        <v>13549917</v>
      </c>
      <c r="B685">
        <f>IFERROR(__xludf.DUMMYFUNCTION("""COMPUTED_VALUE"""),120.0)</f>
        <v>120</v>
      </c>
      <c r="D685" t="str">
        <f>IFERROR(__xludf.DUMMYFUNCTION("""COMPUTED_VALUE"""),"VICERRECTORIA DE INVESTIGACION, DESARROLLO E INNOVACION")</f>
        <v>VICERRECTORIA DE INVESTIGACION, DESARROLLO E INNOVACION</v>
      </c>
      <c r="E685" t="str">
        <f>IFERROR(__xludf.DUMMYFUNCTION("""COMPUTED_VALUE"""),"CEUS-LLANQUIHUE")</f>
        <v>CEUS-LLANQUIHUE</v>
      </c>
      <c r="F685" t="str">
        <f>IFERROR(__xludf.DUMMYFUNCTION("""COMPUTED_VALUE"""),"Encargado de Laboratorio")</f>
        <v>Encargado de Laboratorio</v>
      </c>
      <c r="G685" t="str">
        <f>IFERROR(__xludf.DUMMYFUNCTION("""COMPUTED_VALUE"""),"ENCARGADO DE LABORATORIO")</f>
        <v>ENCARGADO DE LABORATORIO</v>
      </c>
      <c r="H685">
        <f>IFERROR(__xludf.DUMMYFUNCTION("""COMPUTED_VALUE"""),13.0)</f>
        <v>13</v>
      </c>
      <c r="J685" t="str">
        <f>IFERROR(__xludf.DUMMYFUNCTION("""COMPUTED_VALUE"""),"A CONTRATA")</f>
        <v>A CONTRATA</v>
      </c>
      <c r="K685" t="str">
        <f>IFERROR(__xludf.DUMMYFUNCTION("""COMPUTED_VALUE"""),"PROFESIONAL")</f>
        <v>PROFESIONAL</v>
      </c>
      <c r="P685">
        <f>IFERROR(__xludf.DUMMYFUNCTION("""COMPUTED_VALUE"""),2.0)</f>
        <v>2</v>
      </c>
      <c r="Q685">
        <f>IFERROR(__xludf.DUMMYFUNCTION("""COMPUTED_VALUE"""),0.0)</f>
        <v>0</v>
      </c>
      <c r="R685" s="45" t="str">
        <f>IFERROR(__xludf.DUMMYFUNCTION("""COMPUTED_VALUE"""),"SELECCIONADO")</f>
        <v>SELECCIONADO</v>
      </c>
      <c r="S685" s="38">
        <f>IFERROR(__xludf.DUMMYFUNCTION("""COMPUTED_VALUE"""),41918.0)</f>
        <v>41918</v>
      </c>
      <c r="U685" t="str">
        <f>IFERROR(__xludf.DUMMYFUNCTION("""COMPUTED_VALUE"""),"CESAR LOPEZ RIVEROS")</f>
        <v>CESAR LOPEZ RIVEROS</v>
      </c>
      <c r="V685" t="str">
        <f>IFERROR(__xludf.DUMMYFUNCTION("""COMPUTED_VALUE"""),"13549917-K")</f>
        <v>13549917-K</v>
      </c>
      <c r="W685" t="str">
        <f>IFERROR(__xludf.DUMMYFUNCTION("""COMPUTED_VALUE"""),"SI")</f>
        <v>SI</v>
      </c>
      <c r="X685" t="str">
        <f>IFERROR(__xludf.DUMMYFUNCTION("""COMPUTED_VALUE"""),"Capacidad de Planificacion y Organizacion")</f>
        <v>Capacidad de Planificacion y Organizacion</v>
      </c>
      <c r="Y685" t="str">
        <f>IFERROR(__xludf.DUMMYFUNCTION("""COMPUTED_VALUE"""),"CONCIENCIA ORGANIZACIONAL")</f>
        <v>CONCIENCIA ORGANIZACIONAL</v>
      </c>
      <c r="AB685" s="38">
        <f>IFERROR(__xludf.DUMMYFUNCTION("""COMPUTED_VALUE"""),41890.0)</f>
        <v>41890</v>
      </c>
      <c r="AH685" t="str">
        <f>IFERROR(__xludf.DUMMYFUNCTION("""COMPUTED_VALUE"""),"PROCESO DE SELECCIÓN")</f>
        <v>PROCESO DE SELECCIÓN</v>
      </c>
      <c r="AL685">
        <f>IFERROR(__xludf.DUMMYFUNCTION("""COMPUTED_VALUE"""),21.0)</f>
        <v>21</v>
      </c>
      <c r="AM685">
        <f>IFERROR(__xludf.DUMMYFUNCTION("""COMPUTED_VALUE"""),2014.0)</f>
        <v>2014</v>
      </c>
    </row>
    <row r="686">
      <c r="A686">
        <f>IFERROR(__xludf.DUMMYFUNCTION("""COMPUTED_VALUE"""),8666537.0)</f>
        <v>8666537</v>
      </c>
      <c r="B686">
        <f>IFERROR(__xludf.DUMMYFUNCTION("""COMPUTED_VALUE"""),90.0)</f>
        <v>90</v>
      </c>
      <c r="D686" t="str">
        <f>IFERROR(__xludf.DUMMYFUNCTION("""COMPUTED_VALUE"""),"RECTORIA")</f>
        <v>RECTORIA</v>
      </c>
      <c r="E686" t="str">
        <f>IFERROR(__xludf.DUMMYFUNCTION("""COMPUTED_VALUE"""),"RECTORIA")</f>
        <v>RECTORIA</v>
      </c>
      <c r="F686" t="str">
        <f>IFERROR(__xludf.DUMMYFUNCTION("""COMPUTED_VALUE"""),"Mayordomo")</f>
        <v>Mayordomo</v>
      </c>
      <c r="G686" t="str">
        <f>IFERROR(__xludf.DUMMYFUNCTION("""COMPUTED_VALUE"""),"MAYORDOMO")</f>
        <v>MAYORDOMO</v>
      </c>
      <c r="H686">
        <f>IFERROR(__xludf.DUMMYFUNCTION("""COMPUTED_VALUE"""),21.0)</f>
        <v>21</v>
      </c>
      <c r="J686" t="str">
        <f>IFERROR(__xludf.DUMMYFUNCTION("""COMPUTED_VALUE"""),"A CONTRATA")</f>
        <v>A CONTRATA</v>
      </c>
      <c r="K686" t="str">
        <f>IFERROR(__xludf.DUMMYFUNCTION("""COMPUTED_VALUE"""),"AUXILIAR")</f>
        <v>AUXILIAR</v>
      </c>
      <c r="L686" t="str">
        <f>IFERROR(__xludf.DUMMYFUNCTION("""COMPUTED_VALUE"""),"INTERNO")</f>
        <v>INTERNO</v>
      </c>
      <c r="M686">
        <f>IFERROR(__xludf.DUMMYFUNCTION("""COMPUTED_VALUE"""),0.0)</f>
        <v>0</v>
      </c>
      <c r="N686" t="str">
        <f>IFERROR(__xludf.DUMMYFUNCTION("""COMPUTED_VALUE"""),"EXTERNO")</f>
        <v>EXTERNO</v>
      </c>
      <c r="O686">
        <f>IFERROR(__xludf.DUMMYFUNCTION("""COMPUTED_VALUE"""),2.0)</f>
        <v>2</v>
      </c>
      <c r="P686">
        <f>IFERROR(__xludf.DUMMYFUNCTION("""COMPUTED_VALUE"""),1.0)</f>
        <v>1</v>
      </c>
      <c r="Q686">
        <f>IFERROR(__xludf.DUMMYFUNCTION("""COMPUTED_VALUE"""),2.0)</f>
        <v>2</v>
      </c>
      <c r="R686" s="45" t="str">
        <f>IFERROR(__xludf.DUMMYFUNCTION("""COMPUTED_VALUE"""),"SELECCIONADO")</f>
        <v>SELECCIONADO</v>
      </c>
      <c r="S686" s="38">
        <f>IFERROR(__xludf.DUMMYFUNCTION("""COMPUTED_VALUE"""),41946.0)</f>
        <v>41946</v>
      </c>
      <c r="U686" t="str">
        <f>IFERROR(__xludf.DUMMYFUNCTION("""COMPUTED_VALUE"""),"JUAN TOBAR CASTILLO")</f>
        <v>JUAN TOBAR CASTILLO</v>
      </c>
      <c r="V686" t="str">
        <f>IFERROR(__xludf.DUMMYFUNCTION("""COMPUTED_VALUE"""),"08666537-9")</f>
        <v>08666537-9</v>
      </c>
      <c r="W686" t="str">
        <f>IFERROR(__xludf.DUMMYFUNCTION("""COMPUTED_VALUE"""),"No")</f>
        <v>No</v>
      </c>
      <c r="AA686" s="38">
        <f>IFERROR(__xludf.DUMMYFUNCTION("""COMPUTED_VALUE"""),41885.0)</f>
        <v>41885</v>
      </c>
      <c r="AB686" s="38">
        <f>IFERROR(__xludf.DUMMYFUNCTION("""COMPUTED_VALUE"""),41892.0)</f>
        <v>41892</v>
      </c>
      <c r="AH686" t="str">
        <f>IFERROR(__xludf.DUMMYFUNCTION("""COMPUTED_VALUE"""),"PROCESO DE SELECCIÓN")</f>
        <v>PROCESO DE SELECCIÓN</v>
      </c>
      <c r="AK686" t="str">
        <f>IFERROR(__xludf.DUMMYFUNCTION("""COMPUTED_VALUE"""),"C")</f>
        <v>C</v>
      </c>
      <c r="AL686">
        <f>IFERROR(__xludf.DUMMYFUNCTION("""COMPUTED_VALUE"""),39.0)</f>
        <v>39</v>
      </c>
      <c r="AM686">
        <f>IFERROR(__xludf.DUMMYFUNCTION("""COMPUTED_VALUE"""),2014.0)</f>
        <v>2014</v>
      </c>
    </row>
    <row r="687">
      <c r="A687">
        <f>IFERROR(__xludf.DUMMYFUNCTION("""COMPUTED_VALUE"""),1.5654866E7)</f>
        <v>15654866</v>
      </c>
      <c r="B687">
        <f>IFERROR(__xludf.DUMMYFUNCTION("""COMPUTED_VALUE"""),100.0)</f>
        <v>100</v>
      </c>
      <c r="D687" t="str">
        <f>IFERROR(__xludf.DUMMYFUNCTION("""COMPUTED_VALUE"""),"VICERRECTORIA DE APOYO AL ESTUDIANTE")</f>
        <v>VICERRECTORIA DE APOYO AL ESTUDIANTE</v>
      </c>
      <c r="E687" t="str">
        <f>IFERROR(__xludf.DUMMYFUNCTION("""COMPUTED_VALUE"""),"DEPARTAMENTO DE BENEFICIOS ESTUDIANTILES")</f>
        <v>DEPARTAMENTO DE BENEFICIOS ESTUDIANTILES</v>
      </c>
      <c r="F687" t="str">
        <f>IFERROR(__xludf.DUMMYFUNCTION("""COMPUTED_VALUE"""),"Analista de Gestión II")</f>
        <v>Analista de Gestión II</v>
      </c>
      <c r="G687" t="str">
        <f>IFERROR(__xludf.DUMMYFUNCTION("""COMPUTED_VALUE"""),"ANALISTA II")</f>
        <v>ANALISTA II</v>
      </c>
      <c r="H687">
        <f>IFERROR(__xludf.DUMMYFUNCTION("""COMPUTED_VALUE"""),11.0)</f>
        <v>11</v>
      </c>
      <c r="J687" t="str">
        <f>IFERROR(__xludf.DUMMYFUNCTION("""COMPUTED_VALUE"""),"A CONTRATA")</f>
        <v>A CONTRATA</v>
      </c>
      <c r="K687" t="str">
        <f>IFERROR(__xludf.DUMMYFUNCTION("""COMPUTED_VALUE"""),"PROFESIONAL")</f>
        <v>PROFESIONAL</v>
      </c>
      <c r="L687" t="str">
        <f>IFERROR(__xludf.DUMMYFUNCTION("""COMPUTED_VALUE"""),"INTERNO")</f>
        <v>INTERNO</v>
      </c>
      <c r="M687">
        <f>IFERROR(__xludf.DUMMYFUNCTION("""COMPUTED_VALUE"""),3.0)</f>
        <v>3</v>
      </c>
      <c r="N687" t="str">
        <f>IFERROR(__xludf.DUMMYFUNCTION("""COMPUTED_VALUE"""),"EXTERNO")</f>
        <v>EXTERNO</v>
      </c>
      <c r="O687">
        <f>IFERROR(__xludf.DUMMYFUNCTION("""COMPUTED_VALUE"""),2.0)</f>
        <v>2</v>
      </c>
      <c r="P687">
        <f>IFERROR(__xludf.DUMMYFUNCTION("""COMPUTED_VALUE"""),2.0)</f>
        <v>2</v>
      </c>
      <c r="R687" s="45" t="str">
        <f>IFERROR(__xludf.DUMMYFUNCTION("""COMPUTED_VALUE"""),"SELECCIONADO")</f>
        <v>SELECCIONADO</v>
      </c>
      <c r="S687" s="38">
        <f>IFERROR(__xludf.DUMMYFUNCTION("""COMPUTED_VALUE"""),41953.0)</f>
        <v>41953</v>
      </c>
      <c r="U687" t="str">
        <f>IFERROR(__xludf.DUMMYFUNCTION("""COMPUTED_VALUE"""),"JOSE GUTIERREZ YANEZ")</f>
        <v>JOSE GUTIERREZ YANEZ</v>
      </c>
      <c r="V687" t="str">
        <f>IFERROR(__xludf.DUMMYFUNCTION("""COMPUTED_VALUE"""),"15654866-9")</f>
        <v>15654866-9</v>
      </c>
      <c r="W687" t="str">
        <f>IFERROR(__xludf.DUMMYFUNCTION("""COMPUTED_VALUE"""),"SI")</f>
        <v>SI</v>
      </c>
      <c r="X687" t="str">
        <f>IFERROR(__xludf.DUMMYFUNCTION("""COMPUTED_VALUE"""),"COMUNICACION")</f>
        <v>COMUNICACION</v>
      </c>
      <c r="AA687" s="38">
        <f>IFERROR(__xludf.DUMMYFUNCTION("""COMPUTED_VALUE"""),41885.0)</f>
        <v>41885</v>
      </c>
      <c r="AB687" s="38">
        <f>IFERROR(__xludf.DUMMYFUNCTION("""COMPUTED_VALUE"""),41892.0)</f>
        <v>41892</v>
      </c>
      <c r="AC687">
        <f>IFERROR(__xludf.DUMMYFUNCTION("""COMPUTED_VALUE"""),11.0)</f>
        <v>11</v>
      </c>
      <c r="AD687" t="str">
        <f>IFERROR(__xludf.DUMMYFUNCTION("""COMPUTED_VALUE"""),"PROFESIONAL")</f>
        <v>PROFESIONAL</v>
      </c>
      <c r="AH687" t="str">
        <f>IFERROR(__xludf.DUMMYFUNCTION("""COMPUTED_VALUE"""),"PROCESO DE SELECCIÓN")</f>
        <v>PROCESO DE SELECCIÓN</v>
      </c>
      <c r="AK687" t="str">
        <f>IFERROR(__xludf.DUMMYFUNCTION("""COMPUTED_VALUE"""),"C")</f>
        <v>C</v>
      </c>
      <c r="AL687">
        <f>IFERROR(__xludf.DUMMYFUNCTION("""COMPUTED_VALUE"""),44.0)</f>
        <v>44</v>
      </c>
      <c r="AM687">
        <f>IFERROR(__xludf.DUMMYFUNCTION("""COMPUTED_VALUE"""),2014.0)</f>
        <v>2014</v>
      </c>
    </row>
    <row r="688">
      <c r="A688">
        <f>IFERROR(__xludf.DUMMYFUNCTION("""COMPUTED_VALUE"""),1.6639337E7)</f>
        <v>16639337</v>
      </c>
      <c r="B688">
        <f>IFERROR(__xludf.DUMMYFUNCTION("""COMPUTED_VALUE"""),87.0)</f>
        <v>87</v>
      </c>
      <c r="D688" t="str">
        <f>IFERROR(__xludf.DUMMYFUNCTION("""COMPUTED_VALUE"""),"VICERRECTORIA ACADEMICA")</f>
        <v>VICERRECTORIA ACADEMICA</v>
      </c>
      <c r="E688" t="str">
        <f>IFERROR(__xludf.DUMMYFUNCTION("""COMPUTED_VALUE"""),"PROGRAMA BACHILLERATO")</f>
        <v>PROGRAMA BACHILLERATO</v>
      </c>
      <c r="F688" t="str">
        <f>IFERROR(__xludf.DUMMYFUNCTION("""COMPUTED_VALUE"""),"Administrativo de Registro Curricular")</f>
        <v>Administrativo de Registro Curricular</v>
      </c>
      <c r="G688" t="str">
        <f>IFERROR(__xludf.DUMMYFUNCTION("""COMPUTED_VALUE"""),"ADMINISTRATIVO DE REGISTRO CURRICULAR")</f>
        <v>ADMINISTRATIVO DE REGISTRO CURRICULAR</v>
      </c>
      <c r="H688">
        <f>IFERROR(__xludf.DUMMYFUNCTION("""COMPUTED_VALUE"""),17.0)</f>
        <v>17</v>
      </c>
      <c r="J688" t="str">
        <f>IFERROR(__xludf.DUMMYFUNCTION("""COMPUTED_VALUE"""),"A CONTRATA")</f>
        <v>A CONTRATA</v>
      </c>
      <c r="K688" t="str">
        <f>IFERROR(__xludf.DUMMYFUNCTION("""COMPUTED_VALUE"""),"ADMINISTRATIVO")</f>
        <v>ADMINISTRATIVO</v>
      </c>
      <c r="L688" t="str">
        <f>IFERROR(__xludf.DUMMYFUNCTION("""COMPUTED_VALUE"""),"INTERNO")</f>
        <v>INTERNO</v>
      </c>
      <c r="M688">
        <f>IFERROR(__xludf.DUMMYFUNCTION("""COMPUTED_VALUE"""),1.0)</f>
        <v>1</v>
      </c>
      <c r="N688" t="str">
        <f>IFERROR(__xludf.DUMMYFUNCTION("""COMPUTED_VALUE"""),"EXTERNO")</f>
        <v>EXTERNO</v>
      </c>
      <c r="O688">
        <f>IFERROR(__xludf.DUMMYFUNCTION("""COMPUTED_VALUE"""),5.0)</f>
        <v>5</v>
      </c>
      <c r="P688">
        <f>IFERROR(__xludf.DUMMYFUNCTION("""COMPUTED_VALUE"""),1.0)</f>
        <v>1</v>
      </c>
      <c r="Q688">
        <f>IFERROR(__xludf.DUMMYFUNCTION("""COMPUTED_VALUE"""),2.0)</f>
        <v>2</v>
      </c>
      <c r="R688" s="45" t="str">
        <f>IFERROR(__xludf.DUMMYFUNCTION("""COMPUTED_VALUE"""),"SELECCIONADO")</f>
        <v>SELECCIONADO</v>
      </c>
      <c r="S688" s="38">
        <f>IFERROR(__xludf.DUMMYFUNCTION("""COMPUTED_VALUE"""),41925.0)</f>
        <v>41925</v>
      </c>
      <c r="U688" t="str">
        <f>IFERROR(__xludf.DUMMYFUNCTION("""COMPUTED_VALUE"""),"CRISTIAN PILQUIMAN ARANDA")</f>
        <v>CRISTIAN PILQUIMAN ARANDA</v>
      </c>
      <c r="V688" t="str">
        <f>IFERROR(__xludf.DUMMYFUNCTION("""COMPUTED_VALUE"""),"16639337-K")</f>
        <v>16639337-K</v>
      </c>
      <c r="W688" t="str">
        <f>IFERROR(__xludf.DUMMYFUNCTION("""COMPUTED_VALUE"""),"SI")</f>
        <v>SI</v>
      </c>
      <c r="AA688" s="38">
        <f>IFERROR(__xludf.DUMMYFUNCTION("""COMPUTED_VALUE"""),41893.0)</f>
        <v>41893</v>
      </c>
      <c r="AB688" s="38">
        <f>IFERROR(__xludf.DUMMYFUNCTION("""COMPUTED_VALUE"""),41904.0)</f>
        <v>41904</v>
      </c>
      <c r="AH688" t="str">
        <f>IFERROR(__xludf.DUMMYFUNCTION("""COMPUTED_VALUE"""),"PROCESO DE SELECCIÓN")</f>
        <v>PROCESO DE SELECCIÓN</v>
      </c>
      <c r="AK688" t="str">
        <f>IFERROR(__xludf.DUMMYFUNCTION("""COMPUTED_VALUE"""),"C")</f>
        <v>C</v>
      </c>
      <c r="AL688">
        <f>IFERROR(__xludf.DUMMYFUNCTION("""COMPUTED_VALUE"""),16.0)</f>
        <v>16</v>
      </c>
      <c r="AM688">
        <f>IFERROR(__xludf.DUMMYFUNCTION("""COMPUTED_VALUE"""),2014.0)</f>
        <v>2014</v>
      </c>
    </row>
    <row r="689">
      <c r="A689">
        <f>IFERROR(__xludf.DUMMYFUNCTION("""COMPUTED_VALUE"""),1.3688765E7)</f>
        <v>13688765</v>
      </c>
      <c r="B689">
        <f>IFERROR(__xludf.DUMMYFUNCTION("""COMPUTED_VALUE"""),99.0)</f>
        <v>99</v>
      </c>
      <c r="D689" t="str">
        <f>IFERROR(__xludf.DUMMYFUNCTION("""COMPUTED_VALUE"""),"SECRETARIA GENERAL")</f>
        <v>SECRETARIA GENERAL</v>
      </c>
      <c r="E689" t="str">
        <f>IFERROR(__xludf.DUMMYFUNCTION("""COMPUTED_VALUE"""),"SECRETARIA GENERAL")</f>
        <v>SECRETARIA GENERAL</v>
      </c>
      <c r="F689" t="str">
        <f>IFERROR(__xludf.DUMMYFUNCTION("""COMPUTED_VALUE"""),"Analista de Gestión II")</f>
        <v>Analista de Gestión II</v>
      </c>
      <c r="G689" t="str">
        <f>IFERROR(__xludf.DUMMYFUNCTION("""COMPUTED_VALUE"""),"ANALISTA II")</f>
        <v>ANALISTA II</v>
      </c>
      <c r="H689">
        <f>IFERROR(__xludf.DUMMYFUNCTION("""COMPUTED_VALUE"""),13.0)</f>
        <v>13</v>
      </c>
      <c r="J689" t="str">
        <f>IFERROR(__xludf.DUMMYFUNCTION("""COMPUTED_VALUE"""),"A CONTRATA")</f>
        <v>A CONTRATA</v>
      </c>
      <c r="K689" t="str">
        <f>IFERROR(__xludf.DUMMYFUNCTION("""COMPUTED_VALUE"""),"PROFESIONAL")</f>
        <v>PROFESIONAL</v>
      </c>
      <c r="L689" t="str">
        <f>IFERROR(__xludf.DUMMYFUNCTION("""COMPUTED_VALUE"""),"INTERNO")</f>
        <v>INTERNO</v>
      </c>
      <c r="M689">
        <f>IFERROR(__xludf.DUMMYFUNCTION("""COMPUTED_VALUE"""),3.0)</f>
        <v>3</v>
      </c>
      <c r="N689" t="str">
        <f>IFERROR(__xludf.DUMMYFUNCTION("""COMPUTED_VALUE"""),"EXTERNO")</f>
        <v>EXTERNO</v>
      </c>
      <c r="P689">
        <f>IFERROR(__xludf.DUMMYFUNCTION("""COMPUTED_VALUE"""),1.0)</f>
        <v>1</v>
      </c>
      <c r="Q689">
        <f>IFERROR(__xludf.DUMMYFUNCTION("""COMPUTED_VALUE"""),1.0)</f>
        <v>1</v>
      </c>
      <c r="R689" s="45" t="str">
        <f>IFERROR(__xludf.DUMMYFUNCTION("""COMPUTED_VALUE"""),"SELECCIONADA")</f>
        <v>SELECCIONADA</v>
      </c>
      <c r="S689" s="38">
        <f>IFERROR(__xludf.DUMMYFUNCTION("""COMPUTED_VALUE"""),41974.0)</f>
        <v>41974</v>
      </c>
      <c r="T689" t="str">
        <f>IFERROR(__xludf.DUMMYFUNCTION("""COMPUTED_VALUE"""),"EVELYN SANZANA PROBOSTE ")</f>
        <v>EVELYN SANZANA PROBOSTE </v>
      </c>
      <c r="V689" t="str">
        <f>IFERROR(__xludf.DUMMYFUNCTION("""COMPUTED_VALUE"""),"13688765-3")</f>
        <v>13688765-3</v>
      </c>
      <c r="W689" t="str">
        <f>IFERROR(__xludf.DUMMYFUNCTION("""COMPUTED_VALUE"""),"SI")</f>
        <v>SI</v>
      </c>
      <c r="X689" t="str">
        <f>IFERROR(__xludf.DUMMYFUNCTION("""COMPUTED_VALUE"""),"Capacidad de Planificacion y Organizacion")</f>
        <v>Capacidad de Planificacion y Organizacion</v>
      </c>
      <c r="Y689" t="str">
        <f>IFERROR(__xludf.DUMMYFUNCTION("""COMPUTED_VALUE"""),"Busqueda de Informacion")</f>
        <v>Busqueda de Informacion</v>
      </c>
      <c r="AA689" s="38">
        <f>IFERROR(__xludf.DUMMYFUNCTION("""COMPUTED_VALUE"""),41893.0)</f>
        <v>41893</v>
      </c>
      <c r="AB689" s="38">
        <f>IFERROR(__xludf.DUMMYFUNCTION("""COMPUTED_VALUE"""),41908.0)</f>
        <v>41908</v>
      </c>
      <c r="AC689">
        <f>IFERROR(__xludf.DUMMYFUNCTION("""COMPUTED_VALUE"""),13.0)</f>
        <v>13</v>
      </c>
      <c r="AD689" t="str">
        <f>IFERROR(__xludf.DUMMYFUNCTION("""COMPUTED_VALUE"""),"PROFESIONAL")</f>
        <v>PROFESIONAL</v>
      </c>
      <c r="AF689" s="46" t="str">
        <f>IFERROR(__xludf.DUMMYFUNCTION("""COMPUTED_VALUE"""),"DEPARTAMENTO DE FINANZAS Y TESORERIA ")</f>
        <v>DEPARTAMENTO DE FINANZAS Y TESORERIA </v>
      </c>
      <c r="AH689" t="str">
        <f>IFERROR(__xludf.DUMMYFUNCTION("""COMPUTED_VALUE"""),"PROCESO DE SELECCIÓN")</f>
        <v>PROCESO DE SELECCIÓN</v>
      </c>
      <c r="AK689" t="str">
        <f>IFERROR(__xludf.DUMMYFUNCTION("""COMPUTED_VALUE"""),"C")</f>
        <v>C</v>
      </c>
      <c r="AL689">
        <f>IFERROR(__xludf.DUMMYFUNCTION("""COMPUTED_VALUE"""),47.0)</f>
        <v>47</v>
      </c>
      <c r="AM689">
        <f>IFERROR(__xludf.DUMMYFUNCTION("""COMPUTED_VALUE"""),2014.0)</f>
        <v>2014</v>
      </c>
    </row>
    <row r="690">
      <c r="A690">
        <f>IFERROR(__xludf.DUMMYFUNCTION("""COMPUTED_VALUE"""),1.1873105E7)</f>
        <v>11873105</v>
      </c>
      <c r="B690">
        <f>IFERROR(__xludf.DUMMYFUNCTION("""COMPUTED_VALUE"""),101.0)</f>
        <v>101</v>
      </c>
      <c r="D690" t="str">
        <f>IFERROR(__xludf.DUMMYFUNCTION("""COMPUTED_VALUE"""),"FACULTAD DE QUIMICA Y BIOLOGIA")</f>
        <v>FACULTAD DE QUIMICA Y BIOLOGIA</v>
      </c>
      <c r="E690" t="str">
        <f>IFERROR(__xludf.DUMMYFUNCTION("""COMPUTED_VALUE"""),"FACULTAD DE QUIMICA Y BIOLOGIA")</f>
        <v>FACULTAD DE QUIMICA Y BIOLOGIA</v>
      </c>
      <c r="F690" t="str">
        <f>IFERROR(__xludf.DUMMYFUNCTION("""COMPUTED_VALUE"""),"Secretario de Apoyo Docente")</f>
        <v>Secretario de Apoyo Docente</v>
      </c>
      <c r="G690" t="str">
        <f>IFERROR(__xludf.DUMMYFUNCTION("""COMPUTED_VALUE"""),"SECRETARIA DE APOYO DOCENTE")</f>
        <v>SECRETARIA DE APOYO DOCENTE</v>
      </c>
      <c r="H690">
        <f>IFERROR(__xludf.DUMMYFUNCTION("""COMPUTED_VALUE"""),17.0)</f>
        <v>17</v>
      </c>
      <c r="J690" t="str">
        <f>IFERROR(__xludf.DUMMYFUNCTION("""COMPUTED_VALUE"""),"A CONTRATA")</f>
        <v>A CONTRATA</v>
      </c>
      <c r="K690" t="str">
        <f>IFERROR(__xludf.DUMMYFUNCTION("""COMPUTED_VALUE"""),"ADMINISTRATIVO")</f>
        <v>ADMINISTRATIVO</v>
      </c>
      <c r="L690" t="str">
        <f>IFERROR(__xludf.DUMMYFUNCTION("""COMPUTED_VALUE"""),"INTERNO")</f>
        <v>INTERNO</v>
      </c>
      <c r="M690">
        <f>IFERROR(__xludf.DUMMYFUNCTION("""COMPUTED_VALUE"""),0.0)</f>
        <v>0</v>
      </c>
      <c r="N690" t="str">
        <f>IFERROR(__xludf.DUMMYFUNCTION("""COMPUTED_VALUE"""),"EXTERNO")</f>
        <v>EXTERNO</v>
      </c>
      <c r="O690">
        <f>IFERROR(__xludf.DUMMYFUNCTION("""COMPUTED_VALUE"""),4.0)</f>
        <v>4</v>
      </c>
      <c r="P690">
        <f>IFERROR(__xludf.DUMMYFUNCTION("""COMPUTED_VALUE"""),1.0)</f>
        <v>1</v>
      </c>
      <c r="Q690">
        <f>IFERROR(__xludf.DUMMYFUNCTION("""COMPUTED_VALUE"""),1.0)</f>
        <v>1</v>
      </c>
      <c r="R690" s="45" t="str">
        <f>IFERROR(__xludf.DUMMYFUNCTION("""COMPUTED_VALUE"""),"SELECCIONADA")</f>
        <v>SELECCIONADA</v>
      </c>
      <c r="S690" s="38">
        <f>IFERROR(__xludf.DUMMYFUNCTION("""COMPUTED_VALUE"""),41950.0)</f>
        <v>41950</v>
      </c>
      <c r="U690" t="str">
        <f>IFERROR(__xludf.DUMMYFUNCTION("""COMPUTED_VALUE"""),"PATRICIA JARA AREVALO")</f>
        <v>PATRICIA JARA AREVALO</v>
      </c>
      <c r="V690" t="str">
        <f>IFERROR(__xludf.DUMMYFUNCTION("""COMPUTED_VALUE"""),"11873105-0")</f>
        <v>11873105-0</v>
      </c>
      <c r="W690" t="str">
        <f>IFERROR(__xludf.DUMMYFUNCTION("""COMPUTED_VALUE"""),"No")</f>
        <v>No</v>
      </c>
      <c r="AA690" s="38">
        <f>IFERROR(__xludf.DUMMYFUNCTION("""COMPUTED_VALUE"""),41911.0)</f>
        <v>41911</v>
      </c>
      <c r="AB690" s="38">
        <f>IFERROR(__xludf.DUMMYFUNCTION("""COMPUTED_VALUE"""),41919.0)</f>
        <v>41919</v>
      </c>
      <c r="AH690" t="str">
        <f>IFERROR(__xludf.DUMMYFUNCTION("""COMPUTED_VALUE"""),"PROCESO DE SELECCIÓN")</f>
        <v>PROCESO DE SELECCIÓN</v>
      </c>
      <c r="AK690" t="str">
        <f>IFERROR(__xludf.DUMMYFUNCTION("""COMPUTED_VALUE"""),"P")</f>
        <v>P</v>
      </c>
      <c r="AL690">
        <f>IFERROR(__xludf.DUMMYFUNCTION("""COMPUTED_VALUE"""),24.0)</f>
        <v>24</v>
      </c>
      <c r="AM690">
        <f>IFERROR(__xludf.DUMMYFUNCTION("""COMPUTED_VALUE"""),2014.0)</f>
        <v>2014</v>
      </c>
    </row>
    <row r="691">
      <c r="A691">
        <f>IFERROR(__xludf.DUMMYFUNCTION("""COMPUTED_VALUE"""),1.827761E7)</f>
        <v>18277610</v>
      </c>
      <c r="B691">
        <f>IFERROR(__xludf.DUMMYFUNCTION("""COMPUTED_VALUE"""),102.0)</f>
        <v>102</v>
      </c>
      <c r="D691" t="str">
        <f>IFERROR(__xludf.DUMMYFUNCTION("""COMPUTED_VALUE"""),"FACULTAD DE QUIMICA Y BIOLOGIA")</f>
        <v>FACULTAD DE QUIMICA Y BIOLOGIA</v>
      </c>
      <c r="E691" t="str">
        <f>IFERROR(__xludf.DUMMYFUNCTION("""COMPUTED_VALUE"""),"DEPARTAMENTO DE CIENCIAS DEL AMBIENTE")</f>
        <v>DEPARTAMENTO DE CIENCIAS DEL AMBIENTE</v>
      </c>
      <c r="F691" t="str">
        <f>IFERROR(__xludf.DUMMYFUNCTION("""COMPUTED_VALUE"""),"Técnico de Laboratorio")</f>
        <v>Técnico de Laboratorio</v>
      </c>
      <c r="G691" t="str">
        <f>IFERROR(__xludf.DUMMYFUNCTION("""COMPUTED_VALUE"""),"TECNICO DE LABORATORIO")</f>
        <v>TECNICO DE LABORATORIO</v>
      </c>
      <c r="H691">
        <f>IFERROR(__xludf.DUMMYFUNCTION("""COMPUTED_VALUE"""),17.0)</f>
        <v>17</v>
      </c>
      <c r="J691" t="str">
        <f>IFERROR(__xludf.DUMMYFUNCTION("""COMPUTED_VALUE"""),"A CONTRATA")</f>
        <v>A CONTRATA</v>
      </c>
      <c r="K691" t="str">
        <f>IFERROR(__xludf.DUMMYFUNCTION("""COMPUTED_VALUE"""),"TECNICO")</f>
        <v>TECNICO</v>
      </c>
      <c r="L691" t="str">
        <f>IFERROR(__xludf.DUMMYFUNCTION("""COMPUTED_VALUE"""),"INTERNO")</f>
        <v>INTERNO</v>
      </c>
      <c r="M691">
        <f>IFERROR(__xludf.DUMMYFUNCTION("""COMPUTED_VALUE"""),0.0)</f>
        <v>0</v>
      </c>
      <c r="N691" t="str">
        <f>IFERROR(__xludf.DUMMYFUNCTION("""COMPUTED_VALUE"""),"EXTERNO")</f>
        <v>EXTERNO</v>
      </c>
      <c r="O691">
        <f>IFERROR(__xludf.DUMMYFUNCTION("""COMPUTED_VALUE"""),7.0)</f>
        <v>7</v>
      </c>
      <c r="P691">
        <f>IFERROR(__xludf.DUMMYFUNCTION("""COMPUTED_VALUE"""),1.0)</f>
        <v>1</v>
      </c>
      <c r="Q691">
        <f>IFERROR(__xludf.DUMMYFUNCTION("""COMPUTED_VALUE"""),1.0)</f>
        <v>1</v>
      </c>
      <c r="R691" s="45" t="str">
        <f>IFERROR(__xludf.DUMMYFUNCTION("""COMPUTED_VALUE"""),"SELECCIONADA")</f>
        <v>SELECCIONADA</v>
      </c>
      <c r="S691" s="38">
        <f>IFERROR(__xludf.DUMMYFUNCTION("""COMPUTED_VALUE"""),41950.0)</f>
        <v>41950</v>
      </c>
      <c r="U691" t="str">
        <f>IFERROR(__xludf.DUMMYFUNCTION("""COMPUTED_VALUE"""),"EVELYN LARENAS MERA")</f>
        <v>EVELYN LARENAS MERA</v>
      </c>
      <c r="V691" t="str">
        <f>IFERROR(__xludf.DUMMYFUNCTION("""COMPUTED_VALUE"""),"18277610-6")</f>
        <v>18277610-6</v>
      </c>
      <c r="W691" t="str">
        <f>IFERROR(__xludf.DUMMYFUNCTION("""COMPUTED_VALUE"""),"SI")</f>
        <v>SI</v>
      </c>
      <c r="X691" t="str">
        <f>IFERROR(__xludf.DUMMYFUNCTION("""COMPUTED_VALUE"""),"Capacidad de Planificacion y Organizacion")</f>
        <v>Capacidad de Planificacion y Organizacion</v>
      </c>
      <c r="Y691" t="str">
        <f>IFERROR(__xludf.DUMMYFUNCTION("""COMPUTED_VALUE"""),"INICIATIVA")</f>
        <v>INICIATIVA</v>
      </c>
      <c r="AA691" s="38">
        <f>IFERROR(__xludf.DUMMYFUNCTION("""COMPUTED_VALUE"""),41911.0)</f>
        <v>41911</v>
      </c>
      <c r="AB691" s="38">
        <f>IFERROR(__xludf.DUMMYFUNCTION("""COMPUTED_VALUE"""),41919.0)</f>
        <v>41919</v>
      </c>
      <c r="AH691" t="str">
        <f>IFERROR(__xludf.DUMMYFUNCTION("""COMPUTED_VALUE"""),"PROCESO DE SELECCIÓN")</f>
        <v>PROCESO DE SELECCIÓN</v>
      </c>
      <c r="AK691" t="str">
        <f>IFERROR(__xludf.DUMMYFUNCTION("""COMPUTED_VALUE"""),"P")</f>
        <v>P</v>
      </c>
      <c r="AL691">
        <f>IFERROR(__xludf.DUMMYFUNCTION("""COMPUTED_VALUE"""),24.0)</f>
        <v>24</v>
      </c>
      <c r="AM691">
        <f>IFERROR(__xludf.DUMMYFUNCTION("""COMPUTED_VALUE"""),2014.0)</f>
        <v>2014</v>
      </c>
    </row>
    <row r="692">
      <c r="A692">
        <f>IFERROR(__xludf.DUMMYFUNCTION("""COMPUTED_VALUE"""),1.2575053E7)</f>
        <v>12575053</v>
      </c>
      <c r="B692">
        <f>IFERROR(__xludf.DUMMYFUNCTION("""COMPUTED_VALUE"""),104.0)</f>
        <v>104</v>
      </c>
      <c r="D692" t="str">
        <f>IFERROR(__xludf.DUMMYFUNCTION("""COMPUTED_VALUE"""),"FACULTAD DE HUMANIDADES")</f>
        <v>FACULTAD DE HUMANIDADES</v>
      </c>
      <c r="E692" t="str">
        <f>IFERROR(__xludf.DUMMYFUNCTION("""COMPUTED_VALUE"""),"ESCUELA DE PERIODISMO")</f>
        <v>ESCUELA DE PERIODISMO</v>
      </c>
      <c r="F692" t="str">
        <f>IFERROR(__xludf.DUMMYFUNCTION("""COMPUTED_VALUE"""),"Técnico de Laboratorio")</f>
        <v>Técnico de Laboratorio</v>
      </c>
      <c r="G692" t="str">
        <f>IFERROR(__xludf.DUMMYFUNCTION("""COMPUTED_VALUE"""),"TECNICO DE LABORATORIO")</f>
        <v>TECNICO DE LABORATORIO</v>
      </c>
      <c r="H692">
        <f>IFERROR(__xludf.DUMMYFUNCTION("""COMPUTED_VALUE"""),17.0)</f>
        <v>17</v>
      </c>
      <c r="J692" t="str">
        <f>IFERROR(__xludf.DUMMYFUNCTION("""COMPUTED_VALUE"""),"A CONTRATA")</f>
        <v>A CONTRATA</v>
      </c>
      <c r="K692" t="str">
        <f>IFERROR(__xludf.DUMMYFUNCTION("""COMPUTED_VALUE"""),"TECNICO")</f>
        <v>TECNICO</v>
      </c>
      <c r="L692" t="str">
        <f>IFERROR(__xludf.DUMMYFUNCTION("""COMPUTED_VALUE"""),"INTERNO")</f>
        <v>INTERNO</v>
      </c>
      <c r="M692">
        <f>IFERROR(__xludf.DUMMYFUNCTION("""COMPUTED_VALUE"""),0.0)</f>
        <v>0</v>
      </c>
      <c r="N692" t="str">
        <f>IFERROR(__xludf.DUMMYFUNCTION("""COMPUTED_VALUE"""),"EXTERNO")</f>
        <v>EXTERNO</v>
      </c>
      <c r="O692">
        <f>IFERROR(__xludf.DUMMYFUNCTION("""COMPUTED_VALUE"""),16.0)</f>
        <v>16</v>
      </c>
      <c r="P692">
        <f>IFERROR(__xludf.DUMMYFUNCTION("""COMPUTED_VALUE"""),3.0)</f>
        <v>3</v>
      </c>
      <c r="Q692">
        <f>IFERROR(__xludf.DUMMYFUNCTION("""COMPUTED_VALUE"""),5.0)</f>
        <v>5</v>
      </c>
      <c r="R692" s="45" t="str">
        <f>IFERROR(__xludf.DUMMYFUNCTION("""COMPUTED_VALUE"""),"SELECCIONADO")</f>
        <v>SELECCIONADO</v>
      </c>
      <c r="S692" s="38">
        <f>IFERROR(__xludf.DUMMYFUNCTION("""COMPUTED_VALUE"""),41988.0)</f>
        <v>41988</v>
      </c>
      <c r="U692" t="str">
        <f>IFERROR(__xludf.DUMMYFUNCTION("""COMPUTED_VALUE"""),"JOSE CARRIZO CRAIG")</f>
        <v>JOSE CARRIZO CRAIG</v>
      </c>
      <c r="V692" t="str">
        <f>IFERROR(__xludf.DUMMYFUNCTION("""COMPUTED_VALUE"""),"12575053-2")</f>
        <v>12575053-2</v>
      </c>
      <c r="W692" t="str">
        <f>IFERROR(__xludf.DUMMYFUNCTION("""COMPUTED_VALUE"""),"No")</f>
        <v>No</v>
      </c>
      <c r="AA692" s="38">
        <f>IFERROR(__xludf.DUMMYFUNCTION("""COMPUTED_VALUE"""),41922.0)</f>
        <v>41922</v>
      </c>
      <c r="AB692" s="38">
        <f>IFERROR(__xludf.DUMMYFUNCTION("""COMPUTED_VALUE"""),41929.0)</f>
        <v>41929</v>
      </c>
      <c r="AH692" t="str">
        <f>IFERROR(__xludf.DUMMYFUNCTION("""COMPUTED_VALUE"""),"PROCESO DE SELECCIÓN")</f>
        <v>PROCESO DE SELECCIÓN</v>
      </c>
      <c r="AK692" t="str">
        <f>IFERROR(__xludf.DUMMYFUNCTION("""COMPUTED_VALUE"""),"C")</f>
        <v>C</v>
      </c>
      <c r="AL692">
        <f>IFERROR(__xludf.DUMMYFUNCTION("""COMPUTED_VALUE"""),42.0)</f>
        <v>42</v>
      </c>
      <c r="AM692">
        <f>IFERROR(__xludf.DUMMYFUNCTION("""COMPUTED_VALUE"""),2014.0)</f>
        <v>2014</v>
      </c>
    </row>
    <row r="693">
      <c r="A693">
        <f>IFERROR(__xludf.DUMMYFUNCTION("""COMPUTED_VALUE"""),1.6126204E7)</f>
        <v>16126204</v>
      </c>
      <c r="B693">
        <f>IFERROR(__xludf.DUMMYFUNCTION("""COMPUTED_VALUE"""),105.0)</f>
        <v>105</v>
      </c>
      <c r="D693" t="str">
        <f>IFERROR(__xludf.DUMMYFUNCTION("""COMPUTED_VALUE"""),"FACULTAD DE HUMANIDADES")</f>
        <v>FACULTAD DE HUMANIDADES</v>
      </c>
      <c r="E693" t="str">
        <f>IFERROR(__xludf.DUMMYFUNCTION("""COMPUTED_VALUE"""),"ESCUELA DE PERIODISMO")</f>
        <v>ESCUELA DE PERIODISMO</v>
      </c>
      <c r="F693" t="str">
        <f>IFERROR(__xludf.DUMMYFUNCTION("""COMPUTED_VALUE"""),"Encargado de Laboratorio")</f>
        <v>Encargado de Laboratorio</v>
      </c>
      <c r="G693" t="str">
        <f>IFERROR(__xludf.DUMMYFUNCTION("""COMPUTED_VALUE"""),"ENCARGADO DE LABORATRORIO")</f>
        <v>ENCARGADO DE LABORATRORIO</v>
      </c>
      <c r="H693">
        <f>IFERROR(__xludf.DUMMYFUNCTION("""COMPUTED_VALUE"""),13.0)</f>
        <v>13</v>
      </c>
      <c r="J693" t="str">
        <f>IFERROR(__xludf.DUMMYFUNCTION("""COMPUTED_VALUE"""),"A CONTRATA")</f>
        <v>A CONTRATA</v>
      </c>
      <c r="K693" t="str">
        <f>IFERROR(__xludf.DUMMYFUNCTION("""COMPUTED_VALUE"""),"PROFESIONAL")</f>
        <v>PROFESIONAL</v>
      </c>
      <c r="L693" t="str">
        <f>IFERROR(__xludf.DUMMYFUNCTION("""COMPUTED_VALUE"""),"INTERNO")</f>
        <v>INTERNO</v>
      </c>
      <c r="M693">
        <f>IFERROR(__xludf.DUMMYFUNCTION("""COMPUTED_VALUE"""),2.0)</f>
        <v>2</v>
      </c>
      <c r="N693" t="str">
        <f>IFERROR(__xludf.DUMMYFUNCTION("""COMPUTED_VALUE"""),"EXTERNO")</f>
        <v>EXTERNO</v>
      </c>
      <c r="O693">
        <f>IFERROR(__xludf.DUMMYFUNCTION("""COMPUTED_VALUE"""),11.0)</f>
        <v>11</v>
      </c>
      <c r="P693">
        <f>IFERROR(__xludf.DUMMYFUNCTION("""COMPUTED_VALUE"""),1.0)</f>
        <v>1</v>
      </c>
      <c r="Q693">
        <f>IFERROR(__xludf.DUMMYFUNCTION("""COMPUTED_VALUE"""),3.0)</f>
        <v>3</v>
      </c>
      <c r="R693" s="45" t="str">
        <f>IFERROR(__xludf.DUMMYFUNCTION("""COMPUTED_VALUE"""),"SELECCIONADO")</f>
        <v>SELECCIONADO</v>
      </c>
      <c r="S693" s="38">
        <f>IFERROR(__xludf.DUMMYFUNCTION("""COMPUTED_VALUE"""),41995.0)</f>
        <v>41995</v>
      </c>
      <c r="U693" t="str">
        <f>IFERROR(__xludf.DUMMYFUNCTION("""COMPUTED_VALUE"""),"RODRIGO ROBLEDO MATURANA")</f>
        <v>RODRIGO ROBLEDO MATURANA</v>
      </c>
      <c r="V693" t="str">
        <f>IFERROR(__xludf.DUMMYFUNCTION("""COMPUTED_VALUE"""),"16126204-8")</f>
        <v>16126204-8</v>
      </c>
      <c r="W693" t="str">
        <f>IFERROR(__xludf.DUMMYFUNCTION("""COMPUTED_VALUE"""),"SI")</f>
        <v>SI</v>
      </c>
      <c r="X693" t="str">
        <f>IFERROR(__xludf.DUMMYFUNCTION("""COMPUTED_VALUE"""),"ADAPTABILIDAD AL CAMBIO")</f>
        <v>ADAPTABILIDAD AL CAMBIO</v>
      </c>
      <c r="AA693" s="38">
        <f>IFERROR(__xludf.DUMMYFUNCTION("""COMPUTED_VALUE"""),41921.0)</f>
        <v>41921</v>
      </c>
      <c r="AB693" s="38">
        <f>IFERROR(__xludf.DUMMYFUNCTION("""COMPUTED_VALUE"""),41932.0)</f>
        <v>41932</v>
      </c>
      <c r="AH693" t="str">
        <f>IFERROR(__xludf.DUMMYFUNCTION("""COMPUTED_VALUE"""),"PROCESO DE SELECCIÓN")</f>
        <v>PROCESO DE SELECCIÓN</v>
      </c>
      <c r="AK693" t="str">
        <f>IFERROR(__xludf.DUMMYFUNCTION("""COMPUTED_VALUE"""),"E")</f>
        <v>E</v>
      </c>
      <c r="AL693">
        <f>IFERROR(__xludf.DUMMYFUNCTION("""COMPUTED_VALUE"""),46.0)</f>
        <v>46</v>
      </c>
      <c r="AM693">
        <f>IFERROR(__xludf.DUMMYFUNCTION("""COMPUTED_VALUE"""),2014.0)</f>
        <v>2014</v>
      </c>
    </row>
    <row r="694">
      <c r="A694">
        <f>IFERROR(__xludf.DUMMYFUNCTION("""COMPUTED_VALUE"""),1.6964645E7)</f>
        <v>16964645</v>
      </c>
      <c r="B694">
        <f>IFERROR(__xludf.DUMMYFUNCTION("""COMPUTED_VALUE"""),92.0)</f>
        <v>92</v>
      </c>
      <c r="D694" t="str">
        <f>IFERROR(__xludf.DUMMYFUNCTION("""COMPUTED_VALUE"""),"VICERRECTORIA DE APOYO AL ESTUDIANTE")</f>
        <v>VICERRECTORIA DE APOYO AL ESTUDIANTE</v>
      </c>
      <c r="E694" t="str">
        <f>IFERROR(__xludf.DUMMYFUNCTION("""COMPUTED_VALUE"""),"DEPARTAMETO DE ASIGNACION DE BENEFICIOS ESTUDIANTILES")</f>
        <v>DEPARTAMETO DE ASIGNACION DE BENEFICIOS ESTUDIANTILES</v>
      </c>
      <c r="F694" t="str">
        <f>IFERROR(__xludf.DUMMYFUNCTION("""COMPUTED_VALUE"""),"Asistente Social Estudiantil")</f>
        <v>Asistente Social Estudiantil</v>
      </c>
      <c r="G694" t="str">
        <f>IFERROR(__xludf.DUMMYFUNCTION("""COMPUTED_VALUE"""),"ASISTENTE SOCIAL")</f>
        <v>ASISTENTE SOCIAL</v>
      </c>
      <c r="H694">
        <f>IFERROR(__xludf.DUMMYFUNCTION("""COMPUTED_VALUE"""),13.0)</f>
        <v>13</v>
      </c>
      <c r="J694" t="str">
        <f>IFERROR(__xludf.DUMMYFUNCTION("""COMPUTED_VALUE"""),"A CONTRATA")</f>
        <v>A CONTRATA</v>
      </c>
      <c r="K694" t="str">
        <f>IFERROR(__xludf.DUMMYFUNCTION("""COMPUTED_VALUE"""),"PROFESIONAL")</f>
        <v>PROFESIONAL</v>
      </c>
      <c r="L694" t="str">
        <f>IFERROR(__xludf.DUMMYFUNCTION("""COMPUTED_VALUE"""),"INTERNO")</f>
        <v>INTERNO</v>
      </c>
      <c r="M694">
        <f>IFERROR(__xludf.DUMMYFUNCTION("""COMPUTED_VALUE"""),4.0)</f>
        <v>4</v>
      </c>
      <c r="N694" t="str">
        <f>IFERROR(__xludf.DUMMYFUNCTION("""COMPUTED_VALUE"""),"EXTERNO")</f>
        <v>EXTERNO</v>
      </c>
      <c r="O694">
        <f>IFERROR(__xludf.DUMMYFUNCTION("""COMPUTED_VALUE"""),17.0)</f>
        <v>17</v>
      </c>
      <c r="P694">
        <f>IFERROR(__xludf.DUMMYFUNCTION("""COMPUTED_VALUE"""),5.0)</f>
        <v>5</v>
      </c>
      <c r="Q694">
        <f>IFERROR(__xludf.DUMMYFUNCTION("""COMPUTED_VALUE"""),1.0)</f>
        <v>1</v>
      </c>
      <c r="R694" s="45" t="str">
        <f>IFERROR(__xludf.DUMMYFUNCTION("""COMPUTED_VALUE"""),"SELECCIONADA")</f>
        <v>SELECCIONADA</v>
      </c>
      <c r="S694" s="38">
        <f>IFERROR(__xludf.DUMMYFUNCTION("""COMPUTED_VALUE"""),41960.0)</f>
        <v>41960</v>
      </c>
      <c r="U694" t="str">
        <f>IFERROR(__xludf.DUMMYFUNCTION("""COMPUTED_VALUE"""),"FERNANDA MUNOZ VIDAL")</f>
        <v>FERNANDA MUNOZ VIDAL</v>
      </c>
      <c r="V694" t="str">
        <f>IFERROR(__xludf.DUMMYFUNCTION("""COMPUTED_VALUE"""),"16964645-7")</f>
        <v>16964645-7</v>
      </c>
      <c r="W694" t="str">
        <f>IFERROR(__xludf.DUMMYFUNCTION("""COMPUTED_VALUE"""),"No")</f>
        <v>No</v>
      </c>
      <c r="AA694" s="38">
        <f>IFERROR(__xludf.DUMMYFUNCTION("""COMPUTED_VALUE"""),41927.0)</f>
        <v>41927</v>
      </c>
      <c r="AB694" s="38">
        <f>IFERROR(__xludf.DUMMYFUNCTION("""COMPUTED_VALUE"""),41934.0)</f>
        <v>41934</v>
      </c>
      <c r="AC694">
        <f>IFERROR(__xludf.DUMMYFUNCTION("""COMPUTED_VALUE"""),13.0)</f>
        <v>13</v>
      </c>
      <c r="AD694" t="str">
        <f>IFERROR(__xludf.DUMMYFUNCTION("""COMPUTED_VALUE"""),"PROFESIONAL")</f>
        <v>PROFESIONAL</v>
      </c>
      <c r="AH694" t="str">
        <f>IFERROR(__xludf.DUMMYFUNCTION("""COMPUTED_VALUE"""),"PROCESO DE SELECCIÓN")</f>
        <v>PROCESO DE SELECCIÓN</v>
      </c>
      <c r="AK694" t="str">
        <f>IFERROR(__xludf.DUMMYFUNCTION("""COMPUTED_VALUE"""),"C")</f>
        <v>C</v>
      </c>
      <c r="AL694">
        <f>IFERROR(__xludf.DUMMYFUNCTION("""COMPUTED_VALUE"""),19.0)</f>
        <v>19</v>
      </c>
      <c r="AM694">
        <f>IFERROR(__xludf.DUMMYFUNCTION("""COMPUTED_VALUE"""),2014.0)</f>
        <v>2014</v>
      </c>
    </row>
    <row r="695">
      <c r="A695">
        <f>IFERROR(__xludf.DUMMYFUNCTION("""COMPUTED_VALUE"""),1.2859252E7)</f>
        <v>12859252</v>
      </c>
      <c r="B695">
        <f>IFERROR(__xludf.DUMMYFUNCTION("""COMPUTED_VALUE"""),84.0)</f>
        <v>84</v>
      </c>
      <c r="D695" t="str">
        <f>IFERROR(__xludf.DUMMYFUNCTION("""COMPUTED_VALUE"""),"FACULTAD DE CIENCIAS MEDICAS")</f>
        <v>FACULTAD DE CIENCIAS MEDICAS</v>
      </c>
      <c r="E695" t="str">
        <f>IFERROR(__xludf.DUMMYFUNCTION("""COMPUTED_VALUE"""),"FACULTAD DE CIENCIAS MEDICAS")</f>
        <v>FACULTAD DE CIENCIAS MEDICAS</v>
      </c>
      <c r="F695" t="str">
        <f>IFERROR(__xludf.DUMMYFUNCTION("""COMPUTED_VALUE"""),"Secretario C")</f>
        <v>Secretario C</v>
      </c>
      <c r="G695" t="str">
        <f>IFERROR(__xludf.DUMMYFUNCTION("""COMPUTED_VALUE"""),"SECRETARIA ADMINISTRATIVA")</f>
        <v>SECRETARIA ADMINISTRATIVA</v>
      </c>
      <c r="H695">
        <f>IFERROR(__xludf.DUMMYFUNCTION("""COMPUTED_VALUE"""),20.0)</f>
        <v>20</v>
      </c>
      <c r="J695" t="str">
        <f>IFERROR(__xludf.DUMMYFUNCTION("""COMPUTED_VALUE"""),"A CONTRATA")</f>
        <v>A CONTRATA</v>
      </c>
      <c r="K695" t="str">
        <f>IFERROR(__xludf.DUMMYFUNCTION("""COMPUTED_VALUE"""),"ADMINISTRATIVO")</f>
        <v>ADMINISTRATIVO</v>
      </c>
      <c r="L695" t="str">
        <f>IFERROR(__xludf.DUMMYFUNCTION("""COMPUTED_VALUE"""),"INTERNO")</f>
        <v>INTERNO</v>
      </c>
      <c r="M695">
        <f>IFERROR(__xludf.DUMMYFUNCTION("""COMPUTED_VALUE"""),0.0)</f>
        <v>0</v>
      </c>
      <c r="N695" t="str">
        <f>IFERROR(__xludf.DUMMYFUNCTION("""COMPUTED_VALUE"""),"EXTERNO")</f>
        <v>EXTERNO</v>
      </c>
      <c r="O695">
        <f>IFERROR(__xludf.DUMMYFUNCTION("""COMPUTED_VALUE"""),2.0)</f>
        <v>2</v>
      </c>
      <c r="P695">
        <f>IFERROR(__xludf.DUMMYFUNCTION("""COMPUTED_VALUE"""),1.0)</f>
        <v>1</v>
      </c>
      <c r="Q695">
        <f>IFERROR(__xludf.DUMMYFUNCTION("""COMPUTED_VALUE"""),1.0)</f>
        <v>1</v>
      </c>
      <c r="R695" s="45" t="str">
        <f>IFERROR(__xludf.DUMMYFUNCTION("""COMPUTED_VALUE"""),"SELECCIONADA")</f>
        <v>SELECCIONADA</v>
      </c>
      <c r="S695" s="38">
        <f>IFERROR(__xludf.DUMMYFUNCTION("""COMPUTED_VALUE"""),41960.0)</f>
        <v>41960</v>
      </c>
      <c r="U695" t="str">
        <f>IFERROR(__xludf.DUMMYFUNCTION("""COMPUTED_VALUE"""),"PAMELA GALAZ LOYOLA")</f>
        <v>PAMELA GALAZ LOYOLA</v>
      </c>
      <c r="V695" t="str">
        <f>IFERROR(__xludf.DUMMYFUNCTION("""COMPUTED_VALUE"""),"12859252-0")</f>
        <v>12859252-0</v>
      </c>
      <c r="W695" t="str">
        <f>IFERROR(__xludf.DUMMYFUNCTION("""COMPUTED_VALUE"""),"SI")</f>
        <v>SI</v>
      </c>
      <c r="Y695" t="str">
        <f>IFERROR(__xludf.DUMMYFUNCTION("""COMPUTED_VALUE"""),"INICIATIVA")</f>
        <v>INICIATIVA</v>
      </c>
      <c r="AA695" s="38">
        <f>IFERROR(__xludf.DUMMYFUNCTION("""COMPUTED_VALUE"""),41928.0)</f>
        <v>41928</v>
      </c>
      <c r="AB695" s="38">
        <f>IFERROR(__xludf.DUMMYFUNCTION("""COMPUTED_VALUE"""),41935.0)</f>
        <v>41935</v>
      </c>
      <c r="AH695" t="str">
        <f>IFERROR(__xludf.DUMMYFUNCTION("""COMPUTED_VALUE"""),"PROCESO DE SELECCIÓN")</f>
        <v>PROCESO DE SELECCIÓN</v>
      </c>
      <c r="AK695" t="str">
        <f>IFERROR(__xludf.DUMMYFUNCTION("""COMPUTED_VALUE"""),"C")</f>
        <v>C</v>
      </c>
      <c r="AL695">
        <f>IFERROR(__xludf.DUMMYFUNCTION("""COMPUTED_VALUE"""),18.0)</f>
        <v>18</v>
      </c>
      <c r="AM695">
        <f>IFERROR(__xludf.DUMMYFUNCTION("""COMPUTED_VALUE"""),2014.0)</f>
        <v>2014</v>
      </c>
    </row>
    <row r="696">
      <c r="A696">
        <f>IFERROR(__xludf.DUMMYFUNCTION("""COMPUTED_VALUE"""),1.7672745E7)</f>
        <v>17672745</v>
      </c>
      <c r="B696">
        <f>IFERROR(__xludf.DUMMYFUNCTION("""COMPUTED_VALUE"""),130.0)</f>
        <v>130</v>
      </c>
      <c r="D696" t="str">
        <f>IFERROR(__xludf.DUMMYFUNCTION("""COMPUTED_VALUE"""),"VICERRECTORIA ACADEMICA")</f>
        <v>VICERRECTORIA ACADEMICA</v>
      </c>
      <c r="E696" t="str">
        <f>IFERROR(__xludf.DUMMYFUNCTION("""COMPUTED_VALUE"""),"VICERRECTORIA ACADEMICA")</f>
        <v>VICERRECTORIA ACADEMICA</v>
      </c>
      <c r="F696" t="str">
        <f>IFERROR(__xludf.DUMMYFUNCTION("""COMPUTED_VALUE"""),"Estafeta")</f>
        <v>Estafeta</v>
      </c>
      <c r="G696" t="str">
        <f>IFERROR(__xludf.DUMMYFUNCTION("""COMPUTED_VALUE"""),"ESTAFETA")</f>
        <v>ESTAFETA</v>
      </c>
      <c r="H696">
        <f>IFERROR(__xludf.DUMMYFUNCTION("""COMPUTED_VALUE"""),23.0)</f>
        <v>23</v>
      </c>
      <c r="J696" t="str">
        <f>IFERROR(__xludf.DUMMYFUNCTION("""COMPUTED_VALUE"""),"A CONTRATA")</f>
        <v>A CONTRATA</v>
      </c>
      <c r="K696" t="str">
        <f>IFERROR(__xludf.DUMMYFUNCTION("""COMPUTED_VALUE"""),"AUXILIAR")</f>
        <v>AUXILIAR</v>
      </c>
      <c r="L696" t="str">
        <f>IFERROR(__xludf.DUMMYFUNCTION("""COMPUTED_VALUE"""),"INTERNO")</f>
        <v>INTERNO</v>
      </c>
      <c r="M696">
        <f>IFERROR(__xludf.DUMMYFUNCTION("""COMPUTED_VALUE"""),0.0)</f>
        <v>0</v>
      </c>
      <c r="N696" t="str">
        <f>IFERROR(__xludf.DUMMYFUNCTION("""COMPUTED_VALUE"""),"EXTERNO")</f>
        <v>EXTERNO</v>
      </c>
      <c r="O696">
        <f>IFERROR(__xludf.DUMMYFUNCTION("""COMPUTED_VALUE"""),3.0)</f>
        <v>3</v>
      </c>
      <c r="P696">
        <f>IFERROR(__xludf.DUMMYFUNCTION("""COMPUTED_VALUE"""),2.0)</f>
        <v>2</v>
      </c>
      <c r="Q696">
        <f>IFERROR(__xludf.DUMMYFUNCTION("""COMPUTED_VALUE"""),1.0)</f>
        <v>1</v>
      </c>
      <c r="R696" s="45" t="str">
        <f>IFERROR(__xludf.DUMMYFUNCTION("""COMPUTED_VALUE"""),"SELECCIONADO")</f>
        <v>SELECCIONADO</v>
      </c>
      <c r="S696" s="38">
        <f>IFERROR(__xludf.DUMMYFUNCTION("""COMPUTED_VALUE"""),41953.0)</f>
        <v>41953</v>
      </c>
      <c r="U696" t="str">
        <f>IFERROR(__xludf.DUMMYFUNCTION("""COMPUTED_VALUE"""),"JORGE PENA BASCUR")</f>
        <v>JORGE PENA BASCUR</v>
      </c>
      <c r="V696" t="str">
        <f>IFERROR(__xludf.DUMMYFUNCTION("""COMPUTED_VALUE"""),"17672745-4")</f>
        <v>17672745-4</v>
      </c>
      <c r="W696" t="str">
        <f>IFERROR(__xludf.DUMMYFUNCTION("""COMPUTED_VALUE"""),"No")</f>
        <v>No</v>
      </c>
      <c r="AA696" s="38">
        <f>IFERROR(__xludf.DUMMYFUNCTION("""COMPUTED_VALUE"""),41929.0)</f>
        <v>41929</v>
      </c>
      <c r="AB696" s="38">
        <f>IFERROR(__xludf.DUMMYFUNCTION("""COMPUTED_VALUE"""),41936.0)</f>
        <v>41936</v>
      </c>
      <c r="AH696" t="str">
        <f>IFERROR(__xludf.DUMMYFUNCTION("""COMPUTED_VALUE"""),"PROCESO DE SELECCIÓN")</f>
        <v>PROCESO DE SELECCIÓN</v>
      </c>
      <c r="AI696" t="str">
        <f>IFERROR(__xludf.DUMMYFUNCTION("""COMPUTED_VALUE"""),"MONICA MUÑOZ RIQUELME")</f>
        <v>MONICA MUÑOZ RIQUELME</v>
      </c>
      <c r="AK696" t="str">
        <f>IFERROR(__xludf.DUMMYFUNCTION("""COMPUTED_VALUE"""),"C")</f>
        <v>C</v>
      </c>
      <c r="AL696">
        <f>IFERROR(__xludf.DUMMYFUNCTION("""COMPUTED_VALUE"""),12.0)</f>
        <v>12</v>
      </c>
      <c r="AM696">
        <f>IFERROR(__xludf.DUMMYFUNCTION("""COMPUTED_VALUE"""),2014.0)</f>
        <v>2014</v>
      </c>
    </row>
    <row r="697">
      <c r="A697">
        <f>IFERROR(__xludf.DUMMYFUNCTION("""COMPUTED_VALUE"""),1.4178355E7)</f>
        <v>14178355</v>
      </c>
      <c r="B697">
        <f>IFERROR(__xludf.DUMMYFUNCTION("""COMPUTED_VALUE"""),120.0)</f>
        <v>120</v>
      </c>
      <c r="D697" t="str">
        <f>IFERROR(__xludf.DUMMYFUNCTION("""COMPUTED_VALUE"""),"VICERRECTORIA ACADEMICA")</f>
        <v>VICERRECTORIA ACADEMICA</v>
      </c>
      <c r="E697" t="str">
        <f>IFERROR(__xludf.DUMMYFUNCTION("""COMPUTED_VALUE"""),"ESCUELA DE ARQUITECTURA")</f>
        <v>ESCUELA DE ARQUITECTURA</v>
      </c>
      <c r="F697" t="str">
        <f>IFERROR(__xludf.DUMMYFUNCTION("""COMPUTED_VALUE"""),"Registrador Curricular")</f>
        <v>Registrador Curricular</v>
      </c>
      <c r="G697" t="str">
        <f>IFERROR(__xludf.DUMMYFUNCTION("""COMPUTED_VALUE"""),"REGISTRADOR CURRICULAR")</f>
        <v>REGISTRADOR CURRICULAR</v>
      </c>
      <c r="H697">
        <f>IFERROR(__xludf.DUMMYFUNCTION("""COMPUTED_VALUE"""),10.0)</f>
        <v>10</v>
      </c>
      <c r="J697" t="str">
        <f>IFERROR(__xludf.DUMMYFUNCTION("""COMPUTED_VALUE"""),"A CONTRATA")</f>
        <v>A CONTRATA</v>
      </c>
      <c r="K697" t="str">
        <f>IFERROR(__xludf.DUMMYFUNCTION("""COMPUTED_VALUE"""),"PROFESIONAL")</f>
        <v>PROFESIONAL</v>
      </c>
      <c r="L697" t="str">
        <f>IFERROR(__xludf.DUMMYFUNCTION("""COMPUTED_VALUE"""),"INTERNO")</f>
        <v>INTERNO</v>
      </c>
      <c r="M697">
        <f>IFERROR(__xludf.DUMMYFUNCTION("""COMPUTED_VALUE"""),12.0)</f>
        <v>12</v>
      </c>
      <c r="N697" t="str">
        <f>IFERROR(__xludf.DUMMYFUNCTION("""COMPUTED_VALUE"""),"NO")</f>
        <v>NO</v>
      </c>
      <c r="P697">
        <f>IFERROR(__xludf.DUMMYFUNCTION("""COMPUTED_VALUE"""),3.0)</f>
        <v>3</v>
      </c>
      <c r="Q697">
        <f>IFERROR(__xludf.DUMMYFUNCTION("""COMPUTED_VALUE"""),0.0)</f>
        <v>0</v>
      </c>
      <c r="R697" s="45" t="str">
        <f>IFERROR(__xludf.DUMMYFUNCTION("""COMPUTED_VALUE"""),"SELECCIONADA")</f>
        <v>SELECCIONADA</v>
      </c>
      <c r="S697" s="38">
        <f>IFERROR(__xludf.DUMMYFUNCTION("""COMPUTED_VALUE"""),42023.0)</f>
        <v>42023</v>
      </c>
      <c r="T697" t="str">
        <f>IFERROR(__xludf.DUMMYFUNCTION("""COMPUTED_VALUE"""),"MARICEL CEA PINO")</f>
        <v>MARICEL CEA PINO</v>
      </c>
      <c r="V697" t="str">
        <f>IFERROR(__xludf.DUMMYFUNCTION("""COMPUTED_VALUE"""),"14178355-6")</f>
        <v>14178355-6</v>
      </c>
      <c r="W697" t="str">
        <f>IFERROR(__xludf.DUMMYFUNCTION("""COMPUTED_VALUE"""),"No")</f>
        <v>No</v>
      </c>
      <c r="AA697" s="38">
        <f>IFERROR(__xludf.DUMMYFUNCTION("""COMPUTED_VALUE"""),41933.0)</f>
        <v>41933</v>
      </c>
      <c r="AB697" s="38">
        <f>IFERROR(__xludf.DUMMYFUNCTION("""COMPUTED_VALUE"""),41940.0)</f>
        <v>41940</v>
      </c>
      <c r="AC697">
        <f>IFERROR(__xludf.DUMMYFUNCTION("""COMPUTED_VALUE"""),17.0)</f>
        <v>17</v>
      </c>
      <c r="AD697" t="str">
        <f>IFERROR(__xludf.DUMMYFUNCTION("""COMPUTED_VALUE"""),"ADMINISTRATIVO")</f>
        <v>ADMINISTRATIVO</v>
      </c>
      <c r="AF697" s="46" t="str">
        <f>IFERROR(__xludf.DUMMYFUNCTION("""COMPUTED_VALUE"""),"FACULTAD DE HUMANIDADES")</f>
        <v>FACULTAD DE HUMANIDADES</v>
      </c>
      <c r="AH697" t="str">
        <f>IFERROR(__xludf.DUMMYFUNCTION("""COMPUTED_VALUE"""),"PROCESO DE SELECCIÓN")</f>
        <v>PROCESO DE SELECCIÓN</v>
      </c>
      <c r="AK697" t="str">
        <f>IFERROR(__xludf.DUMMYFUNCTION("""COMPUTED_VALUE"""),"C")</f>
        <v>C</v>
      </c>
      <c r="AL697">
        <f>IFERROR(__xludf.DUMMYFUNCTION("""COMPUTED_VALUE"""),60.0)</f>
        <v>60</v>
      </c>
      <c r="AM697">
        <f>IFERROR(__xludf.DUMMYFUNCTION("""COMPUTED_VALUE"""),2014.0)</f>
        <v>2014</v>
      </c>
    </row>
    <row r="698">
      <c r="A698">
        <f>IFERROR(__xludf.DUMMYFUNCTION("""COMPUTED_VALUE"""),1.5851883E7)</f>
        <v>15851883</v>
      </c>
      <c r="B698">
        <f>IFERROR(__xludf.DUMMYFUNCTION("""COMPUTED_VALUE"""),96.0)</f>
        <v>96</v>
      </c>
      <c r="D698" t="str">
        <f>IFERROR(__xludf.DUMMYFUNCTION("""COMPUTED_VALUE"""),"PRORRECTORIA")</f>
        <v>PRORRECTORIA</v>
      </c>
      <c r="E698" t="str">
        <f>IFERROR(__xludf.DUMMYFUNCTION("""COMPUTED_VALUE"""),"DEPARTAMENTO DE FINANZAS Y TESORERIA")</f>
        <v>DEPARTAMENTO DE FINANZAS Y TESORERIA</v>
      </c>
      <c r="F698" t="str">
        <f>IFERROR(__xludf.DUMMYFUNCTION("""COMPUTED_VALUE"""),"Jefe de Sección")</f>
        <v>Jefe de Sección</v>
      </c>
      <c r="G698" t="str">
        <f>IFERROR(__xludf.DUMMYFUNCTION("""COMPUTED_VALUE"""),"JEFE DE OPERACIONES Y CONTABILIZACIONES")</f>
        <v>JEFE DE OPERACIONES Y CONTABILIZACIONES</v>
      </c>
      <c r="H698">
        <f>IFERROR(__xludf.DUMMYFUNCTION("""COMPUTED_VALUE"""),10.0)</f>
        <v>10</v>
      </c>
      <c r="J698" t="str">
        <f>IFERROR(__xludf.DUMMYFUNCTION("""COMPUTED_VALUE"""),"A CONTRATA")</f>
        <v>A CONTRATA</v>
      </c>
      <c r="K698" t="str">
        <f>IFERROR(__xludf.DUMMYFUNCTION("""COMPUTED_VALUE"""),"PROFESIONAL")</f>
        <v>PROFESIONAL</v>
      </c>
      <c r="L698" t="str">
        <f>IFERROR(__xludf.DUMMYFUNCTION("""COMPUTED_VALUE"""),"INTERNO")</f>
        <v>INTERNO</v>
      </c>
      <c r="M698">
        <f>IFERROR(__xludf.DUMMYFUNCTION("""COMPUTED_VALUE"""),0.0)</f>
        <v>0</v>
      </c>
      <c r="N698" t="str">
        <f>IFERROR(__xludf.DUMMYFUNCTION("""COMPUTED_VALUE"""),"EXTERNO")</f>
        <v>EXTERNO</v>
      </c>
      <c r="O698">
        <f>IFERROR(__xludf.DUMMYFUNCTION("""COMPUTED_VALUE"""),2.0)</f>
        <v>2</v>
      </c>
      <c r="P698">
        <f>IFERROR(__xludf.DUMMYFUNCTION("""COMPUTED_VALUE"""),2.0)</f>
        <v>2</v>
      </c>
      <c r="Q698">
        <f>IFERROR(__xludf.DUMMYFUNCTION("""COMPUTED_VALUE"""),1.0)</f>
        <v>1</v>
      </c>
      <c r="R698" s="45" t="str">
        <f>IFERROR(__xludf.DUMMYFUNCTION("""COMPUTED_VALUE"""),"SELECCIONADO")</f>
        <v>SELECCIONADO</v>
      </c>
      <c r="S698" s="38">
        <f>IFERROR(__xludf.DUMMYFUNCTION("""COMPUTED_VALUE"""),42009.0)</f>
        <v>42009</v>
      </c>
      <c r="U698" t="str">
        <f>IFERROR(__xludf.DUMMYFUNCTION("""COMPUTED_VALUE"""),"FRANCISCO MORENO SOTO")</f>
        <v>FRANCISCO MORENO SOTO</v>
      </c>
      <c r="V698" t="str">
        <f>IFERROR(__xludf.DUMMYFUNCTION("""COMPUTED_VALUE"""),"15851883-K")</f>
        <v>15851883-K</v>
      </c>
      <c r="W698" t="str">
        <f>IFERROR(__xludf.DUMMYFUNCTION("""COMPUTED_VALUE"""),"SI")</f>
        <v>SI</v>
      </c>
      <c r="X698" t="str">
        <f>IFERROR(__xludf.DUMMYFUNCTION("""COMPUTED_VALUE"""),"Capacidad de Planificacion y Organizacion")</f>
        <v>Capacidad de Planificacion y Organizacion</v>
      </c>
      <c r="AA698" s="38">
        <f>IFERROR(__xludf.DUMMYFUNCTION("""COMPUTED_VALUE"""),41939.0)</f>
        <v>41939</v>
      </c>
      <c r="AB698" s="38">
        <f>IFERROR(__xludf.DUMMYFUNCTION("""COMPUTED_VALUE"""),41946.0)</f>
        <v>41946</v>
      </c>
      <c r="AC698">
        <f>IFERROR(__xludf.DUMMYFUNCTION("""COMPUTED_VALUE"""),10.0)</f>
        <v>10</v>
      </c>
      <c r="AD698" t="str">
        <f>IFERROR(__xludf.DUMMYFUNCTION("""COMPUTED_VALUE"""),"PROFESIONAL")</f>
        <v>PROFESIONAL</v>
      </c>
      <c r="AH698" t="str">
        <f>IFERROR(__xludf.DUMMYFUNCTION("""COMPUTED_VALUE"""),"PROCESO DE SELECCIÓN")</f>
        <v>PROCESO DE SELECCIÓN</v>
      </c>
      <c r="AK698" t="str">
        <f>IFERROR(__xludf.DUMMYFUNCTION("""COMPUTED_VALUE"""),"C")</f>
        <v>C</v>
      </c>
      <c r="AL698">
        <f>IFERROR(__xludf.DUMMYFUNCTION("""COMPUTED_VALUE"""),46.0)</f>
        <v>46</v>
      </c>
      <c r="AM698">
        <f>IFERROR(__xludf.DUMMYFUNCTION("""COMPUTED_VALUE"""),2014.0)</f>
        <v>2014</v>
      </c>
    </row>
    <row r="699">
      <c r="A699">
        <f>IFERROR(__xludf.DUMMYFUNCTION("""COMPUTED_VALUE"""),1.246877E7)</f>
        <v>12468770</v>
      </c>
      <c r="B699">
        <f>IFERROR(__xludf.DUMMYFUNCTION("""COMPUTED_VALUE"""),103.0)</f>
        <v>103</v>
      </c>
      <c r="D699" t="str">
        <f>IFERROR(__xludf.DUMMYFUNCTION("""COMPUTED_VALUE"""),"FACULTAD DE INGENIERIA")</f>
        <v>FACULTAD DE INGENIERIA</v>
      </c>
      <c r="E699" t="str">
        <f>IFERROR(__xludf.DUMMYFUNCTION("""COMPUTED_VALUE"""),"DEPARTAMENTO DE INGENIERIA QUIMICA")</f>
        <v>DEPARTAMENTO DE INGENIERIA QUIMICA</v>
      </c>
      <c r="F699" t="str">
        <f>IFERROR(__xludf.DUMMYFUNCTION("""COMPUTED_VALUE"""),"Mayordomo")</f>
        <v>Mayordomo</v>
      </c>
      <c r="G699" t="str">
        <f>IFERROR(__xludf.DUMMYFUNCTION("""COMPUTED_VALUE"""),"MAYORDOMO")</f>
        <v>MAYORDOMO</v>
      </c>
      <c r="H699">
        <f>IFERROR(__xludf.DUMMYFUNCTION("""COMPUTED_VALUE"""),21.0)</f>
        <v>21</v>
      </c>
      <c r="J699" t="str">
        <f>IFERROR(__xludf.DUMMYFUNCTION("""COMPUTED_VALUE"""),"A CONTRATA")</f>
        <v>A CONTRATA</v>
      </c>
      <c r="K699" t="str">
        <f>IFERROR(__xludf.DUMMYFUNCTION("""COMPUTED_VALUE"""),"AUXILIAR")</f>
        <v>AUXILIAR</v>
      </c>
      <c r="L699" t="str">
        <f>IFERROR(__xludf.DUMMYFUNCTION("""COMPUTED_VALUE"""),"INTERNO")</f>
        <v>INTERNO</v>
      </c>
      <c r="M699">
        <f>IFERROR(__xludf.DUMMYFUNCTION("""COMPUTED_VALUE"""),0.0)</f>
        <v>0</v>
      </c>
      <c r="N699" t="str">
        <f>IFERROR(__xludf.DUMMYFUNCTION("""COMPUTED_VALUE"""),"EXTERNO")</f>
        <v>EXTERNO</v>
      </c>
      <c r="O699">
        <f>IFERROR(__xludf.DUMMYFUNCTION("""COMPUTED_VALUE"""),4.0)</f>
        <v>4</v>
      </c>
      <c r="P699">
        <f>IFERROR(__xludf.DUMMYFUNCTION("""COMPUTED_VALUE"""),3.0)</f>
        <v>3</v>
      </c>
      <c r="Q699">
        <f>IFERROR(__xludf.DUMMYFUNCTION("""COMPUTED_VALUE"""),1.0)</f>
        <v>1</v>
      </c>
      <c r="R699" s="45" t="str">
        <f>IFERROR(__xludf.DUMMYFUNCTION("""COMPUTED_VALUE"""),"SELECCIONADO")</f>
        <v>SELECCIONADO</v>
      </c>
      <c r="S699" s="38">
        <f>IFERROR(__xludf.DUMMYFUNCTION("""COMPUTED_VALUE"""),42009.0)</f>
        <v>42009</v>
      </c>
      <c r="U699" t="str">
        <f>IFERROR(__xludf.DUMMYFUNCTION("""COMPUTED_VALUE"""),"RENE VILLARROEL RAMIREZ")</f>
        <v>RENE VILLARROEL RAMIREZ</v>
      </c>
      <c r="V699" t="str">
        <f>IFERROR(__xludf.DUMMYFUNCTION("""COMPUTED_VALUE"""),"12468770-5")</f>
        <v>12468770-5</v>
      </c>
      <c r="W699" t="str">
        <f>IFERROR(__xludf.DUMMYFUNCTION("""COMPUTED_VALUE"""),"SI")</f>
        <v>SI</v>
      </c>
      <c r="AA699" s="38">
        <f>IFERROR(__xludf.DUMMYFUNCTION("""COMPUTED_VALUE"""),41942.0)</f>
        <v>41942</v>
      </c>
      <c r="AB699" s="38">
        <f>IFERROR(__xludf.DUMMYFUNCTION("""COMPUTED_VALUE"""),41949.0)</f>
        <v>41949</v>
      </c>
      <c r="AH699" t="str">
        <f>IFERROR(__xludf.DUMMYFUNCTION("""COMPUTED_VALUE"""),"PROCESO DE SELECCIÓN")</f>
        <v>PROCESO DE SELECCIÓN</v>
      </c>
      <c r="AI699" t="str">
        <f>IFERROR(__xludf.DUMMYFUNCTION("""COMPUTED_VALUE"""),"VICTOR ROMERO")</f>
        <v>VICTOR ROMERO</v>
      </c>
      <c r="AK699" t="str">
        <f>IFERROR(__xludf.DUMMYFUNCTION("""COMPUTED_VALUE"""),"C")</f>
        <v>C</v>
      </c>
      <c r="AL699">
        <f>IFERROR(__xludf.DUMMYFUNCTION("""COMPUTED_VALUE"""),43.0)</f>
        <v>43</v>
      </c>
      <c r="AM699">
        <f>IFERROR(__xludf.DUMMYFUNCTION("""COMPUTED_VALUE"""),2014.0)</f>
        <v>2014</v>
      </c>
    </row>
    <row r="700">
      <c r="A700">
        <f>IFERROR(__xludf.DUMMYFUNCTION("""COMPUTED_VALUE"""),1.534286E7)</f>
        <v>15342860</v>
      </c>
      <c r="B700">
        <f>IFERROR(__xludf.DUMMYFUNCTION("""COMPUTED_VALUE"""),123.0)</f>
        <v>123</v>
      </c>
      <c r="D700" t="str">
        <f>IFERROR(__xludf.DUMMYFUNCTION("""COMPUTED_VALUE"""),"VICERRECTORIA DE APOYO AL ESTUDIANTE")</f>
        <v>VICERRECTORIA DE APOYO AL ESTUDIANTE</v>
      </c>
      <c r="E700" t="str">
        <f>IFERROR(__xludf.DUMMYFUNCTION("""COMPUTED_VALUE"""),"UNIDAD DE ADMINISTRACION DE SERVICIOS ALIMENTARIOS")</f>
        <v>UNIDAD DE ADMINISTRACION DE SERVICIOS ALIMENTARIOS</v>
      </c>
      <c r="F700" t="str">
        <f>IFERROR(__xludf.DUMMYFUNCTION("""COMPUTED_VALUE"""),"Maestro de Cocina")</f>
        <v>Maestro de Cocina</v>
      </c>
      <c r="G700" t="str">
        <f>IFERROR(__xludf.DUMMYFUNCTION("""COMPUTED_VALUE"""),"MAESTRO DE COCINA")</f>
        <v>MAESTRO DE COCINA</v>
      </c>
      <c r="H700">
        <f>IFERROR(__xludf.DUMMYFUNCTION("""COMPUTED_VALUE"""),18.0)</f>
        <v>18</v>
      </c>
      <c r="J700" t="str">
        <f>IFERROR(__xludf.DUMMYFUNCTION("""COMPUTED_VALUE"""),"A CONTRATA")</f>
        <v>A CONTRATA</v>
      </c>
      <c r="K700" t="str">
        <f>IFERROR(__xludf.DUMMYFUNCTION("""COMPUTED_VALUE"""),"TECNICO")</f>
        <v>TECNICO</v>
      </c>
      <c r="L700" t="str">
        <f>IFERROR(__xludf.DUMMYFUNCTION("""COMPUTED_VALUE"""),"INTERNO")</f>
        <v>INTERNO</v>
      </c>
      <c r="N700" t="str">
        <f>IFERROR(__xludf.DUMMYFUNCTION("""COMPUTED_VALUE"""),"EXTERNO")</f>
        <v>EXTERNO</v>
      </c>
      <c r="Q700">
        <f>IFERROR(__xludf.DUMMYFUNCTION("""COMPUTED_VALUE"""),9.0)</f>
        <v>9</v>
      </c>
      <c r="R700" s="45" t="str">
        <f>IFERROR(__xludf.DUMMYFUNCTION("""COMPUTED_VALUE"""),"SELECCIONADO")</f>
        <v>SELECCIONADO</v>
      </c>
      <c r="S700" s="38">
        <f>IFERROR(__xludf.DUMMYFUNCTION("""COMPUTED_VALUE"""),42065.0)</f>
        <v>42065</v>
      </c>
      <c r="U700" t="str">
        <f>IFERROR(__xludf.DUMMYFUNCTION("""COMPUTED_VALUE"""),"EDUARDO OYARCE AGUIRRE")</f>
        <v>EDUARDO OYARCE AGUIRRE</v>
      </c>
      <c r="V700" t="str">
        <f>IFERROR(__xludf.DUMMYFUNCTION("""COMPUTED_VALUE"""),"15342860-3")</f>
        <v>15342860-3</v>
      </c>
      <c r="AA700" s="38">
        <f>IFERROR(__xludf.DUMMYFUNCTION("""COMPUTED_VALUE"""),41946.0)</f>
        <v>41946</v>
      </c>
      <c r="AB700" s="38">
        <f>IFERROR(__xludf.DUMMYFUNCTION("""COMPUTED_VALUE"""),41953.0)</f>
        <v>41953</v>
      </c>
      <c r="AH700" t="str">
        <f>IFERROR(__xludf.DUMMYFUNCTION("""COMPUTED_VALUE"""),"PROCESO DE SELECCIÓN")</f>
        <v>PROCESO DE SELECCIÓN</v>
      </c>
      <c r="AI700" t="str">
        <f>IFERROR(__xludf.DUMMYFUNCTION("""COMPUTED_VALUE"""),"JUAN MARTINEZ OLAVE")</f>
        <v>JUAN MARTINEZ OLAVE</v>
      </c>
      <c r="AK700" t="str">
        <f>IFERROR(__xludf.DUMMYFUNCTION("""COMPUTED_VALUE"""),"C")</f>
        <v>C</v>
      </c>
      <c r="AL700">
        <f>IFERROR(__xludf.DUMMYFUNCTION("""COMPUTED_VALUE"""),81.0)</f>
        <v>81</v>
      </c>
      <c r="AM700">
        <f>IFERROR(__xludf.DUMMYFUNCTION("""COMPUTED_VALUE"""),2014.0)</f>
        <v>2014</v>
      </c>
    </row>
    <row r="701">
      <c r="A701">
        <f>IFERROR(__xludf.DUMMYFUNCTION("""COMPUTED_VALUE"""),1.906192E7)</f>
        <v>19061920</v>
      </c>
      <c r="B701">
        <f>IFERROR(__xludf.DUMMYFUNCTION("""COMPUTED_VALUE"""),94.0)</f>
        <v>94</v>
      </c>
      <c r="D701" t="str">
        <f>IFERROR(__xludf.DUMMYFUNCTION("""COMPUTED_VALUE"""),"VICERRECTORIA ACADEMICA")</f>
        <v>VICERRECTORIA ACADEMICA</v>
      </c>
      <c r="E701" t="str">
        <f>IFERROR(__xludf.DUMMYFUNCTION("""COMPUTED_VALUE"""),"ESCUELA DE ARQUITECTURA")</f>
        <v>ESCUELA DE ARQUITECTURA</v>
      </c>
      <c r="F701" t="str">
        <f>IFERROR(__xludf.DUMMYFUNCTION("""COMPUTED_VALUE"""),"Administrativo de Registro Curricular")</f>
        <v>Administrativo de Registro Curricular</v>
      </c>
      <c r="G701" t="str">
        <f>IFERROR(__xludf.DUMMYFUNCTION("""COMPUTED_VALUE"""),"ADMINISTRATIVO DE REGISTRO CURRICULAR")</f>
        <v>ADMINISTRATIVO DE REGISTRO CURRICULAR</v>
      </c>
      <c r="H701">
        <f>IFERROR(__xludf.DUMMYFUNCTION("""COMPUTED_VALUE"""),17.0)</f>
        <v>17</v>
      </c>
      <c r="J701" t="str">
        <f>IFERROR(__xludf.DUMMYFUNCTION("""COMPUTED_VALUE"""),"A CONTRATA")</f>
        <v>A CONTRATA</v>
      </c>
      <c r="K701" t="str">
        <f>IFERROR(__xludf.DUMMYFUNCTION("""COMPUTED_VALUE"""),"ADMINISTRATIVO")</f>
        <v>ADMINISTRATIVO</v>
      </c>
      <c r="L701" t="str">
        <f>IFERROR(__xludf.DUMMYFUNCTION("""COMPUTED_VALUE"""),"INTERNO")</f>
        <v>INTERNO</v>
      </c>
      <c r="M701">
        <f>IFERROR(__xludf.DUMMYFUNCTION("""COMPUTED_VALUE"""),0.0)</f>
        <v>0</v>
      </c>
      <c r="N701" t="str">
        <f>IFERROR(__xludf.DUMMYFUNCTION("""COMPUTED_VALUE"""),"EXTERNO")</f>
        <v>EXTERNO</v>
      </c>
      <c r="O701">
        <f>IFERROR(__xludf.DUMMYFUNCTION("""COMPUTED_VALUE"""),4.0)</f>
        <v>4</v>
      </c>
      <c r="P701">
        <f>IFERROR(__xludf.DUMMYFUNCTION("""COMPUTED_VALUE"""),3.0)</f>
        <v>3</v>
      </c>
      <c r="Q701">
        <f>IFERROR(__xludf.DUMMYFUNCTION("""COMPUTED_VALUE"""),1.0)</f>
        <v>1</v>
      </c>
      <c r="R701" s="45" t="str">
        <f>IFERROR(__xludf.DUMMYFUNCTION("""COMPUTED_VALUE"""),"SELECCIONADA")</f>
        <v>SELECCIONADA</v>
      </c>
      <c r="S701" s="38">
        <f>IFERROR(__xludf.DUMMYFUNCTION("""COMPUTED_VALUE"""),42005.0)</f>
        <v>42005</v>
      </c>
      <c r="U701" t="str">
        <f>IFERROR(__xludf.DUMMYFUNCTION("""COMPUTED_VALUE"""),"DAMARIS MUNOZ FLORES")</f>
        <v>DAMARIS MUNOZ FLORES</v>
      </c>
      <c r="V701" t="str">
        <f>IFERROR(__xludf.DUMMYFUNCTION("""COMPUTED_VALUE"""),"19061920-6")</f>
        <v>19061920-6</v>
      </c>
      <c r="W701" t="str">
        <f>IFERROR(__xludf.DUMMYFUNCTION("""COMPUTED_VALUE"""),"SI")</f>
        <v>SI</v>
      </c>
      <c r="X701" t="str">
        <f>IFERROR(__xludf.DUMMYFUNCTION("""COMPUTED_VALUE"""),"TRABAJO EN EQUIPO")</f>
        <v>TRABAJO EN EQUIPO</v>
      </c>
      <c r="Y701" t="str">
        <f>IFERROR(__xludf.DUMMYFUNCTION("""COMPUTED_VALUE"""),"CONCIENCIA ORGANIZACIONAL")</f>
        <v>CONCIENCIA ORGANIZACIONAL</v>
      </c>
      <c r="AA701" s="38">
        <f>IFERROR(__xludf.DUMMYFUNCTION("""COMPUTED_VALUE"""),41947.0)</f>
        <v>41947</v>
      </c>
      <c r="AB701" s="38">
        <f>IFERROR(__xludf.DUMMYFUNCTION("""COMPUTED_VALUE"""),41954.0)</f>
        <v>41954</v>
      </c>
      <c r="AC701">
        <f>IFERROR(__xludf.DUMMYFUNCTION("""COMPUTED_VALUE"""),17.0)</f>
        <v>17</v>
      </c>
      <c r="AD701" t="str">
        <f>IFERROR(__xludf.DUMMYFUNCTION("""COMPUTED_VALUE"""),"ADMINISTRATIVO")</f>
        <v>ADMINISTRATIVO</v>
      </c>
      <c r="AH701" t="str">
        <f>IFERROR(__xludf.DUMMYFUNCTION("""COMPUTED_VALUE"""),"PROCESO DE SELECCIÓN")</f>
        <v>PROCESO DE SELECCIÓN</v>
      </c>
      <c r="AK701" t="str">
        <f>IFERROR(__xludf.DUMMYFUNCTION("""COMPUTED_VALUE"""),"P")</f>
        <v>P</v>
      </c>
      <c r="AL701">
        <f>IFERROR(__xludf.DUMMYFUNCTION("""COMPUTED_VALUE"""),38.0)</f>
        <v>38</v>
      </c>
      <c r="AM701">
        <f>IFERROR(__xludf.DUMMYFUNCTION("""COMPUTED_VALUE"""),2014.0)</f>
        <v>2014</v>
      </c>
    </row>
    <row r="702">
      <c r="A702">
        <f>IFERROR(__xludf.DUMMYFUNCTION("""COMPUTED_VALUE"""),1.6660732E7)</f>
        <v>16660732</v>
      </c>
      <c r="B702">
        <f>IFERROR(__xludf.DUMMYFUNCTION("""COMPUTED_VALUE"""),134.0)</f>
        <v>134</v>
      </c>
      <c r="D702" t="str">
        <f>IFERROR(__xludf.DUMMYFUNCTION("""COMPUTED_VALUE"""),"PRORRECTORIA")</f>
        <v>PRORRECTORIA</v>
      </c>
      <c r="E702" t="str">
        <f>IFERROR(__xludf.DUMMYFUNCTION("""COMPUTED_VALUE"""),"DEPARTAMENTO DE CALIDAD Y ACREDITACION")</f>
        <v>DEPARTAMENTO DE CALIDAD Y ACREDITACION</v>
      </c>
      <c r="F702" t="str">
        <f>IFERROR(__xludf.DUMMYFUNCTION("""COMPUTED_VALUE"""),"Analista de Acreditación")</f>
        <v>Analista de Acreditación</v>
      </c>
      <c r="G702" t="str">
        <f>IFERROR(__xludf.DUMMYFUNCTION("""COMPUTED_VALUE"""),"ANALISTA DE ACREDITACION DE CARRERAS Y PROGRAMAS")</f>
        <v>ANALISTA DE ACREDITACION DE CARRERAS Y PROGRAMAS</v>
      </c>
      <c r="H702">
        <f>IFERROR(__xludf.DUMMYFUNCTION("""COMPUTED_VALUE"""),8.0)</f>
        <v>8</v>
      </c>
      <c r="J702" t="str">
        <f>IFERROR(__xludf.DUMMYFUNCTION("""COMPUTED_VALUE"""),"A CONTRATA")</f>
        <v>A CONTRATA</v>
      </c>
      <c r="K702" t="str">
        <f>IFERROR(__xludf.DUMMYFUNCTION("""COMPUTED_VALUE"""),"PROFESIONAL")</f>
        <v>PROFESIONAL</v>
      </c>
      <c r="L702" t="str">
        <f>IFERROR(__xludf.DUMMYFUNCTION("""COMPUTED_VALUE"""),"INTERNO")</f>
        <v>INTERNO</v>
      </c>
      <c r="M702">
        <f>IFERROR(__xludf.DUMMYFUNCTION("""COMPUTED_VALUE"""),7.0)</f>
        <v>7</v>
      </c>
      <c r="N702" t="str">
        <f>IFERROR(__xludf.DUMMYFUNCTION("""COMPUTED_VALUE"""),"EXTERNO")</f>
        <v>EXTERNO</v>
      </c>
      <c r="O702">
        <f>IFERROR(__xludf.DUMMYFUNCTION("""COMPUTED_VALUE"""),28.0)</f>
        <v>28</v>
      </c>
      <c r="P702">
        <f>IFERROR(__xludf.DUMMYFUNCTION("""COMPUTED_VALUE"""),4.0)</f>
        <v>4</v>
      </c>
      <c r="Q702">
        <f>IFERROR(__xludf.DUMMYFUNCTION("""COMPUTED_VALUE"""),1.0)</f>
        <v>1</v>
      </c>
      <c r="R702" s="45" t="str">
        <f>IFERROR(__xludf.DUMMYFUNCTION("""COMPUTED_VALUE"""),"SELECCIONADO")</f>
        <v>SELECCIONADO</v>
      </c>
      <c r="S702" s="38">
        <f>IFERROR(__xludf.DUMMYFUNCTION("""COMPUTED_VALUE"""),42065.0)</f>
        <v>42065</v>
      </c>
      <c r="U702" t="str">
        <f>IFERROR(__xludf.DUMMYFUNCTION("""COMPUTED_VALUE"""),"JOSE MIGUEL SANHUEZA DE LA CRUZ")</f>
        <v>JOSE MIGUEL SANHUEZA DE LA CRUZ</v>
      </c>
      <c r="V702" t="str">
        <f>IFERROR(__xludf.DUMMYFUNCTION("""COMPUTED_VALUE"""),"16660732-9")</f>
        <v>16660732-9</v>
      </c>
      <c r="W702" t="str">
        <f>IFERROR(__xludf.DUMMYFUNCTION("""COMPUTED_VALUE"""),"No")</f>
        <v>No</v>
      </c>
      <c r="AA702" s="38">
        <f>IFERROR(__xludf.DUMMYFUNCTION("""COMPUTED_VALUE"""),41954.0)</f>
        <v>41954</v>
      </c>
      <c r="AB702" s="38">
        <f>IFERROR(__xludf.DUMMYFUNCTION("""COMPUTED_VALUE"""),41961.0)</f>
        <v>41961</v>
      </c>
      <c r="AH702" t="str">
        <f>IFERROR(__xludf.DUMMYFUNCTION("""COMPUTED_VALUE"""),"PROCESO DE SELECCIÓN")</f>
        <v>PROCESO DE SELECCIÓN</v>
      </c>
      <c r="AK702" t="str">
        <f>IFERROR(__xludf.DUMMYFUNCTION("""COMPUTED_VALUE"""),"P")</f>
        <v>P</v>
      </c>
      <c r="AL702">
        <f>IFERROR(__xludf.DUMMYFUNCTION("""COMPUTED_VALUE"""),75.0)</f>
        <v>75</v>
      </c>
      <c r="AM702">
        <f>IFERROR(__xludf.DUMMYFUNCTION("""COMPUTED_VALUE"""),2014.0)</f>
        <v>2014</v>
      </c>
    </row>
    <row r="703">
      <c r="A703">
        <f>IFERROR(__xludf.DUMMYFUNCTION("""COMPUTED_VALUE"""),1.6921111E7)</f>
        <v>16921111</v>
      </c>
      <c r="B703">
        <f>IFERROR(__xludf.DUMMYFUNCTION("""COMPUTED_VALUE"""),134.0)</f>
        <v>134</v>
      </c>
      <c r="D703" t="str">
        <f>IFERROR(__xludf.DUMMYFUNCTION("""COMPUTED_VALUE"""),"PRORRECTORIA")</f>
        <v>PRORRECTORIA</v>
      </c>
      <c r="E703" t="str">
        <f>IFERROR(__xludf.DUMMYFUNCTION("""COMPUTED_VALUE"""),"DEPARTAMENTO DE CALIDAD Y ACREDITACION")</f>
        <v>DEPARTAMENTO DE CALIDAD Y ACREDITACION</v>
      </c>
      <c r="F703" t="str">
        <f>IFERROR(__xludf.DUMMYFUNCTION("""COMPUTED_VALUE"""),"Analista de Acreditación")</f>
        <v>Analista de Acreditación</v>
      </c>
      <c r="G703" t="str">
        <f>IFERROR(__xludf.DUMMYFUNCTION("""COMPUTED_VALUE"""),"ANALISTA DE ACREDITACION DE CARRERAS Y PROGRAMAS")</f>
        <v>ANALISTA DE ACREDITACION DE CARRERAS Y PROGRAMAS</v>
      </c>
      <c r="H703">
        <f>IFERROR(__xludf.DUMMYFUNCTION("""COMPUTED_VALUE"""),8.0)</f>
        <v>8</v>
      </c>
      <c r="J703" t="str">
        <f>IFERROR(__xludf.DUMMYFUNCTION("""COMPUTED_VALUE"""),"A CONTRATA")</f>
        <v>A CONTRATA</v>
      </c>
      <c r="K703" t="str">
        <f>IFERROR(__xludf.DUMMYFUNCTION("""COMPUTED_VALUE"""),"PROFESIONAL")</f>
        <v>PROFESIONAL</v>
      </c>
      <c r="L703" t="str">
        <f>IFERROR(__xludf.DUMMYFUNCTION("""COMPUTED_VALUE"""),"INTERNO")</f>
        <v>INTERNO</v>
      </c>
      <c r="M703">
        <f>IFERROR(__xludf.DUMMYFUNCTION("""COMPUTED_VALUE"""),7.0)</f>
        <v>7</v>
      </c>
      <c r="N703" t="str">
        <f>IFERROR(__xludf.DUMMYFUNCTION("""COMPUTED_VALUE"""),"EXTERNO")</f>
        <v>EXTERNO</v>
      </c>
      <c r="O703">
        <f>IFERROR(__xludf.DUMMYFUNCTION("""COMPUTED_VALUE"""),28.0)</f>
        <v>28</v>
      </c>
      <c r="P703">
        <f>IFERROR(__xludf.DUMMYFUNCTION("""COMPUTED_VALUE"""),4.0)</f>
        <v>4</v>
      </c>
      <c r="Q703">
        <f>IFERROR(__xludf.DUMMYFUNCTION("""COMPUTED_VALUE"""),1.0)</f>
        <v>1</v>
      </c>
      <c r="R703" s="45" t="str">
        <f>IFERROR(__xludf.DUMMYFUNCTION("""COMPUTED_VALUE"""),"SELECCIONADO")</f>
        <v>SELECCIONADO</v>
      </c>
      <c r="S703" s="38">
        <f>IFERROR(__xludf.DUMMYFUNCTION("""COMPUTED_VALUE"""),42065.0)</f>
        <v>42065</v>
      </c>
      <c r="U703" t="str">
        <f>IFERROR(__xludf.DUMMYFUNCTION("""COMPUTED_VALUE"""),"JOSE MIGUEL SANHUEZA DE LA CRUZ")</f>
        <v>JOSE MIGUEL SANHUEZA DE LA CRUZ</v>
      </c>
      <c r="V703" t="str">
        <f>IFERROR(__xludf.DUMMYFUNCTION("""COMPUTED_VALUE"""),"16921111-6")</f>
        <v>16921111-6</v>
      </c>
      <c r="W703" t="str">
        <f>IFERROR(__xludf.DUMMYFUNCTION("""COMPUTED_VALUE"""),"No")</f>
        <v>No</v>
      </c>
      <c r="AA703" s="38">
        <f>IFERROR(__xludf.DUMMYFUNCTION("""COMPUTED_VALUE"""),41954.0)</f>
        <v>41954</v>
      </c>
      <c r="AB703" s="38">
        <f>IFERROR(__xludf.DUMMYFUNCTION("""COMPUTED_VALUE"""),41961.0)</f>
        <v>41961</v>
      </c>
      <c r="AH703" t="str">
        <f>IFERROR(__xludf.DUMMYFUNCTION("""COMPUTED_VALUE"""),"PROCESO DE SELECCIÓN")</f>
        <v>PROCESO DE SELECCIÓN</v>
      </c>
      <c r="AK703" t="str">
        <f>IFERROR(__xludf.DUMMYFUNCTION("""COMPUTED_VALUE"""),"P")</f>
        <v>P</v>
      </c>
      <c r="AL703">
        <f>IFERROR(__xludf.DUMMYFUNCTION("""COMPUTED_VALUE"""),75.0)</f>
        <v>75</v>
      </c>
      <c r="AM703">
        <f>IFERROR(__xludf.DUMMYFUNCTION("""COMPUTED_VALUE"""),2014.0)</f>
        <v>2014</v>
      </c>
    </row>
    <row r="704">
      <c r="A704">
        <f>IFERROR(__xludf.DUMMYFUNCTION("""COMPUTED_VALUE"""),1.6921111E7)</f>
        <v>16921111</v>
      </c>
      <c r="D704" t="str">
        <f>IFERROR(__xludf.DUMMYFUNCTION("""COMPUTED_VALUE"""),"PRORRECTORIA")</f>
        <v>PRORRECTORIA</v>
      </c>
      <c r="E704" t="str">
        <f>IFERROR(__xludf.DUMMYFUNCTION("""COMPUTED_VALUE"""),"DEPARTAMENTO DE CALIDAD Y ACREDITACION")</f>
        <v>DEPARTAMENTO DE CALIDAD Y ACREDITACION</v>
      </c>
      <c r="F704" t="str">
        <f>IFERROR(__xludf.DUMMYFUNCTION("""COMPUTED_VALUE"""),"Analista de Acreditación")</f>
        <v>Analista de Acreditación</v>
      </c>
      <c r="G704" t="str">
        <f>IFERROR(__xludf.DUMMYFUNCTION("""COMPUTED_VALUE"""),"ANALISTA DE ACREDITACION DE CARRERAS Y PROGRAMAS")</f>
        <v>ANALISTA DE ACREDITACION DE CARRERAS Y PROGRAMAS</v>
      </c>
      <c r="H704">
        <f>IFERROR(__xludf.DUMMYFUNCTION("""COMPUTED_VALUE"""),8.0)</f>
        <v>8</v>
      </c>
      <c r="J704" t="str">
        <f>IFERROR(__xludf.DUMMYFUNCTION("""COMPUTED_VALUE"""),"A CONTRATA")</f>
        <v>A CONTRATA</v>
      </c>
      <c r="K704" t="str">
        <f>IFERROR(__xludf.DUMMYFUNCTION("""COMPUTED_VALUE"""),"PROFESIONAL")</f>
        <v>PROFESIONAL</v>
      </c>
      <c r="L704" t="str">
        <f>IFERROR(__xludf.DUMMYFUNCTION("""COMPUTED_VALUE"""),"INTERNO")</f>
        <v>INTERNO</v>
      </c>
      <c r="M704">
        <f>IFERROR(__xludf.DUMMYFUNCTION("""COMPUTED_VALUE"""),7.0)</f>
        <v>7</v>
      </c>
      <c r="N704" t="str">
        <f>IFERROR(__xludf.DUMMYFUNCTION("""COMPUTED_VALUE"""),"EXTERNO")</f>
        <v>EXTERNO</v>
      </c>
      <c r="O704">
        <f>IFERROR(__xludf.DUMMYFUNCTION("""COMPUTED_VALUE"""),28.0)</f>
        <v>28</v>
      </c>
      <c r="P704">
        <f>IFERROR(__xludf.DUMMYFUNCTION("""COMPUTED_VALUE"""),4.0)</f>
        <v>4</v>
      </c>
      <c r="Q704">
        <f>IFERROR(__xludf.DUMMYFUNCTION("""COMPUTED_VALUE"""),1.0)</f>
        <v>1</v>
      </c>
      <c r="R704" s="45" t="str">
        <f>IFERROR(__xludf.DUMMYFUNCTION("""COMPUTED_VALUE"""),"SELECCIONADA")</f>
        <v>SELECCIONADA</v>
      </c>
      <c r="S704" s="38">
        <f>IFERROR(__xludf.DUMMYFUNCTION("""COMPUTED_VALUE"""),42065.0)</f>
        <v>42065</v>
      </c>
      <c r="U704" t="str">
        <f>IFERROR(__xludf.DUMMYFUNCTION("""COMPUTED_VALUE"""),"JENIFER CELIS MENDEZ")</f>
        <v>JENIFER CELIS MENDEZ</v>
      </c>
      <c r="V704" t="str">
        <f>IFERROR(__xludf.DUMMYFUNCTION("""COMPUTED_VALUE"""),"16921111-6")</f>
        <v>16921111-6</v>
      </c>
      <c r="X704" t="str">
        <f>IFERROR(__xludf.DUMMYFUNCTION("""COMPUTED_VALUE"""),"Capacidad de Planificacion y Organizacion")</f>
        <v>Capacidad de Planificacion y Organizacion</v>
      </c>
      <c r="Y704" t="str">
        <f>IFERROR(__xludf.DUMMYFUNCTION("""COMPUTED_VALUE"""),"TRABAJO EN EQUIPO")</f>
        <v>TRABAJO EN EQUIPO</v>
      </c>
      <c r="Z704" t="str">
        <f>IFERROR(__xludf.DUMMYFUNCTION("""COMPUTED_VALUE"""),"PENSAMIENTO ANALITICO")</f>
        <v>PENSAMIENTO ANALITICO</v>
      </c>
      <c r="AA704" s="38">
        <f>IFERROR(__xludf.DUMMYFUNCTION("""COMPUTED_VALUE"""),41954.0)</f>
        <v>41954</v>
      </c>
      <c r="AB704" s="38">
        <f>IFERROR(__xludf.DUMMYFUNCTION("""COMPUTED_VALUE"""),41961.0)</f>
        <v>41961</v>
      </c>
      <c r="AH704" t="str">
        <f>IFERROR(__xludf.DUMMYFUNCTION("""COMPUTED_VALUE"""),"PROCESO DE SELECCIÓN")</f>
        <v>PROCESO DE SELECCIÓN</v>
      </c>
      <c r="AK704" t="str">
        <f>IFERROR(__xludf.DUMMYFUNCTION("""COMPUTED_VALUE"""),"P")</f>
        <v>P</v>
      </c>
      <c r="AL704">
        <f>IFERROR(__xludf.DUMMYFUNCTION("""COMPUTED_VALUE"""),75.0)</f>
        <v>75</v>
      </c>
      <c r="AM704">
        <f>IFERROR(__xludf.DUMMYFUNCTION("""COMPUTED_VALUE"""),2014.0)</f>
        <v>2014</v>
      </c>
    </row>
    <row r="705">
      <c r="A705">
        <f>IFERROR(__xludf.DUMMYFUNCTION("""COMPUTED_VALUE"""),1.6912242E7)</f>
        <v>16912242</v>
      </c>
      <c r="B705">
        <f>IFERROR(__xludf.DUMMYFUNCTION("""COMPUTED_VALUE"""),95.0)</f>
        <v>95</v>
      </c>
      <c r="D705" t="str">
        <f>IFERROR(__xludf.DUMMYFUNCTION("""COMPUTED_VALUE"""),"PRORRECTORIA")</f>
        <v>PRORRECTORIA</v>
      </c>
      <c r="E705" t="str">
        <f>IFERROR(__xludf.DUMMYFUNCTION("""COMPUTED_VALUE"""),"UNIDAD DE BIENESTAR DEL PERSONAL")</f>
        <v>UNIDAD DE BIENESTAR DEL PERSONAL</v>
      </c>
      <c r="F705" t="str">
        <f>IFERROR(__xludf.DUMMYFUNCTION("""COMPUTED_VALUE"""),"Nutricionista")</f>
        <v>Nutricionista</v>
      </c>
      <c r="G705" t="str">
        <f>IFERROR(__xludf.DUMMYFUNCTION("""COMPUTED_VALUE"""),"NUTRICIONISTA")</f>
        <v>NUTRICIONISTA</v>
      </c>
      <c r="H705">
        <f>IFERROR(__xludf.DUMMYFUNCTION("""COMPUTED_VALUE"""),13.0)</f>
        <v>13</v>
      </c>
      <c r="J705" t="str">
        <f>IFERROR(__xludf.DUMMYFUNCTION("""COMPUTED_VALUE"""),"A CONTRATA")</f>
        <v>A CONTRATA</v>
      </c>
      <c r="K705" t="str">
        <f>IFERROR(__xludf.DUMMYFUNCTION("""COMPUTED_VALUE"""),"PROFESIONAL")</f>
        <v>PROFESIONAL</v>
      </c>
      <c r="L705" t="str">
        <f>IFERROR(__xludf.DUMMYFUNCTION("""COMPUTED_VALUE"""),"INTERNO")</f>
        <v>INTERNO</v>
      </c>
      <c r="M705">
        <f>IFERROR(__xludf.DUMMYFUNCTION("""COMPUTED_VALUE"""),0.0)</f>
        <v>0</v>
      </c>
      <c r="N705" t="str">
        <f>IFERROR(__xludf.DUMMYFUNCTION("""COMPUTED_VALUE"""),"EXTERNO")</f>
        <v>EXTERNO</v>
      </c>
      <c r="O705">
        <f>IFERROR(__xludf.DUMMYFUNCTION("""COMPUTED_VALUE"""),13.0)</f>
        <v>13</v>
      </c>
      <c r="P705">
        <f>IFERROR(__xludf.DUMMYFUNCTION("""COMPUTED_VALUE"""),5.0)</f>
        <v>5</v>
      </c>
      <c r="Q705">
        <f>IFERROR(__xludf.DUMMYFUNCTION("""COMPUTED_VALUE"""),1.0)</f>
        <v>1</v>
      </c>
      <c r="R705" s="45" t="str">
        <f>IFERROR(__xludf.DUMMYFUNCTION("""COMPUTED_VALUE"""),"SELECCIONADA")</f>
        <v>SELECCIONADA</v>
      </c>
      <c r="S705" s="38">
        <f>IFERROR(__xludf.DUMMYFUNCTION("""COMPUTED_VALUE"""),41988.0)</f>
        <v>41988</v>
      </c>
      <c r="U705" t="str">
        <f>IFERROR(__xludf.DUMMYFUNCTION("""COMPUTED_VALUE"""),"MARIA BARRIGA FIGUEROA")</f>
        <v>MARIA BARRIGA FIGUEROA</v>
      </c>
      <c r="V705" t="str">
        <f>IFERROR(__xludf.DUMMYFUNCTION("""COMPUTED_VALUE"""),"16912242-3")</f>
        <v>16912242-3</v>
      </c>
      <c r="W705" t="str">
        <f>IFERROR(__xludf.DUMMYFUNCTION("""COMPUTED_VALUE"""),"NO")</f>
        <v>NO</v>
      </c>
      <c r="AA705" s="38">
        <f>IFERROR(__xludf.DUMMYFUNCTION("""COMPUTED_VALUE"""),41954.0)</f>
        <v>41954</v>
      </c>
      <c r="AB705" s="38">
        <f>IFERROR(__xludf.DUMMYFUNCTION("""COMPUTED_VALUE"""),41961.0)</f>
        <v>41961</v>
      </c>
      <c r="AC705">
        <f>IFERROR(__xludf.DUMMYFUNCTION("""COMPUTED_VALUE"""),13.0)</f>
        <v>13</v>
      </c>
      <c r="AD705" t="str">
        <f>IFERROR(__xludf.DUMMYFUNCTION("""COMPUTED_VALUE"""),"PROFESIONAL")</f>
        <v>PROFESIONAL</v>
      </c>
      <c r="AH705" t="str">
        <f>IFERROR(__xludf.DUMMYFUNCTION("""COMPUTED_VALUE"""),"PROCESO DE SELECCIÓN")</f>
        <v>PROCESO DE SELECCIÓN</v>
      </c>
      <c r="AK705" t="str">
        <f>IFERROR(__xludf.DUMMYFUNCTION("""COMPUTED_VALUE"""),"C")</f>
        <v>C</v>
      </c>
      <c r="AL705">
        <f>IFERROR(__xludf.DUMMYFUNCTION("""COMPUTED_VALUE"""),20.0)</f>
        <v>20</v>
      </c>
      <c r="AM705">
        <f>IFERROR(__xludf.DUMMYFUNCTION("""COMPUTED_VALUE"""),2014.0)</f>
        <v>2014</v>
      </c>
    </row>
    <row r="706">
      <c r="A706">
        <f>IFERROR(__xludf.DUMMYFUNCTION("""COMPUTED_VALUE"""),1.7670586E7)</f>
        <v>17670586</v>
      </c>
      <c r="B706">
        <f>IFERROR(__xludf.DUMMYFUNCTION("""COMPUTED_VALUE"""),117.0)</f>
        <v>117</v>
      </c>
      <c r="D706" t="str">
        <f>IFERROR(__xludf.DUMMYFUNCTION("""COMPUTED_VALUE"""),"FACULTAD DE QUIMICA Y BIOLOGIA")</f>
        <v>FACULTAD DE QUIMICA Y BIOLOGIA</v>
      </c>
      <c r="E706" t="str">
        <f>IFERROR(__xludf.DUMMYFUNCTION("""COMPUTED_VALUE"""),"DEPARTAMENTO DE QUIMICA DE LOS MATERIALES")</f>
        <v>DEPARTAMENTO DE QUIMICA DE LOS MATERIALES</v>
      </c>
      <c r="F706" t="str">
        <f>IFERROR(__xludf.DUMMYFUNCTION("""COMPUTED_VALUE"""),"Técnico de Laboratorio")</f>
        <v>Técnico de Laboratorio</v>
      </c>
      <c r="G706" t="str">
        <f>IFERROR(__xludf.DUMMYFUNCTION("""COMPUTED_VALUE"""),"TECNICO DE LABORATORIO")</f>
        <v>TECNICO DE LABORATORIO</v>
      </c>
      <c r="H706">
        <f>IFERROR(__xludf.DUMMYFUNCTION("""COMPUTED_VALUE"""),17.0)</f>
        <v>17</v>
      </c>
      <c r="J706" t="str">
        <f>IFERROR(__xludf.DUMMYFUNCTION("""COMPUTED_VALUE"""),"A CONTRATA")</f>
        <v>A CONTRATA</v>
      </c>
      <c r="K706" t="str">
        <f>IFERROR(__xludf.DUMMYFUNCTION("""COMPUTED_VALUE"""),"TECNICO")</f>
        <v>TECNICO</v>
      </c>
      <c r="L706" t="str">
        <f>IFERROR(__xludf.DUMMYFUNCTION("""COMPUTED_VALUE"""),"INTERNO")</f>
        <v>INTERNO</v>
      </c>
      <c r="M706">
        <f>IFERROR(__xludf.DUMMYFUNCTION("""COMPUTED_VALUE"""),0.0)</f>
        <v>0</v>
      </c>
      <c r="N706" t="str">
        <f>IFERROR(__xludf.DUMMYFUNCTION("""COMPUTED_VALUE"""),"EXTERNO")</f>
        <v>EXTERNO</v>
      </c>
      <c r="O706">
        <f>IFERROR(__xludf.DUMMYFUNCTION("""COMPUTED_VALUE"""),10.0)</f>
        <v>10</v>
      </c>
      <c r="P706">
        <f>IFERROR(__xludf.DUMMYFUNCTION("""COMPUTED_VALUE"""),1.0)</f>
        <v>1</v>
      </c>
      <c r="Q706">
        <f>IFERROR(__xludf.DUMMYFUNCTION("""COMPUTED_VALUE"""),1.0)</f>
        <v>1</v>
      </c>
      <c r="R706" s="45" t="str">
        <f>IFERROR(__xludf.DUMMYFUNCTION("""COMPUTED_VALUE"""),"SELECCIONADO")</f>
        <v>SELECCIONADO</v>
      </c>
      <c r="S706" s="38">
        <f>IFERROR(__xludf.DUMMYFUNCTION("""COMPUTED_VALUE"""),42065.0)</f>
        <v>42065</v>
      </c>
      <c r="U706" t="str">
        <f>IFERROR(__xludf.DUMMYFUNCTION("""COMPUTED_VALUE"""),"CAMILO BRAVO HIDALGO")</f>
        <v>CAMILO BRAVO HIDALGO</v>
      </c>
      <c r="V706" t="str">
        <f>IFERROR(__xludf.DUMMYFUNCTION("""COMPUTED_VALUE"""),"17670586-8")</f>
        <v>17670586-8</v>
      </c>
      <c r="W706" t="str">
        <f>IFERROR(__xludf.DUMMYFUNCTION("""COMPUTED_VALUE"""),"No")</f>
        <v>No</v>
      </c>
      <c r="AA706" s="38">
        <f>IFERROR(__xludf.DUMMYFUNCTION("""COMPUTED_VALUE"""),41954.0)</f>
        <v>41954</v>
      </c>
      <c r="AB706" s="38">
        <f>IFERROR(__xludf.DUMMYFUNCTION("""COMPUTED_VALUE"""),41961.0)</f>
        <v>41961</v>
      </c>
      <c r="AH706" t="str">
        <f>IFERROR(__xludf.DUMMYFUNCTION("""COMPUTED_VALUE"""),"PROCESO DE SELECCIÓN")</f>
        <v>PROCESO DE SELECCIÓN</v>
      </c>
      <c r="AI706" t="str">
        <f>IFERROR(__xludf.DUMMYFUNCTION("""COMPUTED_VALUE"""),"SERGIA DEL VALLE (1/2 J)")</f>
        <v>SERGIA DEL VALLE (1/2 J)</v>
      </c>
      <c r="AK706" t="str">
        <f>IFERROR(__xludf.DUMMYFUNCTION("""COMPUTED_VALUE"""),"E")</f>
        <v>E</v>
      </c>
      <c r="AL706">
        <f>IFERROR(__xludf.DUMMYFUNCTION("""COMPUTED_VALUE"""),75.0)</f>
        <v>75</v>
      </c>
      <c r="AM706">
        <f>IFERROR(__xludf.DUMMYFUNCTION("""COMPUTED_VALUE"""),2014.0)</f>
        <v>2014</v>
      </c>
    </row>
    <row r="707">
      <c r="A707">
        <f>IFERROR(__xludf.DUMMYFUNCTION("""COMPUTED_VALUE"""),1.5563432E7)</f>
        <v>15563432</v>
      </c>
      <c r="B707">
        <f>IFERROR(__xludf.DUMMYFUNCTION("""COMPUTED_VALUE"""),97.0)</f>
        <v>97</v>
      </c>
      <c r="D707" t="str">
        <f>IFERROR(__xludf.DUMMYFUNCTION("""COMPUTED_VALUE"""),"PRORRECTORIA")</f>
        <v>PRORRECTORIA</v>
      </c>
      <c r="E707" t="str">
        <f>IFERROR(__xludf.DUMMYFUNCTION("""COMPUTED_VALUE"""),"DEPARTAMENTO DE FINANZAS Y TESORERIA")</f>
        <v>DEPARTAMENTO DE FINANZAS Y TESORERIA</v>
      </c>
      <c r="F707" t="str">
        <f>IFERROR(__xludf.DUMMYFUNCTION("""COMPUTED_VALUE"""),"Administrativo de Apoyo")</f>
        <v>Administrativo de Apoyo</v>
      </c>
      <c r="G707" t="str">
        <f>IFERROR(__xludf.DUMMYFUNCTION("""COMPUTED_VALUE"""),"ADMINISTRATIVO DE APOYO")</f>
        <v>ADMINISTRATIVO DE APOYO</v>
      </c>
      <c r="H707">
        <f>IFERROR(__xludf.DUMMYFUNCTION("""COMPUTED_VALUE"""),20.0)</f>
        <v>20</v>
      </c>
      <c r="J707" t="str">
        <f>IFERROR(__xludf.DUMMYFUNCTION("""COMPUTED_VALUE"""),"A CONTRATA")</f>
        <v>A CONTRATA</v>
      </c>
      <c r="K707" t="str">
        <f>IFERROR(__xludf.DUMMYFUNCTION("""COMPUTED_VALUE"""),"ADMINISTRATIVO")</f>
        <v>ADMINISTRATIVO</v>
      </c>
      <c r="L707" t="str">
        <f>IFERROR(__xludf.DUMMYFUNCTION("""COMPUTED_VALUE"""),"INTERNO")</f>
        <v>INTERNO</v>
      </c>
      <c r="M707">
        <f>IFERROR(__xludf.DUMMYFUNCTION("""COMPUTED_VALUE"""),0.0)</f>
        <v>0</v>
      </c>
      <c r="N707" t="str">
        <f>IFERROR(__xludf.DUMMYFUNCTION("""COMPUTED_VALUE"""),"EXTERNO")</f>
        <v>EXTERNO</v>
      </c>
      <c r="O707">
        <f>IFERROR(__xludf.DUMMYFUNCTION("""COMPUTED_VALUE"""),4.0)</f>
        <v>4</v>
      </c>
      <c r="P707">
        <f>IFERROR(__xludf.DUMMYFUNCTION("""COMPUTED_VALUE"""),3.0)</f>
        <v>3</v>
      </c>
      <c r="Q707">
        <f>IFERROR(__xludf.DUMMYFUNCTION("""COMPUTED_VALUE"""),1.0)</f>
        <v>1</v>
      </c>
      <c r="R707" s="45" t="str">
        <f>IFERROR(__xludf.DUMMYFUNCTION("""COMPUTED_VALUE"""),"SELECCIONADA")</f>
        <v>SELECCIONADA</v>
      </c>
      <c r="S707" s="38">
        <f>IFERROR(__xludf.DUMMYFUNCTION("""COMPUTED_VALUE"""),41995.0)</f>
        <v>41995</v>
      </c>
      <c r="U707" t="str">
        <f>IFERROR(__xludf.DUMMYFUNCTION("""COMPUTED_VALUE"""),"ELIZABETH ALARCON MORA")</f>
        <v>ELIZABETH ALARCON MORA</v>
      </c>
      <c r="V707" t="str">
        <f>IFERROR(__xludf.DUMMYFUNCTION("""COMPUTED_VALUE"""),"15563432-4")</f>
        <v>15563432-4</v>
      </c>
      <c r="W707" t="str">
        <f>IFERROR(__xludf.DUMMYFUNCTION("""COMPUTED_VALUE"""),"NO")</f>
        <v>NO</v>
      </c>
      <c r="AA707" s="38">
        <f>IFERROR(__xludf.DUMMYFUNCTION("""COMPUTED_VALUE"""),41955.0)</f>
        <v>41955</v>
      </c>
      <c r="AB707" s="38">
        <f>IFERROR(__xludf.DUMMYFUNCTION("""COMPUTED_VALUE"""),41962.0)</f>
        <v>41962</v>
      </c>
      <c r="AC707">
        <f>IFERROR(__xludf.DUMMYFUNCTION("""COMPUTED_VALUE"""),20.0)</f>
        <v>20</v>
      </c>
      <c r="AD707" t="str">
        <f>IFERROR(__xludf.DUMMYFUNCTION("""COMPUTED_VALUE"""),"ADMINISTRATIVO")</f>
        <v>ADMINISTRATIVO</v>
      </c>
      <c r="AH707" t="str">
        <f>IFERROR(__xludf.DUMMYFUNCTION("""COMPUTED_VALUE"""),"PROCESO DE SELECCIÓN")</f>
        <v>PROCESO DE SELECCIÓN</v>
      </c>
      <c r="AK707" t="str">
        <f>IFERROR(__xludf.DUMMYFUNCTION("""COMPUTED_VALUE"""),"C")</f>
        <v>C</v>
      </c>
      <c r="AL707">
        <f>IFERROR(__xludf.DUMMYFUNCTION("""COMPUTED_VALUE"""),24.0)</f>
        <v>24</v>
      </c>
      <c r="AM707">
        <f>IFERROR(__xludf.DUMMYFUNCTION("""COMPUTED_VALUE"""),2014.0)</f>
        <v>2014</v>
      </c>
    </row>
    <row r="708">
      <c r="A708">
        <f>IFERROR(__xludf.DUMMYFUNCTION("""COMPUTED_VALUE"""),1.5639128E7)</f>
        <v>15639128</v>
      </c>
      <c r="B708">
        <f>IFERROR(__xludf.DUMMYFUNCTION("""COMPUTED_VALUE"""),98.0)</f>
        <v>98</v>
      </c>
      <c r="D708" t="str">
        <f>IFERROR(__xludf.DUMMYFUNCTION("""COMPUTED_VALUE"""),"PRORRECTORIA")</f>
        <v>PRORRECTORIA</v>
      </c>
      <c r="E708" t="str">
        <f>IFERROR(__xludf.DUMMYFUNCTION("""COMPUTED_VALUE"""),"DEPARTAMENTO DE FINANZAS Y TESORERIA")</f>
        <v>DEPARTAMENTO DE FINANZAS Y TESORERIA</v>
      </c>
      <c r="F708" t="str">
        <f>IFERROR(__xludf.DUMMYFUNCTION("""COMPUTED_VALUE"""),"Administrativo Contable")</f>
        <v>Administrativo Contable</v>
      </c>
      <c r="G708" t="str">
        <f>IFERROR(__xludf.DUMMYFUNCTION("""COMPUTED_VALUE"""),"ADMINISTRATIVO CONTABLE")</f>
        <v>ADMINISTRATIVO CONTABLE</v>
      </c>
      <c r="H708">
        <f>IFERROR(__xludf.DUMMYFUNCTION("""COMPUTED_VALUE"""),17.0)</f>
        <v>17</v>
      </c>
      <c r="J708" t="str">
        <f>IFERROR(__xludf.DUMMYFUNCTION("""COMPUTED_VALUE"""),"A CONTRATA")</f>
        <v>A CONTRATA</v>
      </c>
      <c r="K708" t="str">
        <f>IFERROR(__xludf.DUMMYFUNCTION("""COMPUTED_VALUE"""),"TECNICO")</f>
        <v>TECNICO</v>
      </c>
      <c r="L708" t="str">
        <f>IFERROR(__xludf.DUMMYFUNCTION("""COMPUTED_VALUE"""),"INTERNO")</f>
        <v>INTERNO</v>
      </c>
      <c r="M708">
        <f>IFERROR(__xludf.DUMMYFUNCTION("""COMPUTED_VALUE"""),0.0)</f>
        <v>0</v>
      </c>
      <c r="N708" t="str">
        <f>IFERROR(__xludf.DUMMYFUNCTION("""COMPUTED_VALUE"""),"EXTERNO")</f>
        <v>EXTERNO</v>
      </c>
      <c r="O708">
        <f>IFERROR(__xludf.DUMMYFUNCTION("""COMPUTED_VALUE"""),5.0)</f>
        <v>5</v>
      </c>
      <c r="P708">
        <f>IFERROR(__xludf.DUMMYFUNCTION("""COMPUTED_VALUE"""),3.0)</f>
        <v>3</v>
      </c>
      <c r="Q708">
        <f>IFERROR(__xludf.DUMMYFUNCTION("""COMPUTED_VALUE"""),1.0)</f>
        <v>1</v>
      </c>
      <c r="R708" s="45" t="str">
        <f>IFERROR(__xludf.DUMMYFUNCTION("""COMPUTED_VALUE"""),"SELECCIONADA")</f>
        <v>SELECCIONADA</v>
      </c>
      <c r="S708" s="38">
        <f>IFERROR(__xludf.DUMMYFUNCTION("""COMPUTED_VALUE"""),42006.0)</f>
        <v>42006</v>
      </c>
      <c r="U708" t="str">
        <f>IFERROR(__xludf.DUMMYFUNCTION("""COMPUTED_VALUE"""),"MYRTHA MIRANDA MIRANDA")</f>
        <v>MYRTHA MIRANDA MIRANDA</v>
      </c>
      <c r="V708" t="str">
        <f>IFERROR(__xludf.DUMMYFUNCTION("""COMPUTED_VALUE"""),"15639128-K")</f>
        <v>15639128-K</v>
      </c>
      <c r="W708" t="str">
        <f>IFERROR(__xludf.DUMMYFUNCTION("""COMPUTED_VALUE"""),"NO")</f>
        <v>NO</v>
      </c>
      <c r="AA708" s="38">
        <f>IFERROR(__xludf.DUMMYFUNCTION("""COMPUTED_VALUE"""),41955.0)</f>
        <v>41955</v>
      </c>
      <c r="AB708" s="38">
        <f>IFERROR(__xludf.DUMMYFUNCTION("""COMPUTED_VALUE"""),41962.0)</f>
        <v>41962</v>
      </c>
      <c r="AC708">
        <f>IFERROR(__xludf.DUMMYFUNCTION("""COMPUTED_VALUE"""),17.0)</f>
        <v>17</v>
      </c>
      <c r="AD708" t="str">
        <f>IFERROR(__xludf.DUMMYFUNCTION("""COMPUTED_VALUE"""),"TECNICO")</f>
        <v>TECNICO</v>
      </c>
      <c r="AH708" t="str">
        <f>IFERROR(__xludf.DUMMYFUNCTION("""COMPUTED_VALUE"""),"PROCESO DE SELECCIÓN")</f>
        <v>PROCESO DE SELECCIÓN</v>
      </c>
      <c r="AK708" t="str">
        <f>IFERROR(__xludf.DUMMYFUNCTION("""COMPUTED_VALUE"""),"P")</f>
        <v>P</v>
      </c>
      <c r="AL708">
        <f>IFERROR(__xludf.DUMMYFUNCTION("""COMPUTED_VALUE"""),33.0)</f>
        <v>33</v>
      </c>
      <c r="AM708">
        <f>IFERROR(__xludf.DUMMYFUNCTION("""COMPUTED_VALUE"""),2014.0)</f>
        <v>2014</v>
      </c>
    </row>
    <row r="709">
      <c r="A709">
        <f>IFERROR(__xludf.DUMMYFUNCTION("""COMPUTED_VALUE"""),1.9183281E7)</f>
        <v>19183281</v>
      </c>
      <c r="B709">
        <f>IFERROR(__xludf.DUMMYFUNCTION("""COMPUTED_VALUE"""),122.0)</f>
        <v>122</v>
      </c>
      <c r="D709" t="str">
        <f>IFERROR(__xludf.DUMMYFUNCTION("""COMPUTED_VALUE"""),"SECRETARIA GENERAL")</f>
        <v>SECRETARIA GENERAL</v>
      </c>
      <c r="E709" t="str">
        <f>IFERROR(__xludf.DUMMYFUNCTION("""COMPUTED_VALUE"""),"SECRETARIA GENERAL")</f>
        <v>SECRETARIA GENERAL</v>
      </c>
      <c r="F709" t="str">
        <f>IFERROR(__xludf.DUMMYFUNCTION("""COMPUTED_VALUE"""),"Administrativo de Apoyo")</f>
        <v>Administrativo de Apoyo</v>
      </c>
      <c r="G709" t="str">
        <f>IFERROR(__xludf.DUMMYFUNCTION("""COMPUTED_VALUE"""),"ADMINISTRATIVO DE APOYO")</f>
        <v>ADMINISTRATIVO DE APOYO</v>
      </c>
      <c r="H709">
        <f>IFERROR(__xludf.DUMMYFUNCTION("""COMPUTED_VALUE"""),20.0)</f>
        <v>20</v>
      </c>
      <c r="J709" t="str">
        <f>IFERROR(__xludf.DUMMYFUNCTION("""COMPUTED_VALUE"""),"A CONTRATA")</f>
        <v>A CONTRATA</v>
      </c>
      <c r="K709" t="str">
        <f>IFERROR(__xludf.DUMMYFUNCTION("""COMPUTED_VALUE"""),"ADMINISTRATIVO")</f>
        <v>ADMINISTRATIVO</v>
      </c>
      <c r="L709" t="str">
        <f>IFERROR(__xludf.DUMMYFUNCTION("""COMPUTED_VALUE"""),"INTERNO")</f>
        <v>INTERNO</v>
      </c>
      <c r="M709">
        <f>IFERROR(__xludf.DUMMYFUNCTION("""COMPUTED_VALUE"""),1.0)</f>
        <v>1</v>
      </c>
      <c r="N709" t="str">
        <f>IFERROR(__xludf.DUMMYFUNCTION("""COMPUTED_VALUE"""),"EXTERNO")</f>
        <v>EXTERNO</v>
      </c>
      <c r="O709">
        <f>IFERROR(__xludf.DUMMYFUNCTION("""COMPUTED_VALUE"""),6.0)</f>
        <v>6</v>
      </c>
      <c r="P709">
        <f>IFERROR(__xludf.DUMMYFUNCTION("""COMPUTED_VALUE"""),2.0)</f>
        <v>2</v>
      </c>
      <c r="Q709">
        <f>IFERROR(__xludf.DUMMYFUNCTION("""COMPUTED_VALUE"""),1.0)</f>
        <v>1</v>
      </c>
      <c r="R709" s="45" t="str">
        <f>IFERROR(__xludf.DUMMYFUNCTION("""COMPUTED_VALUE"""),"SELECCIONADA")</f>
        <v>SELECCIONADA</v>
      </c>
      <c r="S709" s="38">
        <f>IFERROR(__xludf.DUMMYFUNCTION("""COMPUTED_VALUE"""),42095.0)</f>
        <v>42095</v>
      </c>
      <c r="U709" t="str">
        <f>IFERROR(__xludf.DUMMYFUNCTION("""COMPUTED_VALUE"""),"FRANCISCA RODRIGUEZ MARTINEZ")</f>
        <v>FRANCISCA RODRIGUEZ MARTINEZ</v>
      </c>
      <c r="V709" t="str">
        <f>IFERROR(__xludf.DUMMYFUNCTION("""COMPUTED_VALUE"""),"19183281-7")</f>
        <v>19183281-7</v>
      </c>
      <c r="W709" t="str">
        <f>IFERROR(__xludf.DUMMYFUNCTION("""COMPUTED_VALUE"""),"SI")</f>
        <v>SI</v>
      </c>
      <c r="X709" t="str">
        <f>IFERROR(__xludf.DUMMYFUNCTION("""COMPUTED_VALUE"""),"COMUNICACION")</f>
        <v>COMUNICACION</v>
      </c>
      <c r="AA709" s="38">
        <f>IFERROR(__xludf.DUMMYFUNCTION("""COMPUTED_VALUE"""),41956.0)</f>
        <v>41956</v>
      </c>
      <c r="AB709" s="38">
        <f>IFERROR(__xludf.DUMMYFUNCTION("""COMPUTED_VALUE"""),41963.0)</f>
        <v>41963</v>
      </c>
      <c r="AH709" t="str">
        <f>IFERROR(__xludf.DUMMYFUNCTION("""COMPUTED_VALUE"""),"PROCESO DE SELECCIÓN")</f>
        <v>PROCESO DE SELECCIÓN</v>
      </c>
      <c r="AK709" t="str">
        <f>IFERROR(__xludf.DUMMYFUNCTION("""COMPUTED_VALUE"""),"P")</f>
        <v>P</v>
      </c>
      <c r="AL709">
        <f>IFERROR(__xludf.DUMMYFUNCTION("""COMPUTED_VALUE"""),95.0)</f>
        <v>95</v>
      </c>
      <c r="AM709">
        <f>IFERROR(__xludf.DUMMYFUNCTION("""COMPUTED_VALUE"""),2014.0)</f>
        <v>2014</v>
      </c>
    </row>
    <row r="710">
      <c r="A710">
        <f>IFERROR(__xludf.DUMMYFUNCTION("""COMPUTED_VALUE"""),9703334.0)</f>
        <v>9703334</v>
      </c>
      <c r="B710">
        <f>IFERROR(__xludf.DUMMYFUNCTION("""COMPUTED_VALUE"""),93.0)</f>
        <v>93</v>
      </c>
      <c r="D710" t="str">
        <f>IFERROR(__xludf.DUMMYFUNCTION("""COMPUTED_VALUE"""),"VICERRECTORIA ACADEMICA")</f>
        <v>VICERRECTORIA ACADEMICA</v>
      </c>
      <c r="E710" t="str">
        <f>IFERROR(__xludf.DUMMYFUNCTION("""COMPUTED_VALUE"""),"UNIDAD DE REGISTRO ACADEMICO Y CURRICULAR")</f>
        <v>UNIDAD DE REGISTRO ACADEMICO Y CURRICULAR</v>
      </c>
      <c r="F710" t="str">
        <f>IFERROR(__xludf.DUMMYFUNCTION("""COMPUTED_VALUE"""),"Jefe de Sección")</f>
        <v>Jefe de Sección</v>
      </c>
      <c r="G710" t="str">
        <f>IFERROR(__xludf.DUMMYFUNCTION("""COMPUTED_VALUE"""),"JEFE DE SECCION DE TITULOS Y GRADOS")</f>
        <v>JEFE DE SECCION DE TITULOS Y GRADOS</v>
      </c>
      <c r="H710">
        <f>IFERROR(__xludf.DUMMYFUNCTION("""COMPUTED_VALUE"""),10.0)</f>
        <v>10</v>
      </c>
      <c r="J710" t="str">
        <f>IFERROR(__xludf.DUMMYFUNCTION("""COMPUTED_VALUE"""),"A CONTRATA")</f>
        <v>A CONTRATA</v>
      </c>
      <c r="K710" t="str">
        <f>IFERROR(__xludf.DUMMYFUNCTION("""COMPUTED_VALUE"""),"PROFESIONAL")</f>
        <v>PROFESIONAL</v>
      </c>
      <c r="L710" t="str">
        <f>IFERROR(__xludf.DUMMYFUNCTION("""COMPUTED_VALUE"""),"INTERNO")</f>
        <v>INTERNO</v>
      </c>
      <c r="M710">
        <f>IFERROR(__xludf.DUMMYFUNCTION("""COMPUTED_VALUE"""),9.0)</f>
        <v>9</v>
      </c>
      <c r="N710" t="str">
        <f>IFERROR(__xludf.DUMMYFUNCTION("""COMPUTED_VALUE"""),"NO")</f>
        <v>NO</v>
      </c>
      <c r="P710">
        <f>IFERROR(__xludf.DUMMYFUNCTION("""COMPUTED_VALUE"""),1.0)</f>
        <v>1</v>
      </c>
      <c r="Q710">
        <f>IFERROR(__xludf.DUMMYFUNCTION("""COMPUTED_VALUE"""),0.0)</f>
        <v>0</v>
      </c>
      <c r="R710" s="45" t="str">
        <f>IFERROR(__xludf.DUMMYFUNCTION("""COMPUTED_VALUE"""),"SELECCIONADO")</f>
        <v>SELECCIONADO</v>
      </c>
      <c r="S710" s="38">
        <f>IFERROR(__xludf.DUMMYFUNCTION("""COMPUTED_VALUE"""),41995.0)</f>
        <v>41995</v>
      </c>
      <c r="T710" t="str">
        <f>IFERROR(__xludf.DUMMYFUNCTION("""COMPUTED_VALUE"""),"JOSE HUENUQUEO MALLEO")</f>
        <v>JOSE HUENUQUEO MALLEO</v>
      </c>
      <c r="V710" t="str">
        <f>IFERROR(__xludf.DUMMYFUNCTION("""COMPUTED_VALUE"""),"09703334-K")</f>
        <v>09703334-K</v>
      </c>
      <c r="W710" t="str">
        <f>IFERROR(__xludf.DUMMYFUNCTION("""COMPUTED_VALUE"""),"SI")</f>
        <v>SI</v>
      </c>
      <c r="X710" t="str">
        <f>IFERROR(__xludf.DUMMYFUNCTION("""COMPUTED_VALUE"""),"Capacidad de Planificacion y Organizacion")</f>
        <v>Capacidad de Planificacion y Organizacion</v>
      </c>
      <c r="Y710" t="str">
        <f>IFERROR(__xludf.DUMMYFUNCTION("""COMPUTED_VALUE"""),"INICIATIVA")</f>
        <v>INICIATIVA</v>
      </c>
      <c r="AA710" s="38">
        <f>IFERROR(__xludf.DUMMYFUNCTION("""COMPUTED_VALUE"""),41969.0)</f>
        <v>41969</v>
      </c>
      <c r="AB710" s="38">
        <f>IFERROR(__xludf.DUMMYFUNCTION("""COMPUTED_VALUE"""),41976.0)</f>
        <v>41976</v>
      </c>
      <c r="AC710">
        <f>IFERROR(__xludf.DUMMYFUNCTION("""COMPUTED_VALUE"""),14.0)</f>
        <v>14</v>
      </c>
      <c r="AD710" t="str">
        <f>IFERROR(__xludf.DUMMYFUNCTION("""COMPUTED_VALUE"""),"PROFESIONAL")</f>
        <v>PROFESIONAL</v>
      </c>
      <c r="AF710" s="46" t="str">
        <f>IFERROR(__xludf.DUMMYFUNCTION("""COMPUTED_VALUE"""),"UNIDAD DE REGISTRO ACADEMICO Y CURRICULAR")</f>
        <v>UNIDAD DE REGISTRO ACADEMICO Y CURRICULAR</v>
      </c>
      <c r="AH710" t="str">
        <f>IFERROR(__xludf.DUMMYFUNCTION("""COMPUTED_VALUE"""),"PROCESO DE SELECCIÓN")</f>
        <v>PROCESO DE SELECCIÓN</v>
      </c>
      <c r="AK710" t="str">
        <f>IFERROR(__xludf.DUMMYFUNCTION("""COMPUTED_VALUE"""),"C")</f>
        <v>C</v>
      </c>
      <c r="AL710">
        <f>IFERROR(__xludf.DUMMYFUNCTION("""COMPUTED_VALUE"""),14.0)</f>
        <v>14</v>
      </c>
      <c r="AM710">
        <f>IFERROR(__xludf.DUMMYFUNCTION("""COMPUTED_VALUE"""),2014.0)</f>
        <v>2014</v>
      </c>
    </row>
    <row r="711">
      <c r="A711">
        <f>IFERROR(__xludf.DUMMYFUNCTION("""COMPUTED_VALUE"""),1.6143854E7)</f>
        <v>16143854</v>
      </c>
      <c r="B711">
        <f>IFERROR(__xludf.DUMMYFUNCTION("""COMPUTED_VALUE"""),91.0)</f>
        <v>91</v>
      </c>
      <c r="D711" t="str">
        <f>IFERROR(__xludf.DUMMYFUNCTION("""COMPUTED_VALUE"""),"PRORRECTORIA")</f>
        <v>PRORRECTORIA</v>
      </c>
      <c r="E711" t="str">
        <f>IFERROR(__xludf.DUMMYFUNCTION("""COMPUTED_VALUE"""),"UNIDAD DE BIENESTAR DEL PERSONAL")</f>
        <v>UNIDAD DE BIENESTAR DEL PERSONAL</v>
      </c>
      <c r="F711" t="str">
        <f>IFERROR(__xludf.DUMMYFUNCTION("""COMPUTED_VALUE"""),"Cajero B 1º categoría")</f>
        <v>Cajero B 1º categoría</v>
      </c>
      <c r="G711" t="str">
        <f>IFERROR(__xludf.DUMMYFUNCTION("""COMPUTED_VALUE"""),"CAJERO")</f>
        <v>CAJERO</v>
      </c>
      <c r="H711">
        <f>IFERROR(__xludf.DUMMYFUNCTION("""COMPUTED_VALUE"""),17.0)</f>
        <v>17</v>
      </c>
      <c r="J711" t="str">
        <f>IFERROR(__xludf.DUMMYFUNCTION("""COMPUTED_VALUE"""),"A CONTRATA")</f>
        <v>A CONTRATA</v>
      </c>
      <c r="K711" t="str">
        <f>IFERROR(__xludf.DUMMYFUNCTION("""COMPUTED_VALUE"""),"TECNICO")</f>
        <v>TECNICO</v>
      </c>
      <c r="L711" t="str">
        <f>IFERROR(__xludf.DUMMYFUNCTION("""COMPUTED_VALUE"""),"INTERNO")</f>
        <v>INTERNO</v>
      </c>
      <c r="M711">
        <f>IFERROR(__xludf.DUMMYFUNCTION("""COMPUTED_VALUE"""),0.0)</f>
        <v>0</v>
      </c>
      <c r="N711" t="str">
        <f>IFERROR(__xludf.DUMMYFUNCTION("""COMPUTED_VALUE"""),"EXTERNO")</f>
        <v>EXTERNO</v>
      </c>
      <c r="O711">
        <f>IFERROR(__xludf.DUMMYFUNCTION("""COMPUTED_VALUE"""),5.0)</f>
        <v>5</v>
      </c>
      <c r="P711">
        <f>IFERROR(__xludf.DUMMYFUNCTION("""COMPUTED_VALUE"""),2.0)</f>
        <v>2</v>
      </c>
      <c r="Q711">
        <f>IFERROR(__xludf.DUMMYFUNCTION("""COMPUTED_VALUE"""),1.0)</f>
        <v>1</v>
      </c>
      <c r="R711" s="45" t="str">
        <f>IFERROR(__xludf.DUMMYFUNCTION("""COMPUTED_VALUE"""),"SELECCIONADA")</f>
        <v>SELECCIONADA</v>
      </c>
      <c r="S711" s="38">
        <f>IFERROR(__xludf.DUMMYFUNCTION("""COMPUTED_VALUE"""),41989.0)</f>
        <v>41989</v>
      </c>
      <c r="U711" t="str">
        <f>IFERROR(__xludf.DUMMYFUNCTION("""COMPUTED_VALUE"""),"FABIOLA SILVA GUZMAN")</f>
        <v>FABIOLA SILVA GUZMAN</v>
      </c>
      <c r="V711" t="str">
        <f>IFERROR(__xludf.DUMMYFUNCTION("""COMPUTED_VALUE"""),"16143854-5")</f>
        <v>16143854-5</v>
      </c>
      <c r="W711" t="str">
        <f>IFERROR(__xludf.DUMMYFUNCTION("""COMPUTED_VALUE"""),"No")</f>
        <v>No</v>
      </c>
      <c r="AA711" s="38">
        <f>IFERROR(__xludf.DUMMYFUNCTION("""COMPUTED_VALUE"""),41971.0)</f>
        <v>41971</v>
      </c>
      <c r="AB711" s="38">
        <f>IFERROR(__xludf.DUMMYFUNCTION("""COMPUTED_VALUE"""),41978.0)</f>
        <v>41978</v>
      </c>
      <c r="AH711" t="str">
        <f>IFERROR(__xludf.DUMMYFUNCTION("""COMPUTED_VALUE"""),"PROCESO DE SELECCIÓN")</f>
        <v>PROCESO DE SELECCIÓN</v>
      </c>
      <c r="AK711" t="str">
        <f>IFERROR(__xludf.DUMMYFUNCTION("""COMPUTED_VALUE"""),"C")</f>
        <v>C</v>
      </c>
      <c r="AL711">
        <f>IFERROR(__xludf.DUMMYFUNCTION("""COMPUTED_VALUE"""),8.0)</f>
        <v>8</v>
      </c>
      <c r="AM711">
        <f>IFERROR(__xludf.DUMMYFUNCTION("""COMPUTED_VALUE"""),2014.0)</f>
        <v>2014</v>
      </c>
    </row>
    <row r="712">
      <c r="A712">
        <f>IFERROR(__xludf.DUMMYFUNCTION("""COMPUTED_VALUE"""),1.1751199E7)</f>
        <v>11751199</v>
      </c>
      <c r="B712">
        <f>IFERROR(__xludf.DUMMYFUNCTION("""COMPUTED_VALUE"""),128.0)</f>
        <v>128</v>
      </c>
      <c r="D712" t="str">
        <f>IFERROR(__xludf.DUMMYFUNCTION("""COMPUTED_VALUE"""),"PRORRECTORIA")</f>
        <v>PRORRECTORIA</v>
      </c>
      <c r="E712" t="str">
        <f>IFERROR(__xludf.DUMMYFUNCTION("""COMPUTED_VALUE"""),"UNIDAD DE COORDINACION INSTITUCIONAL")</f>
        <v>UNIDAD DE COORDINACION INSTITUCIONAL</v>
      </c>
      <c r="F712" t="str">
        <f>IFERROR(__xludf.DUMMYFUNCTION("""COMPUTED_VALUE"""),"Administrativo de Apoyo")</f>
        <v>Administrativo de Apoyo</v>
      </c>
      <c r="G712" t="str">
        <f>IFERROR(__xludf.DUMMYFUNCTION("""COMPUTED_VALUE"""),"ADMINISTRATIVO DE APOYO")</f>
        <v>ADMINISTRATIVO DE APOYO</v>
      </c>
      <c r="H712">
        <f>IFERROR(__xludf.DUMMYFUNCTION("""COMPUTED_VALUE"""),20.0)</f>
        <v>20</v>
      </c>
      <c r="J712" t="str">
        <f>IFERROR(__xludf.DUMMYFUNCTION("""COMPUTED_VALUE"""),"A CONTRATA")</f>
        <v>A CONTRATA</v>
      </c>
      <c r="K712" t="str">
        <f>IFERROR(__xludf.DUMMYFUNCTION("""COMPUTED_VALUE"""),"ADMINISTRATIVO")</f>
        <v>ADMINISTRATIVO</v>
      </c>
      <c r="L712" t="str">
        <f>IFERROR(__xludf.DUMMYFUNCTION("""COMPUTED_VALUE"""),"INTERNO")</f>
        <v>INTERNO</v>
      </c>
      <c r="M712">
        <f>IFERROR(__xludf.DUMMYFUNCTION("""COMPUTED_VALUE"""),2.0)</f>
        <v>2</v>
      </c>
      <c r="N712" t="str">
        <f>IFERROR(__xludf.DUMMYFUNCTION("""COMPUTED_VALUE"""),"NO")</f>
        <v>NO</v>
      </c>
      <c r="P712">
        <f>IFERROR(__xludf.DUMMYFUNCTION("""COMPUTED_VALUE"""),1.0)</f>
        <v>1</v>
      </c>
      <c r="Q712">
        <f>IFERROR(__xludf.DUMMYFUNCTION("""COMPUTED_VALUE"""),0.0)</f>
        <v>0</v>
      </c>
      <c r="R712" s="45" t="str">
        <f>IFERROR(__xludf.DUMMYFUNCTION("""COMPUTED_VALUE"""),"SELECCIONADA")</f>
        <v>SELECCIONADA</v>
      </c>
      <c r="S712" s="38">
        <f>IFERROR(__xludf.DUMMYFUNCTION("""COMPUTED_VALUE"""),42107.0)</f>
        <v>42107</v>
      </c>
      <c r="T712" t="str">
        <f>IFERROR(__xludf.DUMMYFUNCTION("""COMPUTED_VALUE"""),"CLAUDIA MORALES ROZAS")</f>
        <v>CLAUDIA MORALES ROZAS</v>
      </c>
      <c r="V712" t="str">
        <f>IFERROR(__xludf.DUMMYFUNCTION("""COMPUTED_VALUE"""),"11751199-5")</f>
        <v>11751199-5</v>
      </c>
      <c r="W712" t="str">
        <f>IFERROR(__xludf.DUMMYFUNCTION("""COMPUTED_VALUE"""),"No")</f>
        <v>No</v>
      </c>
      <c r="AA712" s="38">
        <f>IFERROR(__xludf.DUMMYFUNCTION("""COMPUTED_VALUE"""),41974.0)</f>
        <v>41974</v>
      </c>
      <c r="AB712" s="38">
        <f>IFERROR(__xludf.DUMMYFUNCTION("""COMPUTED_VALUE"""),41981.0)</f>
        <v>41981</v>
      </c>
      <c r="AC712">
        <f>IFERROR(__xludf.DUMMYFUNCTION("""COMPUTED_VALUE"""),22.0)</f>
        <v>22</v>
      </c>
      <c r="AD712" t="str">
        <f>IFERROR(__xludf.DUMMYFUNCTION("""COMPUTED_VALUE"""),"AUXILIAR")</f>
        <v>AUXILIAR</v>
      </c>
      <c r="AF712" s="46" t="str">
        <f>IFERROR(__xludf.DUMMYFUNCTION("""COMPUTED_VALUE"""),"PRORRECTORIA")</f>
        <v>PRORRECTORIA</v>
      </c>
      <c r="AH712" t="str">
        <f>IFERROR(__xludf.DUMMYFUNCTION("""COMPUTED_VALUE"""),"PROCESO DE SELECCIÓN")</f>
        <v>PROCESO DE SELECCIÓN</v>
      </c>
      <c r="AK712" t="str">
        <f>IFERROR(__xludf.DUMMYFUNCTION("""COMPUTED_VALUE"""),"P")</f>
        <v>P</v>
      </c>
      <c r="AL712">
        <f>IFERROR(__xludf.DUMMYFUNCTION("""COMPUTED_VALUE"""),91.0)</f>
        <v>91</v>
      </c>
      <c r="AM712">
        <f>IFERROR(__xludf.DUMMYFUNCTION("""COMPUTED_VALUE"""),2014.0)</f>
        <v>2014</v>
      </c>
    </row>
    <row r="713">
      <c r="A713">
        <f>IFERROR(__xludf.DUMMYFUNCTION("""COMPUTED_VALUE"""),1.0678201E7)</f>
        <v>10678201</v>
      </c>
      <c r="B713">
        <f>IFERROR(__xludf.DUMMYFUNCTION("""COMPUTED_VALUE"""),132.0)</f>
        <v>132</v>
      </c>
      <c r="D713" t="str">
        <f>IFERROR(__xludf.DUMMYFUNCTION("""COMPUTED_VALUE"""),"PRORRECTORIA")</f>
        <v>PRORRECTORIA</v>
      </c>
      <c r="E713" t="str">
        <f>IFERROR(__xludf.DUMMYFUNCTION("""COMPUTED_VALUE"""),"UNIDAD DE GESTION DEL CAMPUS")</f>
        <v>UNIDAD DE GESTION DEL CAMPUS</v>
      </c>
      <c r="F713" t="str">
        <f>IFERROR(__xludf.DUMMYFUNCTION("""COMPUTED_VALUE"""),"Administrativo de Apoyo")</f>
        <v>Administrativo de Apoyo</v>
      </c>
      <c r="G713" t="str">
        <f>IFERROR(__xludf.DUMMYFUNCTION("""COMPUTED_VALUE"""),"OPERADOR TELEFONICO")</f>
        <v>OPERADOR TELEFONICO</v>
      </c>
      <c r="H713">
        <f>IFERROR(__xludf.DUMMYFUNCTION("""COMPUTED_VALUE"""),20.0)</f>
        <v>20</v>
      </c>
      <c r="J713" t="str">
        <f>IFERROR(__xludf.DUMMYFUNCTION("""COMPUTED_VALUE"""),"A CONTRATA")</f>
        <v>A CONTRATA</v>
      </c>
      <c r="K713" t="str">
        <f>IFERROR(__xludf.DUMMYFUNCTION("""COMPUTED_VALUE"""),"ADMINISTRATIVO")</f>
        <v>ADMINISTRATIVO</v>
      </c>
      <c r="L713" t="str">
        <f>IFERROR(__xludf.DUMMYFUNCTION("""COMPUTED_VALUE"""),"INTERNO")</f>
        <v>INTERNO</v>
      </c>
      <c r="M713">
        <f>IFERROR(__xludf.DUMMYFUNCTION("""COMPUTED_VALUE"""),1.0)</f>
        <v>1</v>
      </c>
      <c r="N713" t="str">
        <f>IFERROR(__xludf.DUMMYFUNCTION("""COMPUTED_VALUE"""),"NO")</f>
        <v>NO</v>
      </c>
      <c r="P713">
        <f>IFERROR(__xludf.DUMMYFUNCTION("""COMPUTED_VALUE"""),1.0)</f>
        <v>1</v>
      </c>
      <c r="Q713">
        <f>IFERROR(__xludf.DUMMYFUNCTION("""COMPUTED_VALUE"""),0.0)</f>
        <v>0</v>
      </c>
      <c r="R713" s="45" t="str">
        <f>IFERROR(__xludf.DUMMYFUNCTION("""COMPUTED_VALUE"""),"SELECCIONADA")</f>
        <v>SELECCIONADA</v>
      </c>
      <c r="S713" s="38">
        <f>IFERROR(__xludf.DUMMYFUNCTION("""COMPUTED_VALUE"""),42095.0)</f>
        <v>42095</v>
      </c>
      <c r="T713" t="str">
        <f>IFERROR(__xludf.DUMMYFUNCTION("""COMPUTED_VALUE"""),"FANNY FARIAS MARTINEZ")</f>
        <v>FANNY FARIAS MARTINEZ</v>
      </c>
      <c r="V713" t="str">
        <f>IFERROR(__xludf.DUMMYFUNCTION("""COMPUTED_VALUE"""),"10678201-6")</f>
        <v>10678201-6</v>
      </c>
      <c r="W713" t="str">
        <f>IFERROR(__xludf.DUMMYFUNCTION("""COMPUTED_VALUE"""),"SI")</f>
        <v>SI</v>
      </c>
      <c r="X713" t="str">
        <f>IFERROR(__xludf.DUMMYFUNCTION("""COMPUTED_VALUE"""),"COMUNICACION")</f>
        <v>COMUNICACION</v>
      </c>
      <c r="Y713" t="str">
        <f>IFERROR(__xludf.DUMMYFUNCTION("""COMPUTED_VALUE"""),"CONCIENCIA ORGANIZACIONAL")</f>
        <v>CONCIENCIA ORGANIZACIONAL</v>
      </c>
      <c r="AA713" s="38">
        <f>IFERROR(__xludf.DUMMYFUNCTION("""COMPUTED_VALUE"""),41974.0)</f>
        <v>41974</v>
      </c>
      <c r="AB713" s="38">
        <f>IFERROR(__xludf.DUMMYFUNCTION("""COMPUTED_VALUE"""),41981.0)</f>
        <v>41981</v>
      </c>
      <c r="AC713">
        <f>IFERROR(__xludf.DUMMYFUNCTION("""COMPUTED_VALUE"""),22.0)</f>
        <v>22</v>
      </c>
      <c r="AD713" t="str">
        <f>IFERROR(__xludf.DUMMYFUNCTION("""COMPUTED_VALUE"""),"ADMINISTRATIVO")</f>
        <v>ADMINISTRATIVO</v>
      </c>
      <c r="AF713" s="46" t="str">
        <f>IFERROR(__xludf.DUMMYFUNCTION("""COMPUTED_VALUE"""),"UNIDAD DE ATENCION DE SALUD")</f>
        <v>UNIDAD DE ATENCION DE SALUD</v>
      </c>
      <c r="AH713" t="str">
        <f>IFERROR(__xludf.DUMMYFUNCTION("""COMPUTED_VALUE"""),"PROCESO DE SELECCIÓN")</f>
        <v>PROCESO DE SELECCIÓN</v>
      </c>
      <c r="AI713" t="str">
        <f>IFERROR(__xludf.DUMMYFUNCTION("""COMPUTED_VALUE"""),"ZULEMA LAVIN")</f>
        <v>ZULEMA LAVIN</v>
      </c>
      <c r="AK713" t="str">
        <f>IFERROR(__xludf.DUMMYFUNCTION("""COMPUTED_VALUE"""),"C")</f>
        <v>C</v>
      </c>
      <c r="AL713">
        <f>IFERROR(__xludf.DUMMYFUNCTION("""COMPUTED_VALUE"""),83.0)</f>
        <v>83</v>
      </c>
      <c r="AM713">
        <f>IFERROR(__xludf.DUMMYFUNCTION("""COMPUTED_VALUE"""),2014.0)</f>
        <v>2014</v>
      </c>
    </row>
    <row r="714">
      <c r="A714">
        <f>IFERROR(__xludf.DUMMYFUNCTION("""COMPUTED_VALUE"""),4436770.0)</f>
        <v>4436770</v>
      </c>
      <c r="B714">
        <f>IFERROR(__xludf.DUMMYFUNCTION("""COMPUTED_VALUE"""),133.0)</f>
        <v>133</v>
      </c>
      <c r="D714" t="str">
        <f>IFERROR(__xludf.DUMMYFUNCTION("""COMPUTED_VALUE"""),"PRORRECTORIA")</f>
        <v>PRORRECTORIA</v>
      </c>
      <c r="E714" t="str">
        <f>IFERROR(__xludf.DUMMYFUNCTION("""COMPUTED_VALUE"""),"UNIDAD DE GESTION DEL CAMPUS")</f>
        <v>UNIDAD DE GESTION DEL CAMPUS</v>
      </c>
      <c r="F714" t="str">
        <f>IFERROR(__xludf.DUMMYFUNCTION("""COMPUTED_VALUE"""),"Constructor Civil")</f>
        <v>Constructor Civil</v>
      </c>
      <c r="G714" t="str">
        <f>IFERROR(__xludf.DUMMYFUNCTION("""COMPUTED_VALUE"""),"CONSTRUCTOR CIVIL")</f>
        <v>CONSTRUCTOR CIVIL</v>
      </c>
      <c r="H714">
        <f>IFERROR(__xludf.DUMMYFUNCTION("""COMPUTED_VALUE"""),7.0)</f>
        <v>7</v>
      </c>
      <c r="J714" t="str">
        <f>IFERROR(__xludf.DUMMYFUNCTION("""COMPUTED_VALUE"""),"A CONTRATA")</f>
        <v>A CONTRATA</v>
      </c>
      <c r="K714" t="str">
        <f>IFERROR(__xludf.DUMMYFUNCTION("""COMPUTED_VALUE"""),"PROFESIONAL")</f>
        <v>PROFESIONAL</v>
      </c>
      <c r="L714" t="str">
        <f>IFERROR(__xludf.DUMMYFUNCTION("""COMPUTED_VALUE"""),"INTERNO")</f>
        <v>INTERNO</v>
      </c>
      <c r="M714">
        <f>IFERROR(__xludf.DUMMYFUNCTION("""COMPUTED_VALUE"""),1.0)</f>
        <v>1</v>
      </c>
      <c r="N714" t="str">
        <f>IFERROR(__xludf.DUMMYFUNCTION("""COMPUTED_VALUE"""),"NO")</f>
        <v>NO</v>
      </c>
      <c r="P714">
        <f>IFERROR(__xludf.DUMMYFUNCTION("""COMPUTED_VALUE"""),1.0)</f>
        <v>1</v>
      </c>
      <c r="Q714">
        <f>IFERROR(__xludf.DUMMYFUNCTION("""COMPUTED_VALUE"""),0.0)</f>
        <v>0</v>
      </c>
      <c r="R714" s="45" t="str">
        <f>IFERROR(__xludf.DUMMYFUNCTION("""COMPUTED_VALUE"""),"SELECCIONADO")</f>
        <v>SELECCIONADO</v>
      </c>
      <c r="S714" s="38">
        <f>IFERROR(__xludf.DUMMYFUNCTION("""COMPUTED_VALUE"""),42016.0)</f>
        <v>42016</v>
      </c>
      <c r="T714" t="str">
        <f>IFERROR(__xludf.DUMMYFUNCTION("""COMPUTED_VALUE"""),"JORGE ESCOBAR MORALES")</f>
        <v>JORGE ESCOBAR MORALES</v>
      </c>
      <c r="V714" t="str">
        <f>IFERROR(__xludf.DUMMYFUNCTION("""COMPUTED_VALUE"""),"04436770-K")</f>
        <v>04436770-K</v>
      </c>
      <c r="W714" t="str">
        <f>IFERROR(__xludf.DUMMYFUNCTION("""COMPUTED_VALUE"""),"No")</f>
        <v>No</v>
      </c>
      <c r="AA714" s="38">
        <f>IFERROR(__xludf.DUMMYFUNCTION("""COMPUTED_VALUE"""),41984.0)</f>
        <v>41984</v>
      </c>
      <c r="AB714" s="38">
        <f>IFERROR(__xludf.DUMMYFUNCTION("""COMPUTED_VALUE"""),41995.0)</f>
        <v>41995</v>
      </c>
      <c r="AD714" t="str">
        <f>IFERROR(__xludf.DUMMYFUNCTION("""COMPUTED_VALUE"""),"PROFESIONAL")</f>
        <v>PROFESIONAL</v>
      </c>
      <c r="AF714" s="46" t="str">
        <f>IFERROR(__xludf.DUMMYFUNCTION("""COMPUTED_VALUE"""),"UNIDAD DE GESTION DEL CAMPUS")</f>
        <v>UNIDAD DE GESTION DEL CAMPUS</v>
      </c>
      <c r="AH714" t="str">
        <f>IFERROR(__xludf.DUMMYFUNCTION("""COMPUTED_VALUE"""),"PROCESO DE SELECCIÓN")</f>
        <v>PROCESO DE SELECCIÓN</v>
      </c>
      <c r="AK714" t="str">
        <f>IFERROR(__xludf.DUMMYFUNCTION("""COMPUTED_VALUE"""),"P")</f>
        <v>P</v>
      </c>
      <c r="AL714">
        <f>IFERROR(__xludf.DUMMYFUNCTION("""COMPUTED_VALUE"""),16.0)</f>
        <v>16</v>
      </c>
      <c r="AM714">
        <f>IFERROR(__xludf.DUMMYFUNCTION("""COMPUTED_VALUE"""),2014.0)</f>
        <v>2014</v>
      </c>
    </row>
    <row r="715">
      <c r="A715">
        <f>IFERROR(__xludf.DUMMYFUNCTION("""COMPUTED_VALUE"""),1.3078261E7)</f>
        <v>13078261</v>
      </c>
      <c r="B715">
        <f>IFERROR(__xludf.DUMMYFUNCTION("""COMPUTED_VALUE"""),131.0)</f>
        <v>131</v>
      </c>
      <c r="D715" t="str">
        <f>IFERROR(__xludf.DUMMYFUNCTION("""COMPUTED_VALUE"""),"VICERRECTORIA DE VINCULACION CON EL MEDIO")</f>
        <v>VICERRECTORIA DE VINCULACION CON EL MEDIO</v>
      </c>
      <c r="E715" t="str">
        <f>IFERROR(__xludf.DUMMYFUNCTION("""COMPUTED_VALUE"""),"DEPARTAMENTO DE EDUCACION CONTINUA")</f>
        <v>DEPARTAMENTO DE EDUCACION CONTINUA</v>
      </c>
      <c r="F715" t="str">
        <f>IFERROR(__xludf.DUMMYFUNCTION("""COMPUTED_VALUE"""),"Analista de Gestión II")</f>
        <v>Analista de Gestión II</v>
      </c>
      <c r="G715" t="str">
        <f>IFERROR(__xludf.DUMMYFUNCTION("""COMPUTED_VALUE"""),"ANALISTA II")</f>
        <v>ANALISTA II</v>
      </c>
      <c r="H715">
        <f>IFERROR(__xludf.DUMMYFUNCTION("""COMPUTED_VALUE"""),13.0)</f>
        <v>13</v>
      </c>
      <c r="J715" t="str">
        <f>IFERROR(__xludf.DUMMYFUNCTION("""COMPUTED_VALUE"""),"A CONTRATA")</f>
        <v>A CONTRATA</v>
      </c>
      <c r="K715" t="str">
        <f>IFERROR(__xludf.DUMMYFUNCTION("""COMPUTED_VALUE"""),"PROFESIONAL")</f>
        <v>PROFESIONAL</v>
      </c>
      <c r="L715" t="str">
        <f>IFERROR(__xludf.DUMMYFUNCTION("""COMPUTED_VALUE"""),"INTERNO")</f>
        <v>INTERNO</v>
      </c>
      <c r="M715">
        <f>IFERROR(__xludf.DUMMYFUNCTION("""COMPUTED_VALUE"""),2.0)</f>
        <v>2</v>
      </c>
      <c r="N715" t="str">
        <f>IFERROR(__xludf.DUMMYFUNCTION("""COMPUTED_VALUE"""),"NO")</f>
        <v>NO</v>
      </c>
      <c r="P715">
        <f>IFERROR(__xludf.DUMMYFUNCTION("""COMPUTED_VALUE"""),2.0)</f>
        <v>2</v>
      </c>
      <c r="Q715">
        <f>IFERROR(__xludf.DUMMYFUNCTION("""COMPUTED_VALUE"""),0.0)</f>
        <v>0</v>
      </c>
      <c r="R715" s="45" t="str">
        <f>IFERROR(__xludf.DUMMYFUNCTION("""COMPUTED_VALUE"""),"SELECCIONADA")</f>
        <v>SELECCIONADA</v>
      </c>
      <c r="S715" s="38">
        <f>IFERROR(__xludf.DUMMYFUNCTION("""COMPUTED_VALUE"""),42072.0)</f>
        <v>42072</v>
      </c>
      <c r="T715" t="str">
        <f>IFERROR(__xludf.DUMMYFUNCTION("""COMPUTED_VALUE"""),"DANIELA VALLEJOS BELMAR")</f>
        <v>DANIELA VALLEJOS BELMAR</v>
      </c>
      <c r="V715" t="str">
        <f>IFERROR(__xludf.DUMMYFUNCTION("""COMPUTED_VALUE"""),"13078261-2")</f>
        <v>13078261-2</v>
      </c>
      <c r="W715" t="str">
        <f>IFERROR(__xludf.DUMMYFUNCTION("""COMPUTED_VALUE"""),"SI")</f>
        <v>SI</v>
      </c>
      <c r="AA715" s="38">
        <f>IFERROR(__xludf.DUMMYFUNCTION("""COMPUTED_VALUE"""),41995.0)</f>
        <v>41995</v>
      </c>
      <c r="AB715" s="38">
        <f>IFERROR(__xludf.DUMMYFUNCTION("""COMPUTED_VALUE"""),42002.0)</f>
        <v>42002</v>
      </c>
      <c r="AC715">
        <f>IFERROR(__xludf.DUMMYFUNCTION("""COMPUTED_VALUE"""),10.0)</f>
        <v>10</v>
      </c>
      <c r="AD715" t="str">
        <f>IFERROR(__xludf.DUMMYFUNCTION("""COMPUTED_VALUE"""),"ADMINISTRATIVO")</f>
        <v>ADMINISTRATIVO</v>
      </c>
      <c r="AF715" s="46" t="str">
        <f>IFERROR(__xludf.DUMMYFUNCTION("""COMPUTED_VALUE"""),"FACULTAD TECNOLOGICA")</f>
        <v>FACULTAD TECNOLOGICA</v>
      </c>
      <c r="AH715" t="str">
        <f>IFERROR(__xludf.DUMMYFUNCTION("""COMPUTED_VALUE"""),"PROCESO DE SELECCIÓN")</f>
        <v>PROCESO DE SELECCIÓN</v>
      </c>
      <c r="AK715" t="str">
        <f>IFERROR(__xludf.DUMMYFUNCTION("""COMPUTED_VALUE"""),"P")</f>
        <v>P</v>
      </c>
      <c r="AL715">
        <f>IFERROR(__xludf.DUMMYFUNCTION("""COMPUTED_VALUE"""),51.0)</f>
        <v>51</v>
      </c>
      <c r="AM715">
        <f>IFERROR(__xludf.DUMMYFUNCTION("""COMPUTED_VALUE"""),2014.0)</f>
        <v>2014</v>
      </c>
    </row>
    <row r="716">
      <c r="A716">
        <f>IFERROR(__xludf.DUMMYFUNCTION("""COMPUTED_VALUE"""),1.6909766E7)</f>
        <v>16909766</v>
      </c>
      <c r="B716">
        <f>IFERROR(__xludf.DUMMYFUNCTION("""COMPUTED_VALUE"""),114.0)</f>
        <v>114</v>
      </c>
      <c r="D716" t="str">
        <f>IFERROR(__xludf.DUMMYFUNCTION("""COMPUTED_VALUE"""),"PRORRECTORIA")</f>
        <v>PRORRECTORIA</v>
      </c>
      <c r="E716" t="str">
        <f>IFERROR(__xludf.DUMMYFUNCTION("""COMPUTED_VALUE"""),"DEPARTAMENTO DE FINANZAS Y TESORERIA")</f>
        <v>DEPARTAMENTO DE FINANZAS Y TESORERIA</v>
      </c>
      <c r="F716" t="str">
        <f>IFERROR(__xludf.DUMMYFUNCTION("""COMPUTED_VALUE"""),"Jefe de Sección")</f>
        <v>Jefe de Sección</v>
      </c>
      <c r="G716" t="str">
        <f>IFERROR(__xludf.DUMMYFUNCTION("""COMPUTED_VALUE"""),"JEFE DE SECCION ACTIVO FIJO")</f>
        <v>JEFE DE SECCION ACTIVO FIJO</v>
      </c>
      <c r="H716">
        <f>IFERROR(__xludf.DUMMYFUNCTION("""COMPUTED_VALUE"""),10.0)</f>
        <v>10</v>
      </c>
      <c r="J716" t="str">
        <f>IFERROR(__xludf.DUMMYFUNCTION("""COMPUTED_VALUE"""),"A CONTRATA")</f>
        <v>A CONTRATA</v>
      </c>
      <c r="K716" t="str">
        <f>IFERROR(__xludf.DUMMYFUNCTION("""COMPUTED_VALUE"""),"PROFESIONAL")</f>
        <v>PROFESIONAL</v>
      </c>
      <c r="L716" t="str">
        <f>IFERROR(__xludf.DUMMYFUNCTION("""COMPUTED_VALUE"""),"INTERNO")</f>
        <v>INTERNO</v>
      </c>
      <c r="M716">
        <f>IFERROR(__xludf.DUMMYFUNCTION("""COMPUTED_VALUE"""),6.0)</f>
        <v>6</v>
      </c>
      <c r="N716" t="str">
        <f>IFERROR(__xludf.DUMMYFUNCTION("""COMPUTED_VALUE"""),"EXTERNO")</f>
        <v>EXTERNO</v>
      </c>
      <c r="O716">
        <f>IFERROR(__xludf.DUMMYFUNCTION("""COMPUTED_VALUE"""),6.0)</f>
        <v>6</v>
      </c>
      <c r="P716">
        <f>IFERROR(__xludf.DUMMYFUNCTION("""COMPUTED_VALUE"""),2.0)</f>
        <v>2</v>
      </c>
      <c r="Q716">
        <f>IFERROR(__xludf.DUMMYFUNCTION("""COMPUTED_VALUE"""),1.0)</f>
        <v>1</v>
      </c>
      <c r="R716" s="45" t="str">
        <f>IFERROR(__xludf.DUMMYFUNCTION("""COMPUTED_VALUE"""),"SELECCIONADA")</f>
        <v>SELECCIONADA</v>
      </c>
      <c r="S716" s="38">
        <f>IFERROR(__xludf.DUMMYFUNCTION("""COMPUTED_VALUE"""),42027.0)</f>
        <v>42027</v>
      </c>
      <c r="U716" t="str">
        <f>IFERROR(__xludf.DUMMYFUNCTION("""COMPUTED_VALUE"""),"JESSICA MALDONADO HERMOSILLA")</f>
        <v>JESSICA MALDONADO HERMOSILLA</v>
      </c>
      <c r="V716" t="str">
        <f>IFERROR(__xludf.DUMMYFUNCTION("""COMPUTED_VALUE"""),"16909766-6")</f>
        <v>16909766-6</v>
      </c>
      <c r="W716" t="str">
        <f>IFERROR(__xludf.DUMMYFUNCTION("""COMPUTED_VALUE"""),"SI")</f>
        <v>SI</v>
      </c>
      <c r="Z716" t="str">
        <f>IFERROR(__xludf.DUMMYFUNCTION("""COMPUTED_VALUE"""),"ORIENTACION A LOS RESULTADOS")</f>
        <v>ORIENTACION A LOS RESULTADOS</v>
      </c>
      <c r="AA716" s="38">
        <f>IFERROR(__xludf.DUMMYFUNCTION("""COMPUTED_VALUE"""),41694.0)</f>
        <v>41694</v>
      </c>
      <c r="AB716" s="38">
        <f>IFERROR(__xludf.DUMMYFUNCTION("""COMPUTED_VALUE"""),42009.0)</f>
        <v>42009</v>
      </c>
      <c r="AH716" t="str">
        <f>IFERROR(__xludf.DUMMYFUNCTION("""COMPUTED_VALUE"""),"PROCESO DE SELECCIÓN")</f>
        <v>PROCESO DE SELECCIÓN</v>
      </c>
      <c r="AI716" t="str">
        <f>IFERROR(__xludf.DUMMYFUNCTION("""COMPUTED_VALUE"""),"JOSE HERNANDEZ KAISER")</f>
        <v>JOSE HERNANDEZ KAISER</v>
      </c>
      <c r="AK716" t="str">
        <f>IFERROR(__xludf.DUMMYFUNCTION("""COMPUTED_VALUE"""),"C")</f>
        <v>C</v>
      </c>
      <c r="AL716">
        <f>IFERROR(__xludf.DUMMYFUNCTION("""COMPUTED_VALUE"""),15.0)</f>
        <v>15</v>
      </c>
      <c r="AM716">
        <f>IFERROR(__xludf.DUMMYFUNCTION("""COMPUTED_VALUE"""),2014.0)</f>
        <v>2014</v>
      </c>
    </row>
    <row r="717">
      <c r="A717">
        <f>IFERROR(__xludf.DUMMYFUNCTION("""COMPUTED_VALUE"""),1.5415839E7)</f>
        <v>15415839</v>
      </c>
      <c r="B717">
        <f>IFERROR(__xludf.DUMMYFUNCTION("""COMPUTED_VALUE"""),116.0)</f>
        <v>116</v>
      </c>
      <c r="D717" t="str">
        <f>IFERROR(__xludf.DUMMYFUNCTION("""COMPUTED_VALUE"""),"VICERRECTORIA ACADEMICA")</f>
        <v>VICERRECTORIA ACADEMICA</v>
      </c>
      <c r="E717" t="str">
        <f>IFERROR(__xludf.DUMMYFUNCTION("""COMPUTED_VALUE"""),"UNIDAD DE BIBLIOTECAS")</f>
        <v>UNIDAD DE BIBLIOTECAS</v>
      </c>
      <c r="F717" t="str">
        <f>IFERROR(__xludf.DUMMYFUNCTION("""COMPUTED_VALUE"""),"Asistente de Biblioteca")</f>
        <v>Asistente de Biblioteca</v>
      </c>
      <c r="G717" t="str">
        <f>IFERROR(__xludf.DUMMYFUNCTION("""COMPUTED_VALUE"""),"ASISTENTE DE BIBLIOTECA")</f>
        <v>ASISTENTE DE BIBLIOTECA</v>
      </c>
      <c r="H717">
        <f>IFERROR(__xludf.DUMMYFUNCTION("""COMPUTED_VALUE"""),20.0)</f>
        <v>20</v>
      </c>
      <c r="J717" t="str">
        <f>IFERROR(__xludf.DUMMYFUNCTION("""COMPUTED_VALUE"""),"A CONTRATA")</f>
        <v>A CONTRATA</v>
      </c>
      <c r="K717" t="str">
        <f>IFERROR(__xludf.DUMMYFUNCTION("""COMPUTED_VALUE"""),"ADMINISTRATIVO")</f>
        <v>ADMINISTRATIVO</v>
      </c>
      <c r="L717" t="str">
        <f>IFERROR(__xludf.DUMMYFUNCTION("""COMPUTED_VALUE"""),"INTERNO")</f>
        <v>INTERNO</v>
      </c>
      <c r="M717">
        <f>IFERROR(__xludf.DUMMYFUNCTION("""COMPUTED_VALUE"""),1.0)</f>
        <v>1</v>
      </c>
      <c r="N717" t="str">
        <f>IFERROR(__xludf.DUMMYFUNCTION("""COMPUTED_VALUE"""),"NO")</f>
        <v>NO</v>
      </c>
      <c r="P717">
        <f>IFERROR(__xludf.DUMMYFUNCTION("""COMPUTED_VALUE"""),1.0)</f>
        <v>1</v>
      </c>
      <c r="R717" s="45" t="str">
        <f>IFERROR(__xludf.DUMMYFUNCTION("""COMPUTED_VALUE"""),"SELECCIONADA")</f>
        <v>SELECCIONADA</v>
      </c>
      <c r="S717" s="38">
        <f>IFERROR(__xludf.DUMMYFUNCTION("""COMPUTED_VALUE"""),42065.0)</f>
        <v>42065</v>
      </c>
      <c r="T717" t="str">
        <f>IFERROR(__xludf.DUMMYFUNCTION("""COMPUTED_VALUE"""),"KATHERINE VALLEJOS BARRIENTOS")</f>
        <v>KATHERINE VALLEJOS BARRIENTOS</v>
      </c>
      <c r="V717" t="str">
        <f>IFERROR(__xludf.DUMMYFUNCTION("""COMPUTED_VALUE"""),"15415839-1")</f>
        <v>15415839-1</v>
      </c>
      <c r="W717" t="str">
        <f>IFERROR(__xludf.DUMMYFUNCTION("""COMPUTED_VALUE"""),"No")</f>
        <v>No</v>
      </c>
      <c r="AA717" s="38">
        <f>IFERROR(__xludf.DUMMYFUNCTION("""COMPUTED_VALUE"""),41997.0)</f>
        <v>41997</v>
      </c>
      <c r="AB717" s="38">
        <f>IFERROR(__xludf.DUMMYFUNCTION("""COMPUTED_VALUE"""),42009.0)</f>
        <v>42009</v>
      </c>
      <c r="AC717">
        <f>IFERROR(__xludf.DUMMYFUNCTION("""COMPUTED_VALUE"""),21.0)</f>
        <v>21</v>
      </c>
      <c r="AD717" t="str">
        <f>IFERROR(__xludf.DUMMYFUNCTION("""COMPUTED_VALUE"""),"AUXILIAR")</f>
        <v>AUXILIAR</v>
      </c>
      <c r="AF717" s="46" t="str">
        <f>IFERROR(__xludf.DUMMYFUNCTION("""COMPUTED_VALUE"""),"UNIDAD DE BIBLIOTECAS")</f>
        <v>UNIDAD DE BIBLIOTECAS</v>
      </c>
      <c r="AH717" t="str">
        <f>IFERROR(__xludf.DUMMYFUNCTION("""COMPUTED_VALUE"""),"PROCESO DE SELECCIÓN")</f>
        <v>PROCESO DE SELECCIÓN</v>
      </c>
      <c r="AK717" t="str">
        <f>IFERROR(__xludf.DUMMYFUNCTION("""COMPUTED_VALUE"""),"P")</f>
        <v>P</v>
      </c>
      <c r="AL717">
        <f>IFERROR(__xludf.DUMMYFUNCTION("""COMPUTED_VALUE"""),41.0)</f>
        <v>41</v>
      </c>
      <c r="AM717">
        <f>IFERROR(__xludf.DUMMYFUNCTION("""COMPUTED_VALUE"""),2014.0)</f>
        <v>2014</v>
      </c>
    </row>
    <row r="718">
      <c r="A718">
        <f>IFERROR(__xludf.DUMMYFUNCTION("""COMPUTED_VALUE"""),1.4318501E7)</f>
        <v>14318501</v>
      </c>
      <c r="B718">
        <f>IFERROR(__xludf.DUMMYFUNCTION("""COMPUTED_VALUE"""),119.0)</f>
        <v>119</v>
      </c>
      <c r="D718" t="str">
        <f>IFERROR(__xludf.DUMMYFUNCTION("""COMPUTED_VALUE"""),"FACULTAD DE CIENCIAS MEDICAS")</f>
        <v>FACULTAD DE CIENCIAS MEDICAS</v>
      </c>
      <c r="E718" t="str">
        <f>IFERROR(__xludf.DUMMYFUNCTION("""COMPUTED_VALUE"""),"FACULTAD DE CIENCIAS MEDICAS")</f>
        <v>FACULTAD DE CIENCIAS MEDICAS</v>
      </c>
      <c r="F718" t="str">
        <f>IFERROR(__xludf.DUMMYFUNCTION("""COMPUTED_VALUE"""),"Registrador Curricular")</f>
        <v>Registrador Curricular</v>
      </c>
      <c r="G718" t="str">
        <f>IFERROR(__xludf.DUMMYFUNCTION("""COMPUTED_VALUE"""),"REGISTRADOR CURRICULAR")</f>
        <v>REGISTRADOR CURRICULAR</v>
      </c>
      <c r="H718">
        <f>IFERROR(__xludf.DUMMYFUNCTION("""COMPUTED_VALUE"""),10.0)</f>
        <v>10</v>
      </c>
      <c r="J718" t="str">
        <f>IFERROR(__xludf.DUMMYFUNCTION("""COMPUTED_VALUE"""),"A CONTRATA")</f>
        <v>A CONTRATA</v>
      </c>
      <c r="K718" t="str">
        <f>IFERROR(__xludf.DUMMYFUNCTION("""COMPUTED_VALUE"""),"PROFESIONAL")</f>
        <v>PROFESIONAL</v>
      </c>
      <c r="L718" t="str">
        <f>IFERROR(__xludf.DUMMYFUNCTION("""COMPUTED_VALUE"""),"INTERNO")</f>
        <v>INTERNO</v>
      </c>
      <c r="M718">
        <f>IFERROR(__xludf.DUMMYFUNCTION("""COMPUTED_VALUE"""),6.0)</f>
        <v>6</v>
      </c>
      <c r="N718" t="str">
        <f>IFERROR(__xludf.DUMMYFUNCTION("""COMPUTED_VALUE"""),"NO")</f>
        <v>NO</v>
      </c>
      <c r="P718">
        <f>IFERROR(__xludf.DUMMYFUNCTION("""COMPUTED_VALUE"""),3.0)</f>
        <v>3</v>
      </c>
      <c r="Q718">
        <f>IFERROR(__xludf.DUMMYFUNCTION("""COMPUTED_VALUE"""),0.0)</f>
        <v>0</v>
      </c>
      <c r="R718" s="45" t="str">
        <f>IFERROR(__xludf.DUMMYFUNCTION("""COMPUTED_VALUE"""),"SELECCIONADA")</f>
        <v>SELECCIONADA</v>
      </c>
      <c r="S718" s="38">
        <f>IFERROR(__xludf.DUMMYFUNCTION("""COMPUTED_VALUE"""),42086.0)</f>
        <v>42086</v>
      </c>
      <c r="T718" t="str">
        <f>IFERROR(__xludf.DUMMYFUNCTION("""COMPUTED_VALUE"""),"SILVIA ESTOLAZA NUNEZ")</f>
        <v>SILVIA ESTOLAZA NUNEZ</v>
      </c>
      <c r="V718" t="str">
        <f>IFERROR(__xludf.DUMMYFUNCTION("""COMPUTED_VALUE"""),"14318501-K")</f>
        <v>14318501-K</v>
      </c>
      <c r="W718" t="str">
        <f>IFERROR(__xludf.DUMMYFUNCTION("""COMPUTED_VALUE"""),"SI")</f>
        <v>SI</v>
      </c>
      <c r="X718" t="str">
        <f>IFERROR(__xludf.DUMMYFUNCTION("""COMPUTED_VALUE"""),"Capacidad de Planificacion y Organizacion")</f>
        <v>Capacidad de Planificacion y Organizacion</v>
      </c>
      <c r="AA718" s="38">
        <f>IFERROR(__xludf.DUMMYFUNCTION("""COMPUTED_VALUE"""),41997.0)</f>
        <v>41997</v>
      </c>
      <c r="AB718" s="38">
        <f>IFERROR(__xludf.DUMMYFUNCTION("""COMPUTED_VALUE"""),42009.0)</f>
        <v>42009</v>
      </c>
      <c r="AC718">
        <f>IFERROR(__xludf.DUMMYFUNCTION("""COMPUTED_VALUE"""),17.0)</f>
        <v>17</v>
      </c>
      <c r="AD718" t="str">
        <f>IFERROR(__xludf.DUMMYFUNCTION("""COMPUTED_VALUE"""),"ADMINISTRATIVO")</f>
        <v>ADMINISTRATIVO</v>
      </c>
      <c r="AF718" s="46" t="str">
        <f>IFERROR(__xludf.DUMMYFUNCTION("""COMPUTED_VALUE"""),"FACULTAD DE CIENCIAS MEDICAS")</f>
        <v>FACULTAD DE CIENCIAS MEDICAS</v>
      </c>
      <c r="AH718" t="str">
        <f>IFERROR(__xludf.DUMMYFUNCTION("""COMPUTED_VALUE"""),"PROCESO DE SELECCIÓN")</f>
        <v>PROCESO DE SELECCIÓN</v>
      </c>
      <c r="AK718" t="str">
        <f>IFERROR(__xludf.DUMMYFUNCTION("""COMPUTED_VALUE"""),"P")</f>
        <v>P</v>
      </c>
      <c r="AL718">
        <f>IFERROR(__xludf.DUMMYFUNCTION("""COMPUTED_VALUE"""),56.0)</f>
        <v>56</v>
      </c>
      <c r="AM718">
        <f>IFERROR(__xludf.DUMMYFUNCTION("""COMPUTED_VALUE"""),2014.0)</f>
        <v>2014</v>
      </c>
    </row>
    <row r="719">
      <c r="A719">
        <f>IFERROR(__xludf.DUMMYFUNCTION("""COMPUTED_VALUE"""),1.5585855E7)</f>
        <v>15585855</v>
      </c>
      <c r="B719">
        <f>IFERROR(__xludf.DUMMYFUNCTION("""COMPUTED_VALUE"""),115.0)</f>
        <v>115</v>
      </c>
      <c r="D719" t="str">
        <f>IFERROR(__xludf.DUMMYFUNCTION("""COMPUTED_VALUE"""),"PRORRECTORIA")</f>
        <v>PRORRECTORIA</v>
      </c>
      <c r="E719" t="str">
        <f>IFERROR(__xludf.DUMMYFUNCTION("""COMPUTED_VALUE"""),"DEPARTAMENTO DE FINANZAS Y TESORERIA")</f>
        <v>DEPARTAMENTO DE FINANZAS Y TESORERIA</v>
      </c>
      <c r="F719" t="str">
        <f>IFERROR(__xludf.DUMMYFUNCTION("""COMPUTED_VALUE"""),"Administrativo Contable")</f>
        <v>Administrativo Contable</v>
      </c>
      <c r="G719" t="str">
        <f>IFERROR(__xludf.DUMMYFUNCTION("""COMPUTED_VALUE"""),"ADMINISTRATIVO CONTABLE")</f>
        <v>ADMINISTRATIVO CONTABLE</v>
      </c>
      <c r="H719">
        <f>IFERROR(__xludf.DUMMYFUNCTION("""COMPUTED_VALUE"""),17.0)</f>
        <v>17</v>
      </c>
      <c r="J719" t="str">
        <f>IFERROR(__xludf.DUMMYFUNCTION("""COMPUTED_VALUE"""),"A CONTRATA")</f>
        <v>A CONTRATA</v>
      </c>
      <c r="K719" t="str">
        <f>IFERROR(__xludf.DUMMYFUNCTION("""COMPUTED_VALUE"""),"TECNICO")</f>
        <v>TECNICO</v>
      </c>
      <c r="L719" t="str">
        <f>IFERROR(__xludf.DUMMYFUNCTION("""COMPUTED_VALUE"""),"INTERNO")</f>
        <v>INTERNO</v>
      </c>
      <c r="M719">
        <f>IFERROR(__xludf.DUMMYFUNCTION("""COMPUTED_VALUE"""),0.0)</f>
        <v>0</v>
      </c>
      <c r="N719" t="str">
        <f>IFERROR(__xludf.DUMMYFUNCTION("""COMPUTED_VALUE"""),"EXTERNO")</f>
        <v>EXTERNO</v>
      </c>
      <c r="O719">
        <f>IFERROR(__xludf.DUMMYFUNCTION("""COMPUTED_VALUE"""),6.0)</f>
        <v>6</v>
      </c>
      <c r="P719">
        <f>IFERROR(__xludf.DUMMYFUNCTION("""COMPUTED_VALUE"""),2.0)</f>
        <v>2</v>
      </c>
      <c r="Q719">
        <f>IFERROR(__xludf.DUMMYFUNCTION("""COMPUTED_VALUE"""),1.0)</f>
        <v>1</v>
      </c>
      <c r="R719" s="45" t="str">
        <f>IFERROR(__xludf.DUMMYFUNCTION("""COMPUTED_VALUE"""),"SELECCIONADO")</f>
        <v>SELECCIONADO</v>
      </c>
      <c r="S719" s="38">
        <f>IFERROR(__xludf.DUMMYFUNCTION("""COMPUTED_VALUE"""),42037.0)</f>
        <v>42037</v>
      </c>
      <c r="U719" t="str">
        <f>IFERROR(__xludf.DUMMYFUNCTION("""COMPUTED_VALUE"""),"JORGE VEGA QUINTANILLA")</f>
        <v>JORGE VEGA QUINTANILLA</v>
      </c>
      <c r="V719" t="str">
        <f>IFERROR(__xludf.DUMMYFUNCTION("""COMPUTED_VALUE"""),"15585855-9")</f>
        <v>15585855-9</v>
      </c>
      <c r="W719" t="str">
        <f>IFERROR(__xludf.DUMMYFUNCTION("""COMPUTED_VALUE"""),"No")</f>
        <v>No</v>
      </c>
      <c r="AA719" s="38">
        <f>IFERROR(__xludf.DUMMYFUNCTION("""COMPUTED_VALUE"""),42010.0)</f>
        <v>42010</v>
      </c>
      <c r="AB719" s="38">
        <f>IFERROR(__xludf.DUMMYFUNCTION("""COMPUTED_VALUE"""),42013.0)</f>
        <v>42013</v>
      </c>
      <c r="AH719" t="str">
        <f>IFERROR(__xludf.DUMMYFUNCTION("""COMPUTED_VALUE"""),"PROCESO DE SELECCIÓN")</f>
        <v>PROCESO DE SELECCIÓN</v>
      </c>
      <c r="AI719" t="str">
        <f>IFERROR(__xludf.DUMMYFUNCTION("""COMPUTED_VALUE"""),"SAMUEL BECERRA")</f>
        <v>SAMUEL BECERRA</v>
      </c>
      <c r="AL719">
        <f>IFERROR(__xludf.DUMMYFUNCTION("""COMPUTED_VALUE"""),17.0)</f>
        <v>17</v>
      </c>
      <c r="AM719">
        <f>IFERROR(__xludf.DUMMYFUNCTION("""COMPUTED_VALUE"""),2014.0)</f>
        <v>2014</v>
      </c>
    </row>
    <row r="720">
      <c r="A720">
        <f>IFERROR(__xludf.DUMMYFUNCTION("""COMPUTED_VALUE"""),1.5921217E7)</f>
        <v>15921217</v>
      </c>
      <c r="B720">
        <f>IFERROR(__xludf.DUMMYFUNCTION("""COMPUTED_VALUE"""),113.0)</f>
        <v>113</v>
      </c>
      <c r="D720" t="str">
        <f>IFERROR(__xludf.DUMMYFUNCTION("""COMPUTED_VALUE"""),"VICERRECTORIA DE VINCULACION CON EL MEDIO")</f>
        <v>VICERRECTORIA DE VINCULACION CON EL MEDIO</v>
      </c>
      <c r="E720" t="str">
        <f>IFERROR(__xludf.DUMMYFUNCTION("""COMPUTED_VALUE"""),"PROGRAMA DE RESPONSABILIDAD SOCIAL UNIVERSITARIA")</f>
        <v>PROGRAMA DE RESPONSABILIDAD SOCIAL UNIVERSITARIA</v>
      </c>
      <c r="F720" t="str">
        <f>IFERROR(__xludf.DUMMYFUNCTION("""COMPUTED_VALUE"""),"Jefe de Área")</f>
        <v>Jefe de Área</v>
      </c>
      <c r="G720" t="str">
        <f>IFERROR(__xludf.DUMMYFUNCTION("""COMPUTED_VALUE"""),"JEFE DE AREA")</f>
        <v>JEFE DE AREA</v>
      </c>
      <c r="H720">
        <f>IFERROR(__xludf.DUMMYFUNCTION("""COMPUTED_VALUE"""),6.0)</f>
        <v>6</v>
      </c>
      <c r="J720" t="str">
        <f>IFERROR(__xludf.DUMMYFUNCTION("""COMPUTED_VALUE"""),"A CONTRATA")</f>
        <v>A CONTRATA</v>
      </c>
      <c r="K720" t="str">
        <f>IFERROR(__xludf.DUMMYFUNCTION("""COMPUTED_VALUE"""),"PROFESIONAL")</f>
        <v>PROFESIONAL</v>
      </c>
      <c r="L720" t="str">
        <f>IFERROR(__xludf.DUMMYFUNCTION("""COMPUTED_VALUE"""),"INTERNO")</f>
        <v>INTERNO</v>
      </c>
      <c r="M720">
        <f>IFERROR(__xludf.DUMMYFUNCTION("""COMPUTED_VALUE"""),5.0)</f>
        <v>5</v>
      </c>
      <c r="N720" t="str">
        <f>IFERROR(__xludf.DUMMYFUNCTION("""COMPUTED_VALUE"""),"NO")</f>
        <v>NO</v>
      </c>
      <c r="P720">
        <f>IFERROR(__xludf.DUMMYFUNCTION("""COMPUTED_VALUE"""),2.0)</f>
        <v>2</v>
      </c>
      <c r="Q720">
        <f>IFERROR(__xludf.DUMMYFUNCTION("""COMPUTED_VALUE"""),0.0)</f>
        <v>0</v>
      </c>
      <c r="R720" s="45" t="str">
        <f>IFERROR(__xludf.DUMMYFUNCTION("""COMPUTED_VALUE"""),"SELECCIONADA")</f>
        <v>SELECCIONADA</v>
      </c>
      <c r="S720" s="38">
        <f>IFERROR(__xludf.DUMMYFUNCTION("""COMPUTED_VALUE"""),42072.0)</f>
        <v>42072</v>
      </c>
      <c r="T720" t="str">
        <f>IFERROR(__xludf.DUMMYFUNCTION("""COMPUTED_VALUE"""),"ANA CAROLINA ORTIZ LANDAETA")</f>
        <v>ANA CAROLINA ORTIZ LANDAETA</v>
      </c>
      <c r="V720" t="str">
        <f>IFERROR(__xludf.DUMMYFUNCTION("""COMPUTED_VALUE"""),"15921217-3")</f>
        <v>15921217-3</v>
      </c>
      <c r="W720" t="str">
        <f>IFERROR(__xludf.DUMMYFUNCTION("""COMPUTED_VALUE"""),"No")</f>
        <v>No</v>
      </c>
      <c r="AA720" s="38">
        <f>IFERROR(__xludf.DUMMYFUNCTION("""COMPUTED_VALUE"""),42003.0)</f>
        <v>42003</v>
      </c>
      <c r="AB720" s="38">
        <f>IFERROR(__xludf.DUMMYFUNCTION("""COMPUTED_VALUE"""),42013.0)</f>
        <v>42013</v>
      </c>
      <c r="AC720">
        <f>IFERROR(__xludf.DUMMYFUNCTION("""COMPUTED_VALUE"""),8.0)</f>
        <v>8</v>
      </c>
      <c r="AD720" t="str">
        <f>IFERROR(__xludf.DUMMYFUNCTION("""COMPUTED_VALUE"""),"PROFESIONAL")</f>
        <v>PROFESIONAL</v>
      </c>
      <c r="AF720" s="46" t="str">
        <f>IFERROR(__xludf.DUMMYFUNCTION("""COMPUTED_VALUE"""),"PRORRECTORIA")</f>
        <v>PRORRECTORIA</v>
      </c>
      <c r="AH720" t="str">
        <f>IFERROR(__xludf.DUMMYFUNCTION("""COMPUTED_VALUE"""),"PROCESO DE SELECCIÓN")</f>
        <v>PROCESO DE SELECCIÓN</v>
      </c>
      <c r="AK720" t="str">
        <f>IFERROR(__xludf.DUMMYFUNCTION("""COMPUTED_VALUE"""),"P")</f>
        <v>P</v>
      </c>
      <c r="AL720">
        <f>IFERROR(__xludf.DUMMYFUNCTION("""COMPUTED_VALUE"""),42.0)</f>
        <v>42</v>
      </c>
      <c r="AM720">
        <f>IFERROR(__xludf.DUMMYFUNCTION("""COMPUTED_VALUE"""),2014.0)</f>
        <v>2014</v>
      </c>
    </row>
    <row r="721">
      <c r="A721">
        <f>IFERROR(__xludf.DUMMYFUNCTION("""COMPUTED_VALUE"""),9765223.0)</f>
        <v>9765223</v>
      </c>
      <c r="B721">
        <f>IFERROR(__xludf.DUMMYFUNCTION("""COMPUTED_VALUE"""),126.0)</f>
        <v>126</v>
      </c>
      <c r="D721" t="str">
        <f>IFERROR(__xludf.DUMMYFUNCTION("""COMPUTED_VALUE"""),"PRORRECTORIA")</f>
        <v>PRORRECTORIA</v>
      </c>
      <c r="E721" t="str">
        <f>IFERROR(__xludf.DUMMYFUNCTION("""COMPUTED_VALUE"""),"DEPARTAMENTO DE RECURSOS HUMANOS")</f>
        <v>DEPARTAMENTO DE RECURSOS HUMANOS</v>
      </c>
      <c r="F721" t="str">
        <f>IFERROR(__xludf.DUMMYFUNCTION("""COMPUTED_VALUE"""),"Estafeta")</f>
        <v>Estafeta</v>
      </c>
      <c r="G721" t="str">
        <f>IFERROR(__xludf.DUMMYFUNCTION("""COMPUTED_VALUE"""),"ESTAFETA")</f>
        <v>ESTAFETA</v>
      </c>
      <c r="H721">
        <f>IFERROR(__xludf.DUMMYFUNCTION("""COMPUTED_VALUE"""),23.0)</f>
        <v>23</v>
      </c>
      <c r="J721" t="str">
        <f>IFERROR(__xludf.DUMMYFUNCTION("""COMPUTED_VALUE"""),"A CONTRATA")</f>
        <v>A CONTRATA</v>
      </c>
      <c r="K721" t="str">
        <f>IFERROR(__xludf.DUMMYFUNCTION("""COMPUTED_VALUE"""),"AUXILIAR")</f>
        <v>AUXILIAR</v>
      </c>
      <c r="L721" t="str">
        <f>IFERROR(__xludf.DUMMYFUNCTION("""COMPUTED_VALUE"""),"INTERNO")</f>
        <v>INTERNO</v>
      </c>
      <c r="M721">
        <f>IFERROR(__xludf.DUMMYFUNCTION("""COMPUTED_VALUE"""),0.0)</f>
        <v>0</v>
      </c>
      <c r="N721" t="str">
        <f>IFERROR(__xludf.DUMMYFUNCTION("""COMPUTED_VALUE"""),"EXTERNO")</f>
        <v>EXTERNO</v>
      </c>
      <c r="O721">
        <f>IFERROR(__xludf.DUMMYFUNCTION("""COMPUTED_VALUE"""),15.0)</f>
        <v>15</v>
      </c>
      <c r="P721">
        <f>IFERROR(__xludf.DUMMYFUNCTION("""COMPUTED_VALUE"""),2.0)</f>
        <v>2</v>
      </c>
      <c r="Q721">
        <f>IFERROR(__xludf.DUMMYFUNCTION("""COMPUTED_VALUE"""),1.0)</f>
        <v>1</v>
      </c>
      <c r="R721" s="45" t="str">
        <f>IFERROR(__xludf.DUMMYFUNCTION("""COMPUTED_VALUE"""),"SELECCIONADO")</f>
        <v>SELECCIONADO</v>
      </c>
      <c r="S721" s="38">
        <f>IFERROR(__xludf.DUMMYFUNCTION("""COMPUTED_VALUE"""),42069.0)</f>
        <v>42069</v>
      </c>
      <c r="U721" t="str">
        <f>IFERROR(__xludf.DUMMYFUNCTION("""COMPUTED_VALUE"""),"GEORGE RIQUELME CABRERA")</f>
        <v>GEORGE RIQUELME CABRERA</v>
      </c>
      <c r="V721" t="str">
        <f>IFERROR(__xludf.DUMMYFUNCTION("""COMPUTED_VALUE"""),"09765223-6")</f>
        <v>09765223-6</v>
      </c>
      <c r="W721" t="str">
        <f>IFERROR(__xludf.DUMMYFUNCTION("""COMPUTED_VALUE"""),"NO")</f>
        <v>NO</v>
      </c>
      <c r="AA721" s="38">
        <f>IFERROR(__xludf.DUMMYFUNCTION("""COMPUTED_VALUE"""),42018.0)</f>
        <v>42018</v>
      </c>
      <c r="AB721" s="38">
        <f>IFERROR(__xludf.DUMMYFUNCTION("""COMPUTED_VALUE"""),42023.0)</f>
        <v>42023</v>
      </c>
      <c r="AH721" t="str">
        <f>IFERROR(__xludf.DUMMYFUNCTION("""COMPUTED_VALUE"""),"PROCESO DE SELECCIÓN")</f>
        <v>PROCESO DE SELECCIÓN</v>
      </c>
      <c r="AI721" t="str">
        <f>IFERROR(__xludf.DUMMYFUNCTION("""COMPUTED_VALUE"""),"ROSALINDO ROJAS")</f>
        <v>ROSALINDO ROJAS</v>
      </c>
      <c r="AK721" t="str">
        <f>IFERROR(__xludf.DUMMYFUNCTION("""COMPUTED_VALUE"""),"C")</f>
        <v>C</v>
      </c>
      <c r="AL721">
        <f>IFERROR(__xludf.DUMMYFUNCTION("""COMPUTED_VALUE"""),35.0)</f>
        <v>35</v>
      </c>
      <c r="AM721">
        <f>IFERROR(__xludf.DUMMYFUNCTION("""COMPUTED_VALUE"""),2014.0)</f>
        <v>2014</v>
      </c>
    </row>
    <row r="722">
      <c r="A722">
        <f>IFERROR(__xludf.DUMMYFUNCTION("""COMPUTED_VALUE"""),1.5422866E7)</f>
        <v>15422866</v>
      </c>
      <c r="B722">
        <f>IFERROR(__xludf.DUMMYFUNCTION("""COMPUTED_VALUE"""),127.0)</f>
        <v>127</v>
      </c>
      <c r="D722" t="str">
        <f>IFERROR(__xludf.DUMMYFUNCTION("""COMPUTED_VALUE"""),"FACULTAD DE INGENIERIA")</f>
        <v>FACULTAD DE INGENIERIA</v>
      </c>
      <c r="E722" t="str">
        <f>IFERROR(__xludf.DUMMYFUNCTION("""COMPUTED_VALUE"""),"DEPARTAMENTO DE INGENIERIA ELECTRICA")</f>
        <v>DEPARTAMENTO DE INGENIERIA ELECTRICA</v>
      </c>
      <c r="F722" t="str">
        <f>IFERROR(__xludf.DUMMYFUNCTION("""COMPUTED_VALUE"""),"Jefe de Laboratorio")</f>
        <v>Jefe de Laboratorio</v>
      </c>
      <c r="G722" t="str">
        <f>IFERROR(__xludf.DUMMYFUNCTION("""COMPUTED_VALUE"""),"JEFE DE LABORATORIO")</f>
        <v>JEFE DE LABORATORIO</v>
      </c>
      <c r="H722">
        <f>IFERROR(__xludf.DUMMYFUNCTION("""COMPUTED_VALUE"""),12.0)</f>
        <v>12</v>
      </c>
      <c r="J722" t="str">
        <f>IFERROR(__xludf.DUMMYFUNCTION("""COMPUTED_VALUE"""),"A CONTRATA")</f>
        <v>A CONTRATA</v>
      </c>
      <c r="K722" t="str">
        <f>IFERROR(__xludf.DUMMYFUNCTION("""COMPUTED_VALUE"""),"PROFESIONAL")</f>
        <v>PROFESIONAL</v>
      </c>
      <c r="L722" t="str">
        <f>IFERROR(__xludf.DUMMYFUNCTION("""COMPUTED_VALUE"""),"INTERNO")</f>
        <v>INTERNO</v>
      </c>
      <c r="M722">
        <f>IFERROR(__xludf.DUMMYFUNCTION("""COMPUTED_VALUE"""),0.0)</f>
        <v>0</v>
      </c>
      <c r="N722" t="str">
        <f>IFERROR(__xludf.DUMMYFUNCTION("""COMPUTED_VALUE"""),"EXTERNO")</f>
        <v>EXTERNO</v>
      </c>
      <c r="O722">
        <f>IFERROR(__xludf.DUMMYFUNCTION("""COMPUTED_VALUE"""),1.0)</f>
        <v>1</v>
      </c>
      <c r="P722">
        <f>IFERROR(__xludf.DUMMYFUNCTION("""COMPUTED_VALUE"""),1.0)</f>
        <v>1</v>
      </c>
      <c r="Q722">
        <f>IFERROR(__xludf.DUMMYFUNCTION("""COMPUTED_VALUE"""),1.0)</f>
        <v>1</v>
      </c>
      <c r="R722" s="45" t="str">
        <f>IFERROR(__xludf.DUMMYFUNCTION("""COMPUTED_VALUE"""),"SELECCIONADO")</f>
        <v>SELECCIONADO</v>
      </c>
      <c r="S722" s="38">
        <f>IFERROR(__xludf.DUMMYFUNCTION("""COMPUTED_VALUE"""),42095.0)</f>
        <v>42095</v>
      </c>
      <c r="U722" t="str">
        <f>IFERROR(__xludf.DUMMYFUNCTION("""COMPUTED_VALUE"""),"TOMAS CASTILLO CASTILLO")</f>
        <v>TOMAS CASTILLO CASTILLO</v>
      </c>
      <c r="V722" t="str">
        <f>IFERROR(__xludf.DUMMYFUNCTION("""COMPUTED_VALUE"""),"15422866-7")</f>
        <v>15422866-7</v>
      </c>
      <c r="W722" t="str">
        <f>IFERROR(__xludf.DUMMYFUNCTION("""COMPUTED_VALUE"""),"SI")</f>
        <v>SI</v>
      </c>
      <c r="X722" t="str">
        <f>IFERROR(__xludf.DUMMYFUNCTION("""COMPUTED_VALUE"""),"TRABAJO EN EQUIPO")</f>
        <v>TRABAJO EN EQUIPO</v>
      </c>
      <c r="Y722" t="str">
        <f>IFERROR(__xludf.DUMMYFUNCTION("""COMPUTED_VALUE"""),"CAPACIDAD DE PLANIFICACION Y ORGANIZACION")</f>
        <v>CAPACIDAD DE PLANIFICACION Y ORGANIZACION</v>
      </c>
      <c r="AA722" s="38">
        <f>IFERROR(__xludf.DUMMYFUNCTION("""COMPUTED_VALUE"""),42019.0)</f>
        <v>42019</v>
      </c>
      <c r="AB722" s="38">
        <f>IFERROR(__xludf.DUMMYFUNCTION("""COMPUTED_VALUE"""),42023.0)</f>
        <v>42023</v>
      </c>
      <c r="AH722" t="str">
        <f>IFERROR(__xludf.DUMMYFUNCTION("""COMPUTED_VALUE"""),"PROCESO DE SELECCIÓN")</f>
        <v>PROCESO DE SELECCIÓN</v>
      </c>
      <c r="AK722" t="str">
        <f>IFERROR(__xludf.DUMMYFUNCTION("""COMPUTED_VALUE"""),"P")</f>
        <v>P</v>
      </c>
      <c r="AL722">
        <f>IFERROR(__xludf.DUMMYFUNCTION("""COMPUTED_VALUE"""),53.0)</f>
        <v>53</v>
      </c>
      <c r="AM722">
        <f>IFERROR(__xludf.DUMMYFUNCTION("""COMPUTED_VALUE"""),2014.0)</f>
        <v>2014</v>
      </c>
    </row>
    <row r="723">
      <c r="A723">
        <f>IFERROR(__xludf.DUMMYFUNCTION("""COMPUTED_VALUE"""),1.3687608E7)</f>
        <v>13687608</v>
      </c>
      <c r="B723">
        <f>IFERROR(__xludf.DUMMYFUNCTION("""COMPUTED_VALUE"""),129.0)</f>
        <v>129</v>
      </c>
      <c r="D723" t="str">
        <f>IFERROR(__xludf.DUMMYFUNCTION("""COMPUTED_VALUE"""),"PRORRECTORIA")</f>
        <v>PRORRECTORIA</v>
      </c>
      <c r="E723" t="str">
        <f>IFERROR(__xludf.DUMMYFUNCTION("""COMPUTED_VALUE"""),"UNIDAD DE GESTION DEL CAMPUS")</f>
        <v>UNIDAD DE GESTION DEL CAMPUS</v>
      </c>
      <c r="F723" t="str">
        <f>IFERROR(__xludf.DUMMYFUNCTION("""COMPUTED_VALUE"""),"Constructor Civil")</f>
        <v>Constructor Civil</v>
      </c>
      <c r="G723" t="str">
        <f>IFERROR(__xludf.DUMMYFUNCTION("""COMPUTED_VALUE"""),"CONSTRUCTOR CIVIL")</f>
        <v>CONSTRUCTOR CIVIL</v>
      </c>
      <c r="H723">
        <f>IFERROR(__xludf.DUMMYFUNCTION("""COMPUTED_VALUE"""),7.0)</f>
        <v>7</v>
      </c>
      <c r="J723" t="str">
        <f>IFERROR(__xludf.DUMMYFUNCTION("""COMPUTED_VALUE"""),"A CONTRATA")</f>
        <v>A CONTRATA</v>
      </c>
      <c r="K723" t="str">
        <f>IFERROR(__xludf.DUMMYFUNCTION("""COMPUTED_VALUE"""),"PROFESIONAL")</f>
        <v>PROFESIONAL</v>
      </c>
      <c r="L723" t="str">
        <f>IFERROR(__xludf.DUMMYFUNCTION("""COMPUTED_VALUE"""),"NO")</f>
        <v>NO</v>
      </c>
      <c r="N723" t="str">
        <f>IFERROR(__xludf.DUMMYFUNCTION("""COMPUTED_VALUE"""),"EXTERNO")</f>
        <v>EXTERNO</v>
      </c>
      <c r="O723">
        <f>IFERROR(__xludf.DUMMYFUNCTION("""COMPUTED_VALUE"""),5.0)</f>
        <v>5</v>
      </c>
      <c r="P723">
        <f>IFERROR(__xludf.DUMMYFUNCTION("""COMPUTED_VALUE"""),2.0)</f>
        <v>2</v>
      </c>
      <c r="Q723">
        <f>IFERROR(__xludf.DUMMYFUNCTION("""COMPUTED_VALUE"""),1.0)</f>
        <v>1</v>
      </c>
      <c r="R723" s="45" t="str">
        <f>IFERROR(__xludf.DUMMYFUNCTION("""COMPUTED_VALUE"""),"SELECCIONADO")</f>
        <v>SELECCIONADO</v>
      </c>
      <c r="S723" s="38">
        <f>IFERROR(__xludf.DUMMYFUNCTION("""COMPUTED_VALUE"""),42107.0)</f>
        <v>42107</v>
      </c>
      <c r="U723" t="str">
        <f>IFERROR(__xludf.DUMMYFUNCTION("""COMPUTED_VALUE"""),"ROBERTO MORALES OJEDA")</f>
        <v>ROBERTO MORALES OJEDA</v>
      </c>
      <c r="V723" t="str">
        <f>IFERROR(__xludf.DUMMYFUNCTION("""COMPUTED_VALUE"""),"13687608-2")</f>
        <v>13687608-2</v>
      </c>
      <c r="W723" t="str">
        <f>IFERROR(__xludf.DUMMYFUNCTION("""COMPUTED_VALUE"""),"No")</f>
        <v>No</v>
      </c>
      <c r="AA723" s="38">
        <f>IFERROR(__xludf.DUMMYFUNCTION("""COMPUTED_VALUE"""),42019.0)</f>
        <v>42019</v>
      </c>
      <c r="AB723" s="38">
        <f>IFERROR(__xludf.DUMMYFUNCTION("""COMPUTED_VALUE"""),42023.0)</f>
        <v>42023</v>
      </c>
      <c r="AH723" t="str">
        <f>IFERROR(__xludf.DUMMYFUNCTION("""COMPUTED_VALUE"""),"PROCESO DE SELECCIÓN")</f>
        <v>PROCESO DE SELECCIÓN</v>
      </c>
      <c r="AK723" t="str">
        <f>IFERROR(__xludf.DUMMYFUNCTION("""COMPUTED_VALUE"""),"E")</f>
        <v>E</v>
      </c>
      <c r="AL723">
        <f>IFERROR(__xludf.DUMMYFUNCTION("""COMPUTED_VALUE"""),61.0)</f>
        <v>61</v>
      </c>
      <c r="AM723">
        <f>IFERROR(__xludf.DUMMYFUNCTION("""COMPUTED_VALUE"""),2014.0)</f>
        <v>2014</v>
      </c>
    </row>
    <row r="724">
      <c r="A724">
        <f>IFERROR(__xludf.DUMMYFUNCTION("""COMPUTED_VALUE"""),1.5314756E7)</f>
        <v>15314756</v>
      </c>
      <c r="B724">
        <f>IFERROR(__xludf.DUMMYFUNCTION("""COMPUTED_VALUE"""),118.0)</f>
        <v>118</v>
      </c>
      <c r="D724" t="str">
        <f>IFERROR(__xludf.DUMMYFUNCTION("""COMPUTED_VALUE"""),"VICERRECTORIA DE VINCULACION CON EL MEDIO")</f>
        <v>VICERRECTORIA DE VINCULACION CON EL MEDIO</v>
      </c>
      <c r="E724" t="str">
        <f>IFERROR(__xludf.DUMMYFUNCTION("""COMPUTED_VALUE"""),"ARCHIVO DE DOCUMENTACION GRAFICA Y AUDIOVISUAL")</f>
        <v>ARCHIVO DE DOCUMENTACION GRAFICA Y AUDIOVISUAL</v>
      </c>
      <c r="F724" t="str">
        <f>IFERROR(__xludf.DUMMYFUNCTION("""COMPUTED_VALUE"""),"Encargado de Laboratorio")</f>
        <v>Encargado de Laboratorio</v>
      </c>
      <c r="G724" t="str">
        <f>IFERROR(__xludf.DUMMYFUNCTION("""COMPUTED_VALUE"""),"ENCARGADO DE LABORATORIO (DE DISEÑO)")</f>
        <v>ENCARGADO DE LABORATORIO (DE DISEÑO)</v>
      </c>
      <c r="H724">
        <f>IFERROR(__xludf.DUMMYFUNCTION("""COMPUTED_VALUE"""),13.0)</f>
        <v>13</v>
      </c>
      <c r="J724" t="str">
        <f>IFERROR(__xludf.DUMMYFUNCTION("""COMPUTED_VALUE"""),"A CONTRATA")</f>
        <v>A CONTRATA</v>
      </c>
      <c r="K724" t="str">
        <f>IFERROR(__xludf.DUMMYFUNCTION("""COMPUTED_VALUE"""),"PROFESIONAL")</f>
        <v>PROFESIONAL</v>
      </c>
      <c r="L724" t="str">
        <f>IFERROR(__xludf.DUMMYFUNCTION("""COMPUTED_VALUE"""),"INTERNO")</f>
        <v>INTERNO</v>
      </c>
      <c r="M724">
        <f>IFERROR(__xludf.DUMMYFUNCTION("""COMPUTED_VALUE"""),1.0)</f>
        <v>1</v>
      </c>
      <c r="N724" t="str">
        <f>IFERROR(__xludf.DUMMYFUNCTION("""COMPUTED_VALUE"""),"EXTERNO")</f>
        <v>EXTERNO</v>
      </c>
      <c r="O724">
        <f>IFERROR(__xludf.DUMMYFUNCTION("""COMPUTED_VALUE"""),2.0)</f>
        <v>2</v>
      </c>
      <c r="P724">
        <f>IFERROR(__xludf.DUMMYFUNCTION("""COMPUTED_VALUE"""),1.0)</f>
        <v>1</v>
      </c>
      <c r="Q724">
        <f>IFERROR(__xludf.DUMMYFUNCTION("""COMPUTED_VALUE"""),1.0)</f>
        <v>1</v>
      </c>
      <c r="R724" s="45" t="str">
        <f>IFERROR(__xludf.DUMMYFUNCTION("""COMPUTED_VALUE"""),"SELECCIONADA")</f>
        <v>SELECCIONADA</v>
      </c>
      <c r="S724" s="38">
        <f>IFERROR(__xludf.DUMMYFUNCTION("""COMPUTED_VALUE"""),42066.0)</f>
        <v>42066</v>
      </c>
      <c r="U724" t="str">
        <f>IFERROR(__xludf.DUMMYFUNCTION("""COMPUTED_VALUE"""),"MACARENA CASTILLO PUMARINO")</f>
        <v>MACARENA CASTILLO PUMARINO</v>
      </c>
      <c r="V724" t="str">
        <f>IFERROR(__xludf.DUMMYFUNCTION("""COMPUTED_VALUE"""),"15314756-6")</f>
        <v>15314756-6</v>
      </c>
      <c r="W724" t="str">
        <f>IFERROR(__xludf.DUMMYFUNCTION("""COMPUTED_VALUE"""),"SI")</f>
        <v>SI</v>
      </c>
      <c r="Z724" t="str">
        <f>IFERROR(__xludf.DUMMYFUNCTION("""COMPUTED_VALUE"""),"TRABAJO EN EQUIPO")</f>
        <v>TRABAJO EN EQUIPO</v>
      </c>
      <c r="AA724" s="38">
        <f>IFERROR(__xludf.DUMMYFUNCTION("""COMPUTED_VALUE"""),42019.0)</f>
        <v>42019</v>
      </c>
      <c r="AB724" s="38">
        <f>IFERROR(__xludf.DUMMYFUNCTION("""COMPUTED_VALUE"""),42023.0)</f>
        <v>42023</v>
      </c>
      <c r="AH724" t="str">
        <f>IFERROR(__xludf.DUMMYFUNCTION("""COMPUTED_VALUE"""),"PROCESO DE SELECCIÓN")</f>
        <v>PROCESO DE SELECCIÓN</v>
      </c>
      <c r="AK724" t="str">
        <f>IFERROR(__xludf.DUMMYFUNCTION("""COMPUTED_VALUE"""),"P")</f>
        <v>P</v>
      </c>
      <c r="AL724">
        <f>IFERROR(__xludf.DUMMYFUNCTION("""COMPUTED_VALUE"""),32.0)</f>
        <v>32</v>
      </c>
      <c r="AM724">
        <f>IFERROR(__xludf.DUMMYFUNCTION("""COMPUTED_VALUE"""),2014.0)</f>
        <v>2014</v>
      </c>
    </row>
    <row r="725">
      <c r="A725">
        <f>IFERROR(__xludf.DUMMYFUNCTION("""COMPUTED_VALUE"""),1.1684269E7)</f>
        <v>11684269</v>
      </c>
      <c r="B725">
        <f>IFERROR(__xludf.DUMMYFUNCTION("""COMPUTED_VALUE"""),121.0)</f>
        <v>121</v>
      </c>
      <c r="D725" t="str">
        <f>IFERROR(__xludf.DUMMYFUNCTION("""COMPUTED_VALUE"""),"FACULTAD DE HUMANIDADES")</f>
        <v>FACULTAD DE HUMANIDADES</v>
      </c>
      <c r="E725" t="str">
        <f>IFERROR(__xludf.DUMMYFUNCTION("""COMPUTED_VALUE"""),"DEPARTAMENTO DE LINGÜISTICA Y LITERATURA")</f>
        <v>DEPARTAMENTO DE LINGÜISTICA Y LITERATURA</v>
      </c>
      <c r="F725" t="str">
        <f>IFERROR(__xludf.DUMMYFUNCTION("""COMPUTED_VALUE"""),"Encargado Administrativo de Unidad Académica")</f>
        <v>Encargado Administrativo de Unidad Académica</v>
      </c>
      <c r="G725" t="str">
        <f>IFERROR(__xludf.DUMMYFUNCTION("""COMPUTED_VALUE"""),"ENCARGADO ADMINISTRATIVO")</f>
        <v>ENCARGADO ADMINISTRATIVO</v>
      </c>
      <c r="H725">
        <f>IFERROR(__xludf.DUMMYFUNCTION("""COMPUTED_VALUE"""),10.0)</f>
        <v>10</v>
      </c>
      <c r="J725" t="str">
        <f>IFERROR(__xludf.DUMMYFUNCTION("""COMPUTED_VALUE"""),"A CONTRATA")</f>
        <v>A CONTRATA</v>
      </c>
      <c r="K725" t="str">
        <f>IFERROR(__xludf.DUMMYFUNCTION("""COMPUTED_VALUE"""),"ADMINISTRATIVO")</f>
        <v>ADMINISTRATIVO</v>
      </c>
      <c r="L725" t="str">
        <f>IFERROR(__xludf.DUMMYFUNCTION("""COMPUTED_VALUE"""),"INTERNO")</f>
        <v>INTERNO</v>
      </c>
      <c r="M725">
        <f>IFERROR(__xludf.DUMMYFUNCTION("""COMPUTED_VALUE"""),13.0)</f>
        <v>13</v>
      </c>
      <c r="N725" t="str">
        <f>IFERROR(__xludf.DUMMYFUNCTION("""COMPUTED_VALUE"""),"NO")</f>
        <v>NO</v>
      </c>
      <c r="P725">
        <f>IFERROR(__xludf.DUMMYFUNCTION("""COMPUTED_VALUE"""),7.0)</f>
        <v>7</v>
      </c>
      <c r="R725" s="45" t="str">
        <f>IFERROR(__xludf.DUMMYFUNCTION("""COMPUTED_VALUE"""),"SELECCIONADA")</f>
        <v>SELECCIONADA</v>
      </c>
      <c r="S725" s="38">
        <f>IFERROR(__xludf.DUMMYFUNCTION("""COMPUTED_VALUE"""),42079.0)</f>
        <v>42079</v>
      </c>
      <c r="T725" t="str">
        <f>IFERROR(__xludf.DUMMYFUNCTION("""COMPUTED_VALUE"""),"MARCIA ZENTENO VILLAGRAN")</f>
        <v>MARCIA ZENTENO VILLAGRAN</v>
      </c>
      <c r="V725" t="str">
        <f>IFERROR(__xludf.DUMMYFUNCTION("""COMPUTED_VALUE"""),"11684269-6")</f>
        <v>11684269-6</v>
      </c>
      <c r="W725" t="str">
        <f>IFERROR(__xludf.DUMMYFUNCTION("""COMPUTED_VALUE"""),"SI")</f>
        <v>SI</v>
      </c>
      <c r="X725" t="str">
        <f>IFERROR(__xludf.DUMMYFUNCTION("""COMPUTED_VALUE"""),"TRABAJO EN EQUIPO")</f>
        <v>TRABAJO EN EQUIPO</v>
      </c>
      <c r="AA725" s="38">
        <f>IFERROR(__xludf.DUMMYFUNCTION("""COMPUTED_VALUE"""),42018.0)</f>
        <v>42018</v>
      </c>
      <c r="AB725" s="38">
        <f>IFERROR(__xludf.DUMMYFUNCTION("""COMPUTED_VALUE"""),42023.0)</f>
        <v>42023</v>
      </c>
      <c r="AC725">
        <f>IFERROR(__xludf.DUMMYFUNCTION("""COMPUTED_VALUE"""),17.0)</f>
        <v>17</v>
      </c>
      <c r="AD725" t="str">
        <f>IFERROR(__xludf.DUMMYFUNCTION("""COMPUTED_VALUE"""),"ADMINISTRATIVO")</f>
        <v>ADMINISTRATIVO</v>
      </c>
      <c r="AF725" s="46" t="str">
        <f>IFERROR(__xludf.DUMMYFUNCTION("""COMPUTED_VALUE"""),"DEPARTAMENTO DE RECURSOS HUMANOS")</f>
        <v>DEPARTAMENTO DE RECURSOS HUMANOS</v>
      </c>
      <c r="AH725" t="str">
        <f>IFERROR(__xludf.DUMMYFUNCTION("""COMPUTED_VALUE"""),"PROCESO DE SELECCIÓN")</f>
        <v>PROCESO DE SELECCIÓN</v>
      </c>
      <c r="AI725" t="str">
        <f>IFERROR(__xludf.DUMMYFUNCTION("""COMPUTED_VALUE"""),"RAUL OSSES")</f>
        <v>RAUL OSSES</v>
      </c>
      <c r="AK725" t="str">
        <f>IFERROR(__xludf.DUMMYFUNCTION("""COMPUTED_VALUE"""),"C")</f>
        <v>C</v>
      </c>
      <c r="AL725">
        <f>IFERROR(__xludf.DUMMYFUNCTION("""COMPUTED_VALUE"""),41.0)</f>
        <v>41</v>
      </c>
      <c r="AM725">
        <f>IFERROR(__xludf.DUMMYFUNCTION("""COMPUTED_VALUE"""),2014.0)</f>
        <v>2014</v>
      </c>
    </row>
    <row r="726">
      <c r="A726">
        <f>IFERROR(__xludf.DUMMYFUNCTION("""COMPUTED_VALUE"""),1.1575535E7)</f>
        <v>11575535</v>
      </c>
      <c r="B726">
        <f>IFERROR(__xludf.DUMMYFUNCTION("""COMPUTED_VALUE"""),124.0)</f>
        <v>124</v>
      </c>
      <c r="D726" t="str">
        <f>IFERROR(__xludf.DUMMYFUNCTION("""COMPUTED_VALUE"""),"VICERRECTORIA DE APOYO AL ESTUDIANTE")</f>
        <v>VICERRECTORIA DE APOYO AL ESTUDIANTE</v>
      </c>
      <c r="E726" t="str">
        <f>IFERROR(__xludf.DUMMYFUNCTION("""COMPUTED_VALUE"""),"UNIDAD DE ATENCION DE SALUD")</f>
        <v>UNIDAD DE ATENCION DE SALUD</v>
      </c>
      <c r="F726" t="str">
        <f>IFERROR(__xludf.DUMMYFUNCTION("""COMPUTED_VALUE"""),"Auxiliar de Servicios")</f>
        <v>Auxiliar de Servicios</v>
      </c>
      <c r="G726" t="str">
        <f>IFERROR(__xludf.DUMMYFUNCTION("""COMPUTED_VALUE"""),"AUXILIAR DE SERVICIOS")</f>
        <v>AUXILIAR DE SERVICIOS</v>
      </c>
      <c r="H726">
        <f>IFERROR(__xludf.DUMMYFUNCTION("""COMPUTED_VALUE"""),23.0)</f>
        <v>23</v>
      </c>
      <c r="J726" t="str">
        <f>IFERROR(__xludf.DUMMYFUNCTION("""COMPUTED_VALUE"""),"A CONTRATA")</f>
        <v>A CONTRATA</v>
      </c>
      <c r="K726" t="str">
        <f>IFERROR(__xludf.DUMMYFUNCTION("""COMPUTED_VALUE"""),"AUXILIAR")</f>
        <v>AUXILIAR</v>
      </c>
      <c r="L726" t="str">
        <f>IFERROR(__xludf.DUMMYFUNCTION("""COMPUTED_VALUE"""),"INTERNO")</f>
        <v>INTERNO</v>
      </c>
      <c r="M726">
        <f>IFERROR(__xludf.DUMMYFUNCTION("""COMPUTED_VALUE"""),0.0)</f>
        <v>0</v>
      </c>
      <c r="N726" t="str">
        <f>IFERROR(__xludf.DUMMYFUNCTION("""COMPUTED_VALUE"""),"EXTERNO")</f>
        <v>EXTERNO</v>
      </c>
      <c r="O726">
        <f>IFERROR(__xludf.DUMMYFUNCTION("""COMPUTED_VALUE"""),10.0)</f>
        <v>10</v>
      </c>
      <c r="P726">
        <f>IFERROR(__xludf.DUMMYFUNCTION("""COMPUTED_VALUE"""),1.0)</f>
        <v>1</v>
      </c>
      <c r="Q726">
        <f>IFERROR(__xludf.DUMMYFUNCTION("""COMPUTED_VALUE"""),1.0)</f>
        <v>1</v>
      </c>
      <c r="R726" s="45" t="str">
        <f>IFERROR(__xludf.DUMMYFUNCTION("""COMPUTED_VALUE"""),"SELECCIONADA")</f>
        <v>SELECCIONADA</v>
      </c>
      <c r="S726" s="38">
        <f>IFERROR(__xludf.DUMMYFUNCTION("""COMPUTED_VALUE"""),42095.0)</f>
        <v>42095</v>
      </c>
      <c r="U726" t="str">
        <f>IFERROR(__xludf.DUMMYFUNCTION("""COMPUTED_VALUE"""),"MARISOL RIQUELME RIQUELME")</f>
        <v>MARISOL RIQUELME RIQUELME</v>
      </c>
      <c r="V726" t="str">
        <f>IFERROR(__xludf.DUMMYFUNCTION("""COMPUTED_VALUE"""),"11575535-8")</f>
        <v>11575535-8</v>
      </c>
      <c r="W726" t="str">
        <f>IFERROR(__xludf.DUMMYFUNCTION("""COMPUTED_VALUE"""),"No")</f>
        <v>No</v>
      </c>
      <c r="AA726" s="38">
        <f>IFERROR(__xludf.DUMMYFUNCTION("""COMPUTED_VALUE"""),42019.0)</f>
        <v>42019</v>
      </c>
      <c r="AB726" s="38">
        <f>IFERROR(__xludf.DUMMYFUNCTION("""COMPUTED_VALUE"""),42024.0)</f>
        <v>42024</v>
      </c>
      <c r="AH726" t="str">
        <f>IFERROR(__xludf.DUMMYFUNCTION("""COMPUTED_VALUE"""),"PROCESO DE SELECCIÓN")</f>
        <v>PROCESO DE SELECCIÓN</v>
      </c>
      <c r="AI726" t="str">
        <f>IFERROR(__xludf.DUMMYFUNCTION("""COMPUTED_VALUE"""),"FANNY FARIAS MARTINEZ")</f>
        <v>FANNY FARIAS MARTINEZ</v>
      </c>
      <c r="AK726" t="str">
        <f>IFERROR(__xludf.DUMMYFUNCTION("""COMPUTED_VALUE"""),"C")</f>
        <v>C</v>
      </c>
      <c r="AL726">
        <f>IFERROR(__xludf.DUMMYFUNCTION("""COMPUTED_VALUE"""),52.0)</f>
        <v>52</v>
      </c>
      <c r="AM726">
        <f>IFERROR(__xludf.DUMMYFUNCTION("""COMPUTED_VALUE"""),2014.0)</f>
        <v>2014</v>
      </c>
    </row>
  </sheetData>
  <dataValidations>
    <dataValidation type="custom" allowBlank="1" showInputMessage="1" prompt="Indicar si reemplaza a algún funcionario. Esto puede aparecer en los documentos de autorización presupestaria, en cartas de renuncia archivadas al proceso o en pone término o no-renovación.   SI NO REEMPLAZA A NADIE, FAVOR COLOCAR EL SIGNO &quot;-&quot;." sqref="AI1">
      <formula1>ISERROR(SEARCH((""/""),(AI1)))</formula1>
    </dataValidation>
    <dataValidation type="custom" allowBlank="1" showInputMessage="1" prompt="En caso de que el proceso haya concluido con un interno, ingresar datos relativos al grado anterior, el estamento al cual pertenecía (Administrativo, Técnico, Profesional, Auxiliar) y la Unidad de Desempeño Anterior." sqref="AC1 AF1">
      <formula1>ISERROR(SEARCH((""/""),(AC1)))</formula1>
    </dataValidation>
    <dataValidation type="custom" allowBlank="1" showInputMessage="1" prompt="NO TOCAR ESTA COLUMNA" sqref="A1">
      <formula1>ISERROR(SEARCH(("/"),(A1)))</formula1>
    </dataValidation>
    <dataValidation type="custom" allowBlank="1" showInputMessage="1" prompt="Escriba el Departamento, Unidad, Facultad o Vicerrectoría, según corresponda en cada caso usando MAYÚSCULA Y SIN TILDE." sqref="E1">
      <formula1>ISERROR(SEARCH((""/""),(E1)))</formula1>
    </dataValidation>
    <dataValidation type="custom" allowBlank="1" showInputMessage="1" prompt="Escribir la Vicerrectoría, Facultad o Prorrectoría que corresponda según sea el caso usando MAYÚSCULA Y SIN TILDE." sqref="C1:D1">
      <formula1>ISERROR(SEARCH((""/""),(C1)))</formula1>
    </dataValidation>
    <dataValidation type="custom" allowBlank="1" showInputMessage="1" prompt="Ingresar RUT en el formato indicado. Si esta celda está en rojo es porque la persona ya ha resultado seleccionada a lo largo del año, o bien porque se ha ingresado un proceso idéntico a la base de datos." sqref="V1">
      <formula1>LEN(10)</formula1>
    </dataValidation>
    <dataValidation type="custom" allowBlank="1" showInputMessage="1" prompt="Escribalo con mayúscula y sin tilde." sqref="F1">
      <formula1>ISERROR(SEARCH((""/""),(F1)))</formula1>
    </dataValidation>
    <dataValidation type="custom" allowBlank="1" showInputMessage="1" prompt="Ingresar primer nombre y apellidos en mayúscula, sin tilde y sin Ñ." sqref="T1:U1">
      <formula1>ISERROR(SEARCH((""/""),(T1)))</formula1>
    </dataValidation>
    <dataValidation type="custom" allowBlank="1" showInputMessage="1" prompt="Ingrese las competencias en que es necesario capacitar al primer candidato de acuerdo al orden de importancia (1crítica-3necesaria). " sqref="X1:Z1">
      <formula1>ISERROR(SEARCH((""/""),(X1)))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outlinePr summaryBelow="0" summaryRight="0"/>
  </sheetPr>
  <sheetViews>
    <sheetView workbookViewId="0"/>
  </sheetViews>
  <sheetFormatPr customHeight="1" defaultColWidth="17.29" defaultRowHeight="15.0"/>
  <cols>
    <col customWidth="1" min="1" max="1" width="4.57"/>
    <col customWidth="1" min="2" max="2" width="57.29"/>
    <col customWidth="1" min="3" max="3" width="39.71"/>
    <col customWidth="1" min="4" max="4" width="28.43"/>
    <col customWidth="1" min="5" max="8" width="10.71"/>
    <col customWidth="1" min="9" max="9" width="13.29"/>
    <col customWidth="1" min="10" max="10" width="14.57"/>
    <col customWidth="1" min="11" max="13" width="10.71"/>
    <col customWidth="1" min="14" max="14" width="20.71"/>
    <col customWidth="1" min="15" max="15" width="34.71"/>
    <col customWidth="1" min="16" max="18" width="10.71"/>
    <col customWidth="1" min="19" max="19" width="18.0"/>
    <col customWidth="1" min="20" max="20" width="10.71"/>
    <col customWidth="1" min="21" max="21" width="65.71"/>
    <col customWidth="1" min="22" max="26" width="10.71"/>
  </cols>
  <sheetData>
    <row r="1" ht="51.0" customHeight="1">
      <c r="A1" s="47" t="s">
        <v>1587</v>
      </c>
      <c r="B1" s="47" t="s">
        <v>1545</v>
      </c>
      <c r="C1" s="47" t="s">
        <v>1546</v>
      </c>
      <c r="D1" s="47" t="s">
        <v>1588</v>
      </c>
      <c r="E1" s="47" t="s">
        <v>1589</v>
      </c>
      <c r="F1" s="47" t="s">
        <v>1551</v>
      </c>
      <c r="G1" s="47" t="s">
        <v>1552</v>
      </c>
      <c r="H1" s="47" t="s">
        <v>1553</v>
      </c>
      <c r="I1" s="47" t="s">
        <v>1554</v>
      </c>
      <c r="J1" s="48" t="s">
        <v>1559</v>
      </c>
      <c r="K1" s="47" t="s">
        <v>1555</v>
      </c>
      <c r="L1" s="47" t="s">
        <v>1554</v>
      </c>
      <c r="M1" s="47" t="s">
        <v>1560</v>
      </c>
      <c r="N1" s="47" t="s">
        <v>1561</v>
      </c>
      <c r="O1" s="47" t="s">
        <v>1562</v>
      </c>
      <c r="P1" s="47" t="s">
        <v>1567</v>
      </c>
      <c r="Q1" s="47" t="s">
        <v>1568</v>
      </c>
      <c r="R1" s="47" t="s">
        <v>1569</v>
      </c>
      <c r="S1" s="47" t="s">
        <v>1570</v>
      </c>
      <c r="T1" s="47" t="s">
        <v>1572</v>
      </c>
      <c r="U1" s="47" t="s">
        <v>1573</v>
      </c>
    </row>
    <row r="2">
      <c r="A2" s="49">
        <v>1.0</v>
      </c>
      <c r="B2" s="50" t="s">
        <v>1590</v>
      </c>
      <c r="C2" s="50" t="s">
        <v>1590</v>
      </c>
      <c r="D2" s="50" t="s">
        <v>1591</v>
      </c>
      <c r="E2" s="50">
        <v>21.0</v>
      </c>
      <c r="F2" s="50" t="s">
        <v>112</v>
      </c>
      <c r="G2" s="50" t="s">
        <v>120</v>
      </c>
      <c r="H2" s="50" t="s">
        <v>116</v>
      </c>
      <c r="I2" s="50">
        <v>3.0</v>
      </c>
      <c r="J2" s="51" t="s">
        <v>115</v>
      </c>
      <c r="K2" s="50" t="s">
        <v>122</v>
      </c>
      <c r="L2" s="50">
        <v>0.0</v>
      </c>
      <c r="M2" s="52">
        <v>39904.0</v>
      </c>
      <c r="N2" s="50" t="s">
        <v>1592</v>
      </c>
      <c r="O2" s="50" t="s">
        <v>1593</v>
      </c>
      <c r="P2" s="53">
        <v>39934.0</v>
      </c>
      <c r="Q2" s="53">
        <v>39934.0</v>
      </c>
      <c r="R2" s="50" t="s">
        <v>1592</v>
      </c>
      <c r="S2" s="50" t="s">
        <v>1592</v>
      </c>
      <c r="T2" s="50" t="s">
        <v>1592</v>
      </c>
      <c r="U2" s="50" t="s">
        <v>1592</v>
      </c>
    </row>
    <row r="3">
      <c r="A3" s="49">
        <v>2.0</v>
      </c>
      <c r="B3" s="50" t="s">
        <v>1594</v>
      </c>
      <c r="C3" s="50" t="s">
        <v>1595</v>
      </c>
      <c r="D3" s="50" t="s">
        <v>1591</v>
      </c>
      <c r="E3" s="50">
        <v>21.0</v>
      </c>
      <c r="F3" s="50" t="s">
        <v>112</v>
      </c>
      <c r="G3" s="50" t="s">
        <v>120</v>
      </c>
      <c r="H3" s="50" t="s">
        <v>117</v>
      </c>
      <c r="I3" s="50">
        <v>0.0</v>
      </c>
      <c r="J3" s="51" t="s">
        <v>1596</v>
      </c>
      <c r="K3" s="50" t="s">
        <v>118</v>
      </c>
      <c r="L3" s="50">
        <v>3.0</v>
      </c>
      <c r="M3" s="52">
        <v>39995.0</v>
      </c>
      <c r="N3" s="50" t="s">
        <v>1592</v>
      </c>
      <c r="O3" s="50" t="s">
        <v>1597</v>
      </c>
      <c r="P3" s="53">
        <v>39934.0</v>
      </c>
      <c r="Q3" s="53">
        <v>39934.0</v>
      </c>
      <c r="R3" s="50" t="s">
        <v>1592</v>
      </c>
      <c r="S3" s="50" t="s">
        <v>1592</v>
      </c>
      <c r="T3" s="50" t="s">
        <v>1592</v>
      </c>
      <c r="U3" s="50" t="s">
        <v>1592</v>
      </c>
    </row>
    <row r="4">
      <c r="A4" s="49">
        <v>3.0</v>
      </c>
      <c r="B4" s="50" t="s">
        <v>1598</v>
      </c>
      <c r="C4" s="50" t="s">
        <v>1598</v>
      </c>
      <c r="D4" s="50" t="s">
        <v>1599</v>
      </c>
      <c r="E4" s="50">
        <v>21.0</v>
      </c>
      <c r="F4" s="50" t="s">
        <v>112</v>
      </c>
      <c r="G4" s="50" t="s">
        <v>125</v>
      </c>
      <c r="H4" s="50" t="s">
        <v>117</v>
      </c>
      <c r="I4" s="50">
        <v>1.0</v>
      </c>
      <c r="J4" s="51" t="s">
        <v>115</v>
      </c>
      <c r="K4" s="50" t="s">
        <v>122</v>
      </c>
      <c r="L4" s="50">
        <v>0.0</v>
      </c>
      <c r="M4" s="52">
        <v>39933.0</v>
      </c>
      <c r="N4" s="50" t="s">
        <v>1600</v>
      </c>
      <c r="O4" s="50" t="s">
        <v>1592</v>
      </c>
      <c r="P4" s="53">
        <v>39904.0</v>
      </c>
      <c r="Q4" s="53">
        <v>39904.0</v>
      </c>
      <c r="R4" s="50">
        <v>21.0</v>
      </c>
      <c r="S4" s="50" t="s">
        <v>120</v>
      </c>
      <c r="T4" s="50" t="s">
        <v>1601</v>
      </c>
      <c r="U4" s="50" t="s">
        <v>1592</v>
      </c>
    </row>
    <row r="5">
      <c r="A5" s="49">
        <v>4.0</v>
      </c>
      <c r="B5" s="50" t="s">
        <v>1602</v>
      </c>
      <c r="C5" s="50" t="s">
        <v>1602</v>
      </c>
      <c r="D5" s="50" t="s">
        <v>1603</v>
      </c>
      <c r="E5" s="50">
        <v>20.0</v>
      </c>
      <c r="F5" s="50" t="s">
        <v>112</v>
      </c>
      <c r="G5" s="50" t="s">
        <v>120</v>
      </c>
      <c r="H5" s="50" t="s">
        <v>117</v>
      </c>
      <c r="I5" s="50">
        <v>0.0</v>
      </c>
      <c r="J5" s="51" t="s">
        <v>1596</v>
      </c>
      <c r="K5" s="50" t="s">
        <v>118</v>
      </c>
      <c r="L5" s="50">
        <v>4.0</v>
      </c>
      <c r="M5" s="52">
        <v>40238.0</v>
      </c>
      <c r="N5" s="50" t="s">
        <v>1592</v>
      </c>
      <c r="O5" s="50" t="s">
        <v>1604</v>
      </c>
      <c r="P5" s="53">
        <v>40148.0</v>
      </c>
      <c r="Q5" s="53">
        <v>40148.0</v>
      </c>
      <c r="R5" s="50" t="s">
        <v>1592</v>
      </c>
      <c r="S5" s="50" t="s">
        <v>1592</v>
      </c>
      <c r="T5" s="50" t="s">
        <v>1592</v>
      </c>
      <c r="U5" s="50" t="s">
        <v>1592</v>
      </c>
    </row>
    <row r="6">
      <c r="A6" s="49">
        <v>5.0</v>
      </c>
      <c r="B6" s="50" t="s">
        <v>1602</v>
      </c>
      <c r="C6" s="50" t="s">
        <v>1605</v>
      </c>
      <c r="D6" s="50" t="s">
        <v>1606</v>
      </c>
      <c r="E6" s="50">
        <v>14.0</v>
      </c>
      <c r="F6" s="50" t="s">
        <v>112</v>
      </c>
      <c r="G6" s="50" t="s">
        <v>114</v>
      </c>
      <c r="H6" s="50" t="s">
        <v>117</v>
      </c>
      <c r="I6" s="50">
        <v>0.0</v>
      </c>
      <c r="J6" s="51" t="s">
        <v>1596</v>
      </c>
      <c r="K6" s="50" t="s">
        <v>118</v>
      </c>
      <c r="L6" s="50">
        <v>10.0</v>
      </c>
      <c r="M6" s="52">
        <v>39909.0</v>
      </c>
      <c r="N6" s="50" t="s">
        <v>1592</v>
      </c>
      <c r="O6" s="50" t="s">
        <v>1607</v>
      </c>
      <c r="P6" s="53">
        <v>39904.0</v>
      </c>
      <c r="Q6" s="53">
        <v>39904.0</v>
      </c>
      <c r="R6" s="50" t="s">
        <v>1592</v>
      </c>
      <c r="S6" s="50" t="s">
        <v>1592</v>
      </c>
      <c r="T6" s="50" t="s">
        <v>1592</v>
      </c>
      <c r="U6" s="50" t="s">
        <v>1592</v>
      </c>
    </row>
    <row r="7">
      <c r="A7" s="49">
        <v>6.0</v>
      </c>
      <c r="B7" s="50" t="s">
        <v>1602</v>
      </c>
      <c r="C7" s="50" t="s">
        <v>1605</v>
      </c>
      <c r="D7" s="50" t="s">
        <v>1608</v>
      </c>
      <c r="E7" s="50">
        <v>12.0</v>
      </c>
      <c r="F7" s="50" t="s">
        <v>112</v>
      </c>
      <c r="G7" s="50" t="s">
        <v>114</v>
      </c>
      <c r="H7" s="50" t="s">
        <v>117</v>
      </c>
      <c r="I7" s="50">
        <v>10.0</v>
      </c>
      <c r="J7" s="51" t="s">
        <v>115</v>
      </c>
      <c r="K7" s="50" t="s">
        <v>122</v>
      </c>
      <c r="L7" s="50">
        <v>0.0</v>
      </c>
      <c r="M7" s="52">
        <v>39904.0</v>
      </c>
      <c r="N7" s="50" t="s">
        <v>1609</v>
      </c>
      <c r="O7" s="50" t="s">
        <v>1592</v>
      </c>
      <c r="P7" s="53">
        <v>39845.0</v>
      </c>
      <c r="Q7" s="53">
        <v>39845.0</v>
      </c>
      <c r="R7" s="50">
        <v>17.0</v>
      </c>
      <c r="S7" s="50" t="s">
        <v>120</v>
      </c>
      <c r="T7" s="50" t="s">
        <v>1610</v>
      </c>
      <c r="U7" s="50" t="s">
        <v>1592</v>
      </c>
    </row>
    <row r="8">
      <c r="A8" s="49">
        <v>7.0</v>
      </c>
      <c r="B8" s="50" t="s">
        <v>1602</v>
      </c>
      <c r="C8" s="50" t="s">
        <v>1602</v>
      </c>
      <c r="D8" s="50" t="s">
        <v>1611</v>
      </c>
      <c r="E8" s="50">
        <v>10.0</v>
      </c>
      <c r="F8" s="50" t="s">
        <v>112</v>
      </c>
      <c r="G8" s="50" t="s">
        <v>1612</v>
      </c>
      <c r="H8" s="50" t="s">
        <v>117</v>
      </c>
      <c r="I8" s="50">
        <v>1.0</v>
      </c>
      <c r="J8" s="51" t="s">
        <v>115</v>
      </c>
      <c r="K8" s="50" t="s">
        <v>122</v>
      </c>
      <c r="L8" s="50">
        <v>0.0</v>
      </c>
      <c r="M8" s="52">
        <v>39874.0</v>
      </c>
      <c r="N8" s="50" t="s">
        <v>1613</v>
      </c>
      <c r="O8" s="50"/>
      <c r="P8" s="50"/>
      <c r="Q8" s="50"/>
      <c r="R8" s="50">
        <v>14.0</v>
      </c>
      <c r="S8" s="50" t="s">
        <v>114</v>
      </c>
      <c r="T8" s="50" t="s">
        <v>1614</v>
      </c>
      <c r="U8" s="50"/>
    </row>
    <row r="9">
      <c r="A9" s="49">
        <v>8.0</v>
      </c>
      <c r="B9" s="50" t="s">
        <v>1615</v>
      </c>
      <c r="C9" s="50" t="s">
        <v>1616</v>
      </c>
      <c r="D9" s="50" t="s">
        <v>1591</v>
      </c>
      <c r="E9" s="50">
        <v>21.0</v>
      </c>
      <c r="F9" s="50" t="s">
        <v>112</v>
      </c>
      <c r="G9" s="50" t="s">
        <v>120</v>
      </c>
      <c r="H9" s="50" t="s">
        <v>117</v>
      </c>
      <c r="I9" s="50">
        <v>0.0</v>
      </c>
      <c r="J9" s="51" t="s">
        <v>1596</v>
      </c>
      <c r="K9" s="50" t="s">
        <v>118</v>
      </c>
      <c r="L9" s="50">
        <v>3.0</v>
      </c>
      <c r="M9" s="52">
        <v>40057.0</v>
      </c>
      <c r="N9" s="50" t="s">
        <v>1592</v>
      </c>
      <c r="O9" s="50" t="s">
        <v>1596</v>
      </c>
      <c r="P9" s="53">
        <v>39934.0</v>
      </c>
      <c r="Q9" s="53">
        <v>39934.0</v>
      </c>
      <c r="R9" s="50" t="s">
        <v>1592</v>
      </c>
      <c r="S9" s="50" t="s">
        <v>1592</v>
      </c>
      <c r="T9" s="50" t="s">
        <v>1592</v>
      </c>
      <c r="U9" s="50" t="s">
        <v>1617</v>
      </c>
    </row>
    <row r="10">
      <c r="A10" s="49">
        <v>9.0</v>
      </c>
      <c r="B10" s="50" t="s">
        <v>1618</v>
      </c>
      <c r="C10" s="50" t="s">
        <v>1618</v>
      </c>
      <c r="D10" s="50" t="s">
        <v>1619</v>
      </c>
      <c r="E10" s="50">
        <v>14.0</v>
      </c>
      <c r="F10" s="50" t="s">
        <v>112</v>
      </c>
      <c r="G10" s="50" t="s">
        <v>114</v>
      </c>
      <c r="H10" s="50" t="s">
        <v>117</v>
      </c>
      <c r="I10" s="50">
        <v>1.0</v>
      </c>
      <c r="J10" s="51" t="s">
        <v>115</v>
      </c>
      <c r="K10" s="50" t="s">
        <v>122</v>
      </c>
      <c r="L10" s="50">
        <v>0.0</v>
      </c>
      <c r="M10" s="52">
        <v>40313.0</v>
      </c>
      <c r="N10" s="50" t="s">
        <v>1620</v>
      </c>
      <c r="O10" s="50" t="s">
        <v>1592</v>
      </c>
      <c r="P10" s="53">
        <v>39934.0</v>
      </c>
      <c r="Q10" s="53">
        <v>39934.0</v>
      </c>
      <c r="R10" s="50" t="s">
        <v>1592</v>
      </c>
      <c r="S10" s="50" t="s">
        <v>1621</v>
      </c>
      <c r="T10" s="50" t="s">
        <v>1622</v>
      </c>
      <c r="U10" s="50" t="s">
        <v>1592</v>
      </c>
    </row>
    <row r="11">
      <c r="A11" s="49">
        <v>10.0</v>
      </c>
      <c r="B11" s="50" t="s">
        <v>1623</v>
      </c>
      <c r="C11" s="50" t="s">
        <v>1624</v>
      </c>
      <c r="D11" s="50" t="s">
        <v>1625</v>
      </c>
      <c r="E11" s="50">
        <v>21.0</v>
      </c>
      <c r="F11" s="50" t="s">
        <v>112</v>
      </c>
      <c r="G11" s="50" t="s">
        <v>125</v>
      </c>
      <c r="H11" s="50" t="s">
        <v>117</v>
      </c>
      <c r="I11" s="50">
        <v>0.0</v>
      </c>
      <c r="J11" s="51" t="s">
        <v>1596</v>
      </c>
      <c r="K11" s="50" t="s">
        <v>118</v>
      </c>
      <c r="L11" s="50">
        <v>3.0</v>
      </c>
      <c r="M11" s="52">
        <v>39995.0</v>
      </c>
      <c r="N11" s="50" t="s">
        <v>1592</v>
      </c>
      <c r="O11" s="50" t="s">
        <v>1626</v>
      </c>
      <c r="P11" s="53">
        <v>39934.0</v>
      </c>
      <c r="Q11" s="53">
        <v>39934.0</v>
      </c>
      <c r="R11" s="50" t="s">
        <v>1592</v>
      </c>
      <c r="S11" s="50" t="s">
        <v>1592</v>
      </c>
      <c r="T11" s="50" t="s">
        <v>1592</v>
      </c>
      <c r="U11" s="50" t="s">
        <v>1592</v>
      </c>
    </row>
    <row r="12">
      <c r="A12" s="49">
        <v>11.0</v>
      </c>
      <c r="B12" s="50" t="s">
        <v>1627</v>
      </c>
      <c r="C12" s="50" t="s">
        <v>1628</v>
      </c>
      <c r="D12" s="50" t="s">
        <v>1629</v>
      </c>
      <c r="E12" s="50">
        <v>8.0</v>
      </c>
      <c r="F12" s="50" t="s">
        <v>112</v>
      </c>
      <c r="G12" s="50" t="s">
        <v>114</v>
      </c>
      <c r="H12" s="50" t="s">
        <v>117</v>
      </c>
      <c r="I12" s="50">
        <v>0.0</v>
      </c>
      <c r="J12" s="51" t="s">
        <v>1596</v>
      </c>
      <c r="K12" s="50" t="s">
        <v>118</v>
      </c>
      <c r="L12" s="50">
        <v>16.0</v>
      </c>
      <c r="M12" s="52">
        <v>40057.0</v>
      </c>
      <c r="N12" s="50" t="s">
        <v>1592</v>
      </c>
      <c r="O12" s="50" t="s">
        <v>1596</v>
      </c>
      <c r="P12" s="52">
        <v>40014.0</v>
      </c>
      <c r="Q12" s="52">
        <v>40014.0</v>
      </c>
      <c r="R12" s="50" t="s">
        <v>1592</v>
      </c>
      <c r="S12" s="50" t="s">
        <v>1592</v>
      </c>
      <c r="T12" s="50" t="s">
        <v>1592</v>
      </c>
      <c r="U12" s="50" t="s">
        <v>1630</v>
      </c>
    </row>
    <row r="13">
      <c r="A13" s="49">
        <v>12.0</v>
      </c>
      <c r="B13" s="50" t="s">
        <v>1627</v>
      </c>
      <c r="C13" s="50" t="s">
        <v>15</v>
      </c>
      <c r="D13" s="50" t="s">
        <v>1631</v>
      </c>
      <c r="E13" s="50">
        <v>12.0</v>
      </c>
      <c r="F13" s="50" t="s">
        <v>112</v>
      </c>
      <c r="G13" s="50" t="s">
        <v>114</v>
      </c>
      <c r="H13" s="50" t="s">
        <v>117</v>
      </c>
      <c r="I13" s="50">
        <v>6.0</v>
      </c>
      <c r="J13" s="51" t="s">
        <v>1632</v>
      </c>
      <c r="K13" s="50" t="s">
        <v>118</v>
      </c>
      <c r="L13" s="50">
        <v>5.0</v>
      </c>
      <c r="M13" s="52">
        <v>40210.0</v>
      </c>
      <c r="N13" s="50" t="s">
        <v>1592</v>
      </c>
      <c r="O13" s="50" t="s">
        <v>1633</v>
      </c>
      <c r="P13" s="53">
        <v>40148.0</v>
      </c>
      <c r="Q13" s="53">
        <v>40148.0</v>
      </c>
      <c r="R13" s="50" t="s">
        <v>1592</v>
      </c>
      <c r="S13" s="50" t="s">
        <v>1592</v>
      </c>
      <c r="T13" s="50" t="s">
        <v>1592</v>
      </c>
      <c r="U13" s="50" t="s">
        <v>1592</v>
      </c>
    </row>
    <row r="14">
      <c r="A14" s="49">
        <v>13.0</v>
      </c>
      <c r="B14" s="50" t="s">
        <v>1627</v>
      </c>
      <c r="C14" s="50" t="s">
        <v>1634</v>
      </c>
      <c r="D14" s="50" t="s">
        <v>1635</v>
      </c>
      <c r="E14" s="50">
        <v>8.0</v>
      </c>
      <c r="F14" s="50" t="s">
        <v>112</v>
      </c>
      <c r="G14" s="50" t="s">
        <v>114</v>
      </c>
      <c r="H14" s="50" t="s">
        <v>117</v>
      </c>
      <c r="I14" s="50">
        <v>1.0</v>
      </c>
      <c r="J14" s="51" t="s">
        <v>1632</v>
      </c>
      <c r="K14" s="50" t="s">
        <v>118</v>
      </c>
      <c r="L14" s="50">
        <v>2.0</v>
      </c>
      <c r="M14" s="50" t="s">
        <v>1592</v>
      </c>
      <c r="N14" s="50" t="s">
        <v>1592</v>
      </c>
      <c r="O14" s="50" t="s">
        <v>1592</v>
      </c>
      <c r="P14" s="53">
        <v>40087.0</v>
      </c>
      <c r="Q14" s="53">
        <v>40087.0</v>
      </c>
      <c r="R14" s="50" t="s">
        <v>1592</v>
      </c>
      <c r="S14" s="50" t="s">
        <v>1592</v>
      </c>
      <c r="T14" s="50" t="s">
        <v>1592</v>
      </c>
      <c r="U14" s="50" t="s">
        <v>1636</v>
      </c>
    </row>
    <row r="15">
      <c r="A15" s="49">
        <v>14.0</v>
      </c>
      <c r="B15" s="50" t="s">
        <v>1637</v>
      </c>
      <c r="C15" s="50" t="s">
        <v>1637</v>
      </c>
      <c r="D15" s="50" t="s">
        <v>1638</v>
      </c>
      <c r="E15" s="50">
        <v>21.0</v>
      </c>
      <c r="F15" s="50" t="s">
        <v>112</v>
      </c>
      <c r="G15" s="50" t="s">
        <v>1639</v>
      </c>
      <c r="H15" s="50" t="s">
        <v>117</v>
      </c>
      <c r="I15" s="50">
        <v>3.0</v>
      </c>
      <c r="J15" s="51" t="s">
        <v>1632</v>
      </c>
      <c r="K15" s="50" t="s">
        <v>118</v>
      </c>
      <c r="L15" s="50">
        <v>6.0</v>
      </c>
      <c r="M15" s="52">
        <v>39904.0</v>
      </c>
      <c r="N15" s="50" t="s">
        <v>1592</v>
      </c>
      <c r="O15" s="50" t="s">
        <v>1640</v>
      </c>
      <c r="P15" s="53">
        <v>39814.0</v>
      </c>
      <c r="Q15" s="53">
        <v>39814.0</v>
      </c>
      <c r="R15" s="50" t="s">
        <v>1592</v>
      </c>
      <c r="S15" s="50" t="s">
        <v>1592</v>
      </c>
      <c r="T15" s="50" t="s">
        <v>1592</v>
      </c>
      <c r="U15" s="50" t="s">
        <v>1592</v>
      </c>
    </row>
    <row r="16">
      <c r="A16" s="49">
        <v>15.0</v>
      </c>
      <c r="B16" s="50" t="s">
        <v>1637</v>
      </c>
      <c r="C16" s="50" t="s">
        <v>1637</v>
      </c>
      <c r="D16" s="50" t="s">
        <v>1638</v>
      </c>
      <c r="E16" s="50">
        <v>24.0</v>
      </c>
      <c r="F16" s="50" t="s">
        <v>112</v>
      </c>
      <c r="G16" s="50" t="s">
        <v>1639</v>
      </c>
      <c r="H16" s="50" t="s">
        <v>117</v>
      </c>
      <c r="I16" s="50">
        <v>0.0</v>
      </c>
      <c r="J16" s="51" t="s">
        <v>1596</v>
      </c>
      <c r="K16" s="50" t="s">
        <v>118</v>
      </c>
      <c r="L16" s="50">
        <v>3.0</v>
      </c>
      <c r="M16" s="52">
        <v>39965.0</v>
      </c>
      <c r="N16" s="50" t="s">
        <v>1592</v>
      </c>
      <c r="O16" s="50" t="s">
        <v>1641</v>
      </c>
      <c r="P16" s="53">
        <v>39934.0</v>
      </c>
      <c r="Q16" s="53">
        <v>39934.0</v>
      </c>
      <c r="R16" s="50" t="s">
        <v>1592</v>
      </c>
      <c r="S16" s="50" t="s">
        <v>1592</v>
      </c>
      <c r="T16" s="50" t="s">
        <v>1592</v>
      </c>
      <c r="U16" s="50" t="s">
        <v>1592</v>
      </c>
    </row>
    <row r="17">
      <c r="A17" s="49">
        <v>16.0</v>
      </c>
      <c r="B17" s="50" t="s">
        <v>1642</v>
      </c>
      <c r="C17" s="50" t="s">
        <v>1643</v>
      </c>
      <c r="D17" s="50" t="s">
        <v>1638</v>
      </c>
      <c r="E17" s="50">
        <v>21.0</v>
      </c>
      <c r="F17" s="50" t="s">
        <v>112</v>
      </c>
      <c r="G17" s="50" t="s">
        <v>1639</v>
      </c>
      <c r="H17" s="50" t="s">
        <v>1644</v>
      </c>
      <c r="I17" s="50">
        <v>5.0</v>
      </c>
      <c r="J17" s="51" t="s">
        <v>115</v>
      </c>
      <c r="K17" s="50" t="s">
        <v>122</v>
      </c>
      <c r="L17" s="50">
        <v>0.0</v>
      </c>
      <c r="M17" s="52">
        <v>39979.0</v>
      </c>
      <c r="N17" s="50" t="s">
        <v>1645</v>
      </c>
      <c r="O17" s="50" t="s">
        <v>1592</v>
      </c>
      <c r="P17" s="52">
        <v>39960.0</v>
      </c>
      <c r="Q17" s="52">
        <v>39967.0</v>
      </c>
      <c r="R17" s="50">
        <v>23.0</v>
      </c>
      <c r="S17" s="50" t="s">
        <v>127</v>
      </c>
      <c r="T17" s="50" t="s">
        <v>1643</v>
      </c>
      <c r="U17" s="50" t="s">
        <v>1592</v>
      </c>
    </row>
    <row r="18">
      <c r="A18" s="49">
        <v>17.0</v>
      </c>
      <c r="B18" s="50" t="s">
        <v>1646</v>
      </c>
      <c r="C18" s="50" t="s">
        <v>1610</v>
      </c>
      <c r="D18" s="50" t="s">
        <v>1647</v>
      </c>
      <c r="E18" s="50">
        <v>5.0</v>
      </c>
      <c r="F18" s="50" t="s">
        <v>112</v>
      </c>
      <c r="G18" s="50" t="s">
        <v>114</v>
      </c>
      <c r="H18" s="50" t="s">
        <v>117</v>
      </c>
      <c r="I18" s="50">
        <v>4.0</v>
      </c>
      <c r="J18" s="51" t="s">
        <v>115</v>
      </c>
      <c r="K18" s="50" t="s">
        <v>122</v>
      </c>
      <c r="L18" s="50">
        <v>0.0</v>
      </c>
      <c r="M18" s="52">
        <v>39902.0</v>
      </c>
      <c r="N18" s="50" t="s">
        <v>1648</v>
      </c>
      <c r="O18" s="50" t="s">
        <v>1592</v>
      </c>
      <c r="P18" s="53">
        <v>39873.0</v>
      </c>
      <c r="Q18" s="53">
        <v>39873.0</v>
      </c>
      <c r="R18" s="50">
        <v>9.0</v>
      </c>
      <c r="S18" s="50" t="s">
        <v>114</v>
      </c>
      <c r="T18" s="50" t="s">
        <v>1649</v>
      </c>
      <c r="U18" s="50"/>
    </row>
    <row r="19">
      <c r="A19" s="49">
        <v>18.0</v>
      </c>
      <c r="B19" s="50" t="s">
        <v>1646</v>
      </c>
      <c r="C19" s="50" t="s">
        <v>1650</v>
      </c>
      <c r="D19" s="50" t="s">
        <v>1651</v>
      </c>
      <c r="E19" s="50">
        <v>5.0</v>
      </c>
      <c r="F19" s="50" t="s">
        <v>1652</v>
      </c>
      <c r="G19" s="50" t="s">
        <v>1652</v>
      </c>
      <c r="H19" s="50"/>
      <c r="I19" s="50">
        <v>8.0</v>
      </c>
      <c r="J19" s="51" t="s">
        <v>1632</v>
      </c>
      <c r="K19" s="50" t="s">
        <v>122</v>
      </c>
      <c r="L19" s="50">
        <v>0.0</v>
      </c>
      <c r="M19" s="50" t="s">
        <v>1592</v>
      </c>
      <c r="N19" s="50" t="s">
        <v>1592</v>
      </c>
      <c r="O19" s="50" t="s">
        <v>1592</v>
      </c>
      <c r="P19" s="50" t="s">
        <v>1592</v>
      </c>
      <c r="Q19" s="50" t="s">
        <v>1592</v>
      </c>
      <c r="R19" s="50" t="s">
        <v>1592</v>
      </c>
      <c r="S19" s="50" t="s">
        <v>1592</v>
      </c>
      <c r="T19" s="50" t="s">
        <v>1592</v>
      </c>
      <c r="U19" s="50" t="s">
        <v>1592</v>
      </c>
    </row>
    <row r="20">
      <c r="A20" s="49">
        <v>19.0</v>
      </c>
      <c r="B20" s="50" t="s">
        <v>1646</v>
      </c>
      <c r="C20" s="50" t="s">
        <v>1610</v>
      </c>
      <c r="D20" s="50" t="s">
        <v>1653</v>
      </c>
      <c r="E20" s="50">
        <v>18.0</v>
      </c>
      <c r="F20" s="50" t="s">
        <v>112</v>
      </c>
      <c r="G20" s="50" t="s">
        <v>120</v>
      </c>
      <c r="H20" s="50" t="s">
        <v>117</v>
      </c>
      <c r="I20" s="50">
        <v>2.0</v>
      </c>
      <c r="J20" s="51" t="s">
        <v>1632</v>
      </c>
      <c r="K20" s="50" t="s">
        <v>118</v>
      </c>
      <c r="L20" s="50">
        <v>5.0</v>
      </c>
      <c r="M20" s="52">
        <v>40028.0</v>
      </c>
      <c r="N20" s="50" t="s">
        <v>1592</v>
      </c>
      <c r="O20" s="50" t="s">
        <v>1654</v>
      </c>
      <c r="P20" s="53">
        <v>39995.0</v>
      </c>
      <c r="Q20" s="53">
        <v>39995.0</v>
      </c>
      <c r="R20" s="50" t="s">
        <v>1592</v>
      </c>
      <c r="S20" s="50" t="s">
        <v>1592</v>
      </c>
      <c r="T20" s="50" t="s">
        <v>1592</v>
      </c>
      <c r="U20" s="50" t="s">
        <v>1592</v>
      </c>
    </row>
    <row r="21">
      <c r="A21" s="49">
        <v>20.0</v>
      </c>
      <c r="B21" s="50" t="s">
        <v>1646</v>
      </c>
      <c r="C21" s="50" t="s">
        <v>1655</v>
      </c>
      <c r="D21" s="50" t="s">
        <v>1656</v>
      </c>
      <c r="E21" s="50">
        <v>14.0</v>
      </c>
      <c r="F21" s="50" t="s">
        <v>112</v>
      </c>
      <c r="G21" s="50" t="s">
        <v>114</v>
      </c>
      <c r="H21" s="50" t="s">
        <v>117</v>
      </c>
      <c r="I21" s="50">
        <v>0.0</v>
      </c>
      <c r="J21" s="51" t="s">
        <v>1596</v>
      </c>
      <c r="K21" s="50" t="s">
        <v>122</v>
      </c>
      <c r="L21" s="50">
        <v>0.0</v>
      </c>
      <c r="M21" s="50" t="s">
        <v>1592</v>
      </c>
      <c r="N21" s="50" t="s">
        <v>1592</v>
      </c>
      <c r="O21" s="50" t="s">
        <v>1592</v>
      </c>
      <c r="P21" s="53">
        <v>39934.0</v>
      </c>
      <c r="Q21" s="53">
        <v>39934.0</v>
      </c>
      <c r="R21" s="50" t="s">
        <v>1592</v>
      </c>
      <c r="S21" s="50" t="s">
        <v>1592</v>
      </c>
      <c r="T21" s="50" t="s">
        <v>1592</v>
      </c>
      <c r="U21" s="50" t="s">
        <v>1592</v>
      </c>
    </row>
    <row r="22">
      <c r="A22" s="49">
        <v>21.0</v>
      </c>
      <c r="B22" s="50" t="s">
        <v>1646</v>
      </c>
      <c r="C22" s="50" t="s">
        <v>1650</v>
      </c>
      <c r="D22" s="50" t="s">
        <v>1657</v>
      </c>
      <c r="E22" s="50">
        <v>12.0</v>
      </c>
      <c r="F22" s="50" t="s">
        <v>112</v>
      </c>
      <c r="G22" s="50" t="s">
        <v>114</v>
      </c>
      <c r="H22" s="50" t="s">
        <v>116</v>
      </c>
      <c r="I22" s="50">
        <v>9.0</v>
      </c>
      <c r="J22" s="51" t="s">
        <v>115</v>
      </c>
      <c r="K22" s="50" t="s">
        <v>122</v>
      </c>
      <c r="L22" s="50">
        <v>0.0</v>
      </c>
      <c r="M22" s="50" t="s">
        <v>1592</v>
      </c>
      <c r="N22" s="50" t="s">
        <v>1592</v>
      </c>
      <c r="O22" s="50" t="s">
        <v>1658</v>
      </c>
      <c r="P22" s="53">
        <v>39904.0</v>
      </c>
      <c r="Q22" s="53">
        <v>39904.0</v>
      </c>
      <c r="R22" s="50" t="s">
        <v>1592</v>
      </c>
      <c r="S22" s="50" t="s">
        <v>1592</v>
      </c>
      <c r="T22" s="50" t="s">
        <v>1592</v>
      </c>
      <c r="U22" s="50" t="s">
        <v>1592</v>
      </c>
    </row>
    <row r="23">
      <c r="A23" s="49">
        <v>22.0</v>
      </c>
      <c r="B23" s="50" t="s">
        <v>1646</v>
      </c>
      <c r="C23" s="50" t="s">
        <v>1655</v>
      </c>
      <c r="D23" s="50" t="s">
        <v>1656</v>
      </c>
      <c r="E23" s="50">
        <v>12.0</v>
      </c>
      <c r="F23" s="50" t="s">
        <v>112</v>
      </c>
      <c r="G23" s="50" t="s">
        <v>114</v>
      </c>
      <c r="H23" s="50" t="s">
        <v>116</v>
      </c>
      <c r="I23" s="50">
        <v>7.0</v>
      </c>
      <c r="J23" s="51" t="s">
        <v>115</v>
      </c>
      <c r="K23" s="50" t="s">
        <v>122</v>
      </c>
      <c r="L23" s="50">
        <v>0.0</v>
      </c>
      <c r="M23" s="52">
        <v>39995.0</v>
      </c>
      <c r="N23" s="50" t="s">
        <v>1592</v>
      </c>
      <c r="O23" s="50" t="s">
        <v>1659</v>
      </c>
      <c r="P23" s="53">
        <v>39934.0</v>
      </c>
      <c r="Q23" s="53">
        <v>39934.0</v>
      </c>
      <c r="R23" s="50" t="s">
        <v>1592</v>
      </c>
      <c r="S23" s="50" t="s">
        <v>1592</v>
      </c>
      <c r="T23" s="50" t="s">
        <v>1592</v>
      </c>
      <c r="U23" s="50" t="s">
        <v>1592</v>
      </c>
    </row>
    <row r="24">
      <c r="A24" s="49">
        <v>23.0</v>
      </c>
      <c r="B24" s="50" t="s">
        <v>1660</v>
      </c>
      <c r="C24" s="50" t="s">
        <v>1661</v>
      </c>
      <c r="D24" s="50" t="s">
        <v>1662</v>
      </c>
      <c r="E24" s="50">
        <v>21.0</v>
      </c>
      <c r="F24" s="50" t="s">
        <v>112</v>
      </c>
      <c r="G24" s="50" t="s">
        <v>125</v>
      </c>
      <c r="H24" s="50" t="s">
        <v>116</v>
      </c>
      <c r="I24" s="50">
        <v>16.0</v>
      </c>
      <c r="J24" s="51" t="s">
        <v>1632</v>
      </c>
      <c r="K24" s="50" t="s">
        <v>122</v>
      </c>
      <c r="L24" s="50">
        <v>0.0</v>
      </c>
      <c r="M24" s="52">
        <v>40269.0</v>
      </c>
      <c r="N24" s="50" t="s">
        <v>1592</v>
      </c>
      <c r="O24" s="50" t="s">
        <v>1663</v>
      </c>
      <c r="P24" s="53">
        <v>40148.0</v>
      </c>
      <c r="Q24" s="53">
        <v>40148.0</v>
      </c>
      <c r="R24" s="50" t="s">
        <v>1592</v>
      </c>
      <c r="S24" s="50" t="s">
        <v>1592</v>
      </c>
      <c r="T24" s="50" t="s">
        <v>1592</v>
      </c>
      <c r="U24" s="50" t="s">
        <v>1592</v>
      </c>
    </row>
    <row r="25">
      <c r="A25" s="49">
        <v>24.0</v>
      </c>
      <c r="B25" s="50" t="s">
        <v>1660</v>
      </c>
      <c r="C25" s="50" t="s">
        <v>1661</v>
      </c>
      <c r="D25" s="50" t="s">
        <v>1664</v>
      </c>
      <c r="E25" s="50">
        <v>15.0</v>
      </c>
      <c r="F25" s="50" t="s">
        <v>112</v>
      </c>
      <c r="G25" s="50" t="s">
        <v>120</v>
      </c>
      <c r="H25" s="50" t="s">
        <v>117</v>
      </c>
      <c r="I25" s="50">
        <v>7.0</v>
      </c>
      <c r="J25" s="51" t="s">
        <v>115</v>
      </c>
      <c r="K25" s="50" t="s">
        <v>122</v>
      </c>
      <c r="L25" s="50">
        <v>0.0</v>
      </c>
      <c r="M25" s="52">
        <v>40269.0</v>
      </c>
      <c r="N25" s="50" t="s">
        <v>1665</v>
      </c>
      <c r="O25" s="50" t="s">
        <v>1592</v>
      </c>
      <c r="P25" s="53">
        <v>40148.0</v>
      </c>
      <c r="Q25" s="53">
        <v>40148.0</v>
      </c>
      <c r="R25" s="50">
        <v>19.0</v>
      </c>
      <c r="S25" s="50" t="s">
        <v>120</v>
      </c>
      <c r="T25" s="50" t="s">
        <v>1661</v>
      </c>
      <c r="U25" s="50" t="s">
        <v>1592</v>
      </c>
    </row>
    <row r="26">
      <c r="A26" s="49">
        <v>25.0</v>
      </c>
      <c r="B26" s="50" t="s">
        <v>1660</v>
      </c>
      <c r="C26" s="50" t="s">
        <v>1666</v>
      </c>
      <c r="D26" s="50" t="s">
        <v>1657</v>
      </c>
      <c r="E26" s="50">
        <v>14.0</v>
      </c>
      <c r="F26" s="50" t="s">
        <v>112</v>
      </c>
      <c r="G26" s="50" t="s">
        <v>114</v>
      </c>
      <c r="H26" s="50" t="s">
        <v>116</v>
      </c>
      <c r="I26" s="50">
        <v>7.0</v>
      </c>
      <c r="J26" s="51" t="s">
        <v>115</v>
      </c>
      <c r="K26" s="50" t="s">
        <v>122</v>
      </c>
      <c r="L26" s="50">
        <v>0.0</v>
      </c>
      <c r="M26" s="52">
        <v>40252.0</v>
      </c>
      <c r="N26" s="50" t="s">
        <v>1592</v>
      </c>
      <c r="O26" s="50" t="s">
        <v>1667</v>
      </c>
      <c r="P26" s="53">
        <v>40148.0</v>
      </c>
      <c r="Q26" s="53">
        <v>40148.0</v>
      </c>
      <c r="R26" s="50" t="s">
        <v>1592</v>
      </c>
      <c r="S26" s="50" t="s">
        <v>1592</v>
      </c>
      <c r="T26" s="50" t="s">
        <v>1592</v>
      </c>
      <c r="U26" s="50" t="s">
        <v>1592</v>
      </c>
    </row>
    <row r="27">
      <c r="A27" s="49">
        <v>26.0</v>
      </c>
      <c r="B27" s="50" t="s">
        <v>1660</v>
      </c>
      <c r="C27" s="50" t="s">
        <v>1668</v>
      </c>
      <c r="D27" s="50" t="s">
        <v>1669</v>
      </c>
      <c r="E27" s="50">
        <v>19.0</v>
      </c>
      <c r="F27" s="50" t="s">
        <v>112</v>
      </c>
      <c r="G27" s="50" t="s">
        <v>125</v>
      </c>
      <c r="H27" s="50" t="s">
        <v>117</v>
      </c>
      <c r="I27" s="50">
        <v>0.0</v>
      </c>
      <c r="J27" s="51" t="s">
        <v>1596</v>
      </c>
      <c r="K27" s="50" t="s">
        <v>118</v>
      </c>
      <c r="L27" s="50">
        <v>11.0</v>
      </c>
      <c r="M27" s="50" t="s">
        <v>1592</v>
      </c>
      <c r="N27" s="50" t="s">
        <v>1592</v>
      </c>
      <c r="O27" s="50" t="s">
        <v>1670</v>
      </c>
      <c r="P27" s="53">
        <v>40026.0</v>
      </c>
      <c r="Q27" s="53">
        <v>40026.0</v>
      </c>
      <c r="R27" s="50" t="s">
        <v>1592</v>
      </c>
      <c r="S27" s="50" t="s">
        <v>1592</v>
      </c>
      <c r="T27" s="50" t="s">
        <v>1592</v>
      </c>
      <c r="U27" s="50" t="s">
        <v>1592</v>
      </c>
    </row>
    <row r="28">
      <c r="A28" s="49">
        <v>27.0</v>
      </c>
      <c r="B28" s="50" t="s">
        <v>1660</v>
      </c>
      <c r="C28" s="50" t="s">
        <v>1661</v>
      </c>
      <c r="D28" s="50" t="s">
        <v>1671</v>
      </c>
      <c r="E28" s="50">
        <v>21.0</v>
      </c>
      <c r="F28" s="50" t="s">
        <v>112</v>
      </c>
      <c r="G28" s="50" t="s">
        <v>120</v>
      </c>
      <c r="H28" s="50" t="s">
        <v>117</v>
      </c>
      <c r="I28" s="50">
        <v>0.0</v>
      </c>
      <c r="J28" s="51" t="s">
        <v>1596</v>
      </c>
      <c r="K28" s="50" t="s">
        <v>118</v>
      </c>
      <c r="L28" s="50">
        <v>4.0</v>
      </c>
      <c r="M28" s="52">
        <v>40118.0</v>
      </c>
      <c r="N28" s="50" t="s">
        <v>1592</v>
      </c>
      <c r="O28" s="50" t="s">
        <v>1672</v>
      </c>
      <c r="P28" s="53">
        <v>40057.0</v>
      </c>
      <c r="Q28" s="53">
        <v>40057.0</v>
      </c>
      <c r="R28" s="50" t="s">
        <v>1592</v>
      </c>
      <c r="S28" s="50" t="s">
        <v>1592</v>
      </c>
      <c r="T28" s="50" t="s">
        <v>1592</v>
      </c>
      <c r="U28" s="50" t="s">
        <v>1592</v>
      </c>
    </row>
    <row r="29">
      <c r="A29" s="49">
        <v>28.0</v>
      </c>
      <c r="B29" s="50" t="s">
        <v>1660</v>
      </c>
      <c r="C29" s="50" t="s">
        <v>1661</v>
      </c>
      <c r="D29" s="50" t="s">
        <v>1673</v>
      </c>
      <c r="E29" s="50" t="s">
        <v>1674</v>
      </c>
      <c r="F29" s="50" t="s">
        <v>112</v>
      </c>
      <c r="G29" s="50" t="s">
        <v>1675</v>
      </c>
      <c r="H29" s="50" t="s">
        <v>116</v>
      </c>
      <c r="I29" s="50">
        <v>3.0</v>
      </c>
      <c r="J29" s="51" t="s">
        <v>115</v>
      </c>
      <c r="K29" s="50" t="s">
        <v>122</v>
      </c>
      <c r="L29" s="50">
        <v>0.0</v>
      </c>
      <c r="M29" s="52">
        <v>39995.0</v>
      </c>
      <c r="N29" s="50" t="s">
        <v>1592</v>
      </c>
      <c r="O29" s="50" t="s">
        <v>1676</v>
      </c>
      <c r="P29" s="53">
        <v>39904.0</v>
      </c>
      <c r="Q29" s="53">
        <v>39904.0</v>
      </c>
      <c r="R29" s="50" t="s">
        <v>1592</v>
      </c>
      <c r="S29" s="50" t="s">
        <v>1592</v>
      </c>
      <c r="T29" s="50" t="s">
        <v>1592</v>
      </c>
      <c r="U29" s="50" t="s">
        <v>1592</v>
      </c>
    </row>
    <row r="30">
      <c r="A30" s="49">
        <v>29.0</v>
      </c>
      <c r="B30" s="50" t="s">
        <v>1660</v>
      </c>
      <c r="C30" s="50" t="s">
        <v>1677</v>
      </c>
      <c r="D30" s="50" t="s">
        <v>1678</v>
      </c>
      <c r="E30" s="50">
        <v>14.0</v>
      </c>
      <c r="F30" s="50" t="s">
        <v>112</v>
      </c>
      <c r="G30" s="50" t="s">
        <v>114</v>
      </c>
      <c r="H30" s="50" t="s">
        <v>116</v>
      </c>
      <c r="I30" s="50">
        <v>12.0</v>
      </c>
      <c r="J30" s="51" t="s">
        <v>115</v>
      </c>
      <c r="K30" s="50" t="s">
        <v>122</v>
      </c>
      <c r="L30" s="50">
        <v>0.0</v>
      </c>
      <c r="M30" s="52">
        <v>39904.0</v>
      </c>
      <c r="N30" s="50" t="s">
        <v>1592</v>
      </c>
      <c r="O30" s="50" t="s">
        <v>1679</v>
      </c>
      <c r="P30" s="53">
        <v>39873.0</v>
      </c>
      <c r="Q30" s="53">
        <v>39873.0</v>
      </c>
      <c r="R30" s="50" t="s">
        <v>1592</v>
      </c>
      <c r="S30" s="50" t="s">
        <v>1592</v>
      </c>
      <c r="T30" s="50" t="s">
        <v>1592</v>
      </c>
      <c r="U30" s="50" t="s">
        <v>1592</v>
      </c>
    </row>
    <row r="31">
      <c r="A31" s="49">
        <v>30.0</v>
      </c>
      <c r="B31" s="50" t="s">
        <v>1680</v>
      </c>
      <c r="C31" s="50" t="s">
        <v>1681</v>
      </c>
      <c r="D31" s="50" t="s">
        <v>1682</v>
      </c>
      <c r="E31" s="50">
        <v>14.0</v>
      </c>
      <c r="F31" s="50" t="s">
        <v>112</v>
      </c>
      <c r="G31" s="50" t="s">
        <v>114</v>
      </c>
      <c r="H31" s="50" t="s">
        <v>117</v>
      </c>
      <c r="I31" s="50">
        <v>2.0</v>
      </c>
      <c r="J31" s="51" t="s">
        <v>1596</v>
      </c>
      <c r="K31" s="50" t="s">
        <v>118</v>
      </c>
      <c r="L31" s="50">
        <v>5.0</v>
      </c>
      <c r="M31" s="52">
        <v>40238.0</v>
      </c>
      <c r="N31" s="50" t="s">
        <v>1592</v>
      </c>
      <c r="O31" s="50" t="s">
        <v>1683</v>
      </c>
      <c r="P31" s="53">
        <v>40057.0</v>
      </c>
      <c r="Q31" s="53">
        <v>40057.0</v>
      </c>
      <c r="R31" s="50" t="s">
        <v>1592</v>
      </c>
      <c r="S31" s="50" t="s">
        <v>1592</v>
      </c>
      <c r="T31" s="50" t="s">
        <v>1592</v>
      </c>
      <c r="U31" s="50" t="s">
        <v>1592</v>
      </c>
    </row>
    <row r="32">
      <c r="A32" s="3"/>
      <c r="B32" s="3"/>
      <c r="C32" s="3"/>
      <c r="D32" s="3"/>
      <c r="I32" s="3"/>
      <c r="J32" s="54"/>
      <c r="N32" s="3"/>
      <c r="O32" s="3"/>
      <c r="S32" s="3"/>
      <c r="U32" s="3"/>
    </row>
    <row r="33">
      <c r="A33" s="3"/>
      <c r="B33" s="3"/>
      <c r="C33" s="3"/>
      <c r="D33" s="3"/>
      <c r="I33" s="3"/>
      <c r="J33" s="54"/>
      <c r="N33" s="3"/>
      <c r="O33" s="3"/>
      <c r="S33" s="3"/>
      <c r="U33" s="3"/>
    </row>
    <row r="34">
      <c r="A34" s="3"/>
      <c r="B34" s="3"/>
      <c r="C34" s="3"/>
      <c r="D34" s="3"/>
      <c r="I34" s="3"/>
      <c r="J34" s="54"/>
      <c r="N34" s="3"/>
      <c r="O34" s="3"/>
      <c r="S34" s="3"/>
      <c r="U34" s="3"/>
    </row>
    <row r="35">
      <c r="A35" s="3"/>
      <c r="B35" s="3"/>
      <c r="C35" s="3"/>
      <c r="D35" s="3"/>
      <c r="I35" s="3"/>
      <c r="J35" s="54"/>
      <c r="N35" s="3"/>
      <c r="O35" s="3"/>
      <c r="S35" s="3"/>
      <c r="U35" s="3"/>
    </row>
    <row r="36">
      <c r="A36" s="3"/>
      <c r="B36" s="3"/>
      <c r="C36" s="3"/>
      <c r="D36" s="3"/>
      <c r="I36" s="3"/>
      <c r="J36" s="54"/>
      <c r="N36" s="3"/>
      <c r="O36" s="3"/>
      <c r="S36" s="3"/>
      <c r="U36" s="3"/>
    </row>
    <row r="37">
      <c r="A37" s="3"/>
      <c r="B37" s="3"/>
      <c r="C37" s="3"/>
      <c r="D37" s="3"/>
      <c r="I37" s="3"/>
      <c r="J37" s="54"/>
      <c r="N37" s="3"/>
      <c r="O37" s="3"/>
      <c r="S37" s="3"/>
      <c r="U37" s="3"/>
    </row>
    <row r="38">
      <c r="A38" s="3"/>
      <c r="B38" s="3"/>
      <c r="C38" s="3"/>
      <c r="D38" s="3"/>
      <c r="I38" s="3"/>
      <c r="J38" s="54"/>
      <c r="N38" s="3"/>
      <c r="O38" s="3"/>
      <c r="S38" s="3"/>
      <c r="U38" s="3"/>
    </row>
    <row r="39">
      <c r="A39" s="3"/>
      <c r="B39" s="3"/>
      <c r="C39" s="3"/>
      <c r="D39" s="3"/>
      <c r="I39" s="3"/>
      <c r="J39" s="54"/>
      <c r="N39" s="3"/>
      <c r="O39" s="3"/>
      <c r="S39" s="3"/>
      <c r="U39" s="3"/>
    </row>
    <row r="40">
      <c r="A40" s="3"/>
      <c r="B40" s="3"/>
      <c r="C40" s="3"/>
      <c r="D40" s="3"/>
      <c r="I40" s="3"/>
      <c r="J40" s="54"/>
      <c r="N40" s="3"/>
      <c r="O40" s="3"/>
      <c r="S40" s="3"/>
      <c r="U40" s="3"/>
    </row>
    <row r="41">
      <c r="A41" s="3"/>
      <c r="B41" s="3"/>
      <c r="C41" s="3"/>
      <c r="D41" s="3"/>
      <c r="I41" s="3"/>
      <c r="J41" s="54"/>
      <c r="N41" s="3"/>
      <c r="O41" s="3"/>
      <c r="S41" s="3"/>
      <c r="U41" s="3"/>
    </row>
    <row r="42">
      <c r="A42" s="3"/>
      <c r="B42" s="3"/>
      <c r="C42" s="3"/>
      <c r="D42" s="3"/>
      <c r="I42" s="3"/>
      <c r="J42" s="54"/>
      <c r="N42" s="3"/>
      <c r="O42" s="3"/>
      <c r="S42" s="3"/>
      <c r="U42" s="3"/>
    </row>
    <row r="43">
      <c r="A43" s="3"/>
      <c r="B43" s="3"/>
      <c r="C43" s="3"/>
      <c r="D43" s="3"/>
      <c r="I43" s="3"/>
      <c r="J43" s="54"/>
      <c r="N43" s="3"/>
      <c r="O43" s="3"/>
      <c r="S43" s="3"/>
      <c r="U43" s="3"/>
    </row>
    <row r="44">
      <c r="A44" s="3"/>
      <c r="B44" s="3"/>
      <c r="C44" s="3"/>
      <c r="D44" s="3"/>
      <c r="I44" s="3"/>
      <c r="J44" s="54"/>
      <c r="N44" s="3"/>
      <c r="O44" s="3"/>
      <c r="S44" s="3"/>
      <c r="U44" s="3"/>
    </row>
    <row r="45">
      <c r="A45" s="3"/>
      <c r="B45" s="3"/>
      <c r="C45" s="3"/>
      <c r="D45" s="3"/>
      <c r="I45" s="3"/>
      <c r="J45" s="54"/>
      <c r="N45" s="3"/>
      <c r="O45" s="3"/>
      <c r="S45" s="3"/>
      <c r="U45" s="3"/>
    </row>
    <row r="46">
      <c r="A46" s="3"/>
      <c r="B46" s="3"/>
      <c r="C46" s="3"/>
      <c r="D46" s="3"/>
      <c r="I46" s="3"/>
      <c r="J46" s="54"/>
      <c r="N46" s="3"/>
      <c r="O46" s="3"/>
      <c r="S46" s="3"/>
      <c r="U46" s="3"/>
    </row>
    <row r="47">
      <c r="A47" s="3"/>
      <c r="B47" s="3"/>
      <c r="C47" s="3"/>
      <c r="D47" s="3"/>
      <c r="I47" s="3"/>
      <c r="J47" s="54"/>
      <c r="N47" s="3"/>
      <c r="O47" s="3"/>
      <c r="S47" s="3"/>
      <c r="U47" s="3"/>
    </row>
    <row r="48">
      <c r="A48" s="3"/>
      <c r="B48" s="3"/>
      <c r="C48" s="3"/>
      <c r="D48" s="3"/>
      <c r="I48" s="3"/>
      <c r="J48" s="54"/>
      <c r="N48" s="3"/>
      <c r="O48" s="3"/>
      <c r="S48" s="3"/>
      <c r="U48" s="3"/>
    </row>
    <row r="49">
      <c r="A49" s="3"/>
      <c r="B49" s="3"/>
      <c r="C49" s="3"/>
      <c r="D49" s="3"/>
      <c r="I49" s="3"/>
      <c r="J49" s="54"/>
      <c r="N49" s="3"/>
      <c r="O49" s="3"/>
      <c r="S49" s="3"/>
      <c r="U49" s="3"/>
    </row>
    <row r="50">
      <c r="A50" s="3"/>
      <c r="B50" s="3"/>
      <c r="C50" s="3"/>
      <c r="D50" s="3"/>
      <c r="I50" s="3"/>
      <c r="J50" s="54"/>
      <c r="N50" s="3"/>
      <c r="O50" s="3"/>
      <c r="S50" s="3"/>
      <c r="U50" s="3"/>
    </row>
    <row r="51">
      <c r="A51" s="3"/>
      <c r="B51" s="3"/>
      <c r="C51" s="3"/>
      <c r="D51" s="3"/>
      <c r="I51" s="3"/>
      <c r="J51" s="54"/>
      <c r="N51" s="3"/>
      <c r="O51" s="3"/>
      <c r="S51" s="3"/>
      <c r="U51" s="3"/>
    </row>
    <row r="52">
      <c r="A52" s="3"/>
      <c r="B52" s="3"/>
      <c r="C52" s="3"/>
      <c r="D52" s="3"/>
      <c r="I52" s="3"/>
      <c r="J52" s="54"/>
      <c r="N52" s="3"/>
      <c r="O52" s="3"/>
      <c r="S52" s="3"/>
      <c r="U52" s="3"/>
    </row>
    <row r="53">
      <c r="A53" s="3"/>
      <c r="B53" s="3"/>
      <c r="C53" s="3"/>
      <c r="D53" s="3"/>
      <c r="I53" s="3"/>
      <c r="J53" s="54"/>
      <c r="N53" s="3"/>
      <c r="O53" s="3"/>
      <c r="S53" s="3"/>
      <c r="U53" s="3"/>
    </row>
    <row r="54">
      <c r="A54" s="3"/>
      <c r="B54" s="3"/>
      <c r="C54" s="3"/>
      <c r="D54" s="3"/>
      <c r="I54" s="3"/>
      <c r="J54" s="54"/>
      <c r="N54" s="3"/>
      <c r="O54" s="3"/>
      <c r="S54" s="3"/>
      <c r="U54" s="3"/>
    </row>
    <row r="55">
      <c r="A55" s="3"/>
      <c r="B55" s="3"/>
      <c r="C55" s="3"/>
      <c r="D55" s="3"/>
      <c r="I55" s="3"/>
      <c r="J55" s="54"/>
      <c r="N55" s="3"/>
      <c r="O55" s="3"/>
      <c r="S55" s="3"/>
      <c r="U55" s="3"/>
    </row>
    <row r="56">
      <c r="A56" s="3"/>
      <c r="B56" s="3"/>
      <c r="C56" s="3"/>
      <c r="D56" s="3"/>
      <c r="I56" s="3"/>
      <c r="J56" s="54"/>
      <c r="N56" s="3"/>
      <c r="O56" s="3"/>
      <c r="S56" s="3"/>
      <c r="U56" s="3"/>
    </row>
    <row r="57">
      <c r="A57" s="3"/>
      <c r="B57" s="3"/>
      <c r="C57" s="3"/>
      <c r="D57" s="3"/>
      <c r="I57" s="3"/>
      <c r="J57" s="54"/>
      <c r="N57" s="3"/>
      <c r="O57" s="3"/>
      <c r="S57" s="3"/>
      <c r="U57" s="3"/>
    </row>
    <row r="58">
      <c r="A58" s="3"/>
      <c r="B58" s="3"/>
      <c r="C58" s="3"/>
      <c r="D58" s="3"/>
      <c r="I58" s="3"/>
      <c r="J58" s="54"/>
      <c r="N58" s="3"/>
      <c r="O58" s="3"/>
      <c r="S58" s="3"/>
      <c r="U58" s="3"/>
    </row>
    <row r="59">
      <c r="A59" s="3"/>
      <c r="B59" s="3"/>
      <c r="C59" s="3"/>
      <c r="D59" s="3"/>
      <c r="I59" s="3"/>
      <c r="J59" s="54"/>
      <c r="N59" s="3"/>
      <c r="O59" s="3"/>
      <c r="S59" s="3"/>
      <c r="U59" s="3"/>
    </row>
    <row r="60">
      <c r="A60" s="3"/>
      <c r="B60" s="3"/>
      <c r="C60" s="3"/>
      <c r="D60" s="3"/>
      <c r="I60" s="3"/>
      <c r="J60" s="54"/>
      <c r="N60" s="3"/>
      <c r="O60" s="3"/>
      <c r="S60" s="3"/>
      <c r="U60" s="3"/>
    </row>
    <row r="61">
      <c r="A61" s="3"/>
      <c r="B61" s="3"/>
      <c r="C61" s="3"/>
      <c r="D61" s="3"/>
      <c r="I61" s="3"/>
      <c r="J61" s="54"/>
      <c r="N61" s="3"/>
      <c r="O61" s="3"/>
      <c r="S61" s="3"/>
      <c r="U61" s="3"/>
    </row>
    <row r="62">
      <c r="A62" s="3"/>
      <c r="B62" s="3"/>
      <c r="C62" s="3"/>
      <c r="D62" s="3"/>
      <c r="I62" s="3"/>
      <c r="J62" s="54"/>
      <c r="N62" s="3"/>
      <c r="O62" s="3"/>
      <c r="S62" s="3"/>
      <c r="U62" s="3"/>
    </row>
    <row r="63">
      <c r="A63" s="3"/>
      <c r="B63" s="3"/>
      <c r="C63" s="3"/>
      <c r="D63" s="3"/>
      <c r="I63" s="3"/>
      <c r="J63" s="54"/>
      <c r="N63" s="3"/>
      <c r="O63" s="3"/>
      <c r="S63" s="3"/>
      <c r="U63" s="3"/>
    </row>
    <row r="64">
      <c r="A64" s="3"/>
      <c r="B64" s="3"/>
      <c r="C64" s="3"/>
      <c r="D64" s="3"/>
      <c r="I64" s="3"/>
      <c r="J64" s="54"/>
      <c r="N64" s="3"/>
      <c r="O64" s="3"/>
      <c r="S64" s="3"/>
      <c r="U64" s="3"/>
    </row>
    <row r="65">
      <c r="A65" s="3"/>
      <c r="B65" s="3"/>
      <c r="C65" s="3"/>
      <c r="D65" s="3"/>
      <c r="I65" s="3"/>
      <c r="J65" s="54"/>
      <c r="N65" s="3"/>
      <c r="O65" s="3"/>
      <c r="S65" s="3"/>
      <c r="U65" s="3"/>
    </row>
    <row r="66">
      <c r="A66" s="3"/>
      <c r="B66" s="3"/>
      <c r="C66" s="3"/>
      <c r="D66" s="3"/>
      <c r="I66" s="3"/>
      <c r="J66" s="54"/>
      <c r="N66" s="3"/>
      <c r="O66" s="3"/>
      <c r="S66" s="3"/>
      <c r="U66" s="3"/>
    </row>
    <row r="67">
      <c r="A67" s="3"/>
      <c r="B67" s="3"/>
      <c r="C67" s="3"/>
      <c r="D67" s="3"/>
      <c r="I67" s="3"/>
      <c r="J67" s="54"/>
      <c r="N67" s="3"/>
      <c r="O67" s="3"/>
      <c r="S67" s="3"/>
      <c r="U67" s="3"/>
    </row>
    <row r="68">
      <c r="A68" s="3"/>
      <c r="B68" s="3"/>
      <c r="C68" s="3"/>
      <c r="D68" s="3"/>
      <c r="I68" s="3"/>
      <c r="J68" s="54"/>
      <c r="N68" s="3"/>
      <c r="O68" s="3"/>
      <c r="S68" s="3"/>
      <c r="U68" s="3"/>
    </row>
    <row r="69">
      <c r="A69" s="3"/>
      <c r="B69" s="3"/>
      <c r="C69" s="3"/>
      <c r="D69" s="3"/>
      <c r="I69" s="3"/>
      <c r="J69" s="54"/>
      <c r="N69" s="3"/>
      <c r="O69" s="3"/>
      <c r="S69" s="3"/>
      <c r="U69" s="3"/>
    </row>
    <row r="70">
      <c r="A70" s="3"/>
      <c r="B70" s="3"/>
      <c r="C70" s="3"/>
      <c r="D70" s="3"/>
      <c r="I70" s="3"/>
      <c r="J70" s="54"/>
      <c r="N70" s="3"/>
      <c r="O70" s="3"/>
      <c r="S70" s="3"/>
      <c r="U70" s="3"/>
    </row>
    <row r="71">
      <c r="A71" s="3"/>
      <c r="B71" s="3"/>
      <c r="C71" s="3"/>
      <c r="D71" s="3"/>
      <c r="I71" s="3"/>
      <c r="J71" s="54"/>
      <c r="N71" s="3"/>
      <c r="O71" s="3"/>
      <c r="S71" s="3"/>
      <c r="U71" s="3"/>
    </row>
    <row r="72">
      <c r="A72" s="3"/>
      <c r="B72" s="3"/>
      <c r="C72" s="3"/>
      <c r="D72" s="3"/>
      <c r="I72" s="3"/>
      <c r="J72" s="54"/>
      <c r="N72" s="3"/>
      <c r="O72" s="3"/>
      <c r="S72" s="3"/>
      <c r="U72" s="3"/>
    </row>
    <row r="73">
      <c r="A73" s="3"/>
      <c r="B73" s="3"/>
      <c r="C73" s="3"/>
      <c r="D73" s="3"/>
      <c r="I73" s="3"/>
      <c r="J73" s="54"/>
      <c r="N73" s="3"/>
      <c r="O73" s="3"/>
      <c r="S73" s="3"/>
      <c r="U73" s="3"/>
    </row>
    <row r="74">
      <c r="A74" s="3"/>
      <c r="B74" s="3"/>
      <c r="C74" s="3"/>
      <c r="D74" s="3"/>
      <c r="I74" s="3"/>
      <c r="J74" s="54"/>
      <c r="N74" s="3"/>
      <c r="O74" s="3"/>
      <c r="S74" s="3"/>
      <c r="U74" s="3"/>
    </row>
    <row r="75">
      <c r="A75" s="3"/>
      <c r="B75" s="3"/>
      <c r="C75" s="3"/>
      <c r="D75" s="3"/>
      <c r="I75" s="3"/>
      <c r="J75" s="54"/>
      <c r="N75" s="3"/>
      <c r="O75" s="3"/>
      <c r="S75" s="3"/>
      <c r="U75" s="3"/>
    </row>
    <row r="76">
      <c r="A76" s="3"/>
      <c r="B76" s="3"/>
      <c r="C76" s="3"/>
      <c r="D76" s="3"/>
      <c r="I76" s="3"/>
      <c r="J76" s="54"/>
      <c r="N76" s="3"/>
      <c r="O76" s="3"/>
      <c r="S76" s="3"/>
      <c r="U76" s="3"/>
    </row>
    <row r="77">
      <c r="A77" s="3"/>
      <c r="B77" s="3"/>
      <c r="C77" s="3"/>
      <c r="D77" s="3"/>
      <c r="I77" s="3"/>
      <c r="J77" s="54"/>
      <c r="N77" s="3"/>
      <c r="O77" s="3"/>
      <c r="S77" s="3"/>
      <c r="U77" s="3"/>
    </row>
    <row r="78">
      <c r="A78" s="3"/>
      <c r="B78" s="3"/>
      <c r="C78" s="3"/>
      <c r="D78" s="3"/>
      <c r="I78" s="3"/>
      <c r="J78" s="54"/>
      <c r="N78" s="3"/>
      <c r="O78" s="3"/>
      <c r="S78" s="3"/>
      <c r="U78" s="3"/>
    </row>
    <row r="79">
      <c r="A79" s="3"/>
      <c r="B79" s="3"/>
      <c r="C79" s="3"/>
      <c r="D79" s="3"/>
      <c r="I79" s="3"/>
      <c r="J79" s="54"/>
      <c r="N79" s="3"/>
      <c r="O79" s="3"/>
      <c r="S79" s="3"/>
      <c r="U79" s="3"/>
    </row>
    <row r="80">
      <c r="A80" s="3"/>
      <c r="B80" s="3"/>
      <c r="C80" s="3"/>
      <c r="D80" s="3"/>
      <c r="I80" s="3"/>
      <c r="J80" s="54"/>
      <c r="N80" s="3"/>
      <c r="O80" s="3"/>
      <c r="S80" s="3"/>
      <c r="U80" s="3"/>
    </row>
    <row r="81">
      <c r="A81" s="3"/>
      <c r="B81" s="3"/>
      <c r="C81" s="3"/>
      <c r="D81" s="3"/>
      <c r="I81" s="3"/>
      <c r="J81" s="54"/>
      <c r="N81" s="3"/>
      <c r="O81" s="3"/>
      <c r="S81" s="3"/>
      <c r="U81" s="3"/>
    </row>
    <row r="82">
      <c r="A82" s="3"/>
      <c r="B82" s="3"/>
      <c r="C82" s="3"/>
      <c r="D82" s="3"/>
      <c r="I82" s="3"/>
      <c r="J82" s="54"/>
      <c r="N82" s="3"/>
      <c r="O82" s="3"/>
      <c r="S82" s="3"/>
      <c r="U82" s="3"/>
    </row>
    <row r="83">
      <c r="A83" s="3"/>
      <c r="B83" s="3"/>
      <c r="C83" s="3"/>
      <c r="D83" s="3"/>
      <c r="I83" s="3"/>
      <c r="J83" s="54"/>
      <c r="N83" s="3"/>
      <c r="O83" s="3"/>
      <c r="S83" s="3"/>
      <c r="U83" s="3"/>
    </row>
    <row r="84">
      <c r="A84" s="3"/>
      <c r="B84" s="3"/>
      <c r="C84" s="3"/>
      <c r="D84" s="3"/>
      <c r="I84" s="3"/>
      <c r="J84" s="54"/>
      <c r="N84" s="3"/>
      <c r="O84" s="3"/>
      <c r="S84" s="3"/>
      <c r="U84" s="3"/>
    </row>
    <row r="85">
      <c r="A85" s="3"/>
      <c r="B85" s="3"/>
      <c r="C85" s="3"/>
      <c r="D85" s="3"/>
      <c r="I85" s="3"/>
      <c r="J85" s="54"/>
      <c r="N85" s="3"/>
      <c r="O85" s="3"/>
      <c r="S85" s="3"/>
      <c r="U85" s="3"/>
    </row>
    <row r="86">
      <c r="A86" s="3"/>
      <c r="B86" s="3"/>
      <c r="C86" s="3"/>
      <c r="D86" s="3"/>
      <c r="I86" s="3"/>
      <c r="J86" s="54"/>
      <c r="N86" s="3"/>
      <c r="O86" s="3"/>
      <c r="S86" s="3"/>
      <c r="U86" s="3"/>
    </row>
    <row r="87">
      <c r="A87" s="3"/>
      <c r="B87" s="3"/>
      <c r="C87" s="3"/>
      <c r="D87" s="3"/>
      <c r="I87" s="3"/>
      <c r="J87" s="54"/>
      <c r="N87" s="3"/>
      <c r="O87" s="3"/>
      <c r="S87" s="3"/>
      <c r="U87" s="3"/>
    </row>
    <row r="88">
      <c r="A88" s="3"/>
      <c r="B88" s="3"/>
      <c r="C88" s="3"/>
      <c r="D88" s="3"/>
      <c r="I88" s="3"/>
      <c r="J88" s="54"/>
      <c r="N88" s="3"/>
      <c r="O88" s="3"/>
      <c r="S88" s="3"/>
      <c r="U88" s="3"/>
    </row>
    <row r="89">
      <c r="A89" s="3"/>
      <c r="B89" s="3"/>
      <c r="C89" s="3"/>
      <c r="D89" s="3"/>
      <c r="I89" s="3"/>
      <c r="J89" s="54"/>
      <c r="N89" s="3"/>
      <c r="O89" s="3"/>
      <c r="S89" s="3"/>
      <c r="U89" s="3"/>
    </row>
    <row r="90">
      <c r="A90" s="3"/>
      <c r="B90" s="3"/>
      <c r="C90" s="3"/>
      <c r="D90" s="3"/>
      <c r="I90" s="3"/>
      <c r="J90" s="54"/>
      <c r="N90" s="3"/>
      <c r="O90" s="3"/>
      <c r="S90" s="3"/>
      <c r="U90" s="3"/>
    </row>
    <row r="91">
      <c r="A91" s="3"/>
      <c r="B91" s="3"/>
      <c r="C91" s="3"/>
      <c r="D91" s="3"/>
      <c r="I91" s="3"/>
      <c r="J91" s="54"/>
      <c r="N91" s="3"/>
      <c r="O91" s="3"/>
      <c r="S91" s="3"/>
      <c r="U91" s="3"/>
    </row>
    <row r="92">
      <c r="A92" s="3"/>
      <c r="B92" s="3"/>
      <c r="C92" s="3"/>
      <c r="D92" s="3"/>
      <c r="I92" s="3"/>
      <c r="J92" s="54"/>
      <c r="N92" s="3"/>
      <c r="O92" s="3"/>
      <c r="S92" s="3"/>
      <c r="U92" s="3"/>
    </row>
    <row r="93">
      <c r="A93" s="3"/>
      <c r="B93" s="3"/>
      <c r="C93" s="3"/>
      <c r="D93" s="3"/>
      <c r="I93" s="3"/>
      <c r="J93" s="54"/>
      <c r="N93" s="3"/>
      <c r="O93" s="3"/>
      <c r="S93" s="3"/>
      <c r="U93" s="3"/>
    </row>
    <row r="94">
      <c r="A94" s="3"/>
      <c r="B94" s="3"/>
      <c r="C94" s="3"/>
      <c r="D94" s="3"/>
      <c r="I94" s="3"/>
      <c r="J94" s="54"/>
      <c r="N94" s="3"/>
      <c r="O94" s="3"/>
      <c r="S94" s="3"/>
      <c r="U94" s="3"/>
    </row>
    <row r="95">
      <c r="A95" s="3"/>
      <c r="B95" s="3"/>
      <c r="C95" s="3"/>
      <c r="D95" s="3"/>
      <c r="I95" s="3"/>
      <c r="J95" s="54"/>
      <c r="N95" s="3"/>
      <c r="O95" s="3"/>
      <c r="S95" s="3"/>
      <c r="U95" s="3"/>
    </row>
    <row r="96">
      <c r="A96" s="3"/>
      <c r="B96" s="3"/>
      <c r="C96" s="3"/>
      <c r="D96" s="3"/>
      <c r="I96" s="3"/>
      <c r="J96" s="54"/>
      <c r="N96" s="3"/>
      <c r="O96" s="3"/>
      <c r="S96" s="3"/>
      <c r="U96" s="3"/>
    </row>
    <row r="97">
      <c r="A97" s="3"/>
      <c r="B97" s="3"/>
      <c r="C97" s="3"/>
      <c r="D97" s="3"/>
      <c r="I97" s="3"/>
      <c r="J97" s="54"/>
      <c r="N97" s="3"/>
      <c r="O97" s="3"/>
      <c r="S97" s="3"/>
      <c r="U97" s="3"/>
    </row>
    <row r="98">
      <c r="A98" s="3"/>
      <c r="B98" s="3"/>
      <c r="C98" s="3"/>
      <c r="D98" s="3"/>
      <c r="I98" s="3"/>
      <c r="J98" s="54"/>
      <c r="N98" s="3"/>
      <c r="O98" s="3"/>
      <c r="S98" s="3"/>
      <c r="U98" s="3"/>
    </row>
    <row r="99">
      <c r="A99" s="3"/>
      <c r="B99" s="3"/>
      <c r="C99" s="3"/>
      <c r="D99" s="3"/>
      <c r="I99" s="3"/>
      <c r="J99" s="54"/>
      <c r="N99" s="3"/>
      <c r="O99" s="3"/>
      <c r="S99" s="3"/>
      <c r="U99" s="3"/>
    </row>
    <row r="100">
      <c r="A100" s="3"/>
      <c r="B100" s="3"/>
      <c r="C100" s="3"/>
      <c r="D100" s="3"/>
      <c r="I100" s="3"/>
      <c r="J100" s="54"/>
      <c r="N100" s="3"/>
      <c r="O100" s="3"/>
      <c r="S100" s="3"/>
      <c r="U100" s="3"/>
    </row>
    <row r="101">
      <c r="A101" s="3"/>
      <c r="B101" s="3"/>
      <c r="C101" s="3"/>
      <c r="D101" s="3"/>
      <c r="I101" s="3"/>
      <c r="J101" s="54"/>
      <c r="N101" s="3"/>
      <c r="O101" s="3"/>
      <c r="S101" s="3"/>
      <c r="U101" s="3"/>
    </row>
    <row r="102">
      <c r="A102" s="3"/>
      <c r="B102" s="3"/>
      <c r="C102" s="3"/>
      <c r="D102" s="3"/>
      <c r="I102" s="3"/>
      <c r="J102" s="54"/>
      <c r="N102" s="3"/>
      <c r="O102" s="3"/>
      <c r="S102" s="3"/>
      <c r="U102" s="3"/>
    </row>
    <row r="103">
      <c r="A103" s="3"/>
      <c r="B103" s="3"/>
      <c r="C103" s="3"/>
      <c r="D103" s="3"/>
      <c r="I103" s="3"/>
      <c r="J103" s="54"/>
      <c r="N103" s="3"/>
      <c r="O103" s="3"/>
      <c r="S103" s="3"/>
      <c r="U103" s="3"/>
    </row>
    <row r="104">
      <c r="A104" s="3"/>
      <c r="B104" s="3"/>
      <c r="C104" s="3"/>
      <c r="D104" s="3"/>
      <c r="I104" s="3"/>
      <c r="J104" s="54"/>
      <c r="N104" s="3"/>
      <c r="O104" s="3"/>
      <c r="S104" s="3"/>
      <c r="U104" s="3"/>
    </row>
    <row r="105">
      <c r="A105" s="3"/>
      <c r="B105" s="3"/>
      <c r="C105" s="3"/>
      <c r="D105" s="3"/>
      <c r="I105" s="3"/>
      <c r="J105" s="54"/>
      <c r="N105" s="3"/>
      <c r="O105" s="3"/>
      <c r="S105" s="3"/>
      <c r="U105" s="3"/>
    </row>
    <row r="106">
      <c r="A106" s="3"/>
      <c r="B106" s="3"/>
      <c r="C106" s="3"/>
      <c r="D106" s="3"/>
      <c r="I106" s="3"/>
      <c r="J106" s="54"/>
      <c r="N106" s="3"/>
      <c r="O106" s="3"/>
      <c r="S106" s="3"/>
      <c r="U106" s="3"/>
    </row>
    <row r="107">
      <c r="A107" s="3"/>
      <c r="B107" s="3"/>
      <c r="C107" s="3"/>
      <c r="D107" s="3"/>
      <c r="I107" s="3"/>
      <c r="J107" s="54"/>
      <c r="N107" s="3"/>
      <c r="O107" s="3"/>
      <c r="S107" s="3"/>
      <c r="U107" s="3"/>
    </row>
    <row r="108">
      <c r="A108" s="3"/>
      <c r="B108" s="3"/>
      <c r="C108" s="3"/>
      <c r="D108" s="3"/>
      <c r="I108" s="3"/>
      <c r="J108" s="54"/>
      <c r="N108" s="3"/>
      <c r="O108" s="3"/>
      <c r="S108" s="3"/>
      <c r="U108" s="3"/>
    </row>
    <row r="109">
      <c r="A109" s="3"/>
      <c r="B109" s="3"/>
      <c r="C109" s="3"/>
      <c r="D109" s="3"/>
      <c r="I109" s="3"/>
      <c r="J109" s="54"/>
      <c r="N109" s="3"/>
      <c r="O109" s="3"/>
      <c r="S109" s="3"/>
      <c r="U109" s="3"/>
    </row>
    <row r="110">
      <c r="A110" s="3"/>
      <c r="B110" s="3"/>
      <c r="C110" s="3"/>
      <c r="D110" s="3"/>
      <c r="I110" s="3"/>
      <c r="J110" s="54"/>
      <c r="N110" s="3"/>
      <c r="O110" s="3"/>
      <c r="S110" s="3"/>
      <c r="U110" s="3"/>
    </row>
    <row r="111">
      <c r="A111" s="3"/>
      <c r="B111" s="3"/>
      <c r="C111" s="3"/>
      <c r="D111" s="3"/>
      <c r="I111" s="3"/>
      <c r="J111" s="54"/>
      <c r="N111" s="3"/>
      <c r="O111" s="3"/>
      <c r="S111" s="3"/>
      <c r="U111" s="3"/>
    </row>
    <row r="112">
      <c r="A112" s="3"/>
      <c r="B112" s="3"/>
      <c r="C112" s="3"/>
      <c r="D112" s="3"/>
      <c r="I112" s="3"/>
      <c r="J112" s="54"/>
      <c r="N112" s="3"/>
      <c r="O112" s="3"/>
      <c r="S112" s="3"/>
      <c r="U112" s="3"/>
    </row>
    <row r="113">
      <c r="A113" s="3"/>
      <c r="B113" s="3"/>
      <c r="C113" s="3"/>
      <c r="D113" s="3"/>
      <c r="I113" s="3"/>
      <c r="J113" s="54"/>
      <c r="N113" s="3"/>
      <c r="O113" s="3"/>
      <c r="S113" s="3"/>
      <c r="U113" s="3"/>
    </row>
    <row r="114">
      <c r="A114" s="3"/>
      <c r="B114" s="3"/>
      <c r="C114" s="3"/>
      <c r="D114" s="3"/>
      <c r="I114" s="3"/>
      <c r="J114" s="54"/>
      <c r="N114" s="3"/>
      <c r="O114" s="3"/>
      <c r="S114" s="3"/>
      <c r="U114" s="3"/>
    </row>
    <row r="115">
      <c r="A115" s="3"/>
      <c r="B115" s="3"/>
      <c r="C115" s="3"/>
      <c r="D115" s="3"/>
      <c r="I115" s="3"/>
      <c r="J115" s="54"/>
      <c r="N115" s="3"/>
      <c r="O115" s="3"/>
      <c r="S115" s="3"/>
      <c r="U115" s="3"/>
    </row>
    <row r="116">
      <c r="A116" s="3"/>
      <c r="B116" s="3"/>
      <c r="C116" s="3"/>
      <c r="D116" s="3"/>
      <c r="I116" s="3"/>
      <c r="J116" s="54"/>
      <c r="N116" s="3"/>
      <c r="O116" s="3"/>
      <c r="S116" s="3"/>
      <c r="U116" s="3"/>
    </row>
    <row r="117">
      <c r="A117" s="3"/>
      <c r="B117" s="3"/>
      <c r="C117" s="3"/>
      <c r="D117" s="3"/>
      <c r="I117" s="3"/>
      <c r="J117" s="54"/>
      <c r="N117" s="3"/>
      <c r="O117" s="3"/>
      <c r="S117" s="3"/>
      <c r="U117" s="3"/>
    </row>
    <row r="118">
      <c r="A118" s="3"/>
      <c r="B118" s="3"/>
      <c r="C118" s="3"/>
      <c r="D118" s="3"/>
      <c r="I118" s="3"/>
      <c r="J118" s="54"/>
      <c r="N118" s="3"/>
      <c r="O118" s="3"/>
      <c r="S118" s="3"/>
      <c r="U118" s="3"/>
    </row>
    <row r="119">
      <c r="A119" s="3"/>
      <c r="B119" s="3"/>
      <c r="C119" s="3"/>
      <c r="D119" s="3"/>
      <c r="I119" s="3"/>
      <c r="J119" s="54"/>
      <c r="N119" s="3"/>
      <c r="O119" s="3"/>
      <c r="S119" s="3"/>
      <c r="U119" s="3"/>
    </row>
    <row r="120">
      <c r="A120" s="3"/>
      <c r="B120" s="3"/>
      <c r="C120" s="3"/>
      <c r="D120" s="3"/>
      <c r="I120" s="3"/>
      <c r="J120" s="54"/>
      <c r="N120" s="3"/>
      <c r="O120" s="3"/>
      <c r="S120" s="3"/>
      <c r="U120" s="3"/>
    </row>
    <row r="121">
      <c r="A121" s="3"/>
      <c r="B121" s="3"/>
      <c r="C121" s="3"/>
      <c r="D121" s="3"/>
      <c r="I121" s="3"/>
      <c r="J121" s="54"/>
      <c r="N121" s="3"/>
      <c r="O121" s="3"/>
      <c r="S121" s="3"/>
      <c r="U121" s="3"/>
    </row>
    <row r="122">
      <c r="A122" s="3"/>
      <c r="B122" s="3"/>
      <c r="C122" s="3"/>
      <c r="D122" s="3"/>
      <c r="I122" s="3"/>
      <c r="J122" s="54"/>
      <c r="N122" s="3"/>
      <c r="O122" s="3"/>
      <c r="S122" s="3"/>
      <c r="U122" s="3"/>
    </row>
    <row r="123">
      <c r="A123" s="3"/>
      <c r="B123" s="3"/>
      <c r="C123" s="3"/>
      <c r="D123" s="3"/>
      <c r="I123" s="3"/>
      <c r="J123" s="54"/>
      <c r="N123" s="3"/>
      <c r="O123" s="3"/>
      <c r="S123" s="3"/>
      <c r="U123" s="3"/>
    </row>
    <row r="124">
      <c r="A124" s="3"/>
      <c r="B124" s="3"/>
      <c r="C124" s="3"/>
      <c r="D124" s="3"/>
      <c r="I124" s="3"/>
      <c r="J124" s="54"/>
      <c r="N124" s="3"/>
      <c r="O124" s="3"/>
      <c r="S124" s="3"/>
      <c r="U124" s="3"/>
    </row>
    <row r="125">
      <c r="A125" s="3"/>
      <c r="B125" s="3"/>
      <c r="C125" s="3"/>
      <c r="D125" s="3"/>
      <c r="I125" s="3"/>
      <c r="J125" s="54"/>
      <c r="N125" s="3"/>
      <c r="O125" s="3"/>
      <c r="S125" s="3"/>
      <c r="U125" s="3"/>
    </row>
    <row r="126">
      <c r="A126" s="3"/>
      <c r="B126" s="3"/>
      <c r="C126" s="3"/>
      <c r="D126" s="3"/>
      <c r="I126" s="3"/>
      <c r="J126" s="54"/>
      <c r="N126" s="3"/>
      <c r="O126" s="3"/>
      <c r="S126" s="3"/>
      <c r="U126" s="3"/>
    </row>
    <row r="127">
      <c r="A127" s="3"/>
      <c r="B127" s="3"/>
      <c r="C127" s="3"/>
      <c r="D127" s="3"/>
      <c r="I127" s="3"/>
      <c r="J127" s="54"/>
      <c r="N127" s="3"/>
      <c r="O127" s="3"/>
      <c r="S127" s="3"/>
      <c r="U127" s="3"/>
    </row>
    <row r="128">
      <c r="A128" s="3"/>
      <c r="B128" s="3"/>
      <c r="C128" s="3"/>
      <c r="D128" s="3"/>
      <c r="I128" s="3"/>
      <c r="J128" s="54"/>
      <c r="N128" s="3"/>
      <c r="O128" s="3"/>
      <c r="S128" s="3"/>
      <c r="U128" s="3"/>
    </row>
    <row r="129">
      <c r="A129" s="3"/>
      <c r="B129" s="3"/>
      <c r="C129" s="3"/>
      <c r="D129" s="3"/>
      <c r="I129" s="3"/>
      <c r="J129" s="54"/>
      <c r="N129" s="3"/>
      <c r="O129" s="3"/>
      <c r="S129" s="3"/>
      <c r="U129" s="3"/>
    </row>
    <row r="130">
      <c r="A130" s="3"/>
      <c r="B130" s="3"/>
      <c r="C130" s="3"/>
      <c r="D130" s="3"/>
      <c r="I130" s="3"/>
      <c r="J130" s="54"/>
      <c r="N130" s="3"/>
      <c r="O130" s="3"/>
      <c r="S130" s="3"/>
      <c r="U130" s="3"/>
    </row>
    <row r="131">
      <c r="A131" s="3"/>
      <c r="B131" s="3"/>
      <c r="C131" s="3"/>
      <c r="D131" s="3"/>
      <c r="I131" s="3"/>
      <c r="J131" s="54"/>
      <c r="N131" s="3"/>
      <c r="O131" s="3"/>
      <c r="S131" s="3"/>
      <c r="U131" s="3"/>
    </row>
    <row r="132">
      <c r="A132" s="3"/>
      <c r="B132" s="3"/>
      <c r="C132" s="3"/>
      <c r="D132" s="3"/>
      <c r="I132" s="3"/>
      <c r="J132" s="54"/>
      <c r="N132" s="3"/>
      <c r="O132" s="3"/>
      <c r="S132" s="3"/>
      <c r="U132" s="3"/>
    </row>
    <row r="133">
      <c r="A133" s="3"/>
      <c r="B133" s="3"/>
      <c r="C133" s="3"/>
      <c r="D133" s="3"/>
      <c r="I133" s="3"/>
      <c r="J133" s="54"/>
      <c r="N133" s="3"/>
      <c r="O133" s="3"/>
      <c r="S133" s="3"/>
      <c r="U133" s="3"/>
    </row>
    <row r="134">
      <c r="A134" s="3"/>
      <c r="B134" s="3"/>
      <c r="C134" s="3"/>
      <c r="D134" s="3"/>
      <c r="I134" s="3"/>
      <c r="J134" s="54"/>
      <c r="N134" s="3"/>
      <c r="O134" s="3"/>
      <c r="S134" s="3"/>
      <c r="U134" s="3"/>
    </row>
    <row r="135">
      <c r="A135" s="3"/>
      <c r="B135" s="3"/>
      <c r="C135" s="3"/>
      <c r="D135" s="3"/>
      <c r="I135" s="3"/>
      <c r="J135" s="54"/>
      <c r="N135" s="3"/>
      <c r="O135" s="3"/>
      <c r="S135" s="3"/>
      <c r="U135" s="3"/>
    </row>
    <row r="136">
      <c r="A136" s="3"/>
      <c r="B136" s="3"/>
      <c r="C136" s="3"/>
      <c r="D136" s="3"/>
      <c r="I136" s="3"/>
      <c r="J136" s="54"/>
      <c r="N136" s="3"/>
      <c r="O136" s="3"/>
      <c r="S136" s="3"/>
      <c r="U136" s="3"/>
    </row>
    <row r="137">
      <c r="A137" s="3"/>
      <c r="B137" s="3"/>
      <c r="C137" s="3"/>
      <c r="D137" s="3"/>
      <c r="I137" s="3"/>
      <c r="J137" s="54"/>
      <c r="N137" s="3"/>
      <c r="O137" s="3"/>
      <c r="S137" s="3"/>
      <c r="U137" s="3"/>
    </row>
    <row r="138">
      <c r="A138" s="3"/>
      <c r="B138" s="3"/>
      <c r="C138" s="3"/>
      <c r="D138" s="3"/>
      <c r="I138" s="3"/>
      <c r="J138" s="54"/>
      <c r="N138" s="3"/>
      <c r="O138" s="3"/>
      <c r="S138" s="3"/>
      <c r="U138" s="3"/>
    </row>
    <row r="139">
      <c r="A139" s="3"/>
      <c r="B139" s="3"/>
      <c r="C139" s="3"/>
      <c r="D139" s="3"/>
      <c r="I139" s="3"/>
      <c r="J139" s="54"/>
      <c r="N139" s="3"/>
      <c r="O139" s="3"/>
      <c r="S139" s="3"/>
      <c r="U139" s="3"/>
    </row>
    <row r="140">
      <c r="A140" s="3"/>
      <c r="B140" s="3"/>
      <c r="C140" s="3"/>
      <c r="D140" s="3"/>
      <c r="I140" s="3"/>
      <c r="J140" s="54"/>
      <c r="N140" s="3"/>
      <c r="O140" s="3"/>
      <c r="S140" s="3"/>
      <c r="U140" s="3"/>
    </row>
    <row r="141">
      <c r="A141" s="3"/>
      <c r="B141" s="3"/>
      <c r="C141" s="3"/>
      <c r="D141" s="3"/>
      <c r="I141" s="3"/>
      <c r="J141" s="54"/>
      <c r="N141" s="3"/>
      <c r="O141" s="3"/>
      <c r="S141" s="3"/>
      <c r="U141" s="3"/>
    </row>
    <row r="142">
      <c r="A142" s="3"/>
      <c r="B142" s="3"/>
      <c r="C142" s="3"/>
      <c r="D142" s="3"/>
      <c r="I142" s="3"/>
      <c r="J142" s="54"/>
      <c r="N142" s="3"/>
      <c r="O142" s="3"/>
      <c r="S142" s="3"/>
      <c r="U142" s="3"/>
    </row>
    <row r="143">
      <c r="A143" s="3"/>
      <c r="B143" s="3"/>
      <c r="C143" s="3"/>
      <c r="D143" s="3"/>
      <c r="I143" s="3"/>
      <c r="J143" s="54"/>
      <c r="N143" s="3"/>
      <c r="O143" s="3"/>
      <c r="S143" s="3"/>
      <c r="U143" s="3"/>
    </row>
    <row r="144">
      <c r="A144" s="3"/>
      <c r="B144" s="3"/>
      <c r="C144" s="3"/>
      <c r="D144" s="3"/>
      <c r="I144" s="3"/>
      <c r="J144" s="54"/>
      <c r="N144" s="3"/>
      <c r="O144" s="3"/>
      <c r="S144" s="3"/>
      <c r="U144" s="3"/>
    </row>
    <row r="145">
      <c r="A145" s="3"/>
      <c r="B145" s="3"/>
      <c r="C145" s="3"/>
      <c r="D145" s="3"/>
      <c r="I145" s="3"/>
      <c r="J145" s="54"/>
      <c r="N145" s="3"/>
      <c r="O145" s="3"/>
      <c r="S145" s="3"/>
      <c r="U145" s="3"/>
    </row>
    <row r="146">
      <c r="A146" s="3"/>
      <c r="B146" s="3"/>
      <c r="C146" s="3"/>
      <c r="D146" s="3"/>
      <c r="I146" s="3"/>
      <c r="J146" s="54"/>
      <c r="N146" s="3"/>
      <c r="O146" s="3"/>
      <c r="S146" s="3"/>
      <c r="U146" s="3"/>
    </row>
    <row r="147">
      <c r="A147" s="3"/>
      <c r="B147" s="3"/>
      <c r="C147" s="3"/>
      <c r="D147" s="3"/>
      <c r="I147" s="3"/>
      <c r="J147" s="54"/>
      <c r="N147" s="3"/>
      <c r="O147" s="3"/>
      <c r="S147" s="3"/>
      <c r="U147" s="3"/>
    </row>
    <row r="148">
      <c r="A148" s="3"/>
      <c r="B148" s="3"/>
      <c r="C148" s="3"/>
      <c r="D148" s="3"/>
      <c r="I148" s="3"/>
      <c r="J148" s="54"/>
      <c r="N148" s="3"/>
      <c r="O148" s="3"/>
      <c r="S148" s="3"/>
      <c r="U148" s="3"/>
    </row>
    <row r="149">
      <c r="A149" s="3"/>
      <c r="B149" s="3"/>
      <c r="C149" s="3"/>
      <c r="D149" s="3"/>
      <c r="I149" s="3"/>
      <c r="J149" s="54"/>
      <c r="N149" s="3"/>
      <c r="O149" s="3"/>
      <c r="S149" s="3"/>
      <c r="U149" s="3"/>
    </row>
    <row r="150">
      <c r="A150" s="3"/>
      <c r="B150" s="3"/>
      <c r="C150" s="3"/>
      <c r="D150" s="3"/>
      <c r="I150" s="3"/>
      <c r="J150" s="54"/>
      <c r="N150" s="3"/>
      <c r="O150" s="3"/>
      <c r="S150" s="3"/>
      <c r="U150" s="3"/>
    </row>
    <row r="151">
      <c r="A151" s="3"/>
      <c r="B151" s="3"/>
      <c r="C151" s="3"/>
      <c r="D151" s="3"/>
      <c r="I151" s="3"/>
      <c r="J151" s="54"/>
      <c r="N151" s="3"/>
      <c r="O151" s="3"/>
      <c r="S151" s="3"/>
      <c r="U151" s="3"/>
    </row>
    <row r="152">
      <c r="A152" s="3"/>
      <c r="B152" s="3"/>
      <c r="C152" s="3"/>
      <c r="D152" s="3"/>
      <c r="I152" s="3"/>
      <c r="J152" s="54"/>
      <c r="N152" s="3"/>
      <c r="O152" s="3"/>
      <c r="S152" s="3"/>
      <c r="U152" s="3"/>
    </row>
    <row r="153">
      <c r="A153" s="3"/>
      <c r="B153" s="3"/>
      <c r="C153" s="3"/>
      <c r="D153" s="3"/>
      <c r="I153" s="3"/>
      <c r="J153" s="54"/>
      <c r="N153" s="3"/>
      <c r="O153" s="3"/>
      <c r="S153" s="3"/>
      <c r="U153" s="3"/>
    </row>
    <row r="154">
      <c r="A154" s="3"/>
      <c r="B154" s="3"/>
      <c r="C154" s="3"/>
      <c r="D154" s="3"/>
      <c r="I154" s="3"/>
      <c r="J154" s="54"/>
      <c r="N154" s="3"/>
      <c r="O154" s="3"/>
      <c r="S154" s="3"/>
      <c r="U154" s="3"/>
    </row>
    <row r="155">
      <c r="A155" s="3"/>
      <c r="B155" s="3"/>
      <c r="C155" s="3"/>
      <c r="D155" s="3"/>
      <c r="I155" s="3"/>
      <c r="J155" s="54"/>
      <c r="N155" s="3"/>
      <c r="O155" s="3"/>
      <c r="S155" s="3"/>
      <c r="U155" s="3"/>
    </row>
    <row r="156">
      <c r="A156" s="3"/>
      <c r="B156" s="3"/>
      <c r="C156" s="3"/>
      <c r="D156" s="3"/>
      <c r="I156" s="3"/>
      <c r="J156" s="54"/>
      <c r="N156" s="3"/>
      <c r="O156" s="3"/>
      <c r="S156" s="3"/>
      <c r="U156" s="3"/>
    </row>
    <row r="157">
      <c r="A157" s="3"/>
      <c r="B157" s="3"/>
      <c r="C157" s="3"/>
      <c r="D157" s="3"/>
      <c r="I157" s="3"/>
      <c r="J157" s="54"/>
      <c r="N157" s="3"/>
      <c r="O157" s="3"/>
      <c r="S157" s="3"/>
      <c r="U157" s="3"/>
    </row>
    <row r="158">
      <c r="A158" s="3"/>
      <c r="B158" s="3"/>
      <c r="C158" s="3"/>
      <c r="D158" s="3"/>
      <c r="I158" s="3"/>
      <c r="J158" s="54"/>
      <c r="N158" s="3"/>
      <c r="O158" s="3"/>
      <c r="S158" s="3"/>
      <c r="U158" s="3"/>
    </row>
    <row r="159">
      <c r="A159" s="3"/>
      <c r="B159" s="3"/>
      <c r="C159" s="3"/>
      <c r="D159" s="3"/>
      <c r="I159" s="3"/>
      <c r="J159" s="54"/>
      <c r="N159" s="3"/>
      <c r="O159" s="3"/>
      <c r="S159" s="3"/>
      <c r="U159" s="3"/>
    </row>
    <row r="160">
      <c r="A160" s="3"/>
      <c r="B160" s="3"/>
      <c r="C160" s="3"/>
      <c r="D160" s="3"/>
      <c r="I160" s="3"/>
      <c r="J160" s="54"/>
      <c r="N160" s="3"/>
      <c r="O160" s="3"/>
      <c r="S160" s="3"/>
      <c r="U160" s="3"/>
    </row>
    <row r="161">
      <c r="A161" s="3"/>
      <c r="B161" s="3"/>
      <c r="C161" s="3"/>
      <c r="D161" s="3"/>
      <c r="I161" s="3"/>
      <c r="J161" s="54"/>
      <c r="N161" s="3"/>
      <c r="O161" s="3"/>
      <c r="S161" s="3"/>
      <c r="U161" s="3"/>
    </row>
    <row r="162">
      <c r="A162" s="3"/>
      <c r="B162" s="3"/>
      <c r="C162" s="3"/>
      <c r="D162" s="3"/>
      <c r="I162" s="3"/>
      <c r="J162" s="54"/>
      <c r="N162" s="3"/>
      <c r="O162" s="3"/>
      <c r="S162" s="3"/>
      <c r="U162" s="3"/>
    </row>
    <row r="163">
      <c r="A163" s="3"/>
      <c r="B163" s="3"/>
      <c r="C163" s="3"/>
      <c r="D163" s="3"/>
      <c r="I163" s="3"/>
      <c r="J163" s="54"/>
      <c r="N163" s="3"/>
      <c r="O163" s="3"/>
      <c r="S163" s="3"/>
      <c r="U163" s="3"/>
    </row>
    <row r="164">
      <c r="A164" s="3"/>
      <c r="B164" s="3"/>
      <c r="C164" s="3"/>
      <c r="D164" s="3"/>
      <c r="I164" s="3"/>
      <c r="J164" s="54"/>
      <c r="N164" s="3"/>
      <c r="O164" s="3"/>
      <c r="S164" s="3"/>
      <c r="U164" s="3"/>
    </row>
    <row r="165">
      <c r="A165" s="3"/>
      <c r="B165" s="3"/>
      <c r="C165" s="3"/>
      <c r="D165" s="3"/>
      <c r="I165" s="3"/>
      <c r="J165" s="54"/>
      <c r="N165" s="3"/>
      <c r="O165" s="3"/>
      <c r="S165" s="3"/>
      <c r="U165" s="3"/>
    </row>
    <row r="166">
      <c r="A166" s="3"/>
      <c r="B166" s="3"/>
      <c r="C166" s="3"/>
      <c r="D166" s="3"/>
      <c r="I166" s="3"/>
      <c r="J166" s="54"/>
      <c r="N166" s="3"/>
      <c r="O166" s="3"/>
      <c r="S166" s="3"/>
      <c r="U166" s="3"/>
    </row>
    <row r="167">
      <c r="A167" s="3"/>
      <c r="B167" s="3"/>
      <c r="C167" s="3"/>
      <c r="D167" s="3"/>
      <c r="I167" s="3"/>
      <c r="J167" s="54"/>
      <c r="N167" s="3"/>
      <c r="O167" s="3"/>
      <c r="S167" s="3"/>
      <c r="U167" s="3"/>
    </row>
    <row r="168">
      <c r="A168" s="3"/>
      <c r="B168" s="3"/>
      <c r="C168" s="3"/>
      <c r="D168" s="3"/>
      <c r="I168" s="3"/>
      <c r="J168" s="54"/>
      <c r="N168" s="3"/>
      <c r="O168" s="3"/>
      <c r="S168" s="3"/>
      <c r="U168" s="3"/>
    </row>
    <row r="169">
      <c r="A169" s="3"/>
      <c r="B169" s="3"/>
      <c r="C169" s="3"/>
      <c r="D169" s="3"/>
      <c r="I169" s="3"/>
      <c r="J169" s="54"/>
      <c r="N169" s="3"/>
      <c r="O169" s="3"/>
      <c r="S169" s="3"/>
      <c r="U169" s="3"/>
    </row>
    <row r="170">
      <c r="A170" s="3"/>
      <c r="B170" s="3"/>
      <c r="C170" s="3"/>
      <c r="D170" s="3"/>
      <c r="I170" s="3"/>
      <c r="J170" s="54"/>
      <c r="N170" s="3"/>
      <c r="O170" s="3"/>
      <c r="S170" s="3"/>
      <c r="U170" s="3"/>
    </row>
    <row r="171">
      <c r="A171" s="3"/>
      <c r="B171" s="3"/>
      <c r="C171" s="3"/>
      <c r="D171" s="3"/>
      <c r="I171" s="3"/>
      <c r="J171" s="54"/>
      <c r="N171" s="3"/>
      <c r="O171" s="3"/>
      <c r="S171" s="3"/>
      <c r="U171" s="3"/>
    </row>
    <row r="172">
      <c r="A172" s="3"/>
      <c r="B172" s="3"/>
      <c r="C172" s="3"/>
      <c r="D172" s="3"/>
      <c r="I172" s="3"/>
      <c r="J172" s="54"/>
      <c r="N172" s="3"/>
      <c r="O172" s="3"/>
      <c r="S172" s="3"/>
      <c r="U172" s="3"/>
    </row>
    <row r="173">
      <c r="A173" s="3"/>
      <c r="B173" s="3"/>
      <c r="C173" s="3"/>
      <c r="D173" s="3"/>
      <c r="I173" s="3"/>
      <c r="J173" s="54"/>
      <c r="N173" s="3"/>
      <c r="O173" s="3"/>
      <c r="S173" s="3"/>
      <c r="U173" s="3"/>
    </row>
    <row r="174">
      <c r="A174" s="3"/>
      <c r="B174" s="3"/>
      <c r="C174" s="3"/>
      <c r="D174" s="3"/>
      <c r="I174" s="3"/>
      <c r="J174" s="54"/>
      <c r="N174" s="3"/>
      <c r="O174" s="3"/>
      <c r="S174" s="3"/>
      <c r="U174" s="3"/>
    </row>
    <row r="175">
      <c r="A175" s="3"/>
      <c r="B175" s="3"/>
      <c r="C175" s="3"/>
      <c r="D175" s="3"/>
      <c r="I175" s="3"/>
      <c r="J175" s="54"/>
      <c r="N175" s="3"/>
      <c r="O175" s="3"/>
      <c r="S175" s="3"/>
      <c r="U175" s="3"/>
    </row>
    <row r="176">
      <c r="A176" s="3"/>
      <c r="B176" s="3"/>
      <c r="C176" s="3"/>
      <c r="D176" s="3"/>
      <c r="I176" s="3"/>
      <c r="J176" s="54"/>
      <c r="N176" s="3"/>
      <c r="O176" s="3"/>
      <c r="S176" s="3"/>
      <c r="U176" s="3"/>
    </row>
    <row r="177">
      <c r="A177" s="3"/>
      <c r="B177" s="3"/>
      <c r="C177" s="3"/>
      <c r="D177" s="3"/>
      <c r="I177" s="3"/>
      <c r="J177" s="54"/>
      <c r="N177" s="3"/>
      <c r="O177" s="3"/>
      <c r="S177" s="3"/>
      <c r="U177" s="3"/>
    </row>
    <row r="178">
      <c r="A178" s="3"/>
      <c r="B178" s="3"/>
      <c r="C178" s="3"/>
      <c r="D178" s="3"/>
      <c r="I178" s="3"/>
      <c r="J178" s="54"/>
      <c r="N178" s="3"/>
      <c r="O178" s="3"/>
      <c r="S178" s="3"/>
      <c r="U178" s="3"/>
    </row>
    <row r="179">
      <c r="A179" s="3"/>
      <c r="B179" s="3"/>
      <c r="C179" s="3"/>
      <c r="D179" s="3"/>
      <c r="I179" s="3"/>
      <c r="J179" s="54"/>
      <c r="N179" s="3"/>
      <c r="O179" s="3"/>
      <c r="S179" s="3"/>
      <c r="U179" s="3"/>
    </row>
    <row r="180">
      <c r="A180" s="3"/>
      <c r="B180" s="3"/>
      <c r="C180" s="3"/>
      <c r="D180" s="3"/>
      <c r="I180" s="3"/>
      <c r="J180" s="54"/>
      <c r="N180" s="3"/>
      <c r="O180" s="3"/>
      <c r="S180" s="3"/>
      <c r="U180" s="3"/>
    </row>
    <row r="181">
      <c r="A181" s="3"/>
      <c r="B181" s="3"/>
      <c r="C181" s="3"/>
      <c r="D181" s="3"/>
      <c r="I181" s="3"/>
      <c r="J181" s="54"/>
      <c r="N181" s="3"/>
      <c r="O181" s="3"/>
      <c r="S181" s="3"/>
      <c r="U181" s="3"/>
    </row>
    <row r="182">
      <c r="A182" s="3"/>
      <c r="B182" s="3"/>
      <c r="C182" s="3"/>
      <c r="D182" s="3"/>
      <c r="I182" s="3"/>
      <c r="J182" s="54"/>
      <c r="N182" s="3"/>
      <c r="O182" s="3"/>
      <c r="S182" s="3"/>
      <c r="U182" s="3"/>
    </row>
    <row r="183">
      <c r="A183" s="3"/>
      <c r="B183" s="3"/>
      <c r="C183" s="3"/>
      <c r="D183" s="3"/>
      <c r="I183" s="3"/>
      <c r="J183" s="54"/>
      <c r="N183" s="3"/>
      <c r="O183" s="3"/>
      <c r="S183" s="3"/>
      <c r="U183" s="3"/>
    </row>
    <row r="184">
      <c r="A184" s="3"/>
      <c r="B184" s="3"/>
      <c r="C184" s="3"/>
      <c r="D184" s="3"/>
      <c r="I184" s="3"/>
      <c r="J184" s="54"/>
      <c r="N184" s="3"/>
      <c r="O184" s="3"/>
      <c r="S184" s="3"/>
      <c r="U184" s="3"/>
    </row>
    <row r="185">
      <c r="A185" s="3"/>
      <c r="B185" s="3"/>
      <c r="C185" s="3"/>
      <c r="D185" s="3"/>
      <c r="I185" s="3"/>
      <c r="J185" s="54"/>
      <c r="N185" s="3"/>
      <c r="O185" s="3"/>
      <c r="S185" s="3"/>
      <c r="U185" s="3"/>
    </row>
    <row r="186">
      <c r="A186" s="3"/>
      <c r="B186" s="3"/>
      <c r="C186" s="3"/>
      <c r="D186" s="3"/>
      <c r="I186" s="3"/>
      <c r="J186" s="54"/>
      <c r="N186" s="3"/>
      <c r="O186" s="3"/>
      <c r="S186" s="3"/>
      <c r="U186" s="3"/>
    </row>
    <row r="187">
      <c r="A187" s="3"/>
      <c r="B187" s="3"/>
      <c r="C187" s="3"/>
      <c r="D187" s="3"/>
      <c r="I187" s="3"/>
      <c r="J187" s="54"/>
      <c r="N187" s="3"/>
      <c r="O187" s="3"/>
      <c r="S187" s="3"/>
      <c r="U187" s="3"/>
    </row>
    <row r="188">
      <c r="A188" s="3"/>
      <c r="B188" s="3"/>
      <c r="C188" s="3"/>
      <c r="D188" s="3"/>
      <c r="I188" s="3"/>
      <c r="J188" s="54"/>
      <c r="N188" s="3"/>
      <c r="O188" s="3"/>
      <c r="S188" s="3"/>
      <c r="U188" s="3"/>
    </row>
    <row r="189">
      <c r="A189" s="3"/>
      <c r="B189" s="3"/>
      <c r="C189" s="3"/>
      <c r="D189" s="3"/>
      <c r="I189" s="3"/>
      <c r="J189" s="54"/>
      <c r="N189" s="3"/>
      <c r="O189" s="3"/>
      <c r="S189" s="3"/>
      <c r="U189" s="3"/>
    </row>
    <row r="190">
      <c r="A190" s="3"/>
      <c r="B190" s="3"/>
      <c r="C190" s="3"/>
      <c r="D190" s="3"/>
      <c r="I190" s="3"/>
      <c r="J190" s="54"/>
      <c r="N190" s="3"/>
      <c r="O190" s="3"/>
      <c r="S190" s="3"/>
      <c r="U190" s="3"/>
    </row>
    <row r="191">
      <c r="A191" s="3"/>
      <c r="B191" s="3"/>
      <c r="C191" s="3"/>
      <c r="D191" s="3"/>
      <c r="I191" s="3"/>
      <c r="J191" s="54"/>
      <c r="N191" s="3"/>
      <c r="O191" s="3"/>
      <c r="S191" s="3"/>
      <c r="U191" s="3"/>
    </row>
    <row r="192">
      <c r="A192" s="3"/>
      <c r="B192" s="3"/>
      <c r="C192" s="3"/>
      <c r="D192" s="3"/>
      <c r="I192" s="3"/>
      <c r="J192" s="54"/>
      <c r="N192" s="3"/>
      <c r="O192" s="3"/>
      <c r="S192" s="3"/>
      <c r="U192" s="3"/>
    </row>
    <row r="193">
      <c r="A193" s="3"/>
      <c r="B193" s="3"/>
      <c r="C193" s="3"/>
      <c r="D193" s="3"/>
      <c r="I193" s="3"/>
      <c r="J193" s="54"/>
      <c r="N193" s="3"/>
      <c r="O193" s="3"/>
      <c r="S193" s="3"/>
      <c r="U193" s="3"/>
    </row>
    <row r="194">
      <c r="A194" s="3"/>
      <c r="B194" s="3"/>
      <c r="C194" s="3"/>
      <c r="D194" s="3"/>
      <c r="I194" s="3"/>
      <c r="J194" s="54"/>
      <c r="N194" s="3"/>
      <c r="O194" s="3"/>
      <c r="S194" s="3"/>
      <c r="U194" s="3"/>
    </row>
    <row r="195">
      <c r="A195" s="3"/>
      <c r="B195" s="3"/>
      <c r="C195" s="3"/>
      <c r="D195" s="3"/>
      <c r="I195" s="3"/>
      <c r="J195" s="54"/>
      <c r="N195" s="3"/>
      <c r="O195" s="3"/>
      <c r="S195" s="3"/>
      <c r="U195" s="3"/>
    </row>
    <row r="196">
      <c r="A196" s="3"/>
      <c r="B196" s="3"/>
      <c r="C196" s="3"/>
      <c r="D196" s="3"/>
      <c r="I196" s="3"/>
      <c r="J196" s="54"/>
      <c r="N196" s="3"/>
      <c r="O196" s="3"/>
      <c r="S196" s="3"/>
      <c r="U196" s="3"/>
    </row>
    <row r="197">
      <c r="A197" s="3"/>
      <c r="B197" s="3"/>
      <c r="C197" s="3"/>
      <c r="D197" s="3"/>
      <c r="I197" s="3"/>
      <c r="J197" s="54"/>
      <c r="N197" s="3"/>
      <c r="O197" s="3"/>
      <c r="S197" s="3"/>
      <c r="U197" s="3"/>
    </row>
    <row r="198">
      <c r="A198" s="3"/>
      <c r="B198" s="3"/>
      <c r="C198" s="3"/>
      <c r="D198" s="3"/>
      <c r="I198" s="3"/>
      <c r="J198" s="54"/>
      <c r="N198" s="3"/>
      <c r="O198" s="3"/>
      <c r="S198" s="3"/>
      <c r="U198" s="3"/>
    </row>
    <row r="199">
      <c r="A199" s="3"/>
      <c r="B199" s="3"/>
      <c r="C199" s="3"/>
      <c r="D199" s="3"/>
      <c r="I199" s="3"/>
      <c r="J199" s="54"/>
      <c r="N199" s="3"/>
      <c r="O199" s="3"/>
      <c r="S199" s="3"/>
      <c r="U199" s="3"/>
    </row>
    <row r="200">
      <c r="A200" s="3"/>
      <c r="B200" s="3"/>
      <c r="C200" s="3"/>
      <c r="D200" s="3"/>
      <c r="I200" s="3"/>
      <c r="J200" s="54"/>
      <c r="N200" s="3"/>
      <c r="O200" s="3"/>
      <c r="S200" s="3"/>
      <c r="U200" s="3"/>
    </row>
    <row r="201">
      <c r="A201" s="3"/>
      <c r="B201" s="3"/>
      <c r="C201" s="3"/>
      <c r="D201" s="3"/>
      <c r="I201" s="3"/>
      <c r="J201" s="54"/>
      <c r="N201" s="3"/>
      <c r="O201" s="3"/>
      <c r="S201" s="3"/>
      <c r="U201" s="3"/>
    </row>
    <row r="202">
      <c r="A202" s="3"/>
      <c r="B202" s="3"/>
      <c r="C202" s="3"/>
      <c r="D202" s="3"/>
      <c r="I202" s="3"/>
      <c r="J202" s="54"/>
      <c r="N202" s="3"/>
      <c r="O202" s="3"/>
      <c r="S202" s="3"/>
      <c r="U202" s="3"/>
    </row>
    <row r="203">
      <c r="A203" s="3"/>
      <c r="B203" s="3"/>
      <c r="C203" s="3"/>
      <c r="D203" s="3"/>
      <c r="I203" s="3"/>
      <c r="J203" s="54"/>
      <c r="N203" s="3"/>
      <c r="O203" s="3"/>
      <c r="S203" s="3"/>
      <c r="U203" s="3"/>
    </row>
    <row r="204">
      <c r="A204" s="3"/>
      <c r="B204" s="3"/>
      <c r="C204" s="3"/>
      <c r="D204" s="3"/>
      <c r="I204" s="3"/>
      <c r="J204" s="54"/>
      <c r="N204" s="3"/>
      <c r="O204" s="3"/>
      <c r="S204" s="3"/>
      <c r="U204" s="3"/>
    </row>
    <row r="205">
      <c r="A205" s="3"/>
      <c r="B205" s="3"/>
      <c r="C205" s="3"/>
      <c r="D205" s="3"/>
      <c r="I205" s="3"/>
      <c r="J205" s="54"/>
      <c r="N205" s="3"/>
      <c r="O205" s="3"/>
      <c r="S205" s="3"/>
      <c r="U205" s="3"/>
    </row>
    <row r="206">
      <c r="A206" s="3"/>
      <c r="B206" s="3"/>
      <c r="C206" s="3"/>
      <c r="D206" s="3"/>
      <c r="I206" s="3"/>
      <c r="J206" s="54"/>
      <c r="N206" s="3"/>
      <c r="O206" s="3"/>
      <c r="S206" s="3"/>
      <c r="U206" s="3"/>
    </row>
    <row r="207">
      <c r="A207" s="3"/>
      <c r="B207" s="3"/>
      <c r="C207" s="3"/>
      <c r="D207" s="3"/>
      <c r="I207" s="3"/>
      <c r="J207" s="54"/>
      <c r="N207" s="3"/>
      <c r="O207" s="3"/>
      <c r="S207" s="3"/>
      <c r="U207" s="3"/>
    </row>
    <row r="208">
      <c r="A208" s="3"/>
      <c r="B208" s="3"/>
      <c r="C208" s="3"/>
      <c r="D208" s="3"/>
      <c r="I208" s="3"/>
      <c r="J208" s="54"/>
      <c r="N208" s="3"/>
      <c r="O208" s="3"/>
      <c r="S208" s="3"/>
      <c r="U208" s="3"/>
    </row>
    <row r="209">
      <c r="A209" s="3"/>
      <c r="B209" s="3"/>
      <c r="C209" s="3"/>
      <c r="D209" s="3"/>
      <c r="I209" s="3"/>
      <c r="J209" s="54"/>
      <c r="N209" s="3"/>
      <c r="O209" s="3"/>
      <c r="S209" s="3"/>
      <c r="U209" s="3"/>
    </row>
    <row r="210">
      <c r="A210" s="3"/>
      <c r="B210" s="3"/>
      <c r="C210" s="3"/>
      <c r="D210" s="3"/>
      <c r="I210" s="3"/>
      <c r="J210" s="54"/>
      <c r="N210" s="3"/>
      <c r="O210" s="3"/>
      <c r="S210" s="3"/>
      <c r="U210" s="3"/>
    </row>
    <row r="211">
      <c r="A211" s="3"/>
      <c r="B211" s="3"/>
      <c r="C211" s="3"/>
      <c r="D211" s="3"/>
      <c r="I211" s="3"/>
      <c r="J211" s="54"/>
      <c r="N211" s="3"/>
      <c r="O211" s="3"/>
      <c r="S211" s="3"/>
      <c r="U211" s="3"/>
    </row>
    <row r="212">
      <c r="A212" s="3"/>
      <c r="B212" s="3"/>
      <c r="C212" s="3"/>
      <c r="D212" s="3"/>
      <c r="I212" s="3"/>
      <c r="J212" s="54"/>
      <c r="N212" s="3"/>
      <c r="O212" s="3"/>
      <c r="S212" s="3"/>
      <c r="U212" s="3"/>
    </row>
    <row r="213">
      <c r="A213" s="3"/>
      <c r="B213" s="3"/>
      <c r="C213" s="3"/>
      <c r="D213" s="3"/>
      <c r="I213" s="3"/>
      <c r="J213" s="54"/>
      <c r="N213" s="3"/>
      <c r="O213" s="3"/>
      <c r="S213" s="3"/>
      <c r="U213" s="3"/>
    </row>
    <row r="214">
      <c r="A214" s="3"/>
      <c r="B214" s="3"/>
      <c r="C214" s="3"/>
      <c r="D214" s="3"/>
      <c r="I214" s="3"/>
      <c r="J214" s="54"/>
      <c r="N214" s="3"/>
      <c r="O214" s="3"/>
      <c r="S214" s="3"/>
      <c r="U214" s="3"/>
    </row>
    <row r="215">
      <c r="A215" s="3"/>
      <c r="B215" s="3"/>
      <c r="C215" s="3"/>
      <c r="D215" s="3"/>
      <c r="I215" s="3"/>
      <c r="J215" s="54"/>
      <c r="N215" s="3"/>
      <c r="O215" s="3"/>
      <c r="S215" s="3"/>
      <c r="U215" s="3"/>
    </row>
    <row r="216">
      <c r="A216" s="3"/>
      <c r="B216" s="3"/>
      <c r="C216" s="3"/>
      <c r="D216" s="3"/>
      <c r="I216" s="3"/>
      <c r="J216" s="54"/>
      <c r="N216" s="3"/>
      <c r="O216" s="3"/>
      <c r="S216" s="3"/>
      <c r="U216" s="3"/>
    </row>
    <row r="217">
      <c r="A217" s="3"/>
      <c r="B217" s="3"/>
      <c r="C217" s="3"/>
      <c r="D217" s="3"/>
      <c r="I217" s="3"/>
      <c r="J217" s="54"/>
      <c r="N217" s="3"/>
      <c r="O217" s="3"/>
      <c r="S217" s="3"/>
      <c r="U217" s="3"/>
    </row>
    <row r="218">
      <c r="A218" s="3"/>
      <c r="B218" s="3"/>
      <c r="C218" s="3"/>
      <c r="D218" s="3"/>
      <c r="I218" s="3"/>
      <c r="J218" s="54"/>
      <c r="N218" s="3"/>
      <c r="O218" s="3"/>
      <c r="S218" s="3"/>
      <c r="U218" s="3"/>
    </row>
    <row r="219">
      <c r="A219" s="3"/>
      <c r="B219" s="3"/>
      <c r="C219" s="3"/>
      <c r="D219" s="3"/>
      <c r="I219" s="3"/>
      <c r="J219" s="54"/>
      <c r="N219" s="3"/>
      <c r="O219" s="3"/>
      <c r="S219" s="3"/>
      <c r="U219" s="3"/>
    </row>
    <row r="220">
      <c r="A220" s="3"/>
      <c r="B220" s="3"/>
      <c r="C220" s="3"/>
      <c r="D220" s="3"/>
      <c r="I220" s="3"/>
      <c r="J220" s="54"/>
      <c r="N220" s="3"/>
      <c r="O220" s="3"/>
      <c r="S220" s="3"/>
      <c r="U220" s="3"/>
    </row>
    <row r="221">
      <c r="A221" s="3"/>
      <c r="B221" s="3"/>
      <c r="C221" s="3"/>
      <c r="D221" s="3"/>
      <c r="I221" s="3"/>
      <c r="J221" s="54"/>
      <c r="N221" s="3"/>
      <c r="O221" s="3"/>
      <c r="S221" s="3"/>
      <c r="U221" s="3"/>
    </row>
    <row r="222">
      <c r="A222" s="3"/>
      <c r="B222" s="3"/>
      <c r="C222" s="3"/>
      <c r="D222" s="3"/>
      <c r="I222" s="3"/>
      <c r="J222" s="54"/>
      <c r="N222" s="3"/>
      <c r="O222" s="3"/>
      <c r="S222" s="3"/>
      <c r="U222" s="3"/>
    </row>
    <row r="223">
      <c r="A223" s="3"/>
      <c r="B223" s="3"/>
      <c r="C223" s="3"/>
      <c r="D223" s="3"/>
      <c r="I223" s="3"/>
      <c r="J223" s="54"/>
      <c r="N223" s="3"/>
      <c r="O223" s="3"/>
      <c r="S223" s="3"/>
      <c r="U223" s="3"/>
    </row>
    <row r="224">
      <c r="A224" s="3"/>
      <c r="B224" s="3"/>
      <c r="C224" s="3"/>
      <c r="D224" s="3"/>
      <c r="I224" s="3"/>
      <c r="J224" s="54"/>
      <c r="N224" s="3"/>
      <c r="O224" s="3"/>
      <c r="S224" s="3"/>
      <c r="U224" s="3"/>
    </row>
    <row r="225">
      <c r="A225" s="3"/>
      <c r="B225" s="3"/>
      <c r="C225" s="3"/>
      <c r="D225" s="3"/>
      <c r="I225" s="3"/>
      <c r="J225" s="54"/>
      <c r="N225" s="3"/>
      <c r="O225" s="3"/>
      <c r="S225" s="3"/>
      <c r="U225" s="3"/>
    </row>
    <row r="226">
      <c r="A226" s="3"/>
      <c r="B226" s="3"/>
      <c r="C226" s="3"/>
      <c r="D226" s="3"/>
      <c r="I226" s="3"/>
      <c r="J226" s="54"/>
      <c r="N226" s="3"/>
      <c r="O226" s="3"/>
      <c r="S226" s="3"/>
      <c r="U226" s="3"/>
    </row>
    <row r="227">
      <c r="A227" s="3"/>
      <c r="B227" s="3"/>
      <c r="C227" s="3"/>
      <c r="D227" s="3"/>
      <c r="I227" s="3"/>
      <c r="J227" s="54"/>
      <c r="N227" s="3"/>
      <c r="O227" s="3"/>
      <c r="S227" s="3"/>
      <c r="U227" s="3"/>
    </row>
    <row r="228">
      <c r="A228" s="3"/>
      <c r="B228" s="3"/>
      <c r="C228" s="3"/>
      <c r="D228" s="3"/>
      <c r="I228" s="3"/>
      <c r="J228" s="54"/>
      <c r="N228" s="3"/>
      <c r="O228" s="3"/>
      <c r="S228" s="3"/>
      <c r="U228" s="3"/>
    </row>
    <row r="229">
      <c r="A229" s="3"/>
      <c r="B229" s="3"/>
      <c r="C229" s="3"/>
      <c r="D229" s="3"/>
      <c r="I229" s="3"/>
      <c r="J229" s="54"/>
      <c r="N229" s="3"/>
      <c r="O229" s="3"/>
      <c r="S229" s="3"/>
      <c r="U229" s="3"/>
    </row>
    <row r="230">
      <c r="A230" s="3"/>
      <c r="B230" s="3"/>
      <c r="C230" s="3"/>
      <c r="D230" s="3"/>
      <c r="I230" s="3"/>
      <c r="J230" s="54"/>
      <c r="N230" s="3"/>
      <c r="O230" s="3"/>
      <c r="S230" s="3"/>
      <c r="U230" s="3"/>
    </row>
    <row r="231">
      <c r="A231" s="3"/>
      <c r="B231" s="3"/>
      <c r="C231" s="3"/>
      <c r="D231" s="3"/>
      <c r="I231" s="3"/>
      <c r="J231" s="54"/>
      <c r="N231" s="3"/>
      <c r="O231" s="3"/>
      <c r="S231" s="3"/>
      <c r="U231" s="3"/>
    </row>
    <row r="232">
      <c r="A232" s="3"/>
      <c r="B232" s="3"/>
      <c r="C232" s="3"/>
      <c r="D232" s="3"/>
      <c r="I232" s="3"/>
      <c r="J232" s="54"/>
      <c r="N232" s="3"/>
      <c r="O232" s="3"/>
      <c r="S232" s="3"/>
      <c r="U232" s="3"/>
    </row>
    <row r="233">
      <c r="A233" s="3"/>
      <c r="B233" s="3"/>
      <c r="C233" s="3"/>
      <c r="D233" s="3"/>
      <c r="I233" s="3"/>
      <c r="J233" s="54"/>
      <c r="N233" s="3"/>
      <c r="O233" s="3"/>
      <c r="S233" s="3"/>
      <c r="U233" s="3"/>
    </row>
    <row r="234">
      <c r="A234" s="3"/>
      <c r="B234" s="3"/>
      <c r="C234" s="3"/>
      <c r="D234" s="3"/>
      <c r="I234" s="3"/>
      <c r="J234" s="54"/>
      <c r="N234" s="3"/>
      <c r="O234" s="3"/>
      <c r="S234" s="3"/>
      <c r="U234" s="3"/>
    </row>
    <row r="235">
      <c r="A235" s="3"/>
      <c r="B235" s="3"/>
      <c r="C235" s="3"/>
      <c r="D235" s="3"/>
      <c r="I235" s="3"/>
      <c r="J235" s="54"/>
      <c r="N235" s="3"/>
      <c r="O235" s="3"/>
      <c r="S235" s="3"/>
      <c r="U235" s="3"/>
    </row>
    <row r="236">
      <c r="A236" s="3"/>
      <c r="B236" s="3"/>
      <c r="C236" s="3"/>
      <c r="D236" s="3"/>
      <c r="I236" s="3"/>
      <c r="J236" s="54"/>
      <c r="N236" s="3"/>
      <c r="O236" s="3"/>
      <c r="S236" s="3"/>
      <c r="U236" s="3"/>
    </row>
    <row r="237">
      <c r="A237" s="3"/>
      <c r="B237" s="3"/>
      <c r="C237" s="3"/>
      <c r="D237" s="3"/>
      <c r="I237" s="3"/>
      <c r="J237" s="54"/>
      <c r="N237" s="3"/>
      <c r="O237" s="3"/>
      <c r="S237" s="3"/>
      <c r="U237" s="3"/>
    </row>
    <row r="238">
      <c r="A238" s="3"/>
      <c r="B238" s="3"/>
      <c r="C238" s="3"/>
      <c r="D238" s="3"/>
      <c r="I238" s="3"/>
      <c r="J238" s="54"/>
      <c r="N238" s="3"/>
      <c r="O238" s="3"/>
      <c r="S238" s="3"/>
      <c r="U238" s="3"/>
    </row>
    <row r="239">
      <c r="A239" s="3"/>
      <c r="B239" s="3"/>
      <c r="C239" s="3"/>
      <c r="D239" s="3"/>
      <c r="I239" s="3"/>
      <c r="J239" s="54"/>
      <c r="N239" s="3"/>
      <c r="O239" s="3"/>
      <c r="S239" s="3"/>
      <c r="U239" s="3"/>
    </row>
    <row r="240">
      <c r="A240" s="3"/>
      <c r="B240" s="3"/>
      <c r="C240" s="3"/>
      <c r="D240" s="3"/>
      <c r="I240" s="3"/>
      <c r="J240" s="54"/>
      <c r="N240" s="3"/>
      <c r="O240" s="3"/>
      <c r="S240" s="3"/>
      <c r="U240" s="3"/>
    </row>
    <row r="241">
      <c r="A241" s="3"/>
      <c r="B241" s="3"/>
      <c r="C241" s="3"/>
      <c r="D241" s="3"/>
      <c r="I241" s="3"/>
      <c r="J241" s="54"/>
      <c r="N241" s="3"/>
      <c r="O241" s="3"/>
      <c r="S241" s="3"/>
      <c r="U241" s="3"/>
    </row>
    <row r="242">
      <c r="A242" s="3"/>
      <c r="B242" s="3"/>
      <c r="C242" s="3"/>
      <c r="D242" s="3"/>
      <c r="I242" s="3"/>
      <c r="J242" s="54"/>
      <c r="N242" s="3"/>
      <c r="O242" s="3"/>
      <c r="S242" s="3"/>
      <c r="U242" s="3"/>
    </row>
    <row r="243">
      <c r="A243" s="3"/>
      <c r="B243" s="3"/>
      <c r="C243" s="3"/>
      <c r="D243" s="3"/>
      <c r="I243" s="3"/>
      <c r="J243" s="54"/>
      <c r="N243" s="3"/>
      <c r="O243" s="3"/>
      <c r="S243" s="3"/>
      <c r="U243" s="3"/>
    </row>
    <row r="244">
      <c r="A244" s="3"/>
      <c r="B244" s="3"/>
      <c r="C244" s="3"/>
      <c r="D244" s="3"/>
      <c r="I244" s="3"/>
      <c r="J244" s="54"/>
      <c r="N244" s="3"/>
      <c r="O244" s="3"/>
      <c r="S244" s="3"/>
      <c r="U244" s="3"/>
    </row>
    <row r="245">
      <c r="A245" s="3"/>
      <c r="B245" s="3"/>
      <c r="C245" s="3"/>
      <c r="D245" s="3"/>
      <c r="I245" s="3"/>
      <c r="J245" s="54"/>
      <c r="N245" s="3"/>
      <c r="O245" s="3"/>
      <c r="S245" s="3"/>
      <c r="U245" s="3"/>
    </row>
    <row r="246">
      <c r="A246" s="3"/>
      <c r="B246" s="3"/>
      <c r="C246" s="3"/>
      <c r="D246" s="3"/>
      <c r="I246" s="3"/>
      <c r="J246" s="54"/>
      <c r="N246" s="3"/>
      <c r="O246" s="3"/>
      <c r="S246" s="3"/>
      <c r="U246" s="3"/>
    </row>
    <row r="247">
      <c r="A247" s="3"/>
      <c r="B247" s="3"/>
      <c r="C247" s="3"/>
      <c r="D247" s="3"/>
      <c r="I247" s="3"/>
      <c r="J247" s="54"/>
      <c r="N247" s="3"/>
      <c r="O247" s="3"/>
      <c r="S247" s="3"/>
      <c r="U247" s="3"/>
    </row>
    <row r="248">
      <c r="A248" s="3"/>
      <c r="B248" s="3"/>
      <c r="C248" s="3"/>
      <c r="D248" s="3"/>
      <c r="I248" s="3"/>
      <c r="J248" s="54"/>
      <c r="N248" s="3"/>
      <c r="O248" s="3"/>
      <c r="S248" s="3"/>
      <c r="U248" s="3"/>
    </row>
    <row r="249">
      <c r="A249" s="3"/>
      <c r="B249" s="3"/>
      <c r="C249" s="3"/>
      <c r="D249" s="3"/>
      <c r="I249" s="3"/>
      <c r="J249" s="54"/>
      <c r="N249" s="3"/>
      <c r="O249" s="3"/>
      <c r="S249" s="3"/>
      <c r="U249" s="3"/>
    </row>
    <row r="250">
      <c r="A250" s="3"/>
      <c r="B250" s="3"/>
      <c r="C250" s="3"/>
      <c r="D250" s="3"/>
      <c r="I250" s="3"/>
      <c r="J250" s="54"/>
      <c r="N250" s="3"/>
      <c r="O250" s="3"/>
      <c r="S250" s="3"/>
      <c r="U250" s="3"/>
    </row>
    <row r="251">
      <c r="A251" s="3"/>
      <c r="B251" s="3"/>
      <c r="C251" s="3"/>
      <c r="D251" s="3"/>
      <c r="I251" s="3"/>
      <c r="J251" s="54"/>
      <c r="N251" s="3"/>
      <c r="O251" s="3"/>
      <c r="S251" s="3"/>
      <c r="U251" s="3"/>
    </row>
    <row r="252">
      <c r="A252" s="3"/>
      <c r="B252" s="3"/>
      <c r="C252" s="3"/>
      <c r="D252" s="3"/>
      <c r="I252" s="3"/>
      <c r="J252" s="54"/>
      <c r="N252" s="3"/>
      <c r="O252" s="3"/>
      <c r="S252" s="3"/>
      <c r="U252" s="3"/>
    </row>
    <row r="253">
      <c r="A253" s="3"/>
      <c r="B253" s="3"/>
      <c r="C253" s="3"/>
      <c r="D253" s="3"/>
      <c r="I253" s="3"/>
      <c r="J253" s="54"/>
      <c r="N253" s="3"/>
      <c r="O253" s="3"/>
      <c r="S253" s="3"/>
      <c r="U253" s="3"/>
    </row>
    <row r="254">
      <c r="A254" s="3"/>
      <c r="B254" s="3"/>
      <c r="C254" s="3"/>
      <c r="D254" s="3"/>
      <c r="I254" s="3"/>
      <c r="J254" s="54"/>
      <c r="N254" s="3"/>
      <c r="O254" s="3"/>
      <c r="S254" s="3"/>
      <c r="U254" s="3"/>
    </row>
    <row r="255">
      <c r="A255" s="3"/>
      <c r="B255" s="3"/>
      <c r="C255" s="3"/>
      <c r="D255" s="3"/>
      <c r="I255" s="3"/>
      <c r="J255" s="54"/>
      <c r="N255" s="3"/>
      <c r="O255" s="3"/>
      <c r="S255" s="3"/>
      <c r="U255" s="3"/>
    </row>
    <row r="256">
      <c r="A256" s="3"/>
      <c r="B256" s="3"/>
      <c r="C256" s="3"/>
      <c r="D256" s="3"/>
      <c r="I256" s="3"/>
      <c r="J256" s="54"/>
      <c r="N256" s="3"/>
      <c r="O256" s="3"/>
      <c r="S256" s="3"/>
      <c r="U256" s="3"/>
    </row>
    <row r="257">
      <c r="A257" s="3"/>
      <c r="B257" s="3"/>
      <c r="C257" s="3"/>
      <c r="D257" s="3"/>
      <c r="I257" s="3"/>
      <c r="J257" s="54"/>
      <c r="N257" s="3"/>
      <c r="O257" s="3"/>
      <c r="S257" s="3"/>
      <c r="U257" s="3"/>
    </row>
    <row r="258">
      <c r="A258" s="3"/>
      <c r="B258" s="3"/>
      <c r="C258" s="3"/>
      <c r="D258" s="3"/>
      <c r="I258" s="3"/>
      <c r="J258" s="54"/>
      <c r="N258" s="3"/>
      <c r="O258" s="3"/>
      <c r="S258" s="3"/>
      <c r="U258" s="3"/>
    </row>
    <row r="259">
      <c r="A259" s="3"/>
      <c r="B259" s="3"/>
      <c r="C259" s="3"/>
      <c r="D259" s="3"/>
      <c r="I259" s="3"/>
      <c r="J259" s="54"/>
      <c r="N259" s="3"/>
      <c r="O259" s="3"/>
      <c r="S259" s="3"/>
      <c r="U259" s="3"/>
    </row>
    <row r="260">
      <c r="A260" s="3"/>
      <c r="B260" s="3"/>
      <c r="C260" s="3"/>
      <c r="D260" s="3"/>
      <c r="I260" s="3"/>
      <c r="J260" s="54"/>
      <c r="N260" s="3"/>
      <c r="O260" s="3"/>
      <c r="S260" s="3"/>
      <c r="U260" s="3"/>
    </row>
    <row r="261">
      <c r="A261" s="3"/>
      <c r="B261" s="3"/>
      <c r="C261" s="3"/>
      <c r="D261" s="3"/>
      <c r="I261" s="3"/>
      <c r="J261" s="54"/>
      <c r="N261" s="3"/>
      <c r="O261" s="3"/>
      <c r="S261" s="3"/>
      <c r="U261" s="3"/>
    </row>
    <row r="262">
      <c r="A262" s="3"/>
      <c r="B262" s="3"/>
      <c r="C262" s="3"/>
      <c r="D262" s="3"/>
      <c r="I262" s="3"/>
      <c r="J262" s="54"/>
      <c r="N262" s="3"/>
      <c r="O262" s="3"/>
      <c r="S262" s="3"/>
      <c r="U262" s="3"/>
    </row>
    <row r="263">
      <c r="A263" s="3"/>
      <c r="B263" s="3"/>
      <c r="C263" s="3"/>
      <c r="D263" s="3"/>
      <c r="I263" s="3"/>
      <c r="J263" s="54"/>
      <c r="N263" s="3"/>
      <c r="O263" s="3"/>
      <c r="S263" s="3"/>
      <c r="U263" s="3"/>
    </row>
    <row r="264">
      <c r="A264" s="3"/>
      <c r="B264" s="3"/>
      <c r="C264" s="3"/>
      <c r="D264" s="3"/>
      <c r="I264" s="3"/>
      <c r="J264" s="54"/>
      <c r="N264" s="3"/>
      <c r="O264" s="3"/>
      <c r="S264" s="3"/>
      <c r="U264" s="3"/>
    </row>
    <row r="265">
      <c r="A265" s="3"/>
      <c r="B265" s="3"/>
      <c r="C265" s="3"/>
      <c r="D265" s="3"/>
      <c r="I265" s="3"/>
      <c r="J265" s="54"/>
      <c r="N265" s="3"/>
      <c r="O265" s="3"/>
      <c r="S265" s="3"/>
      <c r="U265" s="3"/>
    </row>
    <row r="266">
      <c r="A266" s="3"/>
      <c r="B266" s="3"/>
      <c r="C266" s="3"/>
      <c r="D266" s="3"/>
      <c r="I266" s="3"/>
      <c r="J266" s="54"/>
      <c r="N266" s="3"/>
      <c r="O266" s="3"/>
      <c r="S266" s="3"/>
      <c r="U266" s="3"/>
    </row>
    <row r="267">
      <c r="A267" s="3"/>
      <c r="B267" s="3"/>
      <c r="C267" s="3"/>
      <c r="D267" s="3"/>
      <c r="I267" s="3"/>
      <c r="J267" s="54"/>
      <c r="N267" s="3"/>
      <c r="O267" s="3"/>
      <c r="S267" s="3"/>
      <c r="U267" s="3"/>
    </row>
    <row r="268">
      <c r="A268" s="3"/>
      <c r="B268" s="3"/>
      <c r="C268" s="3"/>
      <c r="D268" s="3"/>
      <c r="I268" s="3"/>
      <c r="J268" s="54"/>
      <c r="N268" s="3"/>
      <c r="O268" s="3"/>
      <c r="S268" s="3"/>
      <c r="U268" s="3"/>
    </row>
    <row r="269">
      <c r="A269" s="3"/>
      <c r="B269" s="3"/>
      <c r="C269" s="3"/>
      <c r="D269" s="3"/>
      <c r="I269" s="3"/>
      <c r="J269" s="54"/>
      <c r="N269" s="3"/>
      <c r="O269" s="3"/>
      <c r="S269" s="3"/>
      <c r="U269" s="3"/>
    </row>
    <row r="270">
      <c r="A270" s="3"/>
      <c r="B270" s="3"/>
      <c r="C270" s="3"/>
      <c r="D270" s="3"/>
      <c r="I270" s="3"/>
      <c r="J270" s="54"/>
      <c r="N270" s="3"/>
      <c r="O270" s="3"/>
      <c r="S270" s="3"/>
      <c r="U270" s="3"/>
    </row>
    <row r="271">
      <c r="A271" s="3"/>
      <c r="B271" s="3"/>
      <c r="C271" s="3"/>
      <c r="D271" s="3"/>
      <c r="I271" s="3"/>
      <c r="J271" s="54"/>
      <c r="N271" s="3"/>
      <c r="O271" s="3"/>
      <c r="S271" s="3"/>
      <c r="U271" s="3"/>
    </row>
    <row r="272">
      <c r="A272" s="3"/>
      <c r="B272" s="3"/>
      <c r="C272" s="3"/>
      <c r="D272" s="3"/>
      <c r="I272" s="3"/>
      <c r="J272" s="54"/>
      <c r="N272" s="3"/>
      <c r="O272" s="3"/>
      <c r="S272" s="3"/>
      <c r="U272" s="3"/>
    </row>
    <row r="273">
      <c r="A273" s="3"/>
      <c r="B273" s="3"/>
      <c r="C273" s="3"/>
      <c r="D273" s="3"/>
      <c r="I273" s="3"/>
      <c r="J273" s="54"/>
      <c r="N273" s="3"/>
      <c r="O273" s="3"/>
      <c r="S273" s="3"/>
      <c r="U273" s="3"/>
    </row>
    <row r="274">
      <c r="A274" s="3"/>
      <c r="B274" s="3"/>
      <c r="C274" s="3"/>
      <c r="D274" s="3"/>
      <c r="I274" s="3"/>
      <c r="J274" s="54"/>
      <c r="N274" s="3"/>
      <c r="O274" s="3"/>
      <c r="S274" s="3"/>
      <c r="U274" s="3"/>
    </row>
    <row r="275">
      <c r="A275" s="3"/>
      <c r="B275" s="3"/>
      <c r="C275" s="3"/>
      <c r="D275" s="3"/>
      <c r="I275" s="3"/>
      <c r="J275" s="54"/>
      <c r="N275" s="3"/>
      <c r="O275" s="3"/>
      <c r="S275" s="3"/>
      <c r="U275" s="3"/>
    </row>
    <row r="276">
      <c r="A276" s="3"/>
      <c r="B276" s="3"/>
      <c r="C276" s="3"/>
      <c r="D276" s="3"/>
      <c r="I276" s="3"/>
      <c r="J276" s="54"/>
      <c r="N276" s="3"/>
      <c r="O276" s="3"/>
      <c r="S276" s="3"/>
      <c r="U276" s="3"/>
    </row>
    <row r="277">
      <c r="A277" s="3"/>
      <c r="B277" s="3"/>
      <c r="C277" s="3"/>
      <c r="D277" s="3"/>
      <c r="I277" s="3"/>
      <c r="J277" s="54"/>
      <c r="N277" s="3"/>
      <c r="O277" s="3"/>
      <c r="S277" s="3"/>
      <c r="U277" s="3"/>
    </row>
    <row r="278">
      <c r="A278" s="3"/>
      <c r="B278" s="3"/>
      <c r="C278" s="3"/>
      <c r="D278" s="3"/>
      <c r="I278" s="3"/>
      <c r="J278" s="54"/>
      <c r="N278" s="3"/>
      <c r="O278" s="3"/>
      <c r="S278" s="3"/>
      <c r="U278" s="3"/>
    </row>
    <row r="279">
      <c r="A279" s="3"/>
      <c r="B279" s="3"/>
      <c r="C279" s="3"/>
      <c r="D279" s="3"/>
      <c r="I279" s="3"/>
      <c r="J279" s="54"/>
      <c r="N279" s="3"/>
      <c r="O279" s="3"/>
      <c r="S279" s="3"/>
      <c r="U279" s="3"/>
    </row>
    <row r="280">
      <c r="A280" s="3"/>
      <c r="B280" s="3"/>
      <c r="C280" s="3"/>
      <c r="D280" s="3"/>
      <c r="I280" s="3"/>
      <c r="J280" s="54"/>
      <c r="N280" s="3"/>
      <c r="O280" s="3"/>
      <c r="S280" s="3"/>
      <c r="U280" s="3"/>
    </row>
    <row r="281">
      <c r="A281" s="3"/>
      <c r="B281" s="3"/>
      <c r="C281" s="3"/>
      <c r="D281" s="3"/>
      <c r="I281" s="3"/>
      <c r="J281" s="54"/>
      <c r="N281" s="3"/>
      <c r="O281" s="3"/>
      <c r="S281" s="3"/>
      <c r="U281" s="3"/>
    </row>
    <row r="282">
      <c r="A282" s="3"/>
      <c r="B282" s="3"/>
      <c r="C282" s="3"/>
      <c r="D282" s="3"/>
      <c r="I282" s="3"/>
      <c r="J282" s="54"/>
      <c r="N282" s="3"/>
      <c r="O282" s="3"/>
      <c r="S282" s="3"/>
      <c r="U282" s="3"/>
    </row>
    <row r="283">
      <c r="A283" s="3"/>
      <c r="B283" s="3"/>
      <c r="C283" s="3"/>
      <c r="D283" s="3"/>
      <c r="I283" s="3"/>
      <c r="J283" s="54"/>
      <c r="N283" s="3"/>
      <c r="O283" s="3"/>
      <c r="S283" s="3"/>
      <c r="U283" s="3"/>
    </row>
    <row r="284">
      <c r="A284" s="3"/>
      <c r="B284" s="3"/>
      <c r="C284" s="3"/>
      <c r="D284" s="3"/>
      <c r="I284" s="3"/>
      <c r="J284" s="54"/>
      <c r="N284" s="3"/>
      <c r="O284" s="3"/>
      <c r="S284" s="3"/>
      <c r="U284" s="3"/>
    </row>
    <row r="285">
      <c r="A285" s="3"/>
      <c r="B285" s="3"/>
      <c r="C285" s="3"/>
      <c r="D285" s="3"/>
      <c r="I285" s="3"/>
      <c r="J285" s="54"/>
      <c r="N285" s="3"/>
      <c r="O285" s="3"/>
      <c r="S285" s="3"/>
      <c r="U285" s="3"/>
    </row>
    <row r="286">
      <c r="A286" s="3"/>
      <c r="B286" s="3"/>
      <c r="C286" s="3"/>
      <c r="D286" s="3"/>
      <c r="I286" s="3"/>
      <c r="J286" s="54"/>
      <c r="N286" s="3"/>
      <c r="O286" s="3"/>
      <c r="S286" s="3"/>
      <c r="U286" s="3"/>
    </row>
    <row r="287">
      <c r="A287" s="3"/>
      <c r="B287" s="3"/>
      <c r="C287" s="3"/>
      <c r="D287" s="3"/>
      <c r="I287" s="3"/>
      <c r="J287" s="54"/>
      <c r="N287" s="3"/>
      <c r="O287" s="3"/>
      <c r="S287" s="3"/>
      <c r="U287" s="3"/>
    </row>
    <row r="288">
      <c r="A288" s="3"/>
      <c r="B288" s="3"/>
      <c r="C288" s="3"/>
      <c r="D288" s="3"/>
      <c r="I288" s="3"/>
      <c r="J288" s="54"/>
      <c r="N288" s="3"/>
      <c r="O288" s="3"/>
      <c r="S288" s="3"/>
      <c r="U288" s="3"/>
    </row>
    <row r="289">
      <c r="A289" s="3"/>
      <c r="B289" s="3"/>
      <c r="C289" s="3"/>
      <c r="D289" s="3"/>
      <c r="I289" s="3"/>
      <c r="J289" s="54"/>
      <c r="N289" s="3"/>
      <c r="O289" s="3"/>
      <c r="S289" s="3"/>
      <c r="U289" s="3"/>
    </row>
    <row r="290">
      <c r="A290" s="3"/>
      <c r="B290" s="3"/>
      <c r="C290" s="3"/>
      <c r="D290" s="3"/>
      <c r="I290" s="3"/>
      <c r="J290" s="54"/>
      <c r="N290" s="3"/>
      <c r="O290" s="3"/>
      <c r="S290" s="3"/>
      <c r="U290" s="3"/>
    </row>
    <row r="291">
      <c r="A291" s="3"/>
      <c r="B291" s="3"/>
      <c r="C291" s="3"/>
      <c r="D291" s="3"/>
      <c r="I291" s="3"/>
      <c r="J291" s="54"/>
      <c r="N291" s="3"/>
      <c r="O291" s="3"/>
      <c r="S291" s="3"/>
      <c r="U291" s="3"/>
    </row>
    <row r="292">
      <c r="A292" s="3"/>
      <c r="B292" s="3"/>
      <c r="C292" s="3"/>
      <c r="D292" s="3"/>
      <c r="I292" s="3"/>
      <c r="J292" s="54"/>
      <c r="N292" s="3"/>
      <c r="O292" s="3"/>
      <c r="S292" s="3"/>
      <c r="U292" s="3"/>
    </row>
    <row r="293">
      <c r="A293" s="3"/>
      <c r="B293" s="3"/>
      <c r="C293" s="3"/>
      <c r="D293" s="3"/>
      <c r="I293" s="3"/>
      <c r="J293" s="54"/>
      <c r="N293" s="3"/>
      <c r="O293" s="3"/>
      <c r="S293" s="3"/>
      <c r="U293" s="3"/>
    </row>
    <row r="294">
      <c r="A294" s="3"/>
      <c r="B294" s="3"/>
      <c r="C294" s="3"/>
      <c r="D294" s="3"/>
      <c r="I294" s="3"/>
      <c r="J294" s="54"/>
      <c r="N294" s="3"/>
      <c r="O294" s="3"/>
      <c r="S294" s="3"/>
      <c r="U294" s="3"/>
    </row>
    <row r="295">
      <c r="A295" s="3"/>
      <c r="B295" s="3"/>
      <c r="C295" s="3"/>
      <c r="D295" s="3"/>
      <c r="I295" s="3"/>
      <c r="J295" s="54"/>
      <c r="N295" s="3"/>
      <c r="O295" s="3"/>
      <c r="S295" s="3"/>
      <c r="U295" s="3"/>
    </row>
    <row r="296">
      <c r="A296" s="3"/>
      <c r="B296" s="3"/>
      <c r="C296" s="3"/>
      <c r="D296" s="3"/>
      <c r="I296" s="3"/>
      <c r="J296" s="54"/>
      <c r="N296" s="3"/>
      <c r="O296" s="3"/>
      <c r="S296" s="3"/>
      <c r="U296" s="3"/>
    </row>
    <row r="297">
      <c r="A297" s="3"/>
      <c r="B297" s="3"/>
      <c r="C297" s="3"/>
      <c r="D297" s="3"/>
      <c r="I297" s="3"/>
      <c r="J297" s="54"/>
      <c r="N297" s="3"/>
      <c r="O297" s="3"/>
      <c r="S297" s="3"/>
      <c r="U297" s="3"/>
    </row>
    <row r="298">
      <c r="A298" s="3"/>
      <c r="B298" s="3"/>
      <c r="C298" s="3"/>
      <c r="D298" s="3"/>
      <c r="I298" s="3"/>
      <c r="J298" s="54"/>
      <c r="N298" s="3"/>
      <c r="O298" s="3"/>
      <c r="S298" s="3"/>
      <c r="U298" s="3"/>
    </row>
    <row r="299">
      <c r="A299" s="3"/>
      <c r="B299" s="3"/>
      <c r="C299" s="3"/>
      <c r="D299" s="3"/>
      <c r="I299" s="3"/>
      <c r="J299" s="54"/>
      <c r="N299" s="3"/>
      <c r="O299" s="3"/>
      <c r="S299" s="3"/>
      <c r="U299" s="3"/>
    </row>
    <row r="300">
      <c r="A300" s="3"/>
      <c r="B300" s="3"/>
      <c r="C300" s="3"/>
      <c r="D300" s="3"/>
      <c r="I300" s="3"/>
      <c r="J300" s="54"/>
      <c r="N300" s="3"/>
      <c r="O300" s="3"/>
      <c r="S300" s="3"/>
      <c r="U300" s="3"/>
    </row>
    <row r="301">
      <c r="A301" s="3"/>
      <c r="B301" s="3"/>
      <c r="C301" s="3"/>
      <c r="D301" s="3"/>
      <c r="I301" s="3"/>
      <c r="J301" s="54"/>
      <c r="N301" s="3"/>
      <c r="O301" s="3"/>
      <c r="S301" s="3"/>
      <c r="U301" s="3"/>
    </row>
    <row r="302">
      <c r="A302" s="3"/>
      <c r="B302" s="3"/>
      <c r="C302" s="3"/>
      <c r="D302" s="3"/>
      <c r="I302" s="3"/>
      <c r="J302" s="54"/>
      <c r="N302" s="3"/>
      <c r="O302" s="3"/>
      <c r="S302" s="3"/>
      <c r="U302" s="3"/>
    </row>
    <row r="303">
      <c r="A303" s="3"/>
      <c r="B303" s="3"/>
      <c r="C303" s="3"/>
      <c r="D303" s="3"/>
      <c r="I303" s="3"/>
      <c r="J303" s="54"/>
      <c r="N303" s="3"/>
      <c r="O303" s="3"/>
      <c r="S303" s="3"/>
      <c r="U303" s="3"/>
    </row>
    <row r="304">
      <c r="A304" s="3"/>
      <c r="B304" s="3"/>
      <c r="C304" s="3"/>
      <c r="D304" s="3"/>
      <c r="I304" s="3"/>
      <c r="J304" s="54"/>
      <c r="N304" s="3"/>
      <c r="O304" s="3"/>
      <c r="S304" s="3"/>
      <c r="U304" s="3"/>
    </row>
    <row r="305">
      <c r="A305" s="3"/>
      <c r="B305" s="3"/>
      <c r="C305" s="3"/>
      <c r="D305" s="3"/>
      <c r="I305" s="3"/>
      <c r="J305" s="54"/>
      <c r="N305" s="3"/>
      <c r="O305" s="3"/>
      <c r="S305" s="3"/>
      <c r="U305" s="3"/>
    </row>
    <row r="306">
      <c r="A306" s="3"/>
      <c r="B306" s="3"/>
      <c r="C306" s="3"/>
      <c r="D306" s="3"/>
      <c r="I306" s="3"/>
      <c r="J306" s="54"/>
      <c r="N306" s="3"/>
      <c r="O306" s="3"/>
      <c r="S306" s="3"/>
      <c r="U306" s="3"/>
    </row>
    <row r="307">
      <c r="A307" s="3"/>
      <c r="B307" s="3"/>
      <c r="C307" s="3"/>
      <c r="D307" s="3"/>
      <c r="I307" s="3"/>
      <c r="J307" s="54"/>
      <c r="N307" s="3"/>
      <c r="O307" s="3"/>
      <c r="S307" s="3"/>
      <c r="U307" s="3"/>
    </row>
    <row r="308">
      <c r="A308" s="3"/>
      <c r="B308" s="3"/>
      <c r="C308" s="3"/>
      <c r="D308" s="3"/>
      <c r="I308" s="3"/>
      <c r="J308" s="54"/>
      <c r="N308" s="3"/>
      <c r="O308" s="3"/>
      <c r="S308" s="3"/>
      <c r="U308" s="3"/>
    </row>
    <row r="309">
      <c r="A309" s="3"/>
      <c r="B309" s="3"/>
      <c r="C309" s="3"/>
      <c r="D309" s="3"/>
      <c r="I309" s="3"/>
      <c r="J309" s="54"/>
      <c r="N309" s="3"/>
      <c r="O309" s="3"/>
      <c r="S309" s="3"/>
      <c r="U309" s="3"/>
    </row>
    <row r="310">
      <c r="A310" s="3"/>
      <c r="B310" s="3"/>
      <c r="C310" s="3"/>
      <c r="D310" s="3"/>
      <c r="I310" s="3"/>
      <c r="J310" s="54"/>
      <c r="N310" s="3"/>
      <c r="O310" s="3"/>
      <c r="S310" s="3"/>
      <c r="U310" s="3"/>
    </row>
    <row r="311">
      <c r="A311" s="3"/>
      <c r="B311" s="3"/>
      <c r="C311" s="3"/>
      <c r="D311" s="3"/>
      <c r="I311" s="3"/>
      <c r="J311" s="54"/>
      <c r="N311" s="3"/>
      <c r="O311" s="3"/>
      <c r="S311" s="3"/>
      <c r="U311" s="3"/>
    </row>
    <row r="312">
      <c r="A312" s="3"/>
      <c r="B312" s="3"/>
      <c r="C312" s="3"/>
      <c r="D312" s="3"/>
      <c r="I312" s="3"/>
      <c r="J312" s="54"/>
      <c r="N312" s="3"/>
      <c r="O312" s="3"/>
      <c r="S312" s="3"/>
      <c r="U312" s="3"/>
    </row>
    <row r="313">
      <c r="A313" s="3"/>
      <c r="B313" s="3"/>
      <c r="C313" s="3"/>
      <c r="D313" s="3"/>
      <c r="I313" s="3"/>
      <c r="J313" s="54"/>
      <c r="N313" s="3"/>
      <c r="O313" s="3"/>
      <c r="S313" s="3"/>
      <c r="U313" s="3"/>
    </row>
    <row r="314">
      <c r="A314" s="3"/>
      <c r="B314" s="3"/>
      <c r="C314" s="3"/>
      <c r="D314" s="3"/>
      <c r="I314" s="3"/>
      <c r="J314" s="54"/>
      <c r="N314" s="3"/>
      <c r="O314" s="3"/>
      <c r="S314" s="3"/>
      <c r="U314" s="3"/>
    </row>
    <row r="315">
      <c r="A315" s="3"/>
      <c r="B315" s="3"/>
      <c r="C315" s="3"/>
      <c r="D315" s="3"/>
      <c r="I315" s="3"/>
      <c r="J315" s="54"/>
      <c r="N315" s="3"/>
      <c r="O315" s="3"/>
      <c r="S315" s="3"/>
      <c r="U315" s="3"/>
    </row>
    <row r="316">
      <c r="A316" s="3"/>
      <c r="B316" s="3"/>
      <c r="C316" s="3"/>
      <c r="D316" s="3"/>
      <c r="I316" s="3"/>
      <c r="J316" s="54"/>
      <c r="N316" s="3"/>
      <c r="O316" s="3"/>
      <c r="S316" s="3"/>
      <c r="U316" s="3"/>
    </row>
    <row r="317">
      <c r="A317" s="3"/>
      <c r="B317" s="3"/>
      <c r="C317" s="3"/>
      <c r="D317" s="3"/>
      <c r="I317" s="3"/>
      <c r="J317" s="54"/>
      <c r="N317" s="3"/>
      <c r="O317" s="3"/>
      <c r="S317" s="3"/>
      <c r="U317" s="3"/>
    </row>
    <row r="318">
      <c r="A318" s="3"/>
      <c r="B318" s="3"/>
      <c r="C318" s="3"/>
      <c r="D318" s="3"/>
      <c r="I318" s="3"/>
      <c r="J318" s="54"/>
      <c r="N318" s="3"/>
      <c r="O318" s="3"/>
      <c r="S318" s="3"/>
      <c r="U318" s="3"/>
    </row>
    <row r="319">
      <c r="A319" s="3"/>
      <c r="B319" s="3"/>
      <c r="C319" s="3"/>
      <c r="D319" s="3"/>
      <c r="I319" s="3"/>
      <c r="J319" s="54"/>
      <c r="N319" s="3"/>
      <c r="O319" s="3"/>
      <c r="S319" s="3"/>
      <c r="U319" s="3"/>
    </row>
    <row r="320">
      <c r="A320" s="3"/>
      <c r="B320" s="3"/>
      <c r="C320" s="3"/>
      <c r="D320" s="3"/>
      <c r="I320" s="3"/>
      <c r="J320" s="54"/>
      <c r="N320" s="3"/>
      <c r="O320" s="3"/>
      <c r="S320" s="3"/>
      <c r="U320" s="3"/>
    </row>
    <row r="321">
      <c r="A321" s="3"/>
      <c r="B321" s="3"/>
      <c r="C321" s="3"/>
      <c r="D321" s="3"/>
      <c r="I321" s="3"/>
      <c r="J321" s="54"/>
      <c r="N321" s="3"/>
      <c r="O321" s="3"/>
      <c r="S321" s="3"/>
      <c r="U321" s="3"/>
    </row>
    <row r="322">
      <c r="A322" s="3"/>
      <c r="B322" s="3"/>
      <c r="C322" s="3"/>
      <c r="D322" s="3"/>
      <c r="I322" s="3"/>
      <c r="J322" s="54"/>
      <c r="N322" s="3"/>
      <c r="O322" s="3"/>
      <c r="S322" s="3"/>
      <c r="U322" s="3"/>
    </row>
    <row r="323">
      <c r="A323" s="3"/>
      <c r="B323" s="3"/>
      <c r="C323" s="3"/>
      <c r="D323" s="3"/>
      <c r="I323" s="3"/>
      <c r="J323" s="54"/>
      <c r="N323" s="3"/>
      <c r="O323" s="3"/>
      <c r="S323" s="3"/>
      <c r="U323" s="3"/>
    </row>
    <row r="324">
      <c r="A324" s="3"/>
      <c r="B324" s="3"/>
      <c r="C324" s="3"/>
      <c r="D324" s="3"/>
      <c r="I324" s="3"/>
      <c r="J324" s="54"/>
      <c r="N324" s="3"/>
      <c r="O324" s="3"/>
      <c r="S324" s="3"/>
      <c r="U324" s="3"/>
    </row>
    <row r="325">
      <c r="A325" s="3"/>
      <c r="B325" s="3"/>
      <c r="C325" s="3"/>
      <c r="D325" s="3"/>
      <c r="I325" s="3"/>
      <c r="J325" s="54"/>
      <c r="N325" s="3"/>
      <c r="O325" s="3"/>
      <c r="S325" s="3"/>
      <c r="U325" s="3"/>
    </row>
    <row r="326">
      <c r="A326" s="3"/>
      <c r="B326" s="3"/>
      <c r="C326" s="3"/>
      <c r="D326" s="3"/>
      <c r="I326" s="3"/>
      <c r="J326" s="54"/>
      <c r="N326" s="3"/>
      <c r="O326" s="3"/>
      <c r="S326" s="3"/>
      <c r="U326" s="3"/>
    </row>
    <row r="327">
      <c r="A327" s="3"/>
      <c r="B327" s="3"/>
      <c r="C327" s="3"/>
      <c r="D327" s="3"/>
      <c r="I327" s="3"/>
      <c r="J327" s="54"/>
      <c r="N327" s="3"/>
      <c r="O327" s="3"/>
      <c r="S327" s="3"/>
      <c r="U327" s="3"/>
    </row>
    <row r="328">
      <c r="A328" s="3"/>
      <c r="B328" s="3"/>
      <c r="C328" s="3"/>
      <c r="D328" s="3"/>
      <c r="I328" s="3"/>
      <c r="J328" s="54"/>
      <c r="N328" s="3"/>
      <c r="O328" s="3"/>
      <c r="S328" s="3"/>
      <c r="U328" s="3"/>
    </row>
    <row r="329">
      <c r="A329" s="3"/>
      <c r="B329" s="3"/>
      <c r="C329" s="3"/>
      <c r="D329" s="3"/>
      <c r="I329" s="3"/>
      <c r="J329" s="54"/>
      <c r="N329" s="3"/>
      <c r="O329" s="3"/>
      <c r="S329" s="3"/>
      <c r="U329" s="3"/>
    </row>
    <row r="330">
      <c r="A330" s="3"/>
      <c r="B330" s="3"/>
      <c r="C330" s="3"/>
      <c r="D330" s="3"/>
      <c r="I330" s="3"/>
      <c r="J330" s="54"/>
      <c r="N330" s="3"/>
      <c r="O330" s="3"/>
      <c r="S330" s="3"/>
      <c r="U330" s="3"/>
    </row>
    <row r="331">
      <c r="A331" s="3"/>
      <c r="B331" s="3"/>
      <c r="C331" s="3"/>
      <c r="D331" s="3"/>
      <c r="I331" s="3"/>
      <c r="J331" s="54"/>
      <c r="N331" s="3"/>
      <c r="O331" s="3"/>
      <c r="S331" s="3"/>
      <c r="U331" s="3"/>
    </row>
    <row r="332">
      <c r="A332" s="3"/>
      <c r="B332" s="3"/>
      <c r="C332" s="3"/>
      <c r="D332" s="3"/>
      <c r="I332" s="3"/>
      <c r="J332" s="54"/>
      <c r="N332" s="3"/>
      <c r="O332" s="3"/>
      <c r="S332" s="3"/>
      <c r="U332" s="3"/>
    </row>
    <row r="333">
      <c r="A333" s="3"/>
      <c r="B333" s="3"/>
      <c r="C333" s="3"/>
      <c r="D333" s="3"/>
      <c r="I333" s="3"/>
      <c r="J333" s="54"/>
      <c r="N333" s="3"/>
      <c r="O333" s="3"/>
      <c r="S333" s="3"/>
      <c r="U333" s="3"/>
    </row>
    <row r="334">
      <c r="A334" s="3"/>
      <c r="B334" s="3"/>
      <c r="C334" s="3"/>
      <c r="D334" s="3"/>
      <c r="I334" s="3"/>
      <c r="J334" s="54"/>
      <c r="N334" s="3"/>
      <c r="O334" s="3"/>
      <c r="S334" s="3"/>
      <c r="U334" s="3"/>
    </row>
    <row r="335">
      <c r="A335" s="3"/>
      <c r="B335" s="3"/>
      <c r="C335" s="3"/>
      <c r="D335" s="3"/>
      <c r="I335" s="3"/>
      <c r="J335" s="54"/>
      <c r="N335" s="3"/>
      <c r="O335" s="3"/>
      <c r="S335" s="3"/>
      <c r="U335" s="3"/>
    </row>
    <row r="336">
      <c r="A336" s="3"/>
      <c r="B336" s="3"/>
      <c r="C336" s="3"/>
      <c r="D336" s="3"/>
      <c r="I336" s="3"/>
      <c r="J336" s="54"/>
      <c r="N336" s="3"/>
      <c r="O336" s="3"/>
      <c r="S336" s="3"/>
      <c r="U336" s="3"/>
    </row>
    <row r="337">
      <c r="A337" s="3"/>
      <c r="B337" s="3"/>
      <c r="C337" s="3"/>
      <c r="D337" s="3"/>
      <c r="I337" s="3"/>
      <c r="J337" s="54"/>
      <c r="N337" s="3"/>
      <c r="O337" s="3"/>
      <c r="S337" s="3"/>
      <c r="U337" s="3"/>
    </row>
    <row r="338">
      <c r="A338" s="3"/>
      <c r="B338" s="3"/>
      <c r="C338" s="3"/>
      <c r="D338" s="3"/>
      <c r="I338" s="3"/>
      <c r="J338" s="54"/>
      <c r="N338" s="3"/>
      <c r="O338" s="3"/>
      <c r="S338" s="3"/>
      <c r="U338" s="3"/>
    </row>
    <row r="339">
      <c r="A339" s="3"/>
      <c r="B339" s="3"/>
      <c r="C339" s="3"/>
      <c r="D339" s="3"/>
      <c r="I339" s="3"/>
      <c r="J339" s="54"/>
      <c r="N339" s="3"/>
      <c r="O339" s="3"/>
      <c r="S339" s="3"/>
      <c r="U339" s="3"/>
    </row>
    <row r="340">
      <c r="A340" s="3"/>
      <c r="B340" s="3"/>
      <c r="C340" s="3"/>
      <c r="D340" s="3"/>
      <c r="I340" s="3"/>
      <c r="J340" s="54"/>
      <c r="N340" s="3"/>
      <c r="O340" s="3"/>
      <c r="S340" s="3"/>
      <c r="U340" s="3"/>
    </row>
    <row r="341">
      <c r="A341" s="3"/>
      <c r="B341" s="3"/>
      <c r="C341" s="3"/>
      <c r="D341" s="3"/>
      <c r="I341" s="3"/>
      <c r="J341" s="54"/>
      <c r="N341" s="3"/>
      <c r="O341" s="3"/>
      <c r="S341" s="3"/>
      <c r="U341" s="3"/>
    </row>
    <row r="342">
      <c r="A342" s="3"/>
      <c r="B342" s="3"/>
      <c r="C342" s="3"/>
      <c r="D342" s="3"/>
      <c r="I342" s="3"/>
      <c r="J342" s="54"/>
      <c r="N342" s="3"/>
      <c r="O342" s="3"/>
      <c r="S342" s="3"/>
      <c r="U342" s="3"/>
    </row>
    <row r="343">
      <c r="A343" s="3"/>
      <c r="B343" s="3"/>
      <c r="C343" s="3"/>
      <c r="D343" s="3"/>
      <c r="I343" s="3"/>
      <c r="J343" s="54"/>
      <c r="N343" s="3"/>
      <c r="O343" s="3"/>
      <c r="S343" s="3"/>
      <c r="U343" s="3"/>
    </row>
    <row r="344">
      <c r="A344" s="3"/>
      <c r="B344" s="3"/>
      <c r="C344" s="3"/>
      <c r="D344" s="3"/>
      <c r="I344" s="3"/>
      <c r="J344" s="54"/>
      <c r="N344" s="3"/>
      <c r="O344" s="3"/>
      <c r="S344" s="3"/>
      <c r="U344" s="3"/>
    </row>
    <row r="345">
      <c r="A345" s="3"/>
      <c r="B345" s="3"/>
      <c r="C345" s="3"/>
      <c r="D345" s="3"/>
      <c r="I345" s="3"/>
      <c r="J345" s="54"/>
      <c r="N345" s="3"/>
      <c r="O345" s="3"/>
      <c r="S345" s="3"/>
      <c r="U345" s="3"/>
    </row>
    <row r="346">
      <c r="A346" s="3"/>
      <c r="B346" s="3"/>
      <c r="C346" s="3"/>
      <c r="D346" s="3"/>
      <c r="I346" s="3"/>
      <c r="J346" s="54"/>
      <c r="N346" s="3"/>
      <c r="O346" s="3"/>
      <c r="S346" s="3"/>
      <c r="U346" s="3"/>
    </row>
    <row r="347">
      <c r="A347" s="3"/>
      <c r="B347" s="3"/>
      <c r="C347" s="3"/>
      <c r="D347" s="3"/>
      <c r="I347" s="3"/>
      <c r="J347" s="54"/>
      <c r="N347" s="3"/>
      <c r="O347" s="3"/>
      <c r="S347" s="3"/>
      <c r="U347" s="3"/>
    </row>
    <row r="348">
      <c r="A348" s="3"/>
      <c r="B348" s="3"/>
      <c r="C348" s="3"/>
      <c r="D348" s="3"/>
      <c r="I348" s="3"/>
      <c r="J348" s="54"/>
      <c r="N348" s="3"/>
      <c r="O348" s="3"/>
      <c r="S348" s="3"/>
      <c r="U348" s="3"/>
    </row>
    <row r="349">
      <c r="A349" s="3"/>
      <c r="B349" s="3"/>
      <c r="C349" s="3"/>
      <c r="D349" s="3"/>
      <c r="I349" s="3"/>
      <c r="J349" s="54"/>
      <c r="N349" s="3"/>
      <c r="O349" s="3"/>
      <c r="S349" s="3"/>
      <c r="U349" s="3"/>
    </row>
    <row r="350">
      <c r="A350" s="3"/>
      <c r="B350" s="3"/>
      <c r="C350" s="3"/>
      <c r="D350" s="3"/>
      <c r="I350" s="3"/>
      <c r="J350" s="54"/>
      <c r="N350" s="3"/>
      <c r="O350" s="3"/>
      <c r="S350" s="3"/>
      <c r="U350" s="3"/>
    </row>
    <row r="351">
      <c r="A351" s="3"/>
      <c r="B351" s="3"/>
      <c r="C351" s="3"/>
      <c r="D351" s="3"/>
      <c r="I351" s="3"/>
      <c r="J351" s="54"/>
      <c r="N351" s="3"/>
      <c r="O351" s="3"/>
      <c r="S351" s="3"/>
      <c r="U351" s="3"/>
    </row>
    <row r="352">
      <c r="A352" s="3"/>
      <c r="B352" s="3"/>
      <c r="C352" s="3"/>
      <c r="D352" s="3"/>
      <c r="I352" s="3"/>
      <c r="J352" s="54"/>
      <c r="N352" s="3"/>
      <c r="O352" s="3"/>
      <c r="S352" s="3"/>
      <c r="U352" s="3"/>
    </row>
    <row r="353">
      <c r="A353" s="3"/>
      <c r="B353" s="3"/>
      <c r="C353" s="3"/>
      <c r="D353" s="3"/>
      <c r="I353" s="3"/>
      <c r="J353" s="54"/>
      <c r="N353" s="3"/>
      <c r="O353" s="3"/>
      <c r="S353" s="3"/>
      <c r="U353" s="3"/>
    </row>
    <row r="354">
      <c r="A354" s="3"/>
      <c r="B354" s="3"/>
      <c r="C354" s="3"/>
      <c r="D354" s="3"/>
      <c r="I354" s="3"/>
      <c r="J354" s="54"/>
      <c r="N354" s="3"/>
      <c r="O354" s="3"/>
      <c r="S354" s="3"/>
      <c r="U354" s="3"/>
    </row>
    <row r="355">
      <c r="A355" s="3"/>
      <c r="B355" s="3"/>
      <c r="C355" s="3"/>
      <c r="D355" s="3"/>
      <c r="I355" s="3"/>
      <c r="J355" s="54"/>
      <c r="N355" s="3"/>
      <c r="O355" s="3"/>
      <c r="S355" s="3"/>
      <c r="U355" s="3"/>
    </row>
    <row r="356">
      <c r="A356" s="3"/>
      <c r="B356" s="3"/>
      <c r="C356" s="3"/>
      <c r="D356" s="3"/>
      <c r="I356" s="3"/>
      <c r="J356" s="54"/>
      <c r="N356" s="3"/>
      <c r="O356" s="3"/>
      <c r="S356" s="3"/>
      <c r="U356" s="3"/>
    </row>
    <row r="357">
      <c r="A357" s="3"/>
      <c r="B357" s="3"/>
      <c r="C357" s="3"/>
      <c r="D357" s="3"/>
      <c r="I357" s="3"/>
      <c r="J357" s="54"/>
      <c r="N357" s="3"/>
      <c r="O357" s="3"/>
      <c r="S357" s="3"/>
      <c r="U357" s="3"/>
    </row>
    <row r="358">
      <c r="A358" s="3"/>
      <c r="B358" s="3"/>
      <c r="C358" s="3"/>
      <c r="D358" s="3"/>
      <c r="I358" s="3"/>
      <c r="J358" s="54"/>
      <c r="N358" s="3"/>
      <c r="O358" s="3"/>
      <c r="S358" s="3"/>
      <c r="U358" s="3"/>
    </row>
    <row r="359">
      <c r="A359" s="3"/>
      <c r="B359" s="3"/>
      <c r="C359" s="3"/>
      <c r="D359" s="3"/>
      <c r="I359" s="3"/>
      <c r="J359" s="54"/>
      <c r="N359" s="3"/>
      <c r="O359" s="3"/>
      <c r="S359" s="3"/>
      <c r="U359" s="3"/>
    </row>
    <row r="360">
      <c r="A360" s="3"/>
      <c r="B360" s="3"/>
      <c r="C360" s="3"/>
      <c r="D360" s="3"/>
      <c r="I360" s="3"/>
      <c r="J360" s="54"/>
      <c r="N360" s="3"/>
      <c r="O360" s="3"/>
      <c r="S360" s="3"/>
      <c r="U360" s="3"/>
    </row>
    <row r="361">
      <c r="A361" s="3"/>
      <c r="B361" s="3"/>
      <c r="C361" s="3"/>
      <c r="D361" s="3"/>
      <c r="I361" s="3"/>
      <c r="J361" s="54"/>
      <c r="N361" s="3"/>
      <c r="O361" s="3"/>
      <c r="S361" s="3"/>
      <c r="U361" s="3"/>
    </row>
    <row r="362">
      <c r="A362" s="3"/>
      <c r="B362" s="3"/>
      <c r="C362" s="3"/>
      <c r="D362" s="3"/>
      <c r="I362" s="3"/>
      <c r="J362" s="54"/>
      <c r="N362" s="3"/>
      <c r="O362" s="3"/>
      <c r="S362" s="3"/>
      <c r="U362" s="3"/>
    </row>
    <row r="363">
      <c r="A363" s="3"/>
      <c r="B363" s="3"/>
      <c r="C363" s="3"/>
      <c r="D363" s="3"/>
      <c r="I363" s="3"/>
      <c r="J363" s="54"/>
      <c r="N363" s="3"/>
      <c r="O363" s="3"/>
      <c r="S363" s="3"/>
      <c r="U363" s="3"/>
    </row>
    <row r="364">
      <c r="A364" s="3"/>
      <c r="B364" s="3"/>
      <c r="C364" s="3"/>
      <c r="D364" s="3"/>
      <c r="I364" s="3"/>
      <c r="J364" s="54"/>
      <c r="N364" s="3"/>
      <c r="O364" s="3"/>
      <c r="S364" s="3"/>
      <c r="U364" s="3"/>
    </row>
    <row r="365">
      <c r="A365" s="3"/>
      <c r="B365" s="3"/>
      <c r="C365" s="3"/>
      <c r="D365" s="3"/>
      <c r="I365" s="3"/>
      <c r="J365" s="54"/>
      <c r="N365" s="3"/>
      <c r="O365" s="3"/>
      <c r="S365" s="3"/>
      <c r="U365" s="3"/>
    </row>
    <row r="366">
      <c r="A366" s="3"/>
      <c r="B366" s="3"/>
      <c r="C366" s="3"/>
      <c r="D366" s="3"/>
      <c r="I366" s="3"/>
      <c r="J366" s="54"/>
      <c r="N366" s="3"/>
      <c r="O366" s="3"/>
      <c r="S366" s="3"/>
      <c r="U366" s="3"/>
    </row>
    <row r="367">
      <c r="A367" s="3"/>
      <c r="B367" s="3"/>
      <c r="C367" s="3"/>
      <c r="D367" s="3"/>
      <c r="I367" s="3"/>
      <c r="J367" s="54"/>
      <c r="N367" s="3"/>
      <c r="O367" s="3"/>
      <c r="S367" s="3"/>
      <c r="U367" s="3"/>
    </row>
    <row r="368">
      <c r="A368" s="3"/>
      <c r="B368" s="3"/>
      <c r="C368" s="3"/>
      <c r="D368" s="3"/>
      <c r="I368" s="3"/>
      <c r="J368" s="54"/>
      <c r="N368" s="3"/>
      <c r="O368" s="3"/>
      <c r="S368" s="3"/>
      <c r="U368" s="3"/>
    </row>
    <row r="369">
      <c r="A369" s="3"/>
      <c r="B369" s="3"/>
      <c r="C369" s="3"/>
      <c r="D369" s="3"/>
      <c r="I369" s="3"/>
      <c r="J369" s="54"/>
      <c r="N369" s="3"/>
      <c r="O369" s="3"/>
      <c r="S369" s="3"/>
      <c r="U369" s="3"/>
    </row>
    <row r="370">
      <c r="A370" s="3"/>
      <c r="B370" s="3"/>
      <c r="C370" s="3"/>
      <c r="D370" s="3"/>
      <c r="I370" s="3"/>
      <c r="J370" s="54"/>
      <c r="N370" s="3"/>
      <c r="O370" s="3"/>
      <c r="S370" s="3"/>
      <c r="U370" s="3"/>
    </row>
    <row r="371">
      <c r="A371" s="3"/>
      <c r="B371" s="3"/>
      <c r="C371" s="3"/>
      <c r="D371" s="3"/>
      <c r="I371" s="3"/>
      <c r="J371" s="54"/>
      <c r="N371" s="3"/>
      <c r="O371" s="3"/>
      <c r="S371" s="3"/>
      <c r="U371" s="3"/>
    </row>
    <row r="372">
      <c r="A372" s="3"/>
      <c r="B372" s="3"/>
      <c r="C372" s="3"/>
      <c r="D372" s="3"/>
      <c r="I372" s="3"/>
      <c r="J372" s="54"/>
      <c r="N372" s="3"/>
      <c r="O372" s="3"/>
      <c r="S372" s="3"/>
      <c r="U372" s="3"/>
    </row>
    <row r="373">
      <c r="A373" s="3"/>
      <c r="B373" s="3"/>
      <c r="C373" s="3"/>
      <c r="D373" s="3"/>
      <c r="I373" s="3"/>
      <c r="J373" s="54"/>
      <c r="N373" s="3"/>
      <c r="O373" s="3"/>
      <c r="S373" s="3"/>
      <c r="U373" s="3"/>
    </row>
    <row r="374">
      <c r="A374" s="3"/>
      <c r="B374" s="3"/>
      <c r="C374" s="3"/>
      <c r="D374" s="3"/>
      <c r="I374" s="3"/>
      <c r="J374" s="54"/>
      <c r="N374" s="3"/>
      <c r="O374" s="3"/>
      <c r="S374" s="3"/>
      <c r="U374" s="3"/>
    </row>
    <row r="375">
      <c r="A375" s="3"/>
      <c r="B375" s="3"/>
      <c r="C375" s="3"/>
      <c r="D375" s="3"/>
      <c r="I375" s="3"/>
      <c r="J375" s="54"/>
      <c r="N375" s="3"/>
      <c r="O375" s="3"/>
      <c r="S375" s="3"/>
      <c r="U375" s="3"/>
    </row>
    <row r="376">
      <c r="A376" s="3"/>
      <c r="B376" s="3"/>
      <c r="C376" s="3"/>
      <c r="D376" s="3"/>
      <c r="I376" s="3"/>
      <c r="J376" s="54"/>
      <c r="N376" s="3"/>
      <c r="O376" s="3"/>
      <c r="S376" s="3"/>
      <c r="U376" s="3"/>
    </row>
    <row r="377">
      <c r="A377" s="3"/>
      <c r="B377" s="3"/>
      <c r="C377" s="3"/>
      <c r="D377" s="3"/>
      <c r="I377" s="3"/>
      <c r="J377" s="54"/>
      <c r="N377" s="3"/>
      <c r="O377" s="3"/>
      <c r="S377" s="3"/>
      <c r="U377" s="3"/>
    </row>
    <row r="378">
      <c r="A378" s="3"/>
      <c r="B378" s="3"/>
      <c r="C378" s="3"/>
      <c r="D378" s="3"/>
      <c r="I378" s="3"/>
      <c r="J378" s="54"/>
      <c r="N378" s="3"/>
      <c r="O378" s="3"/>
      <c r="S378" s="3"/>
      <c r="U378" s="3"/>
    </row>
    <row r="379">
      <c r="A379" s="3"/>
      <c r="B379" s="3"/>
      <c r="C379" s="3"/>
      <c r="D379" s="3"/>
      <c r="I379" s="3"/>
      <c r="J379" s="54"/>
      <c r="N379" s="3"/>
      <c r="O379" s="3"/>
      <c r="S379" s="3"/>
      <c r="U379" s="3"/>
    </row>
    <row r="380">
      <c r="A380" s="3"/>
      <c r="B380" s="3"/>
      <c r="C380" s="3"/>
      <c r="D380" s="3"/>
      <c r="I380" s="3"/>
      <c r="J380" s="54"/>
      <c r="N380" s="3"/>
      <c r="O380" s="3"/>
      <c r="S380" s="3"/>
      <c r="U380" s="3"/>
    </row>
    <row r="381">
      <c r="A381" s="3"/>
      <c r="B381" s="3"/>
      <c r="C381" s="3"/>
      <c r="D381" s="3"/>
      <c r="I381" s="3"/>
      <c r="J381" s="54"/>
      <c r="N381" s="3"/>
      <c r="O381" s="3"/>
      <c r="S381" s="3"/>
      <c r="U381" s="3"/>
    </row>
    <row r="382">
      <c r="A382" s="3"/>
      <c r="B382" s="3"/>
      <c r="C382" s="3"/>
      <c r="D382" s="3"/>
      <c r="I382" s="3"/>
      <c r="J382" s="54"/>
      <c r="N382" s="3"/>
      <c r="O382" s="3"/>
      <c r="S382" s="3"/>
      <c r="U382" s="3"/>
    </row>
    <row r="383">
      <c r="A383" s="3"/>
      <c r="B383" s="3"/>
      <c r="C383" s="3"/>
      <c r="D383" s="3"/>
      <c r="I383" s="3"/>
      <c r="J383" s="54"/>
      <c r="N383" s="3"/>
      <c r="O383" s="3"/>
      <c r="S383" s="3"/>
      <c r="U383" s="3"/>
    </row>
    <row r="384">
      <c r="A384" s="3"/>
      <c r="B384" s="3"/>
      <c r="C384" s="3"/>
      <c r="D384" s="3"/>
      <c r="I384" s="3"/>
      <c r="J384" s="54"/>
      <c r="N384" s="3"/>
      <c r="O384" s="3"/>
      <c r="S384" s="3"/>
      <c r="U384" s="3"/>
    </row>
    <row r="385">
      <c r="A385" s="3"/>
      <c r="B385" s="3"/>
      <c r="C385" s="3"/>
      <c r="D385" s="3"/>
      <c r="I385" s="3"/>
      <c r="J385" s="54"/>
      <c r="N385" s="3"/>
      <c r="O385" s="3"/>
      <c r="S385" s="3"/>
      <c r="U385" s="3"/>
    </row>
    <row r="386">
      <c r="A386" s="3"/>
      <c r="B386" s="3"/>
      <c r="C386" s="3"/>
      <c r="D386" s="3"/>
      <c r="I386" s="3"/>
      <c r="J386" s="54"/>
      <c r="N386" s="3"/>
      <c r="O386" s="3"/>
      <c r="S386" s="3"/>
      <c r="U386" s="3"/>
    </row>
    <row r="387">
      <c r="A387" s="3"/>
      <c r="B387" s="3"/>
      <c r="C387" s="3"/>
      <c r="D387" s="3"/>
      <c r="I387" s="3"/>
      <c r="J387" s="54"/>
      <c r="N387" s="3"/>
      <c r="O387" s="3"/>
      <c r="S387" s="3"/>
      <c r="U387" s="3"/>
    </row>
    <row r="388">
      <c r="A388" s="3"/>
      <c r="B388" s="3"/>
      <c r="C388" s="3"/>
      <c r="D388" s="3"/>
      <c r="I388" s="3"/>
      <c r="J388" s="54"/>
      <c r="N388" s="3"/>
      <c r="O388" s="3"/>
      <c r="S388" s="3"/>
      <c r="U388" s="3"/>
    </row>
    <row r="389">
      <c r="A389" s="3"/>
      <c r="B389" s="3"/>
      <c r="C389" s="3"/>
      <c r="D389" s="3"/>
      <c r="I389" s="3"/>
      <c r="J389" s="54"/>
      <c r="N389" s="3"/>
      <c r="O389" s="3"/>
      <c r="S389" s="3"/>
      <c r="U389" s="3"/>
    </row>
    <row r="390">
      <c r="A390" s="3"/>
      <c r="B390" s="3"/>
      <c r="C390" s="3"/>
      <c r="D390" s="3"/>
      <c r="I390" s="3"/>
      <c r="J390" s="54"/>
      <c r="N390" s="3"/>
      <c r="O390" s="3"/>
      <c r="S390" s="3"/>
      <c r="U390" s="3"/>
    </row>
    <row r="391">
      <c r="A391" s="3"/>
      <c r="B391" s="3"/>
      <c r="C391" s="3"/>
      <c r="D391" s="3"/>
      <c r="I391" s="3"/>
      <c r="J391" s="54"/>
      <c r="N391" s="3"/>
      <c r="O391" s="3"/>
      <c r="S391" s="3"/>
      <c r="U391" s="3"/>
    </row>
    <row r="392">
      <c r="A392" s="3"/>
      <c r="B392" s="3"/>
      <c r="C392" s="3"/>
      <c r="D392" s="3"/>
      <c r="I392" s="3"/>
      <c r="J392" s="54"/>
      <c r="N392" s="3"/>
      <c r="O392" s="3"/>
      <c r="S392" s="3"/>
      <c r="U392" s="3"/>
    </row>
    <row r="393">
      <c r="A393" s="3"/>
      <c r="B393" s="3"/>
      <c r="C393" s="3"/>
      <c r="D393" s="3"/>
      <c r="I393" s="3"/>
      <c r="J393" s="54"/>
      <c r="N393" s="3"/>
      <c r="O393" s="3"/>
      <c r="S393" s="3"/>
      <c r="U393" s="3"/>
    </row>
    <row r="394">
      <c r="A394" s="3"/>
      <c r="B394" s="3"/>
      <c r="C394" s="3"/>
      <c r="D394" s="3"/>
      <c r="I394" s="3"/>
      <c r="J394" s="54"/>
      <c r="N394" s="3"/>
      <c r="O394" s="3"/>
      <c r="S394" s="3"/>
      <c r="U394" s="3"/>
    </row>
    <row r="395">
      <c r="A395" s="3"/>
      <c r="B395" s="3"/>
      <c r="C395" s="3"/>
      <c r="D395" s="3"/>
      <c r="I395" s="3"/>
      <c r="J395" s="54"/>
      <c r="N395" s="3"/>
      <c r="O395" s="3"/>
      <c r="S395" s="3"/>
      <c r="U395" s="3"/>
    </row>
    <row r="396">
      <c r="A396" s="3"/>
      <c r="B396" s="3"/>
      <c r="C396" s="3"/>
      <c r="D396" s="3"/>
      <c r="I396" s="3"/>
      <c r="J396" s="54"/>
      <c r="N396" s="3"/>
      <c r="O396" s="3"/>
      <c r="S396" s="3"/>
      <c r="U396" s="3"/>
    </row>
    <row r="397">
      <c r="A397" s="3"/>
      <c r="B397" s="3"/>
      <c r="C397" s="3"/>
      <c r="D397" s="3"/>
      <c r="I397" s="3"/>
      <c r="J397" s="54"/>
      <c r="N397" s="3"/>
      <c r="O397" s="3"/>
      <c r="S397" s="3"/>
      <c r="U397" s="3"/>
    </row>
    <row r="398">
      <c r="A398" s="3"/>
      <c r="B398" s="3"/>
      <c r="C398" s="3"/>
      <c r="D398" s="3"/>
      <c r="I398" s="3"/>
      <c r="J398" s="54"/>
      <c r="N398" s="3"/>
      <c r="O398" s="3"/>
      <c r="S398" s="3"/>
      <c r="U398" s="3"/>
    </row>
    <row r="399">
      <c r="A399" s="3"/>
      <c r="B399" s="3"/>
      <c r="C399" s="3"/>
      <c r="D399" s="3"/>
      <c r="I399" s="3"/>
      <c r="J399" s="54"/>
      <c r="N399" s="3"/>
      <c r="O399" s="3"/>
      <c r="S399" s="3"/>
      <c r="U399" s="3"/>
    </row>
    <row r="400">
      <c r="A400" s="3"/>
      <c r="B400" s="3"/>
      <c r="C400" s="3"/>
      <c r="D400" s="3"/>
      <c r="I400" s="3"/>
      <c r="J400" s="54"/>
      <c r="N400" s="3"/>
      <c r="O400" s="3"/>
      <c r="S400" s="3"/>
      <c r="U400" s="3"/>
    </row>
    <row r="401">
      <c r="A401" s="3"/>
      <c r="B401" s="3"/>
      <c r="C401" s="3"/>
      <c r="D401" s="3"/>
      <c r="I401" s="3"/>
      <c r="J401" s="54"/>
      <c r="N401" s="3"/>
      <c r="O401" s="3"/>
      <c r="S401" s="3"/>
      <c r="U401" s="3"/>
    </row>
    <row r="402">
      <c r="A402" s="3"/>
      <c r="B402" s="3"/>
      <c r="C402" s="3"/>
      <c r="D402" s="3"/>
      <c r="I402" s="3"/>
      <c r="J402" s="54"/>
      <c r="N402" s="3"/>
      <c r="O402" s="3"/>
      <c r="S402" s="3"/>
      <c r="U402" s="3"/>
    </row>
    <row r="403">
      <c r="A403" s="3"/>
      <c r="B403" s="3"/>
      <c r="C403" s="3"/>
      <c r="D403" s="3"/>
      <c r="I403" s="3"/>
      <c r="J403" s="54"/>
      <c r="N403" s="3"/>
      <c r="O403" s="3"/>
      <c r="S403" s="3"/>
      <c r="U403" s="3"/>
    </row>
    <row r="404">
      <c r="A404" s="3"/>
      <c r="B404" s="3"/>
      <c r="C404" s="3"/>
      <c r="D404" s="3"/>
      <c r="I404" s="3"/>
      <c r="J404" s="54"/>
      <c r="N404" s="3"/>
      <c r="O404" s="3"/>
      <c r="S404" s="3"/>
      <c r="U404" s="3"/>
    </row>
    <row r="405">
      <c r="A405" s="3"/>
      <c r="B405" s="3"/>
      <c r="C405" s="3"/>
      <c r="D405" s="3"/>
      <c r="I405" s="3"/>
      <c r="J405" s="54"/>
      <c r="N405" s="3"/>
      <c r="O405" s="3"/>
      <c r="S405" s="3"/>
      <c r="U405" s="3"/>
    </row>
    <row r="406">
      <c r="A406" s="3"/>
      <c r="B406" s="3"/>
      <c r="C406" s="3"/>
      <c r="D406" s="3"/>
      <c r="I406" s="3"/>
      <c r="J406" s="54"/>
      <c r="N406" s="3"/>
      <c r="O406" s="3"/>
      <c r="S406" s="3"/>
      <c r="U406" s="3"/>
    </row>
    <row r="407">
      <c r="A407" s="3"/>
      <c r="B407" s="3"/>
      <c r="C407" s="3"/>
      <c r="D407" s="3"/>
      <c r="I407" s="3"/>
      <c r="J407" s="54"/>
      <c r="N407" s="3"/>
      <c r="O407" s="3"/>
      <c r="S407" s="3"/>
      <c r="U407" s="3"/>
    </row>
    <row r="408">
      <c r="A408" s="3"/>
      <c r="B408" s="3"/>
      <c r="C408" s="3"/>
      <c r="D408" s="3"/>
      <c r="I408" s="3"/>
      <c r="J408" s="54"/>
      <c r="N408" s="3"/>
      <c r="O408" s="3"/>
      <c r="S408" s="3"/>
      <c r="U408" s="3"/>
    </row>
    <row r="409">
      <c r="A409" s="3"/>
      <c r="B409" s="3"/>
      <c r="C409" s="3"/>
      <c r="D409" s="3"/>
      <c r="I409" s="3"/>
      <c r="J409" s="54"/>
      <c r="N409" s="3"/>
      <c r="O409" s="3"/>
      <c r="S409" s="3"/>
      <c r="U409" s="3"/>
    </row>
    <row r="410">
      <c r="A410" s="3"/>
      <c r="B410" s="3"/>
      <c r="C410" s="3"/>
      <c r="D410" s="3"/>
      <c r="I410" s="3"/>
      <c r="J410" s="54"/>
      <c r="N410" s="3"/>
      <c r="O410" s="3"/>
      <c r="S410" s="3"/>
      <c r="U410" s="3"/>
    </row>
    <row r="411">
      <c r="A411" s="3"/>
      <c r="B411" s="3"/>
      <c r="C411" s="3"/>
      <c r="D411" s="3"/>
      <c r="I411" s="3"/>
      <c r="J411" s="54"/>
      <c r="N411" s="3"/>
      <c r="O411" s="3"/>
      <c r="S411" s="3"/>
      <c r="U411" s="3"/>
    </row>
    <row r="412">
      <c r="A412" s="3"/>
      <c r="B412" s="3"/>
      <c r="C412" s="3"/>
      <c r="D412" s="3"/>
      <c r="I412" s="3"/>
      <c r="J412" s="54"/>
      <c r="N412" s="3"/>
      <c r="O412" s="3"/>
      <c r="S412" s="3"/>
      <c r="U412" s="3"/>
    </row>
    <row r="413">
      <c r="A413" s="3"/>
      <c r="B413" s="3"/>
      <c r="C413" s="3"/>
      <c r="D413" s="3"/>
      <c r="I413" s="3"/>
      <c r="J413" s="54"/>
      <c r="N413" s="3"/>
      <c r="O413" s="3"/>
      <c r="S413" s="3"/>
      <c r="U413" s="3"/>
    </row>
    <row r="414">
      <c r="A414" s="3"/>
      <c r="B414" s="3"/>
      <c r="C414" s="3"/>
      <c r="D414" s="3"/>
      <c r="I414" s="3"/>
      <c r="J414" s="54"/>
      <c r="N414" s="3"/>
      <c r="O414" s="3"/>
      <c r="S414" s="3"/>
      <c r="U414" s="3"/>
    </row>
    <row r="415">
      <c r="A415" s="3"/>
      <c r="B415" s="3"/>
      <c r="C415" s="3"/>
      <c r="D415" s="3"/>
      <c r="I415" s="3"/>
      <c r="J415" s="54"/>
      <c r="N415" s="3"/>
      <c r="O415" s="3"/>
      <c r="S415" s="3"/>
      <c r="U415" s="3"/>
    </row>
    <row r="416">
      <c r="A416" s="3"/>
      <c r="B416" s="3"/>
      <c r="C416" s="3"/>
      <c r="D416" s="3"/>
      <c r="I416" s="3"/>
      <c r="J416" s="54"/>
      <c r="N416" s="3"/>
      <c r="O416" s="3"/>
      <c r="S416" s="3"/>
      <c r="U416" s="3"/>
    </row>
    <row r="417">
      <c r="A417" s="3"/>
      <c r="B417" s="3"/>
      <c r="C417" s="3"/>
      <c r="D417" s="3"/>
      <c r="I417" s="3"/>
      <c r="J417" s="54"/>
      <c r="N417" s="3"/>
      <c r="O417" s="3"/>
      <c r="S417" s="3"/>
      <c r="U417" s="3"/>
    </row>
    <row r="418">
      <c r="A418" s="3"/>
      <c r="B418" s="3"/>
      <c r="C418" s="3"/>
      <c r="D418" s="3"/>
      <c r="I418" s="3"/>
      <c r="J418" s="54"/>
      <c r="N418" s="3"/>
      <c r="O418" s="3"/>
      <c r="S418" s="3"/>
      <c r="U418" s="3"/>
    </row>
    <row r="419">
      <c r="A419" s="3"/>
      <c r="B419" s="3"/>
      <c r="C419" s="3"/>
      <c r="D419" s="3"/>
      <c r="I419" s="3"/>
      <c r="J419" s="54"/>
      <c r="N419" s="3"/>
      <c r="O419" s="3"/>
      <c r="S419" s="3"/>
      <c r="U419" s="3"/>
    </row>
    <row r="420">
      <c r="A420" s="3"/>
      <c r="B420" s="3"/>
      <c r="C420" s="3"/>
      <c r="D420" s="3"/>
      <c r="I420" s="3"/>
      <c r="J420" s="54"/>
      <c r="N420" s="3"/>
      <c r="O420" s="3"/>
      <c r="S420" s="3"/>
      <c r="U420" s="3"/>
    </row>
    <row r="421">
      <c r="A421" s="3"/>
      <c r="B421" s="3"/>
      <c r="C421" s="3"/>
      <c r="D421" s="3"/>
      <c r="I421" s="3"/>
      <c r="J421" s="54"/>
      <c r="N421" s="3"/>
      <c r="O421" s="3"/>
      <c r="S421" s="3"/>
      <c r="U421" s="3"/>
    </row>
    <row r="422">
      <c r="A422" s="3"/>
      <c r="B422" s="3"/>
      <c r="C422" s="3"/>
      <c r="D422" s="3"/>
      <c r="I422" s="3"/>
      <c r="J422" s="54"/>
      <c r="N422" s="3"/>
      <c r="O422" s="3"/>
      <c r="S422" s="3"/>
      <c r="U422" s="3"/>
    </row>
    <row r="423">
      <c r="A423" s="3"/>
      <c r="B423" s="3"/>
      <c r="C423" s="3"/>
      <c r="D423" s="3"/>
      <c r="I423" s="3"/>
      <c r="J423" s="54"/>
      <c r="N423" s="3"/>
      <c r="O423" s="3"/>
      <c r="S423" s="3"/>
      <c r="U423" s="3"/>
    </row>
    <row r="424">
      <c r="A424" s="3"/>
      <c r="B424" s="3"/>
      <c r="C424" s="3"/>
      <c r="D424" s="3"/>
      <c r="I424" s="3"/>
      <c r="J424" s="54"/>
      <c r="N424" s="3"/>
      <c r="O424" s="3"/>
      <c r="S424" s="3"/>
      <c r="U424" s="3"/>
    </row>
    <row r="425">
      <c r="A425" s="3"/>
      <c r="B425" s="3"/>
      <c r="C425" s="3"/>
      <c r="D425" s="3"/>
      <c r="I425" s="3"/>
      <c r="J425" s="54"/>
      <c r="N425" s="3"/>
      <c r="O425" s="3"/>
      <c r="S425" s="3"/>
      <c r="U425" s="3"/>
    </row>
    <row r="426">
      <c r="A426" s="3"/>
      <c r="B426" s="3"/>
      <c r="C426" s="3"/>
      <c r="D426" s="3"/>
      <c r="I426" s="3"/>
      <c r="J426" s="54"/>
      <c r="N426" s="3"/>
      <c r="O426" s="3"/>
      <c r="S426" s="3"/>
      <c r="U426" s="3"/>
    </row>
    <row r="427">
      <c r="A427" s="3"/>
      <c r="B427" s="3"/>
      <c r="C427" s="3"/>
      <c r="D427" s="3"/>
      <c r="I427" s="3"/>
      <c r="J427" s="54"/>
      <c r="N427" s="3"/>
      <c r="O427" s="3"/>
      <c r="S427" s="3"/>
      <c r="U427" s="3"/>
    </row>
    <row r="428">
      <c r="A428" s="3"/>
      <c r="B428" s="3"/>
      <c r="C428" s="3"/>
      <c r="D428" s="3"/>
      <c r="I428" s="3"/>
      <c r="J428" s="54"/>
      <c r="N428" s="3"/>
      <c r="O428" s="3"/>
      <c r="S428" s="3"/>
      <c r="U428" s="3"/>
    </row>
    <row r="429">
      <c r="A429" s="3"/>
      <c r="B429" s="3"/>
      <c r="C429" s="3"/>
      <c r="D429" s="3"/>
      <c r="I429" s="3"/>
      <c r="J429" s="54"/>
      <c r="N429" s="3"/>
      <c r="O429" s="3"/>
      <c r="S429" s="3"/>
      <c r="U429" s="3"/>
    </row>
    <row r="430">
      <c r="A430" s="3"/>
      <c r="B430" s="3"/>
      <c r="C430" s="3"/>
      <c r="D430" s="3"/>
      <c r="I430" s="3"/>
      <c r="J430" s="54"/>
      <c r="N430" s="3"/>
      <c r="O430" s="3"/>
      <c r="S430" s="3"/>
      <c r="U430" s="3"/>
    </row>
    <row r="431">
      <c r="A431" s="3"/>
      <c r="B431" s="3"/>
      <c r="C431" s="3"/>
      <c r="D431" s="3"/>
      <c r="I431" s="3"/>
      <c r="J431" s="54"/>
      <c r="N431" s="3"/>
      <c r="O431" s="3"/>
      <c r="S431" s="3"/>
      <c r="U431" s="3"/>
    </row>
    <row r="432">
      <c r="A432" s="3"/>
      <c r="B432" s="3"/>
      <c r="C432" s="3"/>
      <c r="D432" s="3"/>
      <c r="I432" s="3"/>
      <c r="J432" s="54"/>
      <c r="N432" s="3"/>
      <c r="O432" s="3"/>
      <c r="S432" s="3"/>
      <c r="U432" s="3"/>
    </row>
    <row r="433">
      <c r="A433" s="3"/>
      <c r="B433" s="3"/>
      <c r="C433" s="3"/>
      <c r="D433" s="3"/>
      <c r="I433" s="3"/>
      <c r="J433" s="54"/>
      <c r="N433" s="3"/>
      <c r="O433" s="3"/>
      <c r="S433" s="3"/>
      <c r="U433" s="3"/>
    </row>
    <row r="434">
      <c r="A434" s="3"/>
      <c r="B434" s="3"/>
      <c r="C434" s="3"/>
      <c r="D434" s="3"/>
      <c r="I434" s="3"/>
      <c r="J434" s="54"/>
      <c r="N434" s="3"/>
      <c r="O434" s="3"/>
      <c r="S434" s="3"/>
      <c r="U434" s="3"/>
    </row>
    <row r="435">
      <c r="A435" s="3"/>
      <c r="B435" s="3"/>
      <c r="C435" s="3"/>
      <c r="D435" s="3"/>
      <c r="I435" s="3"/>
      <c r="J435" s="54"/>
      <c r="N435" s="3"/>
      <c r="O435" s="3"/>
      <c r="S435" s="3"/>
      <c r="U435" s="3"/>
    </row>
    <row r="436">
      <c r="A436" s="3"/>
      <c r="B436" s="3"/>
      <c r="C436" s="3"/>
      <c r="D436" s="3"/>
      <c r="I436" s="3"/>
      <c r="J436" s="54"/>
      <c r="N436" s="3"/>
      <c r="O436" s="3"/>
      <c r="S436" s="3"/>
      <c r="U436" s="3"/>
    </row>
    <row r="437">
      <c r="A437" s="3"/>
      <c r="B437" s="3"/>
      <c r="C437" s="3"/>
      <c r="D437" s="3"/>
      <c r="I437" s="3"/>
      <c r="J437" s="54"/>
      <c r="N437" s="3"/>
      <c r="O437" s="3"/>
      <c r="S437" s="3"/>
      <c r="U437" s="3"/>
    </row>
    <row r="438">
      <c r="A438" s="3"/>
      <c r="B438" s="3"/>
      <c r="C438" s="3"/>
      <c r="D438" s="3"/>
      <c r="I438" s="3"/>
      <c r="J438" s="54"/>
      <c r="N438" s="3"/>
      <c r="O438" s="3"/>
      <c r="S438" s="3"/>
      <c r="U438" s="3"/>
    </row>
    <row r="439">
      <c r="A439" s="3"/>
      <c r="B439" s="3"/>
      <c r="C439" s="3"/>
      <c r="D439" s="3"/>
      <c r="I439" s="3"/>
      <c r="J439" s="54"/>
      <c r="N439" s="3"/>
      <c r="O439" s="3"/>
      <c r="S439" s="3"/>
      <c r="U439" s="3"/>
    </row>
    <row r="440">
      <c r="A440" s="3"/>
      <c r="B440" s="3"/>
      <c r="C440" s="3"/>
      <c r="D440" s="3"/>
      <c r="I440" s="3"/>
      <c r="J440" s="54"/>
      <c r="N440" s="3"/>
      <c r="O440" s="3"/>
      <c r="S440" s="3"/>
      <c r="U440" s="3"/>
    </row>
    <row r="441">
      <c r="A441" s="3"/>
      <c r="B441" s="3"/>
      <c r="C441" s="3"/>
      <c r="D441" s="3"/>
      <c r="I441" s="3"/>
      <c r="J441" s="54"/>
      <c r="N441" s="3"/>
      <c r="O441" s="3"/>
      <c r="S441" s="3"/>
      <c r="U441" s="3"/>
    </row>
    <row r="442">
      <c r="A442" s="3"/>
      <c r="B442" s="3"/>
      <c r="C442" s="3"/>
      <c r="D442" s="3"/>
      <c r="I442" s="3"/>
      <c r="J442" s="54"/>
      <c r="N442" s="3"/>
      <c r="O442" s="3"/>
      <c r="S442" s="3"/>
      <c r="U442" s="3"/>
    </row>
    <row r="443">
      <c r="A443" s="3"/>
      <c r="B443" s="3"/>
      <c r="C443" s="3"/>
      <c r="D443" s="3"/>
      <c r="I443" s="3"/>
      <c r="J443" s="54"/>
      <c r="N443" s="3"/>
      <c r="O443" s="3"/>
      <c r="S443" s="3"/>
      <c r="U443" s="3"/>
    </row>
    <row r="444">
      <c r="A444" s="3"/>
      <c r="B444" s="3"/>
      <c r="C444" s="3"/>
      <c r="D444" s="3"/>
      <c r="I444" s="3"/>
      <c r="J444" s="54"/>
      <c r="N444" s="3"/>
      <c r="O444" s="3"/>
      <c r="S444" s="3"/>
      <c r="U444" s="3"/>
    </row>
    <row r="445">
      <c r="A445" s="3"/>
      <c r="B445" s="3"/>
      <c r="C445" s="3"/>
      <c r="D445" s="3"/>
      <c r="I445" s="3"/>
      <c r="J445" s="54"/>
      <c r="N445" s="3"/>
      <c r="O445" s="3"/>
      <c r="S445" s="3"/>
      <c r="U445" s="3"/>
    </row>
    <row r="446">
      <c r="A446" s="3"/>
      <c r="B446" s="3"/>
      <c r="C446" s="3"/>
      <c r="D446" s="3"/>
      <c r="I446" s="3"/>
      <c r="J446" s="54"/>
      <c r="N446" s="3"/>
      <c r="O446" s="3"/>
      <c r="S446" s="3"/>
      <c r="U446" s="3"/>
    </row>
    <row r="447">
      <c r="A447" s="3"/>
      <c r="B447" s="3"/>
      <c r="C447" s="3"/>
      <c r="D447" s="3"/>
      <c r="I447" s="3"/>
      <c r="J447" s="54"/>
      <c r="N447" s="3"/>
      <c r="O447" s="3"/>
      <c r="S447" s="3"/>
      <c r="U447" s="3"/>
    </row>
    <row r="448">
      <c r="A448" s="3"/>
      <c r="B448" s="3"/>
      <c r="C448" s="3"/>
      <c r="D448" s="3"/>
      <c r="I448" s="3"/>
      <c r="J448" s="54"/>
      <c r="N448" s="3"/>
      <c r="O448" s="3"/>
      <c r="S448" s="3"/>
      <c r="U448" s="3"/>
    </row>
    <row r="449">
      <c r="A449" s="3"/>
      <c r="B449" s="3"/>
      <c r="C449" s="3"/>
      <c r="D449" s="3"/>
      <c r="I449" s="3"/>
      <c r="J449" s="54"/>
      <c r="N449" s="3"/>
      <c r="O449" s="3"/>
      <c r="S449" s="3"/>
      <c r="U449" s="3"/>
    </row>
    <row r="450">
      <c r="A450" s="3"/>
      <c r="B450" s="3"/>
      <c r="C450" s="3"/>
      <c r="D450" s="3"/>
      <c r="I450" s="3"/>
      <c r="J450" s="54"/>
      <c r="N450" s="3"/>
      <c r="O450" s="3"/>
      <c r="S450" s="3"/>
      <c r="U450" s="3"/>
    </row>
    <row r="451">
      <c r="A451" s="3"/>
      <c r="B451" s="3"/>
      <c r="C451" s="3"/>
      <c r="D451" s="3"/>
      <c r="I451" s="3"/>
      <c r="J451" s="54"/>
      <c r="N451" s="3"/>
      <c r="O451" s="3"/>
      <c r="S451" s="3"/>
      <c r="U451" s="3"/>
    </row>
    <row r="452">
      <c r="A452" s="3"/>
      <c r="B452" s="3"/>
      <c r="C452" s="3"/>
      <c r="D452" s="3"/>
      <c r="I452" s="3"/>
      <c r="J452" s="54"/>
      <c r="N452" s="3"/>
      <c r="O452" s="3"/>
      <c r="S452" s="3"/>
      <c r="U452" s="3"/>
    </row>
    <row r="453">
      <c r="A453" s="3"/>
      <c r="B453" s="3"/>
      <c r="C453" s="3"/>
      <c r="D453" s="3"/>
      <c r="I453" s="3"/>
      <c r="J453" s="54"/>
      <c r="N453" s="3"/>
      <c r="O453" s="3"/>
      <c r="S453" s="3"/>
      <c r="U453" s="3"/>
    </row>
    <row r="454">
      <c r="A454" s="3"/>
      <c r="B454" s="3"/>
      <c r="C454" s="3"/>
      <c r="D454" s="3"/>
      <c r="I454" s="3"/>
      <c r="J454" s="54"/>
      <c r="N454" s="3"/>
      <c r="O454" s="3"/>
      <c r="S454" s="3"/>
      <c r="U454" s="3"/>
    </row>
    <row r="455">
      <c r="A455" s="3"/>
      <c r="B455" s="3"/>
      <c r="C455" s="3"/>
      <c r="D455" s="3"/>
      <c r="I455" s="3"/>
      <c r="J455" s="54"/>
      <c r="N455" s="3"/>
      <c r="O455" s="3"/>
      <c r="S455" s="3"/>
      <c r="U455" s="3"/>
    </row>
    <row r="456">
      <c r="A456" s="3"/>
      <c r="B456" s="3"/>
      <c r="C456" s="3"/>
      <c r="D456" s="3"/>
      <c r="I456" s="3"/>
      <c r="J456" s="54"/>
      <c r="N456" s="3"/>
      <c r="O456" s="3"/>
      <c r="S456" s="3"/>
      <c r="U456" s="3"/>
    </row>
    <row r="457">
      <c r="A457" s="3"/>
      <c r="B457" s="3"/>
      <c r="C457" s="3"/>
      <c r="D457" s="3"/>
      <c r="I457" s="3"/>
      <c r="J457" s="54"/>
      <c r="N457" s="3"/>
      <c r="O457" s="3"/>
      <c r="S457" s="3"/>
      <c r="U457" s="3"/>
    </row>
    <row r="458">
      <c r="A458" s="3"/>
      <c r="B458" s="3"/>
      <c r="C458" s="3"/>
      <c r="D458" s="3"/>
      <c r="I458" s="3"/>
      <c r="J458" s="54"/>
      <c r="N458" s="3"/>
      <c r="O458" s="3"/>
      <c r="S458" s="3"/>
      <c r="U458" s="3"/>
    </row>
    <row r="459">
      <c r="A459" s="3"/>
      <c r="B459" s="3"/>
      <c r="C459" s="3"/>
      <c r="D459" s="3"/>
      <c r="I459" s="3"/>
      <c r="J459" s="54"/>
      <c r="N459" s="3"/>
      <c r="O459" s="3"/>
      <c r="S459" s="3"/>
      <c r="U459" s="3"/>
    </row>
    <row r="460">
      <c r="A460" s="3"/>
      <c r="B460" s="3"/>
      <c r="C460" s="3"/>
      <c r="D460" s="3"/>
      <c r="I460" s="3"/>
      <c r="J460" s="54"/>
      <c r="N460" s="3"/>
      <c r="O460" s="3"/>
      <c r="S460" s="3"/>
      <c r="U460" s="3"/>
    </row>
    <row r="461">
      <c r="A461" s="3"/>
      <c r="B461" s="3"/>
      <c r="C461" s="3"/>
      <c r="D461" s="3"/>
      <c r="I461" s="3"/>
      <c r="J461" s="54"/>
      <c r="N461" s="3"/>
      <c r="O461" s="3"/>
      <c r="S461" s="3"/>
      <c r="U461" s="3"/>
    </row>
    <row r="462">
      <c r="A462" s="3"/>
      <c r="B462" s="3"/>
      <c r="C462" s="3"/>
      <c r="D462" s="3"/>
      <c r="I462" s="3"/>
      <c r="J462" s="54"/>
      <c r="N462" s="3"/>
      <c r="O462" s="3"/>
      <c r="S462" s="3"/>
      <c r="U462" s="3"/>
    </row>
    <row r="463">
      <c r="A463" s="3"/>
      <c r="B463" s="3"/>
      <c r="C463" s="3"/>
      <c r="D463" s="3"/>
      <c r="I463" s="3"/>
      <c r="J463" s="54"/>
      <c r="N463" s="3"/>
      <c r="O463" s="3"/>
      <c r="S463" s="3"/>
      <c r="U463" s="3"/>
    </row>
    <row r="464">
      <c r="A464" s="3"/>
      <c r="B464" s="3"/>
      <c r="C464" s="3"/>
      <c r="D464" s="3"/>
      <c r="I464" s="3"/>
      <c r="J464" s="54"/>
      <c r="N464" s="3"/>
      <c r="O464" s="3"/>
      <c r="S464" s="3"/>
      <c r="U464" s="3"/>
    </row>
    <row r="465">
      <c r="A465" s="3"/>
      <c r="B465" s="3"/>
      <c r="C465" s="3"/>
      <c r="D465" s="3"/>
      <c r="I465" s="3"/>
      <c r="J465" s="54"/>
      <c r="N465" s="3"/>
      <c r="O465" s="3"/>
      <c r="S465" s="3"/>
      <c r="U465" s="3"/>
    </row>
    <row r="466">
      <c r="A466" s="3"/>
      <c r="B466" s="3"/>
      <c r="C466" s="3"/>
      <c r="D466" s="3"/>
      <c r="I466" s="3"/>
      <c r="J466" s="54"/>
      <c r="N466" s="3"/>
      <c r="O466" s="3"/>
      <c r="S466" s="3"/>
      <c r="U466" s="3"/>
    </row>
    <row r="467">
      <c r="A467" s="3"/>
      <c r="B467" s="3"/>
      <c r="C467" s="3"/>
      <c r="D467" s="3"/>
      <c r="I467" s="3"/>
      <c r="J467" s="54"/>
      <c r="N467" s="3"/>
      <c r="O467" s="3"/>
      <c r="S467" s="3"/>
      <c r="U467" s="3"/>
    </row>
    <row r="468">
      <c r="A468" s="3"/>
      <c r="B468" s="3"/>
      <c r="C468" s="3"/>
      <c r="D468" s="3"/>
      <c r="I468" s="3"/>
      <c r="J468" s="54"/>
      <c r="N468" s="3"/>
      <c r="O468" s="3"/>
      <c r="S468" s="3"/>
      <c r="U468" s="3"/>
    </row>
    <row r="469">
      <c r="A469" s="3"/>
      <c r="B469" s="3"/>
      <c r="C469" s="3"/>
      <c r="D469" s="3"/>
      <c r="I469" s="3"/>
      <c r="J469" s="54"/>
      <c r="N469" s="3"/>
      <c r="O469" s="3"/>
      <c r="S469" s="3"/>
      <c r="U469" s="3"/>
    </row>
    <row r="470">
      <c r="A470" s="3"/>
      <c r="B470" s="3"/>
      <c r="C470" s="3"/>
      <c r="D470" s="3"/>
      <c r="I470" s="3"/>
      <c r="J470" s="54"/>
      <c r="N470" s="3"/>
      <c r="O470" s="3"/>
      <c r="S470" s="3"/>
      <c r="U470" s="3"/>
    </row>
    <row r="471">
      <c r="A471" s="3"/>
      <c r="B471" s="3"/>
      <c r="C471" s="3"/>
      <c r="D471" s="3"/>
      <c r="I471" s="3"/>
      <c r="J471" s="54"/>
      <c r="N471" s="3"/>
      <c r="O471" s="3"/>
      <c r="S471" s="3"/>
      <c r="U471" s="3"/>
    </row>
    <row r="472">
      <c r="A472" s="3"/>
      <c r="B472" s="3"/>
      <c r="C472" s="3"/>
      <c r="D472" s="3"/>
      <c r="I472" s="3"/>
      <c r="J472" s="54"/>
      <c r="N472" s="3"/>
      <c r="O472" s="3"/>
      <c r="S472" s="3"/>
      <c r="U472" s="3"/>
    </row>
    <row r="473">
      <c r="A473" s="3"/>
      <c r="B473" s="3"/>
      <c r="C473" s="3"/>
      <c r="D473" s="3"/>
      <c r="I473" s="3"/>
      <c r="J473" s="54"/>
      <c r="N473" s="3"/>
      <c r="O473" s="3"/>
      <c r="S473" s="3"/>
      <c r="U473" s="3"/>
    </row>
    <row r="474">
      <c r="A474" s="3"/>
      <c r="B474" s="3"/>
      <c r="C474" s="3"/>
      <c r="D474" s="3"/>
      <c r="I474" s="3"/>
      <c r="J474" s="54"/>
      <c r="N474" s="3"/>
      <c r="O474" s="3"/>
      <c r="S474" s="3"/>
      <c r="U474" s="3"/>
    </row>
    <row r="475">
      <c r="A475" s="3"/>
      <c r="B475" s="3"/>
      <c r="C475" s="3"/>
      <c r="D475" s="3"/>
      <c r="I475" s="3"/>
      <c r="J475" s="54"/>
      <c r="N475" s="3"/>
      <c r="O475" s="3"/>
      <c r="S475" s="3"/>
      <c r="U475" s="3"/>
    </row>
    <row r="476">
      <c r="A476" s="3"/>
      <c r="B476" s="3"/>
      <c r="C476" s="3"/>
      <c r="D476" s="3"/>
      <c r="I476" s="3"/>
      <c r="J476" s="54"/>
      <c r="N476" s="3"/>
      <c r="O476" s="3"/>
      <c r="S476" s="3"/>
      <c r="U476" s="3"/>
    </row>
    <row r="477">
      <c r="A477" s="3"/>
      <c r="B477" s="3"/>
      <c r="C477" s="3"/>
      <c r="D477" s="3"/>
      <c r="I477" s="3"/>
      <c r="J477" s="54"/>
      <c r="N477" s="3"/>
      <c r="O477" s="3"/>
      <c r="S477" s="3"/>
      <c r="U477" s="3"/>
    </row>
    <row r="478">
      <c r="A478" s="3"/>
      <c r="B478" s="3"/>
      <c r="C478" s="3"/>
      <c r="D478" s="3"/>
      <c r="I478" s="3"/>
      <c r="J478" s="54"/>
      <c r="N478" s="3"/>
      <c r="O478" s="3"/>
      <c r="S478" s="3"/>
      <c r="U478" s="3"/>
    </row>
    <row r="479">
      <c r="A479" s="3"/>
      <c r="B479" s="3"/>
      <c r="C479" s="3"/>
      <c r="D479" s="3"/>
      <c r="I479" s="3"/>
      <c r="J479" s="54"/>
      <c r="N479" s="3"/>
      <c r="O479" s="3"/>
      <c r="S479" s="3"/>
      <c r="U479" s="3"/>
    </row>
    <row r="480">
      <c r="A480" s="3"/>
      <c r="B480" s="3"/>
      <c r="C480" s="3"/>
      <c r="D480" s="3"/>
      <c r="I480" s="3"/>
      <c r="J480" s="54"/>
      <c r="N480" s="3"/>
      <c r="O480" s="3"/>
      <c r="S480" s="3"/>
      <c r="U480" s="3"/>
    </row>
    <row r="481">
      <c r="A481" s="3"/>
      <c r="B481" s="3"/>
      <c r="C481" s="3"/>
      <c r="D481" s="3"/>
      <c r="I481" s="3"/>
      <c r="J481" s="54"/>
      <c r="N481" s="3"/>
      <c r="O481" s="3"/>
      <c r="S481" s="3"/>
      <c r="U481" s="3"/>
    </row>
    <row r="482">
      <c r="A482" s="3"/>
      <c r="B482" s="3"/>
      <c r="C482" s="3"/>
      <c r="D482" s="3"/>
      <c r="I482" s="3"/>
      <c r="J482" s="54"/>
      <c r="N482" s="3"/>
      <c r="O482" s="3"/>
      <c r="S482" s="3"/>
      <c r="U482" s="3"/>
    </row>
    <row r="483">
      <c r="A483" s="3"/>
      <c r="B483" s="3"/>
      <c r="C483" s="3"/>
      <c r="D483" s="3"/>
      <c r="I483" s="3"/>
      <c r="J483" s="54"/>
      <c r="N483" s="3"/>
      <c r="O483" s="3"/>
      <c r="S483" s="3"/>
      <c r="U483" s="3"/>
    </row>
    <row r="484">
      <c r="A484" s="3"/>
      <c r="B484" s="3"/>
      <c r="C484" s="3"/>
      <c r="D484" s="3"/>
      <c r="I484" s="3"/>
      <c r="J484" s="54"/>
      <c r="N484" s="3"/>
      <c r="O484" s="3"/>
      <c r="S484" s="3"/>
      <c r="U484" s="3"/>
    </row>
    <row r="485">
      <c r="A485" s="3"/>
      <c r="B485" s="3"/>
      <c r="C485" s="3"/>
      <c r="D485" s="3"/>
      <c r="I485" s="3"/>
      <c r="J485" s="54"/>
      <c r="N485" s="3"/>
      <c r="O485" s="3"/>
      <c r="S485" s="3"/>
      <c r="U485" s="3"/>
    </row>
    <row r="486">
      <c r="A486" s="3"/>
      <c r="B486" s="3"/>
      <c r="C486" s="3"/>
      <c r="D486" s="3"/>
      <c r="I486" s="3"/>
      <c r="J486" s="54"/>
      <c r="N486" s="3"/>
      <c r="O486" s="3"/>
      <c r="S486" s="3"/>
      <c r="U486" s="3"/>
    </row>
    <row r="487">
      <c r="A487" s="3"/>
      <c r="B487" s="3"/>
      <c r="C487" s="3"/>
      <c r="D487" s="3"/>
      <c r="I487" s="3"/>
      <c r="J487" s="54"/>
      <c r="N487" s="3"/>
      <c r="O487" s="3"/>
      <c r="S487" s="3"/>
      <c r="U487" s="3"/>
    </row>
    <row r="488">
      <c r="A488" s="3"/>
      <c r="B488" s="3"/>
      <c r="C488" s="3"/>
      <c r="D488" s="3"/>
      <c r="I488" s="3"/>
      <c r="J488" s="54"/>
      <c r="N488" s="3"/>
      <c r="O488" s="3"/>
      <c r="S488" s="3"/>
      <c r="U488" s="3"/>
    </row>
    <row r="489">
      <c r="A489" s="3"/>
      <c r="B489" s="3"/>
      <c r="C489" s="3"/>
      <c r="D489" s="3"/>
      <c r="I489" s="3"/>
      <c r="J489" s="54"/>
      <c r="N489" s="3"/>
      <c r="O489" s="3"/>
      <c r="S489" s="3"/>
      <c r="U489" s="3"/>
    </row>
    <row r="490">
      <c r="A490" s="3"/>
      <c r="B490" s="3"/>
      <c r="C490" s="3"/>
      <c r="D490" s="3"/>
      <c r="I490" s="3"/>
      <c r="J490" s="54"/>
      <c r="N490" s="3"/>
      <c r="O490" s="3"/>
      <c r="S490" s="3"/>
      <c r="U490" s="3"/>
    </row>
    <row r="491">
      <c r="A491" s="3"/>
      <c r="B491" s="3"/>
      <c r="C491" s="3"/>
      <c r="D491" s="3"/>
      <c r="I491" s="3"/>
      <c r="J491" s="54"/>
      <c r="N491" s="3"/>
      <c r="O491" s="3"/>
      <c r="S491" s="3"/>
      <c r="U491" s="3"/>
    </row>
    <row r="492">
      <c r="A492" s="3"/>
      <c r="B492" s="3"/>
      <c r="C492" s="3"/>
      <c r="D492" s="3"/>
      <c r="I492" s="3"/>
      <c r="J492" s="54"/>
      <c r="N492" s="3"/>
      <c r="O492" s="3"/>
      <c r="S492" s="3"/>
      <c r="U492" s="3"/>
    </row>
    <row r="493">
      <c r="A493" s="3"/>
      <c r="B493" s="3"/>
      <c r="C493" s="3"/>
      <c r="D493" s="3"/>
      <c r="I493" s="3"/>
      <c r="J493" s="54"/>
      <c r="N493" s="3"/>
      <c r="O493" s="3"/>
      <c r="S493" s="3"/>
      <c r="U493" s="3"/>
    </row>
    <row r="494">
      <c r="A494" s="3"/>
      <c r="B494" s="3"/>
      <c r="C494" s="3"/>
      <c r="D494" s="3"/>
      <c r="I494" s="3"/>
      <c r="J494" s="54"/>
      <c r="N494" s="3"/>
      <c r="O494" s="3"/>
      <c r="S494" s="3"/>
      <c r="U494" s="3"/>
    </row>
    <row r="495">
      <c r="A495" s="3"/>
      <c r="B495" s="3"/>
      <c r="C495" s="3"/>
      <c r="D495" s="3"/>
      <c r="I495" s="3"/>
      <c r="J495" s="54"/>
      <c r="N495" s="3"/>
      <c r="O495" s="3"/>
      <c r="S495" s="3"/>
      <c r="U495" s="3"/>
    </row>
    <row r="496">
      <c r="A496" s="3"/>
      <c r="B496" s="3"/>
      <c r="C496" s="3"/>
      <c r="D496" s="3"/>
      <c r="I496" s="3"/>
      <c r="J496" s="54"/>
      <c r="N496" s="3"/>
      <c r="O496" s="3"/>
      <c r="S496" s="3"/>
      <c r="U496" s="3"/>
    </row>
    <row r="497">
      <c r="A497" s="3"/>
      <c r="B497" s="3"/>
      <c r="C497" s="3"/>
      <c r="D497" s="3"/>
      <c r="I497" s="3"/>
      <c r="J497" s="54"/>
      <c r="N497" s="3"/>
      <c r="O497" s="3"/>
      <c r="S497" s="3"/>
      <c r="U497" s="3"/>
    </row>
    <row r="498">
      <c r="A498" s="3"/>
      <c r="B498" s="3"/>
      <c r="C498" s="3"/>
      <c r="D498" s="3"/>
      <c r="I498" s="3"/>
      <c r="J498" s="54"/>
      <c r="N498" s="3"/>
      <c r="O498" s="3"/>
      <c r="S498" s="3"/>
      <c r="U498" s="3"/>
    </row>
    <row r="499">
      <c r="A499" s="3"/>
      <c r="B499" s="3"/>
      <c r="C499" s="3"/>
      <c r="D499" s="3"/>
      <c r="I499" s="3"/>
      <c r="J499" s="54"/>
      <c r="N499" s="3"/>
      <c r="O499" s="3"/>
      <c r="S499" s="3"/>
      <c r="U499" s="3"/>
    </row>
    <row r="500">
      <c r="A500" s="3"/>
      <c r="B500" s="3"/>
      <c r="C500" s="3"/>
      <c r="D500" s="3"/>
      <c r="I500" s="3"/>
      <c r="J500" s="54"/>
      <c r="N500" s="3"/>
      <c r="O500" s="3"/>
      <c r="S500" s="3"/>
      <c r="U500" s="3"/>
    </row>
    <row r="501">
      <c r="A501" s="3"/>
      <c r="B501" s="3"/>
      <c r="C501" s="3"/>
      <c r="D501" s="3"/>
      <c r="I501" s="3"/>
      <c r="J501" s="54"/>
      <c r="N501" s="3"/>
      <c r="O501" s="3"/>
      <c r="S501" s="3"/>
      <c r="U501" s="3"/>
    </row>
    <row r="502">
      <c r="A502" s="3"/>
      <c r="B502" s="3"/>
      <c r="C502" s="3"/>
      <c r="D502" s="3"/>
      <c r="I502" s="3"/>
      <c r="J502" s="54"/>
      <c r="N502" s="3"/>
      <c r="O502" s="3"/>
      <c r="S502" s="3"/>
      <c r="U502" s="3"/>
    </row>
    <row r="503">
      <c r="A503" s="3"/>
      <c r="B503" s="3"/>
      <c r="C503" s="3"/>
      <c r="D503" s="3"/>
      <c r="I503" s="3"/>
      <c r="J503" s="54"/>
      <c r="N503" s="3"/>
      <c r="O503" s="3"/>
      <c r="S503" s="3"/>
      <c r="U503" s="3"/>
    </row>
    <row r="504">
      <c r="A504" s="3"/>
      <c r="B504" s="3"/>
      <c r="C504" s="3"/>
      <c r="D504" s="3"/>
      <c r="I504" s="3"/>
      <c r="J504" s="54"/>
      <c r="N504" s="3"/>
      <c r="O504" s="3"/>
      <c r="S504" s="3"/>
      <c r="U504" s="3"/>
    </row>
    <row r="505">
      <c r="A505" s="3"/>
      <c r="B505" s="3"/>
      <c r="C505" s="3"/>
      <c r="D505" s="3"/>
      <c r="I505" s="3"/>
      <c r="J505" s="54"/>
      <c r="N505" s="3"/>
      <c r="O505" s="3"/>
      <c r="S505" s="3"/>
      <c r="U505" s="3"/>
    </row>
    <row r="506">
      <c r="A506" s="3"/>
      <c r="B506" s="3"/>
      <c r="C506" s="3"/>
      <c r="D506" s="3"/>
      <c r="I506" s="3"/>
      <c r="J506" s="54"/>
      <c r="N506" s="3"/>
      <c r="O506" s="3"/>
      <c r="S506" s="3"/>
      <c r="U506" s="3"/>
    </row>
    <row r="507">
      <c r="A507" s="3"/>
      <c r="B507" s="3"/>
      <c r="C507" s="3"/>
      <c r="D507" s="3"/>
      <c r="I507" s="3"/>
      <c r="J507" s="54"/>
      <c r="N507" s="3"/>
      <c r="O507" s="3"/>
      <c r="S507" s="3"/>
      <c r="U507" s="3"/>
    </row>
    <row r="508">
      <c r="A508" s="3"/>
      <c r="B508" s="3"/>
      <c r="C508" s="3"/>
      <c r="D508" s="3"/>
      <c r="I508" s="3"/>
      <c r="J508" s="54"/>
      <c r="N508" s="3"/>
      <c r="O508" s="3"/>
      <c r="S508" s="3"/>
      <c r="U508" s="3"/>
    </row>
    <row r="509">
      <c r="A509" s="3"/>
      <c r="B509" s="3"/>
      <c r="C509" s="3"/>
      <c r="D509" s="3"/>
      <c r="I509" s="3"/>
      <c r="J509" s="54"/>
      <c r="N509" s="3"/>
      <c r="O509" s="3"/>
      <c r="S509" s="3"/>
      <c r="U509" s="3"/>
    </row>
    <row r="510">
      <c r="A510" s="3"/>
      <c r="B510" s="3"/>
      <c r="C510" s="3"/>
      <c r="D510" s="3"/>
      <c r="I510" s="3"/>
      <c r="J510" s="54"/>
      <c r="N510" s="3"/>
      <c r="O510" s="3"/>
      <c r="S510" s="3"/>
      <c r="U510" s="3"/>
    </row>
    <row r="511">
      <c r="A511" s="3"/>
      <c r="B511" s="3"/>
      <c r="C511" s="3"/>
      <c r="D511" s="3"/>
      <c r="I511" s="3"/>
      <c r="J511" s="54"/>
      <c r="N511" s="3"/>
      <c r="O511" s="3"/>
      <c r="S511" s="3"/>
      <c r="U511" s="3"/>
    </row>
    <row r="512">
      <c r="A512" s="3"/>
      <c r="B512" s="3"/>
      <c r="C512" s="3"/>
      <c r="D512" s="3"/>
      <c r="I512" s="3"/>
      <c r="J512" s="54"/>
      <c r="N512" s="3"/>
      <c r="O512" s="3"/>
      <c r="S512" s="3"/>
      <c r="U512" s="3"/>
    </row>
    <row r="513">
      <c r="A513" s="3"/>
      <c r="B513" s="3"/>
      <c r="C513" s="3"/>
      <c r="D513" s="3"/>
      <c r="I513" s="3"/>
      <c r="J513" s="54"/>
      <c r="N513" s="3"/>
      <c r="O513" s="3"/>
      <c r="S513" s="3"/>
      <c r="U513" s="3"/>
    </row>
    <row r="514">
      <c r="A514" s="3"/>
      <c r="B514" s="3"/>
      <c r="C514" s="3"/>
      <c r="D514" s="3"/>
      <c r="I514" s="3"/>
      <c r="J514" s="54"/>
      <c r="N514" s="3"/>
      <c r="O514" s="3"/>
      <c r="S514" s="3"/>
      <c r="U514" s="3"/>
    </row>
    <row r="515">
      <c r="A515" s="3"/>
      <c r="B515" s="3"/>
      <c r="C515" s="3"/>
      <c r="D515" s="3"/>
      <c r="I515" s="3"/>
      <c r="J515" s="54"/>
      <c r="N515" s="3"/>
      <c r="O515" s="3"/>
      <c r="S515" s="3"/>
      <c r="U515" s="3"/>
    </row>
    <row r="516">
      <c r="A516" s="3"/>
      <c r="B516" s="3"/>
      <c r="C516" s="3"/>
      <c r="D516" s="3"/>
      <c r="I516" s="3"/>
      <c r="J516" s="54"/>
      <c r="N516" s="3"/>
      <c r="O516" s="3"/>
      <c r="S516" s="3"/>
      <c r="U516" s="3"/>
    </row>
    <row r="517">
      <c r="A517" s="3"/>
      <c r="B517" s="3"/>
      <c r="C517" s="3"/>
      <c r="D517" s="3"/>
      <c r="I517" s="3"/>
      <c r="J517" s="54"/>
      <c r="N517" s="3"/>
      <c r="O517" s="3"/>
      <c r="S517" s="3"/>
      <c r="U517" s="3"/>
    </row>
    <row r="518">
      <c r="A518" s="3"/>
      <c r="B518" s="3"/>
      <c r="C518" s="3"/>
      <c r="D518" s="3"/>
      <c r="I518" s="3"/>
      <c r="J518" s="54"/>
      <c r="N518" s="3"/>
      <c r="O518" s="3"/>
      <c r="S518" s="3"/>
      <c r="U518" s="3"/>
    </row>
    <row r="519">
      <c r="A519" s="3"/>
      <c r="B519" s="3"/>
      <c r="C519" s="3"/>
      <c r="D519" s="3"/>
      <c r="I519" s="3"/>
      <c r="J519" s="54"/>
      <c r="N519" s="3"/>
      <c r="O519" s="3"/>
      <c r="S519" s="3"/>
      <c r="U519" s="3"/>
    </row>
    <row r="520">
      <c r="A520" s="3"/>
      <c r="B520" s="3"/>
      <c r="C520" s="3"/>
      <c r="D520" s="3"/>
      <c r="I520" s="3"/>
      <c r="J520" s="54"/>
      <c r="N520" s="3"/>
      <c r="O520" s="3"/>
      <c r="S520" s="3"/>
      <c r="U520" s="3"/>
    </row>
    <row r="521">
      <c r="A521" s="3"/>
      <c r="B521" s="3"/>
      <c r="C521" s="3"/>
      <c r="D521" s="3"/>
      <c r="I521" s="3"/>
      <c r="J521" s="54"/>
      <c r="N521" s="3"/>
      <c r="O521" s="3"/>
      <c r="S521" s="3"/>
      <c r="U521" s="3"/>
    </row>
    <row r="522">
      <c r="A522" s="3"/>
      <c r="B522" s="3"/>
      <c r="C522" s="3"/>
      <c r="D522" s="3"/>
      <c r="I522" s="3"/>
      <c r="J522" s="54"/>
      <c r="N522" s="3"/>
      <c r="O522" s="3"/>
      <c r="S522" s="3"/>
      <c r="U522" s="3"/>
    </row>
    <row r="523">
      <c r="A523" s="3"/>
      <c r="B523" s="3"/>
      <c r="C523" s="3"/>
      <c r="D523" s="3"/>
      <c r="I523" s="3"/>
      <c r="J523" s="54"/>
      <c r="N523" s="3"/>
      <c r="O523" s="3"/>
      <c r="S523" s="3"/>
      <c r="U523" s="3"/>
    </row>
    <row r="524">
      <c r="A524" s="3"/>
      <c r="B524" s="3"/>
      <c r="C524" s="3"/>
      <c r="D524" s="3"/>
      <c r="I524" s="3"/>
      <c r="J524" s="54"/>
      <c r="N524" s="3"/>
      <c r="O524" s="3"/>
      <c r="S524" s="3"/>
      <c r="U524" s="3"/>
    </row>
    <row r="525">
      <c r="A525" s="3"/>
      <c r="B525" s="3"/>
      <c r="C525" s="3"/>
      <c r="D525" s="3"/>
      <c r="I525" s="3"/>
      <c r="J525" s="54"/>
      <c r="N525" s="3"/>
      <c r="O525" s="3"/>
      <c r="S525" s="3"/>
      <c r="U525" s="3"/>
    </row>
    <row r="526">
      <c r="A526" s="3"/>
      <c r="B526" s="3"/>
      <c r="C526" s="3"/>
      <c r="D526" s="3"/>
      <c r="I526" s="3"/>
      <c r="J526" s="54"/>
      <c r="N526" s="3"/>
      <c r="O526" s="3"/>
      <c r="S526" s="3"/>
      <c r="U526" s="3"/>
    </row>
    <row r="527">
      <c r="A527" s="3"/>
      <c r="B527" s="3"/>
      <c r="C527" s="3"/>
      <c r="D527" s="3"/>
      <c r="I527" s="3"/>
      <c r="J527" s="54"/>
      <c r="N527" s="3"/>
      <c r="O527" s="3"/>
      <c r="S527" s="3"/>
      <c r="U527" s="3"/>
    </row>
    <row r="528">
      <c r="A528" s="3"/>
      <c r="B528" s="3"/>
      <c r="C528" s="3"/>
      <c r="D528" s="3"/>
      <c r="I528" s="3"/>
      <c r="J528" s="54"/>
      <c r="N528" s="3"/>
      <c r="O528" s="3"/>
      <c r="S528" s="3"/>
      <c r="U528" s="3"/>
    </row>
    <row r="529">
      <c r="A529" s="3"/>
      <c r="B529" s="3"/>
      <c r="C529" s="3"/>
      <c r="D529" s="3"/>
      <c r="I529" s="3"/>
      <c r="J529" s="54"/>
      <c r="N529" s="3"/>
      <c r="O529" s="3"/>
      <c r="S529" s="3"/>
      <c r="U529" s="3"/>
    </row>
    <row r="530">
      <c r="A530" s="3"/>
      <c r="B530" s="3"/>
      <c r="C530" s="3"/>
      <c r="D530" s="3"/>
      <c r="I530" s="3"/>
      <c r="J530" s="54"/>
      <c r="N530" s="3"/>
      <c r="O530" s="3"/>
      <c r="S530" s="3"/>
      <c r="U530" s="3"/>
    </row>
    <row r="531">
      <c r="A531" s="3"/>
      <c r="B531" s="3"/>
      <c r="C531" s="3"/>
      <c r="D531" s="3"/>
      <c r="I531" s="3"/>
      <c r="J531" s="54"/>
      <c r="N531" s="3"/>
      <c r="O531" s="3"/>
      <c r="S531" s="3"/>
      <c r="U531" s="3"/>
    </row>
    <row r="532">
      <c r="A532" s="3"/>
      <c r="B532" s="3"/>
      <c r="C532" s="3"/>
      <c r="D532" s="3"/>
      <c r="I532" s="3"/>
      <c r="J532" s="54"/>
      <c r="N532" s="3"/>
      <c r="O532" s="3"/>
      <c r="S532" s="3"/>
      <c r="U532" s="3"/>
    </row>
    <row r="533">
      <c r="A533" s="3"/>
      <c r="B533" s="3"/>
      <c r="C533" s="3"/>
      <c r="D533" s="3"/>
      <c r="I533" s="3"/>
      <c r="J533" s="54"/>
      <c r="N533" s="3"/>
      <c r="O533" s="3"/>
      <c r="S533" s="3"/>
      <c r="U533" s="3"/>
    </row>
    <row r="534">
      <c r="A534" s="3"/>
      <c r="B534" s="3"/>
      <c r="C534" s="3"/>
      <c r="D534" s="3"/>
      <c r="I534" s="3"/>
      <c r="J534" s="54"/>
      <c r="N534" s="3"/>
      <c r="O534" s="3"/>
      <c r="S534" s="3"/>
      <c r="U534" s="3"/>
    </row>
    <row r="535">
      <c r="A535" s="3"/>
      <c r="B535" s="3"/>
      <c r="C535" s="3"/>
      <c r="D535" s="3"/>
      <c r="I535" s="3"/>
      <c r="J535" s="54"/>
      <c r="N535" s="3"/>
      <c r="O535" s="3"/>
      <c r="S535" s="3"/>
      <c r="U535" s="3"/>
    </row>
    <row r="536">
      <c r="A536" s="3"/>
      <c r="B536" s="3"/>
      <c r="C536" s="3"/>
      <c r="D536" s="3"/>
      <c r="I536" s="3"/>
      <c r="J536" s="54"/>
      <c r="N536" s="3"/>
      <c r="O536" s="3"/>
      <c r="S536" s="3"/>
      <c r="U536" s="3"/>
    </row>
    <row r="537">
      <c r="A537" s="3"/>
      <c r="B537" s="3"/>
      <c r="C537" s="3"/>
      <c r="D537" s="3"/>
      <c r="I537" s="3"/>
      <c r="J537" s="54"/>
      <c r="N537" s="3"/>
      <c r="O537" s="3"/>
      <c r="S537" s="3"/>
      <c r="U537" s="3"/>
    </row>
    <row r="538">
      <c r="A538" s="3"/>
      <c r="B538" s="3"/>
      <c r="C538" s="3"/>
      <c r="D538" s="3"/>
      <c r="I538" s="3"/>
      <c r="J538" s="54"/>
      <c r="N538" s="3"/>
      <c r="O538" s="3"/>
      <c r="S538" s="3"/>
      <c r="U538" s="3"/>
    </row>
    <row r="539">
      <c r="A539" s="3"/>
      <c r="B539" s="3"/>
      <c r="C539" s="3"/>
      <c r="D539" s="3"/>
      <c r="I539" s="3"/>
      <c r="J539" s="54"/>
      <c r="N539" s="3"/>
      <c r="O539" s="3"/>
      <c r="S539" s="3"/>
      <c r="U539" s="3"/>
    </row>
    <row r="540">
      <c r="A540" s="3"/>
      <c r="B540" s="3"/>
      <c r="C540" s="3"/>
      <c r="D540" s="3"/>
      <c r="I540" s="3"/>
      <c r="J540" s="54"/>
      <c r="N540" s="3"/>
      <c r="O540" s="3"/>
      <c r="S540" s="3"/>
      <c r="U540" s="3"/>
    </row>
    <row r="541">
      <c r="A541" s="3"/>
      <c r="B541" s="3"/>
      <c r="C541" s="3"/>
      <c r="D541" s="3"/>
      <c r="I541" s="3"/>
      <c r="J541" s="54"/>
      <c r="N541" s="3"/>
      <c r="O541" s="3"/>
      <c r="S541" s="3"/>
      <c r="U541" s="3"/>
    </row>
    <row r="542">
      <c r="A542" s="3"/>
      <c r="B542" s="3"/>
      <c r="C542" s="3"/>
      <c r="D542" s="3"/>
      <c r="I542" s="3"/>
      <c r="J542" s="54"/>
      <c r="N542" s="3"/>
      <c r="O542" s="3"/>
      <c r="S542" s="3"/>
      <c r="U542" s="3"/>
    </row>
    <row r="543">
      <c r="A543" s="3"/>
      <c r="B543" s="3"/>
      <c r="C543" s="3"/>
      <c r="D543" s="3"/>
      <c r="I543" s="3"/>
      <c r="J543" s="54"/>
      <c r="N543" s="3"/>
      <c r="O543" s="3"/>
      <c r="S543" s="3"/>
      <c r="U543" s="3"/>
    </row>
    <row r="544">
      <c r="A544" s="3"/>
      <c r="B544" s="3"/>
      <c r="C544" s="3"/>
      <c r="D544" s="3"/>
      <c r="I544" s="3"/>
      <c r="J544" s="54"/>
      <c r="N544" s="3"/>
      <c r="O544" s="3"/>
      <c r="S544" s="3"/>
      <c r="U544" s="3"/>
    </row>
    <row r="545">
      <c r="A545" s="3"/>
      <c r="B545" s="3"/>
      <c r="C545" s="3"/>
      <c r="D545" s="3"/>
      <c r="I545" s="3"/>
      <c r="J545" s="54"/>
      <c r="N545" s="3"/>
      <c r="O545" s="3"/>
      <c r="S545" s="3"/>
      <c r="U545" s="3"/>
    </row>
    <row r="546">
      <c r="A546" s="3"/>
      <c r="B546" s="3"/>
      <c r="C546" s="3"/>
      <c r="D546" s="3"/>
      <c r="I546" s="3"/>
      <c r="J546" s="54"/>
      <c r="N546" s="3"/>
      <c r="O546" s="3"/>
      <c r="S546" s="3"/>
      <c r="U546" s="3"/>
    </row>
    <row r="547">
      <c r="A547" s="3"/>
      <c r="B547" s="3"/>
      <c r="C547" s="3"/>
      <c r="D547" s="3"/>
      <c r="I547" s="3"/>
      <c r="J547" s="54"/>
      <c r="N547" s="3"/>
      <c r="O547" s="3"/>
      <c r="S547" s="3"/>
      <c r="U547" s="3"/>
    </row>
    <row r="548">
      <c r="A548" s="3"/>
      <c r="B548" s="3"/>
      <c r="C548" s="3"/>
      <c r="D548" s="3"/>
      <c r="I548" s="3"/>
      <c r="J548" s="54"/>
      <c r="N548" s="3"/>
      <c r="O548" s="3"/>
      <c r="S548" s="3"/>
      <c r="U548" s="3"/>
    </row>
    <row r="549">
      <c r="A549" s="3"/>
      <c r="B549" s="3"/>
      <c r="C549" s="3"/>
      <c r="D549" s="3"/>
      <c r="I549" s="3"/>
      <c r="J549" s="54"/>
      <c r="N549" s="3"/>
      <c r="O549" s="3"/>
      <c r="S549" s="3"/>
      <c r="U549" s="3"/>
    </row>
    <row r="550">
      <c r="A550" s="3"/>
      <c r="B550" s="3"/>
      <c r="C550" s="3"/>
      <c r="D550" s="3"/>
      <c r="I550" s="3"/>
      <c r="J550" s="54"/>
      <c r="N550" s="3"/>
      <c r="O550" s="3"/>
      <c r="S550" s="3"/>
      <c r="U550" s="3"/>
    </row>
    <row r="551">
      <c r="A551" s="3"/>
      <c r="B551" s="3"/>
      <c r="C551" s="3"/>
      <c r="D551" s="3"/>
      <c r="I551" s="3"/>
      <c r="J551" s="54"/>
      <c r="N551" s="3"/>
      <c r="O551" s="3"/>
      <c r="S551" s="3"/>
      <c r="U551" s="3"/>
    </row>
    <row r="552">
      <c r="A552" s="3"/>
      <c r="B552" s="3"/>
      <c r="C552" s="3"/>
      <c r="D552" s="3"/>
      <c r="I552" s="3"/>
      <c r="J552" s="54"/>
      <c r="N552" s="3"/>
      <c r="O552" s="3"/>
      <c r="S552" s="3"/>
      <c r="U552" s="3"/>
    </row>
    <row r="553">
      <c r="A553" s="3"/>
      <c r="B553" s="3"/>
      <c r="C553" s="3"/>
      <c r="D553" s="3"/>
      <c r="I553" s="3"/>
      <c r="J553" s="54"/>
      <c r="N553" s="3"/>
      <c r="O553" s="3"/>
      <c r="S553" s="3"/>
      <c r="U553" s="3"/>
    </row>
    <row r="554">
      <c r="A554" s="3"/>
      <c r="B554" s="3"/>
      <c r="C554" s="3"/>
      <c r="D554" s="3"/>
      <c r="I554" s="3"/>
      <c r="J554" s="54"/>
      <c r="N554" s="3"/>
      <c r="O554" s="3"/>
      <c r="S554" s="3"/>
      <c r="U554" s="3"/>
    </row>
    <row r="555">
      <c r="A555" s="3"/>
      <c r="B555" s="3"/>
      <c r="C555" s="3"/>
      <c r="D555" s="3"/>
      <c r="I555" s="3"/>
      <c r="J555" s="54"/>
      <c r="N555" s="3"/>
      <c r="O555" s="3"/>
      <c r="S555" s="3"/>
      <c r="U555" s="3"/>
    </row>
    <row r="556">
      <c r="A556" s="3"/>
      <c r="B556" s="3"/>
      <c r="C556" s="3"/>
      <c r="D556" s="3"/>
      <c r="I556" s="3"/>
      <c r="J556" s="54"/>
      <c r="N556" s="3"/>
      <c r="O556" s="3"/>
      <c r="S556" s="3"/>
      <c r="U556" s="3"/>
    </row>
    <row r="557">
      <c r="A557" s="3"/>
      <c r="B557" s="3"/>
      <c r="C557" s="3"/>
      <c r="D557" s="3"/>
      <c r="I557" s="3"/>
      <c r="J557" s="54"/>
      <c r="N557" s="3"/>
      <c r="O557" s="3"/>
      <c r="S557" s="3"/>
      <c r="U557" s="3"/>
    </row>
    <row r="558">
      <c r="A558" s="3"/>
      <c r="B558" s="3"/>
      <c r="C558" s="3"/>
      <c r="D558" s="3"/>
      <c r="I558" s="3"/>
      <c r="J558" s="54"/>
      <c r="N558" s="3"/>
      <c r="O558" s="3"/>
      <c r="S558" s="3"/>
      <c r="U558" s="3"/>
    </row>
    <row r="559">
      <c r="A559" s="3"/>
      <c r="B559" s="3"/>
      <c r="C559" s="3"/>
      <c r="D559" s="3"/>
      <c r="I559" s="3"/>
      <c r="J559" s="54"/>
      <c r="N559" s="3"/>
      <c r="O559" s="3"/>
      <c r="S559" s="3"/>
      <c r="U559" s="3"/>
    </row>
    <row r="560">
      <c r="A560" s="3"/>
      <c r="B560" s="3"/>
      <c r="C560" s="3"/>
      <c r="D560" s="3"/>
      <c r="I560" s="3"/>
      <c r="J560" s="54"/>
      <c r="N560" s="3"/>
      <c r="O560" s="3"/>
      <c r="S560" s="3"/>
      <c r="U560" s="3"/>
    </row>
    <row r="561">
      <c r="A561" s="3"/>
      <c r="B561" s="3"/>
      <c r="C561" s="3"/>
      <c r="D561" s="3"/>
      <c r="I561" s="3"/>
      <c r="J561" s="54"/>
      <c r="N561" s="3"/>
      <c r="O561" s="3"/>
      <c r="S561" s="3"/>
      <c r="U561" s="3"/>
    </row>
    <row r="562">
      <c r="A562" s="3"/>
      <c r="B562" s="3"/>
      <c r="C562" s="3"/>
      <c r="D562" s="3"/>
      <c r="I562" s="3"/>
      <c r="J562" s="54"/>
      <c r="N562" s="3"/>
      <c r="O562" s="3"/>
      <c r="S562" s="3"/>
      <c r="U562" s="3"/>
    </row>
    <row r="563">
      <c r="A563" s="3"/>
      <c r="B563" s="3"/>
      <c r="C563" s="3"/>
      <c r="D563" s="3"/>
      <c r="I563" s="3"/>
      <c r="J563" s="54"/>
      <c r="N563" s="3"/>
      <c r="O563" s="3"/>
      <c r="S563" s="3"/>
      <c r="U563" s="3"/>
    </row>
    <row r="564">
      <c r="A564" s="3"/>
      <c r="B564" s="3"/>
      <c r="C564" s="3"/>
      <c r="D564" s="3"/>
      <c r="I564" s="3"/>
      <c r="J564" s="54"/>
      <c r="N564" s="3"/>
      <c r="O564" s="3"/>
      <c r="S564" s="3"/>
      <c r="U564" s="3"/>
    </row>
    <row r="565">
      <c r="A565" s="3"/>
      <c r="B565" s="3"/>
      <c r="C565" s="3"/>
      <c r="D565" s="3"/>
      <c r="I565" s="3"/>
      <c r="J565" s="54"/>
      <c r="N565" s="3"/>
      <c r="O565" s="3"/>
      <c r="S565" s="3"/>
      <c r="U565" s="3"/>
    </row>
    <row r="566">
      <c r="A566" s="3"/>
      <c r="B566" s="3"/>
      <c r="C566" s="3"/>
      <c r="D566" s="3"/>
      <c r="I566" s="3"/>
      <c r="J566" s="54"/>
      <c r="N566" s="3"/>
      <c r="O566" s="3"/>
      <c r="S566" s="3"/>
      <c r="U566" s="3"/>
    </row>
    <row r="567">
      <c r="A567" s="3"/>
      <c r="B567" s="3"/>
      <c r="C567" s="3"/>
      <c r="D567" s="3"/>
      <c r="I567" s="3"/>
      <c r="J567" s="54"/>
      <c r="N567" s="3"/>
      <c r="O567" s="3"/>
      <c r="S567" s="3"/>
      <c r="U567" s="3"/>
    </row>
    <row r="568">
      <c r="A568" s="3"/>
      <c r="B568" s="3"/>
      <c r="C568" s="3"/>
      <c r="D568" s="3"/>
      <c r="I568" s="3"/>
      <c r="J568" s="54"/>
      <c r="N568" s="3"/>
      <c r="O568" s="3"/>
      <c r="S568" s="3"/>
      <c r="U568" s="3"/>
    </row>
    <row r="569">
      <c r="A569" s="3"/>
      <c r="B569" s="3"/>
      <c r="C569" s="3"/>
      <c r="D569" s="3"/>
      <c r="I569" s="3"/>
      <c r="J569" s="54"/>
      <c r="N569" s="3"/>
      <c r="O569" s="3"/>
      <c r="S569" s="3"/>
      <c r="U569" s="3"/>
    </row>
    <row r="570">
      <c r="A570" s="3"/>
      <c r="B570" s="3"/>
      <c r="C570" s="3"/>
      <c r="D570" s="3"/>
      <c r="I570" s="3"/>
      <c r="J570" s="54"/>
      <c r="N570" s="3"/>
      <c r="O570" s="3"/>
      <c r="S570" s="3"/>
      <c r="U570" s="3"/>
    </row>
    <row r="571">
      <c r="A571" s="3"/>
      <c r="B571" s="3"/>
      <c r="C571" s="3"/>
      <c r="D571" s="3"/>
      <c r="I571" s="3"/>
      <c r="J571" s="54"/>
      <c r="N571" s="3"/>
      <c r="O571" s="3"/>
      <c r="S571" s="3"/>
      <c r="U571" s="3"/>
    </row>
    <row r="572">
      <c r="A572" s="3"/>
      <c r="B572" s="3"/>
      <c r="C572" s="3"/>
      <c r="D572" s="3"/>
      <c r="I572" s="3"/>
      <c r="J572" s="54"/>
      <c r="N572" s="3"/>
      <c r="O572" s="3"/>
      <c r="S572" s="3"/>
      <c r="U572" s="3"/>
    </row>
    <row r="573">
      <c r="A573" s="3"/>
      <c r="B573" s="3"/>
      <c r="C573" s="3"/>
      <c r="D573" s="3"/>
      <c r="I573" s="3"/>
      <c r="J573" s="54"/>
      <c r="N573" s="3"/>
      <c r="O573" s="3"/>
      <c r="S573" s="3"/>
      <c r="U573" s="3"/>
    </row>
    <row r="574">
      <c r="A574" s="3"/>
      <c r="B574" s="3"/>
      <c r="C574" s="3"/>
      <c r="D574" s="3"/>
      <c r="I574" s="3"/>
      <c r="J574" s="54"/>
      <c r="N574" s="3"/>
      <c r="O574" s="3"/>
      <c r="S574" s="3"/>
      <c r="U574" s="3"/>
    </row>
    <row r="575">
      <c r="A575" s="3"/>
      <c r="B575" s="3"/>
      <c r="C575" s="3"/>
      <c r="D575" s="3"/>
      <c r="I575" s="3"/>
      <c r="J575" s="54"/>
      <c r="N575" s="3"/>
      <c r="O575" s="3"/>
      <c r="S575" s="3"/>
      <c r="U575" s="3"/>
    </row>
    <row r="576">
      <c r="A576" s="3"/>
      <c r="B576" s="3"/>
      <c r="C576" s="3"/>
      <c r="D576" s="3"/>
      <c r="I576" s="3"/>
      <c r="J576" s="54"/>
      <c r="N576" s="3"/>
      <c r="O576" s="3"/>
      <c r="S576" s="3"/>
      <c r="U576" s="3"/>
    </row>
    <row r="577">
      <c r="A577" s="3"/>
      <c r="B577" s="3"/>
      <c r="C577" s="3"/>
      <c r="D577" s="3"/>
      <c r="I577" s="3"/>
      <c r="J577" s="54"/>
      <c r="N577" s="3"/>
      <c r="O577" s="3"/>
      <c r="S577" s="3"/>
      <c r="U577" s="3"/>
    </row>
    <row r="578">
      <c r="A578" s="3"/>
      <c r="B578" s="3"/>
      <c r="C578" s="3"/>
      <c r="D578" s="3"/>
      <c r="I578" s="3"/>
      <c r="J578" s="54"/>
      <c r="N578" s="3"/>
      <c r="O578" s="3"/>
      <c r="S578" s="3"/>
      <c r="U578" s="3"/>
    </row>
    <row r="579">
      <c r="A579" s="3"/>
      <c r="B579" s="3"/>
      <c r="C579" s="3"/>
      <c r="D579" s="3"/>
      <c r="I579" s="3"/>
      <c r="J579" s="54"/>
      <c r="N579" s="3"/>
      <c r="O579" s="3"/>
      <c r="S579" s="3"/>
      <c r="U579" s="3"/>
    </row>
    <row r="580">
      <c r="A580" s="3"/>
      <c r="B580" s="3"/>
      <c r="C580" s="3"/>
      <c r="D580" s="3"/>
      <c r="I580" s="3"/>
      <c r="J580" s="54"/>
      <c r="N580" s="3"/>
      <c r="O580" s="3"/>
      <c r="S580" s="3"/>
      <c r="U580" s="3"/>
    </row>
    <row r="581">
      <c r="A581" s="3"/>
      <c r="B581" s="3"/>
      <c r="C581" s="3"/>
      <c r="D581" s="3"/>
      <c r="I581" s="3"/>
      <c r="J581" s="54"/>
      <c r="N581" s="3"/>
      <c r="O581" s="3"/>
      <c r="S581" s="3"/>
      <c r="U581" s="3"/>
    </row>
    <row r="582">
      <c r="A582" s="3"/>
      <c r="B582" s="3"/>
      <c r="C582" s="3"/>
      <c r="D582" s="3"/>
      <c r="I582" s="3"/>
      <c r="J582" s="54"/>
      <c r="N582" s="3"/>
      <c r="O582" s="3"/>
      <c r="S582" s="3"/>
      <c r="U582" s="3"/>
    </row>
    <row r="583">
      <c r="A583" s="3"/>
      <c r="B583" s="3"/>
      <c r="C583" s="3"/>
      <c r="D583" s="3"/>
      <c r="I583" s="3"/>
      <c r="J583" s="54"/>
      <c r="N583" s="3"/>
      <c r="O583" s="3"/>
      <c r="S583" s="3"/>
      <c r="U583" s="3"/>
    </row>
    <row r="584">
      <c r="A584" s="3"/>
      <c r="B584" s="3"/>
      <c r="C584" s="3"/>
      <c r="D584" s="3"/>
      <c r="I584" s="3"/>
      <c r="J584" s="54"/>
      <c r="N584" s="3"/>
      <c r="O584" s="3"/>
      <c r="S584" s="3"/>
      <c r="U584" s="3"/>
    </row>
    <row r="585">
      <c r="A585" s="3"/>
      <c r="B585" s="3"/>
      <c r="C585" s="3"/>
      <c r="D585" s="3"/>
      <c r="I585" s="3"/>
      <c r="J585" s="54"/>
      <c r="N585" s="3"/>
      <c r="O585" s="3"/>
      <c r="S585" s="3"/>
      <c r="U585" s="3"/>
    </row>
    <row r="586">
      <c r="A586" s="3"/>
      <c r="B586" s="3"/>
      <c r="C586" s="3"/>
      <c r="D586" s="3"/>
      <c r="I586" s="3"/>
      <c r="J586" s="54"/>
      <c r="N586" s="3"/>
      <c r="O586" s="3"/>
      <c r="S586" s="3"/>
      <c r="U586" s="3"/>
    </row>
    <row r="587">
      <c r="A587" s="3"/>
      <c r="B587" s="3"/>
      <c r="C587" s="3"/>
      <c r="D587" s="3"/>
      <c r="I587" s="3"/>
      <c r="J587" s="54"/>
      <c r="N587" s="3"/>
      <c r="O587" s="3"/>
      <c r="S587" s="3"/>
      <c r="U587" s="3"/>
    </row>
    <row r="588">
      <c r="A588" s="3"/>
      <c r="B588" s="3"/>
      <c r="C588" s="3"/>
      <c r="D588" s="3"/>
      <c r="I588" s="3"/>
      <c r="J588" s="54"/>
      <c r="N588" s="3"/>
      <c r="O588" s="3"/>
      <c r="S588" s="3"/>
      <c r="U588" s="3"/>
    </row>
    <row r="589">
      <c r="A589" s="3"/>
      <c r="B589" s="3"/>
      <c r="C589" s="3"/>
      <c r="D589" s="3"/>
      <c r="I589" s="3"/>
      <c r="J589" s="54"/>
      <c r="N589" s="3"/>
      <c r="O589" s="3"/>
      <c r="S589" s="3"/>
      <c r="U589" s="3"/>
    </row>
    <row r="590">
      <c r="A590" s="3"/>
      <c r="B590" s="3"/>
      <c r="C590" s="3"/>
      <c r="D590" s="3"/>
      <c r="I590" s="3"/>
      <c r="J590" s="54"/>
      <c r="N590" s="3"/>
      <c r="O590" s="3"/>
      <c r="S590" s="3"/>
      <c r="U590" s="3"/>
    </row>
    <row r="591">
      <c r="A591" s="3"/>
      <c r="B591" s="3"/>
      <c r="C591" s="3"/>
      <c r="D591" s="3"/>
      <c r="I591" s="3"/>
      <c r="J591" s="54"/>
      <c r="N591" s="3"/>
      <c r="O591" s="3"/>
      <c r="S591" s="3"/>
      <c r="U591" s="3"/>
    </row>
    <row r="592">
      <c r="A592" s="3"/>
      <c r="B592" s="3"/>
      <c r="C592" s="3"/>
      <c r="D592" s="3"/>
      <c r="I592" s="3"/>
      <c r="J592" s="54"/>
      <c r="N592" s="3"/>
      <c r="O592" s="3"/>
      <c r="S592" s="3"/>
      <c r="U592" s="3"/>
    </row>
    <row r="593">
      <c r="A593" s="3"/>
      <c r="B593" s="3"/>
      <c r="C593" s="3"/>
      <c r="D593" s="3"/>
      <c r="I593" s="3"/>
      <c r="J593" s="54"/>
      <c r="N593" s="3"/>
      <c r="O593" s="3"/>
      <c r="S593" s="3"/>
      <c r="U593" s="3"/>
    </row>
    <row r="594">
      <c r="A594" s="3"/>
      <c r="B594" s="3"/>
      <c r="C594" s="3"/>
      <c r="D594" s="3"/>
      <c r="I594" s="3"/>
      <c r="J594" s="54"/>
      <c r="N594" s="3"/>
      <c r="O594" s="3"/>
      <c r="S594" s="3"/>
      <c r="U594" s="3"/>
    </row>
    <row r="595">
      <c r="A595" s="3"/>
      <c r="B595" s="3"/>
      <c r="C595" s="3"/>
      <c r="D595" s="3"/>
      <c r="I595" s="3"/>
      <c r="J595" s="54"/>
      <c r="N595" s="3"/>
      <c r="O595" s="3"/>
      <c r="S595" s="3"/>
      <c r="U595" s="3"/>
    </row>
    <row r="596">
      <c r="A596" s="3"/>
      <c r="B596" s="3"/>
      <c r="C596" s="3"/>
      <c r="D596" s="3"/>
      <c r="I596" s="3"/>
      <c r="J596" s="54"/>
      <c r="N596" s="3"/>
      <c r="O596" s="3"/>
      <c r="S596" s="3"/>
      <c r="U596" s="3"/>
    </row>
    <row r="597">
      <c r="A597" s="3"/>
      <c r="B597" s="3"/>
      <c r="C597" s="3"/>
      <c r="D597" s="3"/>
      <c r="I597" s="3"/>
      <c r="J597" s="54"/>
      <c r="N597" s="3"/>
      <c r="O597" s="3"/>
      <c r="S597" s="3"/>
      <c r="U597" s="3"/>
    </row>
    <row r="598">
      <c r="A598" s="3"/>
      <c r="B598" s="3"/>
      <c r="C598" s="3"/>
      <c r="D598" s="3"/>
      <c r="I598" s="3"/>
      <c r="J598" s="54"/>
      <c r="N598" s="3"/>
      <c r="O598" s="3"/>
      <c r="S598" s="3"/>
      <c r="U598" s="3"/>
    </row>
    <row r="599">
      <c r="A599" s="3"/>
      <c r="B599" s="3"/>
      <c r="C599" s="3"/>
      <c r="D599" s="3"/>
      <c r="I599" s="3"/>
      <c r="J599" s="54"/>
      <c r="N599" s="3"/>
      <c r="O599" s="3"/>
      <c r="S599" s="3"/>
      <c r="U599" s="3"/>
    </row>
    <row r="600">
      <c r="A600" s="3"/>
      <c r="B600" s="3"/>
      <c r="C600" s="3"/>
      <c r="D600" s="3"/>
      <c r="I600" s="3"/>
      <c r="J600" s="54"/>
      <c r="N600" s="3"/>
      <c r="O600" s="3"/>
      <c r="S600" s="3"/>
      <c r="U600" s="3"/>
    </row>
    <row r="601">
      <c r="A601" s="3"/>
      <c r="B601" s="3"/>
      <c r="C601" s="3"/>
      <c r="D601" s="3"/>
      <c r="I601" s="3"/>
      <c r="J601" s="54"/>
      <c r="N601" s="3"/>
      <c r="O601" s="3"/>
      <c r="S601" s="3"/>
      <c r="U601" s="3"/>
    </row>
    <row r="602">
      <c r="A602" s="3"/>
      <c r="B602" s="3"/>
      <c r="C602" s="3"/>
      <c r="D602" s="3"/>
      <c r="I602" s="3"/>
      <c r="J602" s="54"/>
      <c r="N602" s="3"/>
      <c r="O602" s="3"/>
      <c r="S602" s="3"/>
      <c r="U602" s="3"/>
    </row>
    <row r="603">
      <c r="A603" s="3"/>
      <c r="B603" s="3"/>
      <c r="C603" s="3"/>
      <c r="D603" s="3"/>
      <c r="I603" s="3"/>
      <c r="J603" s="54"/>
      <c r="N603" s="3"/>
      <c r="O603" s="3"/>
      <c r="S603" s="3"/>
      <c r="U603" s="3"/>
    </row>
    <row r="604">
      <c r="A604" s="3"/>
      <c r="B604" s="3"/>
      <c r="C604" s="3"/>
      <c r="D604" s="3"/>
      <c r="I604" s="3"/>
      <c r="J604" s="54"/>
      <c r="N604" s="3"/>
      <c r="O604" s="3"/>
      <c r="S604" s="3"/>
      <c r="U604" s="3"/>
    </row>
    <row r="605">
      <c r="A605" s="3"/>
      <c r="B605" s="3"/>
      <c r="C605" s="3"/>
      <c r="D605" s="3"/>
      <c r="I605" s="3"/>
      <c r="J605" s="54"/>
      <c r="N605" s="3"/>
      <c r="O605" s="3"/>
      <c r="S605" s="3"/>
      <c r="U605" s="3"/>
    </row>
    <row r="606">
      <c r="A606" s="3"/>
      <c r="B606" s="3"/>
      <c r="C606" s="3"/>
      <c r="D606" s="3"/>
      <c r="I606" s="3"/>
      <c r="J606" s="54"/>
      <c r="N606" s="3"/>
      <c r="O606" s="3"/>
      <c r="S606" s="3"/>
      <c r="U606" s="3"/>
    </row>
    <row r="607">
      <c r="A607" s="3"/>
      <c r="B607" s="3"/>
      <c r="C607" s="3"/>
      <c r="D607" s="3"/>
      <c r="I607" s="3"/>
      <c r="J607" s="54"/>
      <c r="N607" s="3"/>
      <c r="O607" s="3"/>
      <c r="S607" s="3"/>
      <c r="U607" s="3"/>
    </row>
    <row r="608">
      <c r="A608" s="3"/>
      <c r="B608" s="3"/>
      <c r="C608" s="3"/>
      <c r="D608" s="3"/>
      <c r="I608" s="3"/>
      <c r="J608" s="54"/>
      <c r="N608" s="3"/>
      <c r="O608" s="3"/>
      <c r="S608" s="3"/>
      <c r="U608" s="3"/>
    </row>
    <row r="609">
      <c r="A609" s="3"/>
      <c r="B609" s="3"/>
      <c r="C609" s="3"/>
      <c r="D609" s="3"/>
      <c r="I609" s="3"/>
      <c r="J609" s="54"/>
      <c r="N609" s="3"/>
      <c r="O609" s="3"/>
      <c r="S609" s="3"/>
      <c r="U609" s="3"/>
    </row>
    <row r="610">
      <c r="A610" s="3"/>
      <c r="B610" s="3"/>
      <c r="C610" s="3"/>
      <c r="D610" s="3"/>
      <c r="I610" s="3"/>
      <c r="J610" s="54"/>
      <c r="N610" s="3"/>
      <c r="O610" s="3"/>
      <c r="S610" s="3"/>
      <c r="U610" s="3"/>
    </row>
    <row r="611">
      <c r="A611" s="3"/>
      <c r="B611" s="3"/>
      <c r="C611" s="3"/>
      <c r="D611" s="3"/>
      <c r="I611" s="3"/>
      <c r="J611" s="54"/>
      <c r="N611" s="3"/>
      <c r="O611" s="3"/>
      <c r="S611" s="3"/>
      <c r="U611" s="3"/>
    </row>
    <row r="612">
      <c r="A612" s="3"/>
      <c r="B612" s="3"/>
      <c r="C612" s="3"/>
      <c r="D612" s="3"/>
      <c r="I612" s="3"/>
      <c r="J612" s="54"/>
      <c r="N612" s="3"/>
      <c r="O612" s="3"/>
      <c r="S612" s="3"/>
      <c r="U612" s="3"/>
    </row>
    <row r="613">
      <c r="A613" s="3"/>
      <c r="B613" s="3"/>
      <c r="C613" s="3"/>
      <c r="D613" s="3"/>
      <c r="I613" s="3"/>
      <c r="J613" s="54"/>
      <c r="N613" s="3"/>
      <c r="O613" s="3"/>
      <c r="S613" s="3"/>
      <c r="U613" s="3"/>
    </row>
    <row r="614">
      <c r="A614" s="3"/>
      <c r="B614" s="3"/>
      <c r="C614" s="3"/>
      <c r="D614" s="3"/>
      <c r="I614" s="3"/>
      <c r="J614" s="54"/>
      <c r="N614" s="3"/>
      <c r="O614" s="3"/>
      <c r="S614" s="3"/>
      <c r="U614" s="3"/>
    </row>
    <row r="615">
      <c r="A615" s="3"/>
      <c r="B615" s="3"/>
      <c r="C615" s="3"/>
      <c r="D615" s="3"/>
      <c r="I615" s="3"/>
      <c r="J615" s="54"/>
      <c r="N615" s="3"/>
      <c r="O615" s="3"/>
      <c r="S615" s="3"/>
      <c r="U615" s="3"/>
    </row>
    <row r="616">
      <c r="A616" s="3"/>
      <c r="B616" s="3"/>
      <c r="C616" s="3"/>
      <c r="D616" s="3"/>
      <c r="I616" s="3"/>
      <c r="J616" s="54"/>
      <c r="N616" s="3"/>
      <c r="O616" s="3"/>
      <c r="S616" s="3"/>
      <c r="U616" s="3"/>
    </row>
    <row r="617">
      <c r="A617" s="3"/>
      <c r="B617" s="3"/>
      <c r="C617" s="3"/>
      <c r="D617" s="3"/>
      <c r="I617" s="3"/>
      <c r="J617" s="54"/>
      <c r="N617" s="3"/>
      <c r="O617" s="3"/>
      <c r="S617" s="3"/>
      <c r="U617" s="3"/>
    </row>
    <row r="618">
      <c r="A618" s="3"/>
      <c r="B618" s="3"/>
      <c r="C618" s="3"/>
      <c r="D618" s="3"/>
      <c r="I618" s="3"/>
      <c r="J618" s="54"/>
      <c r="N618" s="3"/>
      <c r="O618" s="3"/>
      <c r="S618" s="3"/>
      <c r="U618" s="3"/>
    </row>
    <row r="619">
      <c r="A619" s="3"/>
      <c r="B619" s="3"/>
      <c r="C619" s="3"/>
      <c r="D619" s="3"/>
      <c r="I619" s="3"/>
      <c r="J619" s="54"/>
      <c r="N619" s="3"/>
      <c r="O619" s="3"/>
      <c r="S619" s="3"/>
      <c r="U619" s="3"/>
    </row>
    <row r="620">
      <c r="A620" s="3"/>
      <c r="B620" s="3"/>
      <c r="C620" s="3"/>
      <c r="D620" s="3"/>
      <c r="I620" s="3"/>
      <c r="J620" s="54"/>
      <c r="N620" s="3"/>
      <c r="O620" s="3"/>
      <c r="S620" s="3"/>
      <c r="U620" s="3"/>
    </row>
    <row r="621">
      <c r="A621" s="3"/>
      <c r="B621" s="3"/>
      <c r="C621" s="3"/>
      <c r="D621" s="3"/>
      <c r="I621" s="3"/>
      <c r="J621" s="54"/>
      <c r="N621" s="3"/>
      <c r="O621" s="3"/>
      <c r="S621" s="3"/>
      <c r="U621" s="3"/>
    </row>
    <row r="622">
      <c r="A622" s="3"/>
      <c r="B622" s="3"/>
      <c r="C622" s="3"/>
      <c r="D622" s="3"/>
      <c r="I622" s="3"/>
      <c r="J622" s="54"/>
      <c r="N622" s="3"/>
      <c r="O622" s="3"/>
      <c r="S622" s="3"/>
      <c r="U622" s="3"/>
    </row>
    <row r="623">
      <c r="A623" s="3"/>
      <c r="B623" s="3"/>
      <c r="C623" s="3"/>
      <c r="D623" s="3"/>
      <c r="I623" s="3"/>
      <c r="J623" s="54"/>
      <c r="N623" s="3"/>
      <c r="O623" s="3"/>
      <c r="S623" s="3"/>
      <c r="U623" s="3"/>
    </row>
    <row r="624">
      <c r="A624" s="3"/>
      <c r="B624" s="3"/>
      <c r="C624" s="3"/>
      <c r="D624" s="3"/>
      <c r="I624" s="3"/>
      <c r="J624" s="54"/>
      <c r="N624" s="3"/>
      <c r="O624" s="3"/>
      <c r="S624" s="3"/>
      <c r="U624" s="3"/>
    </row>
    <row r="625">
      <c r="A625" s="3"/>
      <c r="B625" s="3"/>
      <c r="C625" s="3"/>
      <c r="D625" s="3"/>
      <c r="I625" s="3"/>
      <c r="J625" s="54"/>
      <c r="N625" s="3"/>
      <c r="O625" s="3"/>
      <c r="S625" s="3"/>
      <c r="U625" s="3"/>
    </row>
    <row r="626">
      <c r="A626" s="3"/>
      <c r="B626" s="3"/>
      <c r="C626" s="3"/>
      <c r="D626" s="3"/>
      <c r="I626" s="3"/>
      <c r="J626" s="54"/>
      <c r="N626" s="3"/>
      <c r="O626" s="3"/>
      <c r="S626" s="3"/>
      <c r="U626" s="3"/>
    </row>
    <row r="627">
      <c r="A627" s="3"/>
      <c r="B627" s="3"/>
      <c r="C627" s="3"/>
      <c r="D627" s="3"/>
      <c r="I627" s="3"/>
      <c r="J627" s="54"/>
      <c r="N627" s="3"/>
      <c r="O627" s="3"/>
      <c r="S627" s="3"/>
      <c r="U627" s="3"/>
    </row>
    <row r="628">
      <c r="A628" s="3"/>
      <c r="B628" s="3"/>
      <c r="C628" s="3"/>
      <c r="D628" s="3"/>
      <c r="I628" s="3"/>
      <c r="J628" s="54"/>
      <c r="N628" s="3"/>
      <c r="O628" s="3"/>
      <c r="S628" s="3"/>
      <c r="U628" s="3"/>
    </row>
    <row r="629">
      <c r="A629" s="3"/>
      <c r="B629" s="3"/>
      <c r="C629" s="3"/>
      <c r="D629" s="3"/>
      <c r="I629" s="3"/>
      <c r="J629" s="54"/>
      <c r="N629" s="3"/>
      <c r="O629" s="3"/>
      <c r="S629" s="3"/>
      <c r="U629" s="3"/>
    </row>
    <row r="630">
      <c r="A630" s="3"/>
      <c r="B630" s="3"/>
      <c r="C630" s="3"/>
      <c r="D630" s="3"/>
      <c r="I630" s="3"/>
      <c r="J630" s="54"/>
      <c r="N630" s="3"/>
      <c r="O630" s="3"/>
      <c r="S630" s="3"/>
      <c r="U630" s="3"/>
    </row>
    <row r="631">
      <c r="A631" s="3"/>
      <c r="B631" s="3"/>
      <c r="C631" s="3"/>
      <c r="D631" s="3"/>
      <c r="I631" s="3"/>
      <c r="J631" s="54"/>
      <c r="N631" s="3"/>
      <c r="O631" s="3"/>
      <c r="S631" s="3"/>
      <c r="U631" s="3"/>
    </row>
    <row r="632">
      <c r="A632" s="3"/>
      <c r="B632" s="3"/>
      <c r="C632" s="3"/>
      <c r="D632" s="3"/>
      <c r="I632" s="3"/>
      <c r="J632" s="54"/>
      <c r="N632" s="3"/>
      <c r="O632" s="3"/>
      <c r="S632" s="3"/>
      <c r="U632" s="3"/>
    </row>
    <row r="633">
      <c r="A633" s="3"/>
      <c r="B633" s="3"/>
      <c r="C633" s="3"/>
      <c r="D633" s="3"/>
      <c r="I633" s="3"/>
      <c r="J633" s="54"/>
      <c r="N633" s="3"/>
      <c r="O633" s="3"/>
      <c r="S633" s="3"/>
      <c r="U633" s="3"/>
    </row>
    <row r="634">
      <c r="A634" s="3"/>
      <c r="B634" s="3"/>
      <c r="C634" s="3"/>
      <c r="D634" s="3"/>
      <c r="I634" s="3"/>
      <c r="J634" s="54"/>
      <c r="N634" s="3"/>
      <c r="O634" s="3"/>
      <c r="S634" s="3"/>
      <c r="U634" s="3"/>
    </row>
    <row r="635">
      <c r="A635" s="3"/>
      <c r="B635" s="3"/>
      <c r="C635" s="3"/>
      <c r="D635" s="3"/>
      <c r="I635" s="3"/>
      <c r="J635" s="54"/>
      <c r="N635" s="3"/>
      <c r="O635" s="3"/>
      <c r="S635" s="3"/>
      <c r="U635" s="3"/>
    </row>
    <row r="636">
      <c r="A636" s="3"/>
      <c r="B636" s="3"/>
      <c r="C636" s="3"/>
      <c r="D636" s="3"/>
      <c r="I636" s="3"/>
      <c r="J636" s="54"/>
      <c r="N636" s="3"/>
      <c r="O636" s="3"/>
      <c r="S636" s="3"/>
      <c r="U636" s="3"/>
    </row>
    <row r="637">
      <c r="A637" s="3"/>
      <c r="B637" s="3"/>
      <c r="C637" s="3"/>
      <c r="D637" s="3"/>
      <c r="I637" s="3"/>
      <c r="J637" s="54"/>
      <c r="N637" s="3"/>
      <c r="O637" s="3"/>
      <c r="S637" s="3"/>
      <c r="U637" s="3"/>
    </row>
    <row r="638">
      <c r="A638" s="3"/>
      <c r="B638" s="3"/>
      <c r="C638" s="3"/>
      <c r="D638" s="3"/>
      <c r="I638" s="3"/>
      <c r="J638" s="54"/>
      <c r="N638" s="3"/>
      <c r="O638" s="3"/>
      <c r="S638" s="3"/>
      <c r="U638" s="3"/>
    </row>
    <row r="639">
      <c r="A639" s="3"/>
      <c r="B639" s="3"/>
      <c r="C639" s="3"/>
      <c r="D639" s="3"/>
      <c r="I639" s="3"/>
      <c r="J639" s="54"/>
      <c r="N639" s="3"/>
      <c r="O639" s="3"/>
      <c r="S639" s="3"/>
      <c r="U639" s="3"/>
    </row>
    <row r="640">
      <c r="A640" s="3"/>
      <c r="B640" s="3"/>
      <c r="C640" s="3"/>
      <c r="D640" s="3"/>
      <c r="I640" s="3"/>
      <c r="J640" s="54"/>
      <c r="N640" s="3"/>
      <c r="O640" s="3"/>
      <c r="S640" s="3"/>
      <c r="U640" s="3"/>
    </row>
    <row r="641">
      <c r="A641" s="3"/>
      <c r="B641" s="3"/>
      <c r="C641" s="3"/>
      <c r="D641" s="3"/>
      <c r="I641" s="3"/>
      <c r="J641" s="54"/>
      <c r="N641" s="3"/>
      <c r="O641" s="3"/>
      <c r="S641" s="3"/>
      <c r="U641" s="3"/>
    </row>
    <row r="642">
      <c r="A642" s="3"/>
      <c r="B642" s="3"/>
      <c r="C642" s="3"/>
      <c r="D642" s="3"/>
      <c r="I642" s="3"/>
      <c r="J642" s="54"/>
      <c r="N642" s="3"/>
      <c r="O642" s="3"/>
      <c r="S642" s="3"/>
      <c r="U642" s="3"/>
    </row>
    <row r="643">
      <c r="A643" s="3"/>
      <c r="B643" s="3"/>
      <c r="C643" s="3"/>
      <c r="D643" s="3"/>
      <c r="I643" s="3"/>
      <c r="J643" s="54"/>
      <c r="N643" s="3"/>
      <c r="O643" s="3"/>
      <c r="S643" s="3"/>
      <c r="U643" s="3"/>
    </row>
    <row r="644">
      <c r="A644" s="3"/>
      <c r="B644" s="3"/>
      <c r="C644" s="3"/>
      <c r="D644" s="3"/>
      <c r="I644" s="3"/>
      <c r="J644" s="54"/>
      <c r="N644" s="3"/>
      <c r="O644" s="3"/>
      <c r="S644" s="3"/>
      <c r="U644" s="3"/>
    </row>
    <row r="645">
      <c r="A645" s="3"/>
      <c r="B645" s="3"/>
      <c r="C645" s="3"/>
      <c r="D645" s="3"/>
      <c r="I645" s="3"/>
      <c r="J645" s="54"/>
      <c r="N645" s="3"/>
      <c r="O645" s="3"/>
      <c r="S645" s="3"/>
      <c r="U645" s="3"/>
    </row>
    <row r="646">
      <c r="A646" s="3"/>
      <c r="B646" s="3"/>
      <c r="C646" s="3"/>
      <c r="D646" s="3"/>
      <c r="I646" s="3"/>
      <c r="J646" s="54"/>
      <c r="N646" s="3"/>
      <c r="O646" s="3"/>
      <c r="S646" s="3"/>
      <c r="U646" s="3"/>
    </row>
    <row r="647">
      <c r="A647" s="3"/>
      <c r="B647" s="3"/>
      <c r="C647" s="3"/>
      <c r="D647" s="3"/>
      <c r="I647" s="3"/>
      <c r="J647" s="54"/>
      <c r="N647" s="3"/>
      <c r="O647" s="3"/>
      <c r="S647" s="3"/>
      <c r="U647" s="3"/>
    </row>
    <row r="648">
      <c r="A648" s="3"/>
      <c r="B648" s="3"/>
      <c r="C648" s="3"/>
      <c r="D648" s="3"/>
      <c r="I648" s="3"/>
      <c r="J648" s="54"/>
      <c r="N648" s="3"/>
      <c r="O648" s="3"/>
      <c r="S648" s="3"/>
      <c r="U648" s="3"/>
    </row>
    <row r="649">
      <c r="A649" s="3"/>
      <c r="B649" s="3"/>
      <c r="C649" s="3"/>
      <c r="D649" s="3"/>
      <c r="I649" s="3"/>
      <c r="J649" s="54"/>
      <c r="N649" s="3"/>
      <c r="O649" s="3"/>
      <c r="S649" s="3"/>
      <c r="U649" s="3"/>
    </row>
    <row r="650">
      <c r="A650" s="3"/>
      <c r="B650" s="3"/>
      <c r="C650" s="3"/>
      <c r="D650" s="3"/>
      <c r="I650" s="3"/>
      <c r="J650" s="54"/>
      <c r="N650" s="3"/>
      <c r="O650" s="3"/>
      <c r="S650" s="3"/>
      <c r="U650" s="3"/>
    </row>
    <row r="651">
      <c r="A651" s="3"/>
      <c r="B651" s="3"/>
      <c r="C651" s="3"/>
      <c r="D651" s="3"/>
      <c r="I651" s="3"/>
      <c r="J651" s="54"/>
      <c r="N651" s="3"/>
      <c r="O651" s="3"/>
      <c r="S651" s="3"/>
      <c r="U651" s="3"/>
    </row>
    <row r="652">
      <c r="A652" s="3"/>
      <c r="B652" s="3"/>
      <c r="C652" s="3"/>
      <c r="D652" s="3"/>
      <c r="I652" s="3"/>
      <c r="J652" s="54"/>
      <c r="N652" s="3"/>
      <c r="O652" s="3"/>
      <c r="S652" s="3"/>
      <c r="U652" s="3"/>
    </row>
    <row r="653">
      <c r="A653" s="3"/>
      <c r="B653" s="3"/>
      <c r="C653" s="3"/>
      <c r="D653" s="3"/>
      <c r="I653" s="3"/>
      <c r="J653" s="54"/>
      <c r="N653" s="3"/>
      <c r="O653" s="3"/>
      <c r="S653" s="3"/>
      <c r="U653" s="3"/>
    </row>
    <row r="654">
      <c r="A654" s="3"/>
      <c r="B654" s="3"/>
      <c r="C654" s="3"/>
      <c r="D654" s="3"/>
      <c r="I654" s="3"/>
      <c r="J654" s="54"/>
      <c r="N654" s="3"/>
      <c r="O654" s="3"/>
      <c r="S654" s="3"/>
      <c r="U654" s="3"/>
    </row>
    <row r="655">
      <c r="A655" s="3"/>
      <c r="B655" s="3"/>
      <c r="C655" s="3"/>
      <c r="D655" s="3"/>
      <c r="I655" s="3"/>
      <c r="J655" s="54"/>
      <c r="N655" s="3"/>
      <c r="O655" s="3"/>
      <c r="S655" s="3"/>
      <c r="U655" s="3"/>
    </row>
    <row r="656">
      <c r="A656" s="3"/>
      <c r="B656" s="3"/>
      <c r="C656" s="3"/>
      <c r="D656" s="3"/>
      <c r="I656" s="3"/>
      <c r="J656" s="54"/>
      <c r="N656" s="3"/>
      <c r="O656" s="3"/>
      <c r="S656" s="3"/>
      <c r="U656" s="3"/>
    </row>
    <row r="657">
      <c r="A657" s="3"/>
      <c r="B657" s="3"/>
      <c r="C657" s="3"/>
      <c r="D657" s="3"/>
      <c r="I657" s="3"/>
      <c r="J657" s="54"/>
      <c r="N657" s="3"/>
      <c r="O657" s="3"/>
      <c r="S657" s="3"/>
      <c r="U657" s="3"/>
    </row>
    <row r="658">
      <c r="A658" s="3"/>
      <c r="B658" s="3"/>
      <c r="C658" s="3"/>
      <c r="D658" s="3"/>
      <c r="I658" s="3"/>
      <c r="J658" s="54"/>
      <c r="N658" s="3"/>
      <c r="O658" s="3"/>
      <c r="S658" s="3"/>
      <c r="U658" s="3"/>
    </row>
    <row r="659">
      <c r="A659" s="3"/>
      <c r="B659" s="3"/>
      <c r="C659" s="3"/>
      <c r="D659" s="3"/>
      <c r="I659" s="3"/>
      <c r="J659" s="54"/>
      <c r="N659" s="3"/>
      <c r="O659" s="3"/>
      <c r="S659" s="3"/>
      <c r="U659" s="3"/>
    </row>
    <row r="660">
      <c r="A660" s="3"/>
      <c r="B660" s="3"/>
      <c r="C660" s="3"/>
      <c r="D660" s="3"/>
      <c r="I660" s="3"/>
      <c r="J660" s="54"/>
      <c r="N660" s="3"/>
      <c r="O660" s="3"/>
      <c r="S660" s="3"/>
      <c r="U660" s="3"/>
    </row>
    <row r="661">
      <c r="A661" s="3"/>
      <c r="B661" s="3"/>
      <c r="C661" s="3"/>
      <c r="D661" s="3"/>
      <c r="I661" s="3"/>
      <c r="J661" s="54"/>
      <c r="N661" s="3"/>
      <c r="O661" s="3"/>
      <c r="S661" s="3"/>
      <c r="U661" s="3"/>
    </row>
    <row r="662">
      <c r="A662" s="3"/>
      <c r="B662" s="3"/>
      <c r="C662" s="3"/>
      <c r="D662" s="3"/>
      <c r="I662" s="3"/>
      <c r="J662" s="54"/>
      <c r="N662" s="3"/>
      <c r="O662" s="3"/>
      <c r="S662" s="3"/>
      <c r="U662" s="3"/>
    </row>
    <row r="663">
      <c r="A663" s="3"/>
      <c r="B663" s="3"/>
      <c r="C663" s="3"/>
      <c r="D663" s="3"/>
      <c r="I663" s="3"/>
      <c r="J663" s="54"/>
      <c r="N663" s="3"/>
      <c r="O663" s="3"/>
      <c r="S663" s="3"/>
      <c r="U663" s="3"/>
    </row>
    <row r="664">
      <c r="A664" s="3"/>
      <c r="B664" s="3"/>
      <c r="C664" s="3"/>
      <c r="D664" s="3"/>
      <c r="I664" s="3"/>
      <c r="J664" s="54"/>
      <c r="N664" s="3"/>
      <c r="O664" s="3"/>
      <c r="S664" s="3"/>
      <c r="U664" s="3"/>
    </row>
    <row r="665">
      <c r="A665" s="3"/>
      <c r="B665" s="3"/>
      <c r="C665" s="3"/>
      <c r="D665" s="3"/>
      <c r="I665" s="3"/>
      <c r="J665" s="54"/>
      <c r="N665" s="3"/>
      <c r="O665" s="3"/>
      <c r="S665" s="3"/>
      <c r="U665" s="3"/>
    </row>
    <row r="666">
      <c r="A666" s="3"/>
      <c r="B666" s="3"/>
      <c r="C666" s="3"/>
      <c r="D666" s="3"/>
      <c r="I666" s="3"/>
      <c r="J666" s="54"/>
      <c r="N666" s="3"/>
      <c r="O666" s="3"/>
      <c r="S666" s="3"/>
      <c r="U666" s="3"/>
    </row>
    <row r="667">
      <c r="A667" s="3"/>
      <c r="B667" s="3"/>
      <c r="C667" s="3"/>
      <c r="D667" s="3"/>
      <c r="I667" s="3"/>
      <c r="J667" s="54"/>
      <c r="N667" s="3"/>
      <c r="O667" s="3"/>
      <c r="S667" s="3"/>
      <c r="U667" s="3"/>
    </row>
    <row r="668">
      <c r="A668" s="3"/>
      <c r="B668" s="3"/>
      <c r="C668" s="3"/>
      <c r="D668" s="3"/>
      <c r="I668" s="3"/>
      <c r="J668" s="54"/>
      <c r="N668" s="3"/>
      <c r="O668" s="3"/>
      <c r="S668" s="3"/>
      <c r="U668" s="3"/>
    </row>
    <row r="669">
      <c r="A669" s="3"/>
      <c r="B669" s="3"/>
      <c r="C669" s="3"/>
      <c r="D669" s="3"/>
      <c r="I669" s="3"/>
      <c r="J669" s="54"/>
      <c r="N669" s="3"/>
      <c r="O669" s="3"/>
      <c r="S669" s="3"/>
      <c r="U669" s="3"/>
    </row>
    <row r="670">
      <c r="A670" s="3"/>
      <c r="B670" s="3"/>
      <c r="C670" s="3"/>
      <c r="D670" s="3"/>
      <c r="I670" s="3"/>
      <c r="J670" s="54"/>
      <c r="N670" s="3"/>
      <c r="O670" s="3"/>
      <c r="S670" s="3"/>
      <c r="U670" s="3"/>
    </row>
    <row r="671">
      <c r="A671" s="3"/>
      <c r="B671" s="3"/>
      <c r="C671" s="3"/>
      <c r="D671" s="3"/>
      <c r="I671" s="3"/>
      <c r="J671" s="54"/>
      <c r="N671" s="3"/>
      <c r="O671" s="3"/>
      <c r="S671" s="3"/>
      <c r="U671" s="3"/>
    </row>
    <row r="672">
      <c r="A672" s="3"/>
      <c r="B672" s="3"/>
      <c r="C672" s="3"/>
      <c r="D672" s="3"/>
      <c r="I672" s="3"/>
      <c r="J672" s="54"/>
      <c r="N672" s="3"/>
      <c r="O672" s="3"/>
      <c r="S672" s="3"/>
      <c r="U672" s="3"/>
    </row>
    <row r="673">
      <c r="A673" s="3"/>
      <c r="B673" s="3"/>
      <c r="C673" s="3"/>
      <c r="D673" s="3"/>
      <c r="I673" s="3"/>
      <c r="J673" s="54"/>
      <c r="N673" s="3"/>
      <c r="O673" s="3"/>
      <c r="S673" s="3"/>
      <c r="U673" s="3"/>
    </row>
    <row r="674">
      <c r="A674" s="3"/>
      <c r="B674" s="3"/>
      <c r="C674" s="3"/>
      <c r="D674" s="3"/>
      <c r="I674" s="3"/>
      <c r="J674" s="54"/>
      <c r="N674" s="3"/>
      <c r="O674" s="3"/>
      <c r="S674" s="3"/>
      <c r="U674" s="3"/>
    </row>
    <row r="675">
      <c r="A675" s="3"/>
      <c r="B675" s="3"/>
      <c r="C675" s="3"/>
      <c r="D675" s="3"/>
      <c r="I675" s="3"/>
      <c r="J675" s="54"/>
      <c r="N675" s="3"/>
      <c r="O675" s="3"/>
      <c r="S675" s="3"/>
      <c r="U675" s="3"/>
    </row>
    <row r="676">
      <c r="A676" s="3"/>
      <c r="B676" s="3"/>
      <c r="C676" s="3"/>
      <c r="D676" s="3"/>
      <c r="I676" s="3"/>
      <c r="J676" s="54"/>
      <c r="N676" s="3"/>
      <c r="O676" s="3"/>
      <c r="S676" s="3"/>
      <c r="U676" s="3"/>
    </row>
    <row r="677">
      <c r="A677" s="3"/>
      <c r="B677" s="3"/>
      <c r="C677" s="3"/>
      <c r="D677" s="3"/>
      <c r="I677" s="3"/>
      <c r="J677" s="54"/>
      <c r="N677" s="3"/>
      <c r="O677" s="3"/>
      <c r="S677" s="3"/>
      <c r="U677" s="3"/>
    </row>
    <row r="678">
      <c r="A678" s="3"/>
      <c r="B678" s="3"/>
      <c r="C678" s="3"/>
      <c r="D678" s="3"/>
      <c r="I678" s="3"/>
      <c r="J678" s="54"/>
      <c r="N678" s="3"/>
      <c r="O678" s="3"/>
      <c r="S678" s="3"/>
      <c r="U678" s="3"/>
    </row>
    <row r="679">
      <c r="A679" s="3"/>
      <c r="B679" s="3"/>
      <c r="C679" s="3"/>
      <c r="D679" s="3"/>
      <c r="I679" s="3"/>
      <c r="J679" s="54"/>
      <c r="N679" s="3"/>
      <c r="O679" s="3"/>
      <c r="S679" s="3"/>
      <c r="U679" s="3"/>
    </row>
    <row r="680">
      <c r="A680" s="3"/>
      <c r="B680" s="3"/>
      <c r="C680" s="3"/>
      <c r="D680" s="3"/>
      <c r="I680" s="3"/>
      <c r="J680" s="54"/>
      <c r="N680" s="3"/>
      <c r="O680" s="3"/>
      <c r="S680" s="3"/>
      <c r="U680" s="3"/>
    </row>
    <row r="681">
      <c r="A681" s="3"/>
      <c r="B681" s="3"/>
      <c r="C681" s="3"/>
      <c r="D681" s="3"/>
      <c r="I681" s="3"/>
      <c r="J681" s="54"/>
      <c r="N681" s="3"/>
      <c r="O681" s="3"/>
      <c r="S681" s="3"/>
      <c r="U681" s="3"/>
    </row>
    <row r="682">
      <c r="A682" s="3"/>
      <c r="B682" s="3"/>
      <c r="C682" s="3"/>
      <c r="D682" s="3"/>
      <c r="I682" s="3"/>
      <c r="J682" s="54"/>
      <c r="N682" s="3"/>
      <c r="O682" s="3"/>
      <c r="S682" s="3"/>
      <c r="U682" s="3"/>
    </row>
    <row r="683">
      <c r="A683" s="3"/>
      <c r="B683" s="3"/>
      <c r="C683" s="3"/>
      <c r="D683" s="3"/>
      <c r="I683" s="3"/>
      <c r="J683" s="54"/>
      <c r="N683" s="3"/>
      <c r="O683" s="3"/>
      <c r="S683" s="3"/>
      <c r="U683" s="3"/>
    </row>
    <row r="684">
      <c r="A684" s="3"/>
      <c r="B684" s="3"/>
      <c r="C684" s="3"/>
      <c r="D684" s="3"/>
      <c r="I684" s="3"/>
      <c r="J684" s="54"/>
      <c r="N684" s="3"/>
      <c r="O684" s="3"/>
      <c r="S684" s="3"/>
      <c r="U684" s="3"/>
    </row>
    <row r="685">
      <c r="A685" s="3"/>
      <c r="B685" s="3"/>
      <c r="C685" s="3"/>
      <c r="D685" s="3"/>
      <c r="I685" s="3"/>
      <c r="J685" s="54"/>
      <c r="N685" s="3"/>
      <c r="O685" s="3"/>
      <c r="S685" s="3"/>
      <c r="U685" s="3"/>
    </row>
    <row r="686">
      <c r="A686" s="3"/>
      <c r="B686" s="3"/>
      <c r="C686" s="3"/>
      <c r="D686" s="3"/>
      <c r="I686" s="3"/>
      <c r="J686" s="54"/>
      <c r="N686" s="3"/>
      <c r="O686" s="3"/>
      <c r="S686" s="3"/>
      <c r="U686" s="3"/>
    </row>
    <row r="687">
      <c r="A687" s="3"/>
      <c r="B687" s="3"/>
      <c r="C687" s="3"/>
      <c r="D687" s="3"/>
      <c r="I687" s="3"/>
      <c r="J687" s="54"/>
      <c r="N687" s="3"/>
      <c r="O687" s="3"/>
      <c r="S687" s="3"/>
      <c r="U687" s="3"/>
    </row>
    <row r="688">
      <c r="A688" s="3"/>
      <c r="B688" s="3"/>
      <c r="C688" s="3"/>
      <c r="D688" s="3"/>
      <c r="I688" s="3"/>
      <c r="J688" s="54"/>
      <c r="N688" s="3"/>
      <c r="O688" s="3"/>
      <c r="S688" s="3"/>
      <c r="U688" s="3"/>
    </row>
    <row r="689">
      <c r="A689" s="3"/>
      <c r="B689" s="3"/>
      <c r="C689" s="3"/>
      <c r="D689" s="3"/>
      <c r="I689" s="3"/>
      <c r="J689" s="54"/>
      <c r="N689" s="3"/>
      <c r="O689" s="3"/>
      <c r="S689" s="3"/>
      <c r="U689" s="3"/>
    </row>
    <row r="690">
      <c r="A690" s="3"/>
      <c r="B690" s="3"/>
      <c r="C690" s="3"/>
      <c r="D690" s="3"/>
      <c r="I690" s="3"/>
      <c r="J690" s="54"/>
      <c r="N690" s="3"/>
      <c r="O690" s="3"/>
      <c r="S690" s="3"/>
      <c r="U690" s="3"/>
    </row>
    <row r="691">
      <c r="A691" s="3"/>
      <c r="B691" s="3"/>
      <c r="C691" s="3"/>
      <c r="D691" s="3"/>
      <c r="I691" s="3"/>
      <c r="J691" s="54"/>
      <c r="N691" s="3"/>
      <c r="O691" s="3"/>
      <c r="S691" s="3"/>
      <c r="U691" s="3"/>
    </row>
    <row r="692">
      <c r="A692" s="3"/>
      <c r="B692" s="3"/>
      <c r="C692" s="3"/>
      <c r="D692" s="3"/>
      <c r="I692" s="3"/>
      <c r="J692" s="54"/>
      <c r="N692" s="3"/>
      <c r="O692" s="3"/>
      <c r="S692" s="3"/>
      <c r="U692" s="3"/>
    </row>
    <row r="693">
      <c r="A693" s="3"/>
      <c r="B693" s="3"/>
      <c r="C693" s="3"/>
      <c r="D693" s="3"/>
      <c r="I693" s="3"/>
      <c r="J693" s="54"/>
      <c r="N693" s="3"/>
      <c r="O693" s="3"/>
      <c r="S693" s="3"/>
      <c r="U693" s="3"/>
    </row>
    <row r="694">
      <c r="A694" s="3"/>
      <c r="B694" s="3"/>
      <c r="C694" s="3"/>
      <c r="D694" s="3"/>
      <c r="I694" s="3"/>
      <c r="J694" s="54"/>
      <c r="N694" s="3"/>
      <c r="O694" s="3"/>
      <c r="S694" s="3"/>
      <c r="U694" s="3"/>
    </row>
    <row r="695">
      <c r="A695" s="3"/>
      <c r="B695" s="3"/>
      <c r="C695" s="3"/>
      <c r="D695" s="3"/>
      <c r="I695" s="3"/>
      <c r="J695" s="54"/>
      <c r="N695" s="3"/>
      <c r="O695" s="3"/>
      <c r="S695" s="3"/>
      <c r="U695" s="3"/>
    </row>
    <row r="696">
      <c r="A696" s="3"/>
      <c r="B696" s="3"/>
      <c r="C696" s="3"/>
      <c r="D696" s="3"/>
      <c r="I696" s="3"/>
      <c r="J696" s="54"/>
      <c r="N696" s="3"/>
      <c r="O696" s="3"/>
      <c r="S696" s="3"/>
      <c r="U696" s="3"/>
    </row>
    <row r="697">
      <c r="A697" s="3"/>
      <c r="B697" s="3"/>
      <c r="C697" s="3"/>
      <c r="D697" s="3"/>
      <c r="I697" s="3"/>
      <c r="J697" s="54"/>
      <c r="N697" s="3"/>
      <c r="O697" s="3"/>
      <c r="S697" s="3"/>
      <c r="U697" s="3"/>
    </row>
    <row r="698">
      <c r="A698" s="3"/>
      <c r="B698" s="3"/>
      <c r="C698" s="3"/>
      <c r="D698" s="3"/>
      <c r="I698" s="3"/>
      <c r="J698" s="54"/>
      <c r="N698" s="3"/>
      <c r="O698" s="3"/>
      <c r="S698" s="3"/>
      <c r="U698" s="3"/>
    </row>
    <row r="699">
      <c r="A699" s="3"/>
      <c r="B699" s="3"/>
      <c r="C699" s="3"/>
      <c r="D699" s="3"/>
      <c r="I699" s="3"/>
      <c r="J699" s="54"/>
      <c r="N699" s="3"/>
      <c r="O699" s="3"/>
      <c r="S699" s="3"/>
      <c r="U699" s="3"/>
    </row>
    <row r="700">
      <c r="A700" s="3"/>
      <c r="B700" s="3"/>
      <c r="C700" s="3"/>
      <c r="D700" s="3"/>
      <c r="I700" s="3"/>
      <c r="J700" s="54"/>
      <c r="N700" s="3"/>
      <c r="O700" s="3"/>
      <c r="S700" s="3"/>
      <c r="U700" s="3"/>
    </row>
    <row r="701">
      <c r="A701" s="3"/>
      <c r="B701" s="3"/>
      <c r="C701" s="3"/>
      <c r="D701" s="3"/>
      <c r="I701" s="3"/>
      <c r="J701" s="54"/>
      <c r="N701" s="3"/>
      <c r="O701" s="3"/>
      <c r="S701" s="3"/>
      <c r="U701" s="3"/>
    </row>
    <row r="702">
      <c r="A702" s="3"/>
      <c r="B702" s="3"/>
      <c r="C702" s="3"/>
      <c r="D702" s="3"/>
      <c r="I702" s="3"/>
      <c r="J702" s="54"/>
      <c r="N702" s="3"/>
      <c r="O702" s="3"/>
      <c r="S702" s="3"/>
      <c r="U702" s="3"/>
    </row>
    <row r="703">
      <c r="A703" s="3"/>
      <c r="B703" s="3"/>
      <c r="C703" s="3"/>
      <c r="D703" s="3"/>
      <c r="I703" s="3"/>
      <c r="J703" s="54"/>
      <c r="N703" s="3"/>
      <c r="O703" s="3"/>
      <c r="S703" s="3"/>
      <c r="U703" s="3"/>
    </row>
    <row r="704">
      <c r="A704" s="3"/>
      <c r="B704" s="3"/>
      <c r="C704" s="3"/>
      <c r="D704" s="3"/>
      <c r="I704" s="3"/>
      <c r="J704" s="54"/>
      <c r="N704" s="3"/>
      <c r="O704" s="3"/>
      <c r="S704" s="3"/>
      <c r="U704" s="3"/>
    </row>
    <row r="705">
      <c r="A705" s="3"/>
      <c r="B705" s="3"/>
      <c r="C705" s="3"/>
      <c r="D705" s="3"/>
      <c r="I705" s="3"/>
      <c r="J705" s="54"/>
      <c r="N705" s="3"/>
      <c r="O705" s="3"/>
      <c r="S705" s="3"/>
      <c r="U705" s="3"/>
    </row>
    <row r="706">
      <c r="A706" s="3"/>
      <c r="B706" s="3"/>
      <c r="C706" s="3"/>
      <c r="D706" s="3"/>
      <c r="I706" s="3"/>
      <c r="J706" s="54"/>
      <c r="N706" s="3"/>
      <c r="O706" s="3"/>
      <c r="S706" s="3"/>
      <c r="U706" s="3"/>
    </row>
    <row r="707">
      <c r="A707" s="3"/>
      <c r="B707" s="3"/>
      <c r="C707" s="3"/>
      <c r="D707" s="3"/>
      <c r="I707" s="3"/>
      <c r="J707" s="54"/>
      <c r="N707" s="3"/>
      <c r="O707" s="3"/>
      <c r="S707" s="3"/>
      <c r="U707" s="3"/>
    </row>
    <row r="708">
      <c r="A708" s="3"/>
      <c r="B708" s="3"/>
      <c r="C708" s="3"/>
      <c r="D708" s="3"/>
      <c r="I708" s="3"/>
      <c r="J708" s="54"/>
      <c r="N708" s="3"/>
      <c r="O708" s="3"/>
      <c r="S708" s="3"/>
      <c r="U708" s="3"/>
    </row>
    <row r="709">
      <c r="A709" s="3"/>
      <c r="B709" s="3"/>
      <c r="C709" s="3"/>
      <c r="D709" s="3"/>
      <c r="I709" s="3"/>
      <c r="J709" s="54"/>
      <c r="N709" s="3"/>
      <c r="O709" s="3"/>
      <c r="S709" s="3"/>
      <c r="U709" s="3"/>
    </row>
    <row r="710">
      <c r="A710" s="3"/>
      <c r="B710" s="3"/>
      <c r="C710" s="3"/>
      <c r="D710" s="3"/>
      <c r="I710" s="3"/>
      <c r="J710" s="54"/>
      <c r="N710" s="3"/>
      <c r="O710" s="3"/>
      <c r="S710" s="3"/>
      <c r="U710" s="3"/>
    </row>
    <row r="711">
      <c r="A711" s="3"/>
      <c r="B711" s="3"/>
      <c r="C711" s="3"/>
      <c r="D711" s="3"/>
      <c r="I711" s="3"/>
      <c r="J711" s="54"/>
      <c r="N711" s="3"/>
      <c r="O711" s="3"/>
      <c r="S711" s="3"/>
      <c r="U711" s="3"/>
    </row>
    <row r="712">
      <c r="A712" s="3"/>
      <c r="B712" s="3"/>
      <c r="C712" s="3"/>
      <c r="D712" s="3"/>
      <c r="I712" s="3"/>
      <c r="J712" s="54"/>
      <c r="N712" s="3"/>
      <c r="O712" s="3"/>
      <c r="S712" s="3"/>
      <c r="U712" s="3"/>
    </row>
    <row r="713">
      <c r="A713" s="3"/>
      <c r="B713" s="3"/>
      <c r="C713" s="3"/>
      <c r="D713" s="3"/>
      <c r="I713" s="3"/>
      <c r="J713" s="54"/>
      <c r="N713" s="3"/>
      <c r="O713" s="3"/>
      <c r="S713" s="3"/>
      <c r="U713" s="3"/>
    </row>
    <row r="714">
      <c r="A714" s="3"/>
      <c r="B714" s="3"/>
      <c r="C714" s="3"/>
      <c r="D714" s="3"/>
      <c r="I714" s="3"/>
      <c r="J714" s="54"/>
      <c r="N714" s="3"/>
      <c r="O714" s="3"/>
      <c r="S714" s="3"/>
      <c r="U714" s="3"/>
    </row>
    <row r="715">
      <c r="A715" s="3"/>
      <c r="B715" s="3"/>
      <c r="C715" s="3"/>
      <c r="D715" s="3"/>
      <c r="I715" s="3"/>
      <c r="J715" s="54"/>
      <c r="N715" s="3"/>
      <c r="O715" s="3"/>
      <c r="S715" s="3"/>
      <c r="U715" s="3"/>
    </row>
    <row r="716">
      <c r="A716" s="3"/>
      <c r="B716" s="3"/>
      <c r="C716" s="3"/>
      <c r="D716" s="3"/>
      <c r="I716" s="3"/>
      <c r="J716" s="54"/>
      <c r="N716" s="3"/>
      <c r="O716" s="3"/>
      <c r="S716" s="3"/>
      <c r="U716" s="3"/>
    </row>
    <row r="717">
      <c r="A717" s="3"/>
      <c r="B717" s="3"/>
      <c r="C717" s="3"/>
      <c r="D717" s="3"/>
      <c r="I717" s="3"/>
      <c r="J717" s="54"/>
      <c r="N717" s="3"/>
      <c r="O717" s="3"/>
      <c r="S717" s="3"/>
      <c r="U717" s="3"/>
    </row>
    <row r="718">
      <c r="A718" s="3"/>
      <c r="B718" s="3"/>
      <c r="C718" s="3"/>
      <c r="D718" s="3"/>
      <c r="I718" s="3"/>
      <c r="J718" s="54"/>
      <c r="N718" s="3"/>
      <c r="O718" s="3"/>
      <c r="S718" s="3"/>
      <c r="U718" s="3"/>
    </row>
    <row r="719">
      <c r="A719" s="3"/>
      <c r="B719" s="3"/>
      <c r="C719" s="3"/>
      <c r="D719" s="3"/>
      <c r="I719" s="3"/>
      <c r="J719" s="54"/>
      <c r="N719" s="3"/>
      <c r="O719" s="3"/>
      <c r="S719" s="3"/>
      <c r="U719" s="3"/>
    </row>
    <row r="720">
      <c r="A720" s="3"/>
      <c r="B720" s="3"/>
      <c r="C720" s="3"/>
      <c r="D720" s="3"/>
      <c r="I720" s="3"/>
      <c r="J720" s="54"/>
      <c r="N720" s="3"/>
      <c r="O720" s="3"/>
      <c r="S720" s="3"/>
      <c r="U720" s="3"/>
    </row>
    <row r="721">
      <c r="A721" s="3"/>
      <c r="B721" s="3"/>
      <c r="C721" s="3"/>
      <c r="D721" s="3"/>
      <c r="I721" s="3"/>
      <c r="J721" s="54"/>
      <c r="N721" s="3"/>
      <c r="O721" s="3"/>
      <c r="S721" s="3"/>
      <c r="U721" s="3"/>
    </row>
    <row r="722">
      <c r="A722" s="3"/>
      <c r="B722" s="3"/>
      <c r="C722" s="3"/>
      <c r="D722" s="3"/>
      <c r="I722" s="3"/>
      <c r="J722" s="54"/>
      <c r="N722" s="3"/>
      <c r="O722" s="3"/>
      <c r="S722" s="3"/>
      <c r="U722" s="3"/>
    </row>
    <row r="723">
      <c r="A723" s="3"/>
      <c r="B723" s="3"/>
      <c r="C723" s="3"/>
      <c r="D723" s="3"/>
      <c r="I723" s="3"/>
      <c r="J723" s="54"/>
      <c r="N723" s="3"/>
      <c r="O723" s="3"/>
      <c r="S723" s="3"/>
      <c r="U723" s="3"/>
    </row>
    <row r="724">
      <c r="A724" s="3"/>
      <c r="B724" s="3"/>
      <c r="C724" s="3"/>
      <c r="D724" s="3"/>
      <c r="I724" s="3"/>
      <c r="J724" s="54"/>
      <c r="N724" s="3"/>
      <c r="O724" s="3"/>
      <c r="S724" s="3"/>
      <c r="U724" s="3"/>
    </row>
    <row r="725">
      <c r="A725" s="3"/>
      <c r="B725" s="3"/>
      <c r="C725" s="3"/>
      <c r="D725" s="3"/>
      <c r="I725" s="3"/>
      <c r="J725" s="54"/>
      <c r="N725" s="3"/>
      <c r="O725" s="3"/>
      <c r="S725" s="3"/>
      <c r="U725" s="3"/>
    </row>
    <row r="726">
      <c r="A726" s="3"/>
      <c r="B726" s="3"/>
      <c r="C726" s="3"/>
      <c r="D726" s="3"/>
      <c r="I726" s="3"/>
      <c r="J726" s="54"/>
      <c r="N726" s="3"/>
      <c r="O726" s="3"/>
      <c r="S726" s="3"/>
      <c r="U726" s="3"/>
    </row>
    <row r="727">
      <c r="A727" s="3"/>
      <c r="B727" s="3"/>
      <c r="C727" s="3"/>
      <c r="D727" s="3"/>
      <c r="I727" s="3"/>
      <c r="J727" s="54"/>
      <c r="N727" s="3"/>
      <c r="O727" s="3"/>
      <c r="S727" s="3"/>
      <c r="U727" s="3"/>
    </row>
    <row r="728">
      <c r="A728" s="3"/>
      <c r="B728" s="3"/>
      <c r="C728" s="3"/>
      <c r="D728" s="3"/>
      <c r="I728" s="3"/>
      <c r="J728" s="54"/>
      <c r="N728" s="3"/>
      <c r="O728" s="3"/>
      <c r="S728" s="3"/>
      <c r="U728" s="3"/>
    </row>
    <row r="729">
      <c r="A729" s="3"/>
      <c r="B729" s="3"/>
      <c r="C729" s="3"/>
      <c r="D729" s="3"/>
      <c r="I729" s="3"/>
      <c r="J729" s="54"/>
      <c r="N729" s="3"/>
      <c r="O729" s="3"/>
      <c r="S729" s="3"/>
      <c r="U729" s="3"/>
    </row>
    <row r="730">
      <c r="A730" s="3"/>
      <c r="B730" s="3"/>
      <c r="C730" s="3"/>
      <c r="D730" s="3"/>
      <c r="I730" s="3"/>
      <c r="J730" s="54"/>
      <c r="N730" s="3"/>
      <c r="O730" s="3"/>
      <c r="S730" s="3"/>
      <c r="U730" s="3"/>
    </row>
    <row r="731">
      <c r="A731" s="3"/>
      <c r="B731" s="3"/>
      <c r="C731" s="3"/>
      <c r="D731" s="3"/>
      <c r="I731" s="3"/>
      <c r="J731" s="54"/>
      <c r="N731" s="3"/>
      <c r="O731" s="3"/>
      <c r="S731" s="3"/>
      <c r="U731" s="3"/>
    </row>
    <row r="732">
      <c r="A732" s="3"/>
      <c r="B732" s="3"/>
      <c r="C732" s="3"/>
      <c r="D732" s="3"/>
      <c r="I732" s="3"/>
      <c r="J732" s="54"/>
      <c r="N732" s="3"/>
      <c r="O732" s="3"/>
      <c r="S732" s="3"/>
      <c r="U732" s="3"/>
    </row>
    <row r="733">
      <c r="A733" s="3"/>
      <c r="B733" s="3"/>
      <c r="C733" s="3"/>
      <c r="D733" s="3"/>
      <c r="I733" s="3"/>
      <c r="J733" s="54"/>
      <c r="N733" s="3"/>
      <c r="O733" s="3"/>
      <c r="S733" s="3"/>
      <c r="U733" s="3"/>
    </row>
    <row r="734">
      <c r="A734" s="3"/>
      <c r="B734" s="3"/>
      <c r="C734" s="3"/>
      <c r="D734" s="3"/>
      <c r="I734" s="3"/>
      <c r="J734" s="54"/>
      <c r="N734" s="3"/>
      <c r="O734" s="3"/>
      <c r="S734" s="3"/>
      <c r="U734" s="3"/>
    </row>
    <row r="735">
      <c r="A735" s="3"/>
      <c r="B735" s="3"/>
      <c r="C735" s="3"/>
      <c r="D735" s="3"/>
      <c r="I735" s="3"/>
      <c r="J735" s="54"/>
      <c r="N735" s="3"/>
      <c r="O735" s="3"/>
      <c r="S735" s="3"/>
      <c r="U735" s="3"/>
    </row>
    <row r="736">
      <c r="A736" s="3"/>
      <c r="B736" s="3"/>
      <c r="C736" s="3"/>
      <c r="D736" s="3"/>
      <c r="I736" s="3"/>
      <c r="J736" s="54"/>
      <c r="N736" s="3"/>
      <c r="O736" s="3"/>
      <c r="S736" s="3"/>
      <c r="U736" s="3"/>
    </row>
    <row r="737">
      <c r="A737" s="3"/>
      <c r="B737" s="3"/>
      <c r="C737" s="3"/>
      <c r="D737" s="3"/>
      <c r="I737" s="3"/>
      <c r="J737" s="54"/>
      <c r="N737" s="3"/>
      <c r="O737" s="3"/>
      <c r="S737" s="3"/>
      <c r="U737" s="3"/>
    </row>
    <row r="738">
      <c r="A738" s="3"/>
      <c r="B738" s="3"/>
      <c r="C738" s="3"/>
      <c r="D738" s="3"/>
      <c r="I738" s="3"/>
      <c r="J738" s="54"/>
      <c r="N738" s="3"/>
      <c r="O738" s="3"/>
      <c r="S738" s="3"/>
      <c r="U738" s="3"/>
    </row>
    <row r="739">
      <c r="A739" s="3"/>
      <c r="B739" s="3"/>
      <c r="C739" s="3"/>
      <c r="D739" s="3"/>
      <c r="I739" s="3"/>
      <c r="J739" s="54"/>
      <c r="N739" s="3"/>
      <c r="O739" s="3"/>
      <c r="S739" s="3"/>
      <c r="U739" s="3"/>
    </row>
    <row r="740">
      <c r="A740" s="3"/>
      <c r="B740" s="3"/>
      <c r="C740" s="3"/>
      <c r="D740" s="3"/>
      <c r="I740" s="3"/>
      <c r="J740" s="54"/>
      <c r="N740" s="3"/>
      <c r="O740" s="3"/>
      <c r="S740" s="3"/>
      <c r="U740" s="3"/>
    </row>
    <row r="741">
      <c r="A741" s="3"/>
      <c r="B741" s="3"/>
      <c r="C741" s="3"/>
      <c r="D741" s="3"/>
      <c r="I741" s="3"/>
      <c r="J741" s="54"/>
      <c r="N741" s="3"/>
      <c r="O741" s="3"/>
      <c r="S741" s="3"/>
      <c r="U741" s="3"/>
    </row>
    <row r="742">
      <c r="A742" s="3"/>
      <c r="B742" s="3"/>
      <c r="C742" s="3"/>
      <c r="D742" s="3"/>
      <c r="I742" s="3"/>
      <c r="J742" s="54"/>
      <c r="N742" s="3"/>
      <c r="O742" s="3"/>
      <c r="S742" s="3"/>
      <c r="U742" s="3"/>
    </row>
    <row r="743">
      <c r="A743" s="3"/>
      <c r="B743" s="3"/>
      <c r="C743" s="3"/>
      <c r="D743" s="3"/>
      <c r="I743" s="3"/>
      <c r="J743" s="54"/>
      <c r="N743" s="3"/>
      <c r="O743" s="3"/>
      <c r="S743" s="3"/>
      <c r="U743" s="3"/>
    </row>
    <row r="744">
      <c r="A744" s="3"/>
      <c r="B744" s="3"/>
      <c r="C744" s="3"/>
      <c r="D744" s="3"/>
      <c r="I744" s="3"/>
      <c r="J744" s="54"/>
      <c r="N744" s="3"/>
      <c r="O744" s="3"/>
      <c r="S744" s="3"/>
      <c r="U744" s="3"/>
    </row>
    <row r="745">
      <c r="A745" s="3"/>
      <c r="B745" s="3"/>
      <c r="C745" s="3"/>
      <c r="D745" s="3"/>
      <c r="I745" s="3"/>
      <c r="J745" s="54"/>
      <c r="N745" s="3"/>
      <c r="O745" s="3"/>
      <c r="S745" s="3"/>
      <c r="U745" s="3"/>
    </row>
    <row r="746">
      <c r="A746" s="3"/>
      <c r="B746" s="3"/>
      <c r="C746" s="3"/>
      <c r="D746" s="3"/>
      <c r="I746" s="3"/>
      <c r="J746" s="54"/>
      <c r="N746" s="3"/>
      <c r="O746" s="3"/>
      <c r="S746" s="3"/>
      <c r="U746" s="3"/>
    </row>
    <row r="747">
      <c r="A747" s="3"/>
      <c r="B747" s="3"/>
      <c r="C747" s="3"/>
      <c r="D747" s="3"/>
      <c r="I747" s="3"/>
      <c r="J747" s="54"/>
      <c r="N747" s="3"/>
      <c r="O747" s="3"/>
      <c r="S747" s="3"/>
      <c r="U747" s="3"/>
    </row>
    <row r="748">
      <c r="A748" s="3"/>
      <c r="B748" s="3"/>
      <c r="C748" s="3"/>
      <c r="D748" s="3"/>
      <c r="I748" s="3"/>
      <c r="J748" s="54"/>
      <c r="N748" s="3"/>
      <c r="O748" s="3"/>
      <c r="S748" s="3"/>
      <c r="U748" s="3"/>
    </row>
    <row r="749">
      <c r="A749" s="3"/>
      <c r="B749" s="3"/>
      <c r="C749" s="3"/>
      <c r="D749" s="3"/>
      <c r="I749" s="3"/>
      <c r="J749" s="54"/>
      <c r="N749" s="3"/>
      <c r="O749" s="3"/>
      <c r="S749" s="3"/>
      <c r="U749" s="3"/>
    </row>
    <row r="750">
      <c r="A750" s="3"/>
      <c r="B750" s="3"/>
      <c r="C750" s="3"/>
      <c r="D750" s="3"/>
      <c r="I750" s="3"/>
      <c r="J750" s="54"/>
      <c r="N750" s="3"/>
      <c r="O750" s="3"/>
      <c r="S750" s="3"/>
      <c r="U750" s="3"/>
    </row>
    <row r="751">
      <c r="A751" s="3"/>
      <c r="B751" s="3"/>
      <c r="C751" s="3"/>
      <c r="D751" s="3"/>
      <c r="I751" s="3"/>
      <c r="J751" s="54"/>
      <c r="N751" s="3"/>
      <c r="O751" s="3"/>
      <c r="S751" s="3"/>
      <c r="U751" s="3"/>
    </row>
    <row r="752">
      <c r="A752" s="3"/>
      <c r="B752" s="3"/>
      <c r="C752" s="3"/>
      <c r="D752" s="3"/>
      <c r="I752" s="3"/>
      <c r="J752" s="54"/>
      <c r="N752" s="3"/>
      <c r="O752" s="3"/>
      <c r="S752" s="3"/>
      <c r="U752" s="3"/>
    </row>
    <row r="753">
      <c r="A753" s="3"/>
      <c r="B753" s="3"/>
      <c r="C753" s="3"/>
      <c r="D753" s="3"/>
      <c r="I753" s="3"/>
      <c r="J753" s="54"/>
      <c r="N753" s="3"/>
      <c r="O753" s="3"/>
      <c r="S753" s="3"/>
      <c r="U753" s="3"/>
    </row>
    <row r="754">
      <c r="A754" s="3"/>
      <c r="B754" s="3"/>
      <c r="C754" s="3"/>
      <c r="D754" s="3"/>
      <c r="I754" s="3"/>
      <c r="J754" s="54"/>
      <c r="N754" s="3"/>
      <c r="O754" s="3"/>
      <c r="S754" s="3"/>
      <c r="U754" s="3"/>
    </row>
    <row r="755">
      <c r="A755" s="3"/>
      <c r="B755" s="3"/>
      <c r="C755" s="3"/>
      <c r="D755" s="3"/>
      <c r="I755" s="3"/>
      <c r="J755" s="54"/>
      <c r="N755" s="3"/>
      <c r="O755" s="3"/>
      <c r="S755" s="3"/>
      <c r="U755" s="3"/>
    </row>
    <row r="756">
      <c r="A756" s="3"/>
      <c r="B756" s="3"/>
      <c r="C756" s="3"/>
      <c r="D756" s="3"/>
      <c r="I756" s="3"/>
      <c r="J756" s="54"/>
      <c r="N756" s="3"/>
      <c r="O756" s="3"/>
      <c r="S756" s="3"/>
      <c r="U756" s="3"/>
    </row>
    <row r="757">
      <c r="A757" s="3"/>
      <c r="B757" s="3"/>
      <c r="C757" s="3"/>
      <c r="D757" s="3"/>
      <c r="I757" s="3"/>
      <c r="J757" s="54"/>
      <c r="N757" s="3"/>
      <c r="O757" s="3"/>
      <c r="S757" s="3"/>
      <c r="U757" s="3"/>
    </row>
    <row r="758">
      <c r="A758" s="3"/>
      <c r="B758" s="3"/>
      <c r="C758" s="3"/>
      <c r="D758" s="3"/>
      <c r="I758" s="3"/>
      <c r="J758" s="54"/>
      <c r="N758" s="3"/>
      <c r="O758" s="3"/>
      <c r="S758" s="3"/>
      <c r="U758" s="3"/>
    </row>
    <row r="759">
      <c r="A759" s="3"/>
      <c r="B759" s="3"/>
      <c r="C759" s="3"/>
      <c r="D759" s="3"/>
      <c r="I759" s="3"/>
      <c r="J759" s="54"/>
      <c r="N759" s="3"/>
      <c r="O759" s="3"/>
      <c r="S759" s="3"/>
      <c r="U759" s="3"/>
    </row>
    <row r="760">
      <c r="A760" s="3"/>
      <c r="B760" s="3"/>
      <c r="C760" s="3"/>
      <c r="D760" s="3"/>
      <c r="I760" s="3"/>
      <c r="J760" s="54"/>
      <c r="N760" s="3"/>
      <c r="O760" s="3"/>
      <c r="S760" s="3"/>
      <c r="U760" s="3"/>
    </row>
    <row r="761">
      <c r="A761" s="3"/>
      <c r="B761" s="3"/>
      <c r="C761" s="3"/>
      <c r="D761" s="3"/>
      <c r="I761" s="3"/>
      <c r="J761" s="54"/>
      <c r="N761" s="3"/>
      <c r="O761" s="3"/>
      <c r="S761" s="3"/>
      <c r="U761" s="3"/>
    </row>
    <row r="762">
      <c r="A762" s="3"/>
      <c r="B762" s="3"/>
      <c r="C762" s="3"/>
      <c r="D762" s="3"/>
      <c r="I762" s="3"/>
      <c r="J762" s="54"/>
      <c r="N762" s="3"/>
      <c r="O762" s="3"/>
      <c r="S762" s="3"/>
      <c r="U762" s="3"/>
    </row>
    <row r="763">
      <c r="A763" s="3"/>
      <c r="B763" s="3"/>
      <c r="C763" s="3"/>
      <c r="D763" s="3"/>
      <c r="I763" s="3"/>
      <c r="J763" s="54"/>
      <c r="N763" s="3"/>
      <c r="O763" s="3"/>
      <c r="S763" s="3"/>
      <c r="U763" s="3"/>
    </row>
    <row r="764">
      <c r="A764" s="3"/>
      <c r="B764" s="3"/>
      <c r="C764" s="3"/>
      <c r="D764" s="3"/>
      <c r="I764" s="3"/>
      <c r="J764" s="54"/>
      <c r="N764" s="3"/>
      <c r="O764" s="3"/>
      <c r="S764" s="3"/>
      <c r="U764" s="3"/>
    </row>
    <row r="765">
      <c r="A765" s="3"/>
      <c r="B765" s="3"/>
      <c r="C765" s="3"/>
      <c r="D765" s="3"/>
      <c r="I765" s="3"/>
      <c r="J765" s="54"/>
      <c r="N765" s="3"/>
      <c r="O765" s="3"/>
      <c r="S765" s="3"/>
      <c r="U765" s="3"/>
    </row>
    <row r="766">
      <c r="A766" s="3"/>
      <c r="B766" s="3"/>
      <c r="C766" s="3"/>
      <c r="D766" s="3"/>
      <c r="I766" s="3"/>
      <c r="J766" s="54"/>
      <c r="N766" s="3"/>
      <c r="O766" s="3"/>
      <c r="S766" s="3"/>
      <c r="U766" s="3"/>
    </row>
    <row r="767">
      <c r="A767" s="3"/>
      <c r="B767" s="3"/>
      <c r="C767" s="3"/>
      <c r="D767" s="3"/>
      <c r="I767" s="3"/>
      <c r="J767" s="54"/>
      <c r="N767" s="3"/>
      <c r="O767" s="3"/>
      <c r="S767" s="3"/>
      <c r="U767" s="3"/>
    </row>
    <row r="768">
      <c r="A768" s="3"/>
      <c r="B768" s="3"/>
      <c r="C768" s="3"/>
      <c r="D768" s="3"/>
      <c r="I768" s="3"/>
      <c r="J768" s="54"/>
      <c r="N768" s="3"/>
      <c r="O768" s="3"/>
      <c r="S768" s="3"/>
      <c r="U768" s="3"/>
    </row>
    <row r="769">
      <c r="A769" s="3"/>
      <c r="B769" s="3"/>
      <c r="C769" s="3"/>
      <c r="D769" s="3"/>
      <c r="I769" s="3"/>
      <c r="J769" s="54"/>
      <c r="N769" s="3"/>
      <c r="O769" s="3"/>
      <c r="S769" s="3"/>
      <c r="U769" s="3"/>
    </row>
    <row r="770">
      <c r="A770" s="3"/>
      <c r="B770" s="3"/>
      <c r="C770" s="3"/>
      <c r="D770" s="3"/>
      <c r="I770" s="3"/>
      <c r="J770" s="54"/>
      <c r="N770" s="3"/>
      <c r="O770" s="3"/>
      <c r="S770" s="3"/>
      <c r="U770" s="3"/>
    </row>
    <row r="771">
      <c r="A771" s="3"/>
      <c r="B771" s="3"/>
      <c r="C771" s="3"/>
      <c r="D771" s="3"/>
      <c r="I771" s="3"/>
      <c r="J771" s="54"/>
      <c r="N771" s="3"/>
      <c r="O771" s="3"/>
      <c r="S771" s="3"/>
      <c r="U771" s="3"/>
    </row>
    <row r="772">
      <c r="A772" s="3"/>
      <c r="B772" s="3"/>
      <c r="C772" s="3"/>
      <c r="D772" s="3"/>
      <c r="I772" s="3"/>
      <c r="J772" s="54"/>
      <c r="N772" s="3"/>
      <c r="O772" s="3"/>
      <c r="S772" s="3"/>
      <c r="U772" s="3"/>
    </row>
    <row r="773">
      <c r="A773" s="3"/>
      <c r="B773" s="3"/>
      <c r="C773" s="3"/>
      <c r="D773" s="3"/>
      <c r="I773" s="3"/>
      <c r="J773" s="54"/>
      <c r="N773" s="3"/>
      <c r="O773" s="3"/>
      <c r="S773" s="3"/>
      <c r="U773" s="3"/>
    </row>
    <row r="774">
      <c r="A774" s="3"/>
      <c r="B774" s="3"/>
      <c r="C774" s="3"/>
      <c r="D774" s="3"/>
      <c r="I774" s="3"/>
      <c r="J774" s="54"/>
      <c r="N774" s="3"/>
      <c r="O774" s="3"/>
      <c r="S774" s="3"/>
      <c r="U774" s="3"/>
    </row>
    <row r="775">
      <c r="A775" s="3"/>
      <c r="B775" s="3"/>
      <c r="C775" s="3"/>
      <c r="D775" s="3"/>
      <c r="I775" s="3"/>
      <c r="J775" s="54"/>
      <c r="N775" s="3"/>
      <c r="O775" s="3"/>
      <c r="S775" s="3"/>
      <c r="U775" s="3"/>
    </row>
    <row r="776">
      <c r="A776" s="3"/>
      <c r="B776" s="3"/>
      <c r="C776" s="3"/>
      <c r="D776" s="3"/>
      <c r="I776" s="3"/>
      <c r="J776" s="54"/>
      <c r="N776" s="3"/>
      <c r="O776" s="3"/>
      <c r="S776" s="3"/>
      <c r="U776" s="3"/>
    </row>
    <row r="777">
      <c r="A777" s="3"/>
      <c r="B777" s="3"/>
      <c r="C777" s="3"/>
      <c r="D777" s="3"/>
      <c r="I777" s="3"/>
      <c r="J777" s="54"/>
      <c r="N777" s="3"/>
      <c r="O777" s="3"/>
      <c r="S777" s="3"/>
      <c r="U777" s="3"/>
    </row>
    <row r="778">
      <c r="A778" s="3"/>
      <c r="B778" s="3"/>
      <c r="C778" s="3"/>
      <c r="D778" s="3"/>
      <c r="I778" s="3"/>
      <c r="J778" s="54"/>
      <c r="N778" s="3"/>
      <c r="O778" s="3"/>
      <c r="S778" s="3"/>
      <c r="U778" s="3"/>
    </row>
    <row r="779">
      <c r="A779" s="3"/>
      <c r="B779" s="3"/>
      <c r="C779" s="3"/>
      <c r="D779" s="3"/>
      <c r="I779" s="3"/>
      <c r="J779" s="54"/>
      <c r="N779" s="3"/>
      <c r="O779" s="3"/>
      <c r="S779" s="3"/>
      <c r="U779" s="3"/>
    </row>
    <row r="780">
      <c r="A780" s="3"/>
      <c r="B780" s="3"/>
      <c r="C780" s="3"/>
      <c r="D780" s="3"/>
      <c r="I780" s="3"/>
      <c r="J780" s="54"/>
      <c r="N780" s="3"/>
      <c r="O780" s="3"/>
      <c r="S780" s="3"/>
      <c r="U780" s="3"/>
    </row>
    <row r="781">
      <c r="A781" s="3"/>
      <c r="B781" s="3"/>
      <c r="C781" s="3"/>
      <c r="D781" s="3"/>
      <c r="I781" s="3"/>
      <c r="J781" s="54"/>
      <c r="N781" s="3"/>
      <c r="O781" s="3"/>
      <c r="S781" s="3"/>
      <c r="U781" s="3"/>
    </row>
    <row r="782">
      <c r="A782" s="3"/>
      <c r="B782" s="3"/>
      <c r="C782" s="3"/>
      <c r="D782" s="3"/>
      <c r="I782" s="3"/>
      <c r="J782" s="54"/>
      <c r="N782" s="3"/>
      <c r="O782" s="3"/>
      <c r="S782" s="3"/>
      <c r="U782" s="3"/>
    </row>
    <row r="783">
      <c r="A783" s="3"/>
      <c r="B783" s="3"/>
      <c r="C783" s="3"/>
      <c r="D783" s="3"/>
      <c r="I783" s="3"/>
      <c r="J783" s="54"/>
      <c r="N783" s="3"/>
      <c r="O783" s="3"/>
      <c r="S783" s="3"/>
      <c r="U783" s="3"/>
    </row>
    <row r="784">
      <c r="A784" s="3"/>
      <c r="B784" s="3"/>
      <c r="C784" s="3"/>
      <c r="D784" s="3"/>
      <c r="I784" s="3"/>
      <c r="J784" s="54"/>
      <c r="N784" s="3"/>
      <c r="O784" s="3"/>
      <c r="S784" s="3"/>
      <c r="U784" s="3"/>
    </row>
    <row r="785">
      <c r="A785" s="3"/>
      <c r="B785" s="3"/>
      <c r="C785" s="3"/>
      <c r="D785" s="3"/>
      <c r="I785" s="3"/>
      <c r="J785" s="54"/>
      <c r="N785" s="3"/>
      <c r="O785" s="3"/>
      <c r="S785" s="3"/>
      <c r="U785" s="3"/>
    </row>
    <row r="786">
      <c r="A786" s="3"/>
      <c r="B786" s="3"/>
      <c r="C786" s="3"/>
      <c r="D786" s="3"/>
      <c r="I786" s="3"/>
      <c r="J786" s="54"/>
      <c r="N786" s="3"/>
      <c r="O786" s="3"/>
      <c r="S786" s="3"/>
      <c r="U786" s="3"/>
    </row>
    <row r="787">
      <c r="A787" s="3"/>
      <c r="B787" s="3"/>
      <c r="C787" s="3"/>
      <c r="D787" s="3"/>
      <c r="I787" s="3"/>
      <c r="J787" s="54"/>
      <c r="N787" s="3"/>
      <c r="O787" s="3"/>
      <c r="S787" s="3"/>
      <c r="U787" s="3"/>
    </row>
    <row r="788">
      <c r="A788" s="3"/>
      <c r="B788" s="3"/>
      <c r="C788" s="3"/>
      <c r="D788" s="3"/>
      <c r="I788" s="3"/>
      <c r="J788" s="54"/>
      <c r="N788" s="3"/>
      <c r="O788" s="3"/>
      <c r="S788" s="3"/>
      <c r="U788" s="3"/>
    </row>
    <row r="789">
      <c r="A789" s="3"/>
      <c r="B789" s="3"/>
      <c r="C789" s="3"/>
      <c r="D789" s="3"/>
      <c r="I789" s="3"/>
      <c r="J789" s="54"/>
      <c r="N789" s="3"/>
      <c r="O789" s="3"/>
      <c r="S789" s="3"/>
      <c r="U789" s="3"/>
    </row>
    <row r="790">
      <c r="A790" s="3"/>
      <c r="B790" s="3"/>
      <c r="C790" s="3"/>
      <c r="D790" s="3"/>
      <c r="I790" s="3"/>
      <c r="J790" s="54"/>
      <c r="N790" s="3"/>
      <c r="O790" s="3"/>
      <c r="S790" s="3"/>
      <c r="U790" s="3"/>
    </row>
    <row r="791">
      <c r="A791" s="3"/>
      <c r="B791" s="3"/>
      <c r="C791" s="3"/>
      <c r="D791" s="3"/>
      <c r="I791" s="3"/>
      <c r="J791" s="54"/>
      <c r="N791" s="3"/>
      <c r="O791" s="3"/>
      <c r="S791" s="3"/>
      <c r="U791" s="3"/>
    </row>
    <row r="792">
      <c r="A792" s="3"/>
      <c r="B792" s="3"/>
      <c r="C792" s="3"/>
      <c r="D792" s="3"/>
      <c r="I792" s="3"/>
      <c r="J792" s="54"/>
      <c r="N792" s="3"/>
      <c r="O792" s="3"/>
      <c r="S792" s="3"/>
      <c r="U792" s="3"/>
    </row>
    <row r="793">
      <c r="A793" s="3"/>
      <c r="B793" s="3"/>
      <c r="C793" s="3"/>
      <c r="D793" s="3"/>
      <c r="I793" s="3"/>
      <c r="J793" s="54"/>
      <c r="N793" s="3"/>
      <c r="O793" s="3"/>
      <c r="S793" s="3"/>
      <c r="U793" s="3"/>
    </row>
    <row r="794">
      <c r="A794" s="3"/>
      <c r="B794" s="3"/>
      <c r="C794" s="3"/>
      <c r="D794" s="3"/>
      <c r="I794" s="3"/>
      <c r="J794" s="54"/>
      <c r="N794" s="3"/>
      <c r="O794" s="3"/>
      <c r="S794" s="3"/>
      <c r="U794" s="3"/>
    </row>
    <row r="795">
      <c r="A795" s="3"/>
      <c r="B795" s="3"/>
      <c r="C795" s="3"/>
      <c r="D795" s="3"/>
      <c r="I795" s="3"/>
      <c r="J795" s="54"/>
      <c r="N795" s="3"/>
      <c r="O795" s="3"/>
      <c r="S795" s="3"/>
      <c r="U795" s="3"/>
    </row>
    <row r="796">
      <c r="A796" s="3"/>
      <c r="B796" s="3"/>
      <c r="C796" s="3"/>
      <c r="D796" s="3"/>
      <c r="I796" s="3"/>
      <c r="J796" s="54"/>
      <c r="N796" s="3"/>
      <c r="O796" s="3"/>
      <c r="S796" s="3"/>
      <c r="U796" s="3"/>
    </row>
    <row r="797">
      <c r="A797" s="3"/>
      <c r="B797" s="3"/>
      <c r="C797" s="3"/>
      <c r="D797" s="3"/>
      <c r="I797" s="3"/>
      <c r="J797" s="54"/>
      <c r="N797" s="3"/>
      <c r="O797" s="3"/>
      <c r="S797" s="3"/>
      <c r="U797" s="3"/>
    </row>
    <row r="798">
      <c r="A798" s="3"/>
      <c r="B798" s="3"/>
      <c r="C798" s="3"/>
      <c r="D798" s="3"/>
      <c r="I798" s="3"/>
      <c r="J798" s="54"/>
      <c r="N798" s="3"/>
      <c r="O798" s="3"/>
      <c r="S798" s="3"/>
      <c r="U798" s="3"/>
    </row>
    <row r="799">
      <c r="A799" s="3"/>
      <c r="B799" s="3"/>
      <c r="C799" s="3"/>
      <c r="D799" s="3"/>
      <c r="I799" s="3"/>
      <c r="J799" s="54"/>
      <c r="N799" s="3"/>
      <c r="O799" s="3"/>
      <c r="S799" s="3"/>
      <c r="U799" s="3"/>
    </row>
    <row r="800">
      <c r="A800" s="3"/>
      <c r="B800" s="3"/>
      <c r="C800" s="3"/>
      <c r="D800" s="3"/>
      <c r="I800" s="3"/>
      <c r="J800" s="54"/>
      <c r="N800" s="3"/>
      <c r="O800" s="3"/>
      <c r="S800" s="3"/>
      <c r="U800" s="3"/>
    </row>
    <row r="801">
      <c r="A801" s="3"/>
      <c r="B801" s="3"/>
      <c r="C801" s="3"/>
      <c r="D801" s="3"/>
      <c r="I801" s="3"/>
      <c r="J801" s="54"/>
      <c r="N801" s="3"/>
      <c r="O801" s="3"/>
      <c r="S801" s="3"/>
      <c r="U801" s="3"/>
    </row>
    <row r="802">
      <c r="A802" s="3"/>
      <c r="B802" s="3"/>
      <c r="C802" s="3"/>
      <c r="D802" s="3"/>
      <c r="I802" s="3"/>
      <c r="J802" s="54"/>
      <c r="N802" s="3"/>
      <c r="O802" s="3"/>
      <c r="S802" s="3"/>
      <c r="U802" s="3"/>
    </row>
    <row r="803">
      <c r="A803" s="3"/>
      <c r="B803" s="3"/>
      <c r="C803" s="3"/>
      <c r="D803" s="3"/>
      <c r="I803" s="3"/>
      <c r="J803" s="54"/>
      <c r="N803" s="3"/>
      <c r="O803" s="3"/>
      <c r="S803" s="3"/>
      <c r="U803" s="3"/>
    </row>
    <row r="804">
      <c r="A804" s="3"/>
      <c r="B804" s="3"/>
      <c r="C804" s="3"/>
      <c r="D804" s="3"/>
      <c r="I804" s="3"/>
      <c r="J804" s="54"/>
      <c r="N804" s="3"/>
      <c r="O804" s="3"/>
      <c r="S804" s="3"/>
      <c r="U804" s="3"/>
    </row>
    <row r="805">
      <c r="A805" s="3"/>
      <c r="B805" s="3"/>
      <c r="C805" s="3"/>
      <c r="D805" s="3"/>
      <c r="I805" s="3"/>
      <c r="J805" s="54"/>
      <c r="N805" s="3"/>
      <c r="O805" s="3"/>
      <c r="S805" s="3"/>
      <c r="U805" s="3"/>
    </row>
    <row r="806">
      <c r="A806" s="3"/>
      <c r="B806" s="3"/>
      <c r="C806" s="3"/>
      <c r="D806" s="3"/>
      <c r="I806" s="3"/>
      <c r="J806" s="54"/>
      <c r="N806" s="3"/>
      <c r="O806" s="3"/>
      <c r="S806" s="3"/>
      <c r="U806" s="3"/>
    </row>
    <row r="807">
      <c r="A807" s="3"/>
      <c r="B807" s="3"/>
      <c r="C807" s="3"/>
      <c r="D807" s="3"/>
      <c r="I807" s="3"/>
      <c r="J807" s="54"/>
      <c r="N807" s="3"/>
      <c r="O807" s="3"/>
      <c r="S807" s="3"/>
      <c r="U807" s="3"/>
    </row>
    <row r="808">
      <c r="A808" s="3"/>
      <c r="B808" s="3"/>
      <c r="C808" s="3"/>
      <c r="D808" s="3"/>
      <c r="I808" s="3"/>
      <c r="J808" s="54"/>
      <c r="N808" s="3"/>
      <c r="O808" s="3"/>
      <c r="S808" s="3"/>
      <c r="U808" s="3"/>
    </row>
    <row r="809">
      <c r="A809" s="3"/>
      <c r="B809" s="3"/>
      <c r="C809" s="3"/>
      <c r="D809" s="3"/>
      <c r="I809" s="3"/>
      <c r="J809" s="54"/>
      <c r="N809" s="3"/>
      <c r="O809" s="3"/>
      <c r="S809" s="3"/>
      <c r="U809" s="3"/>
    </row>
    <row r="810">
      <c r="A810" s="3"/>
      <c r="B810" s="3"/>
      <c r="C810" s="3"/>
      <c r="D810" s="3"/>
      <c r="I810" s="3"/>
      <c r="J810" s="54"/>
      <c r="N810" s="3"/>
      <c r="O810" s="3"/>
      <c r="S810" s="3"/>
      <c r="U810" s="3"/>
    </row>
    <row r="811">
      <c r="A811" s="3"/>
      <c r="B811" s="3"/>
      <c r="C811" s="3"/>
      <c r="D811" s="3"/>
      <c r="I811" s="3"/>
      <c r="J811" s="54"/>
      <c r="N811" s="3"/>
      <c r="O811" s="3"/>
      <c r="S811" s="3"/>
      <c r="U811" s="3"/>
    </row>
    <row r="812">
      <c r="A812" s="3"/>
      <c r="B812" s="3"/>
      <c r="C812" s="3"/>
      <c r="D812" s="3"/>
      <c r="I812" s="3"/>
      <c r="J812" s="54"/>
      <c r="N812" s="3"/>
      <c r="O812" s="3"/>
      <c r="S812" s="3"/>
      <c r="U812" s="3"/>
    </row>
    <row r="813">
      <c r="A813" s="3"/>
      <c r="B813" s="3"/>
      <c r="C813" s="3"/>
      <c r="D813" s="3"/>
      <c r="I813" s="3"/>
      <c r="J813" s="54"/>
      <c r="N813" s="3"/>
      <c r="O813" s="3"/>
      <c r="S813" s="3"/>
      <c r="U813" s="3"/>
    </row>
    <row r="814">
      <c r="A814" s="3"/>
      <c r="B814" s="3"/>
      <c r="C814" s="3"/>
      <c r="D814" s="3"/>
      <c r="I814" s="3"/>
      <c r="J814" s="54"/>
      <c r="N814" s="3"/>
      <c r="O814" s="3"/>
      <c r="S814" s="3"/>
      <c r="U814" s="3"/>
    </row>
    <row r="815">
      <c r="A815" s="3"/>
      <c r="B815" s="3"/>
      <c r="C815" s="3"/>
      <c r="D815" s="3"/>
      <c r="I815" s="3"/>
      <c r="J815" s="54"/>
      <c r="N815" s="3"/>
      <c r="O815" s="3"/>
      <c r="S815" s="3"/>
      <c r="U815" s="3"/>
    </row>
    <row r="816">
      <c r="A816" s="3"/>
      <c r="B816" s="3"/>
      <c r="C816" s="3"/>
      <c r="D816" s="3"/>
      <c r="I816" s="3"/>
      <c r="J816" s="54"/>
      <c r="N816" s="3"/>
      <c r="O816" s="3"/>
      <c r="S816" s="3"/>
      <c r="U816" s="3"/>
    </row>
    <row r="817">
      <c r="A817" s="3"/>
      <c r="B817" s="3"/>
      <c r="C817" s="3"/>
      <c r="D817" s="3"/>
      <c r="I817" s="3"/>
      <c r="J817" s="54"/>
      <c r="N817" s="3"/>
      <c r="O817" s="3"/>
      <c r="S817" s="3"/>
      <c r="U817" s="3"/>
    </row>
    <row r="818">
      <c r="A818" s="3"/>
      <c r="B818" s="3"/>
      <c r="C818" s="3"/>
      <c r="D818" s="3"/>
      <c r="I818" s="3"/>
      <c r="J818" s="54"/>
      <c r="N818" s="3"/>
      <c r="O818" s="3"/>
      <c r="S818" s="3"/>
      <c r="U818" s="3"/>
    </row>
    <row r="819">
      <c r="A819" s="3"/>
      <c r="B819" s="3"/>
      <c r="C819" s="3"/>
      <c r="D819" s="3"/>
      <c r="I819" s="3"/>
      <c r="J819" s="54"/>
      <c r="N819" s="3"/>
      <c r="O819" s="3"/>
      <c r="S819" s="3"/>
      <c r="U819" s="3"/>
    </row>
    <row r="820">
      <c r="A820" s="3"/>
      <c r="B820" s="3"/>
      <c r="C820" s="3"/>
      <c r="D820" s="3"/>
      <c r="I820" s="3"/>
      <c r="J820" s="54"/>
      <c r="N820" s="3"/>
      <c r="O820" s="3"/>
      <c r="S820" s="3"/>
      <c r="U820" s="3"/>
    </row>
    <row r="821">
      <c r="A821" s="3"/>
      <c r="B821" s="3"/>
      <c r="C821" s="3"/>
      <c r="D821" s="3"/>
      <c r="I821" s="3"/>
      <c r="J821" s="54"/>
      <c r="N821" s="3"/>
      <c r="O821" s="3"/>
      <c r="S821" s="3"/>
      <c r="U821" s="3"/>
    </row>
    <row r="822">
      <c r="A822" s="3"/>
      <c r="B822" s="3"/>
      <c r="C822" s="3"/>
      <c r="D822" s="3"/>
      <c r="I822" s="3"/>
      <c r="J822" s="54"/>
      <c r="N822" s="3"/>
      <c r="O822" s="3"/>
      <c r="S822" s="3"/>
      <c r="U822" s="3"/>
    </row>
    <row r="823">
      <c r="A823" s="3"/>
      <c r="B823" s="3"/>
      <c r="C823" s="3"/>
      <c r="D823" s="3"/>
      <c r="I823" s="3"/>
      <c r="J823" s="54"/>
      <c r="N823" s="3"/>
      <c r="O823" s="3"/>
      <c r="S823" s="3"/>
      <c r="U823" s="3"/>
    </row>
    <row r="824">
      <c r="A824" s="3"/>
      <c r="B824" s="3"/>
      <c r="C824" s="3"/>
      <c r="D824" s="3"/>
      <c r="I824" s="3"/>
      <c r="J824" s="54"/>
      <c r="N824" s="3"/>
      <c r="O824" s="3"/>
      <c r="S824" s="3"/>
      <c r="U824" s="3"/>
    </row>
    <row r="825">
      <c r="A825" s="3"/>
      <c r="B825" s="3"/>
      <c r="C825" s="3"/>
      <c r="D825" s="3"/>
      <c r="I825" s="3"/>
      <c r="J825" s="54"/>
      <c r="N825" s="3"/>
      <c r="O825" s="3"/>
      <c r="S825" s="3"/>
      <c r="U825" s="3"/>
    </row>
    <row r="826">
      <c r="A826" s="3"/>
      <c r="B826" s="3"/>
      <c r="C826" s="3"/>
      <c r="D826" s="3"/>
      <c r="I826" s="3"/>
      <c r="J826" s="54"/>
      <c r="N826" s="3"/>
      <c r="O826" s="3"/>
      <c r="S826" s="3"/>
      <c r="U826" s="3"/>
    </row>
    <row r="827">
      <c r="A827" s="3"/>
      <c r="B827" s="3"/>
      <c r="C827" s="3"/>
      <c r="D827" s="3"/>
      <c r="I827" s="3"/>
      <c r="J827" s="54"/>
      <c r="N827" s="3"/>
      <c r="O827" s="3"/>
      <c r="S827" s="3"/>
      <c r="U827" s="3"/>
    </row>
    <row r="828">
      <c r="A828" s="3"/>
      <c r="B828" s="3"/>
      <c r="C828" s="3"/>
      <c r="D828" s="3"/>
      <c r="I828" s="3"/>
      <c r="J828" s="54"/>
      <c r="N828" s="3"/>
      <c r="O828" s="3"/>
      <c r="S828" s="3"/>
      <c r="U828" s="3"/>
    </row>
    <row r="829">
      <c r="A829" s="3"/>
      <c r="B829" s="3"/>
      <c r="C829" s="3"/>
      <c r="D829" s="3"/>
      <c r="I829" s="3"/>
      <c r="J829" s="54"/>
      <c r="N829" s="3"/>
      <c r="O829" s="3"/>
      <c r="S829" s="3"/>
      <c r="U829" s="3"/>
    </row>
    <row r="830">
      <c r="A830" s="3"/>
      <c r="B830" s="3"/>
      <c r="C830" s="3"/>
      <c r="D830" s="3"/>
      <c r="I830" s="3"/>
      <c r="J830" s="54"/>
      <c r="N830" s="3"/>
      <c r="O830" s="3"/>
      <c r="S830" s="3"/>
      <c r="U830" s="3"/>
    </row>
    <row r="831">
      <c r="A831" s="3"/>
      <c r="B831" s="3"/>
      <c r="C831" s="3"/>
      <c r="D831" s="3"/>
      <c r="I831" s="3"/>
      <c r="J831" s="54"/>
      <c r="N831" s="3"/>
      <c r="O831" s="3"/>
      <c r="S831" s="3"/>
      <c r="U831" s="3"/>
    </row>
    <row r="832">
      <c r="A832" s="3"/>
      <c r="B832" s="3"/>
      <c r="C832" s="3"/>
      <c r="D832" s="3"/>
      <c r="I832" s="3"/>
      <c r="J832" s="54"/>
      <c r="N832" s="3"/>
      <c r="O832" s="3"/>
      <c r="S832" s="3"/>
      <c r="U832" s="3"/>
    </row>
    <row r="833">
      <c r="A833" s="3"/>
      <c r="B833" s="3"/>
      <c r="C833" s="3"/>
      <c r="D833" s="3"/>
      <c r="I833" s="3"/>
      <c r="J833" s="54"/>
      <c r="N833" s="3"/>
      <c r="O833" s="3"/>
      <c r="S833" s="3"/>
      <c r="U833" s="3"/>
    </row>
    <row r="834">
      <c r="A834" s="3"/>
      <c r="B834" s="3"/>
      <c r="C834" s="3"/>
      <c r="D834" s="3"/>
      <c r="I834" s="3"/>
      <c r="J834" s="54"/>
      <c r="N834" s="3"/>
      <c r="O834" s="3"/>
      <c r="S834" s="3"/>
      <c r="U834" s="3"/>
    </row>
    <row r="835">
      <c r="A835" s="3"/>
      <c r="B835" s="3"/>
      <c r="C835" s="3"/>
      <c r="D835" s="3"/>
      <c r="I835" s="3"/>
      <c r="J835" s="54"/>
      <c r="N835" s="3"/>
      <c r="O835" s="3"/>
      <c r="S835" s="3"/>
      <c r="U835" s="3"/>
    </row>
    <row r="836">
      <c r="A836" s="3"/>
      <c r="B836" s="3"/>
      <c r="C836" s="3"/>
      <c r="D836" s="3"/>
      <c r="I836" s="3"/>
      <c r="J836" s="54"/>
      <c r="N836" s="3"/>
      <c r="O836" s="3"/>
      <c r="S836" s="3"/>
      <c r="U836" s="3"/>
    </row>
    <row r="837">
      <c r="A837" s="3"/>
      <c r="B837" s="3"/>
      <c r="C837" s="3"/>
      <c r="D837" s="3"/>
      <c r="I837" s="3"/>
      <c r="J837" s="54"/>
      <c r="N837" s="3"/>
      <c r="O837" s="3"/>
      <c r="S837" s="3"/>
      <c r="U837" s="3"/>
    </row>
    <row r="838">
      <c r="A838" s="3"/>
      <c r="B838" s="3"/>
      <c r="C838" s="3"/>
      <c r="D838" s="3"/>
      <c r="I838" s="3"/>
      <c r="J838" s="54"/>
      <c r="N838" s="3"/>
      <c r="O838" s="3"/>
      <c r="S838" s="3"/>
      <c r="U838" s="3"/>
    </row>
    <row r="839">
      <c r="A839" s="3"/>
      <c r="B839" s="3"/>
      <c r="C839" s="3"/>
      <c r="D839" s="3"/>
      <c r="I839" s="3"/>
      <c r="J839" s="54"/>
      <c r="N839" s="3"/>
      <c r="O839" s="3"/>
      <c r="S839" s="3"/>
      <c r="U839" s="3"/>
    </row>
    <row r="840">
      <c r="A840" s="3"/>
      <c r="B840" s="3"/>
      <c r="C840" s="3"/>
      <c r="D840" s="3"/>
      <c r="I840" s="3"/>
      <c r="J840" s="54"/>
      <c r="N840" s="3"/>
      <c r="O840" s="3"/>
      <c r="S840" s="3"/>
      <c r="U840" s="3"/>
    </row>
    <row r="841">
      <c r="A841" s="3"/>
      <c r="B841" s="3"/>
      <c r="C841" s="3"/>
      <c r="D841" s="3"/>
      <c r="I841" s="3"/>
      <c r="J841" s="54"/>
      <c r="N841" s="3"/>
      <c r="O841" s="3"/>
      <c r="S841" s="3"/>
      <c r="U841" s="3"/>
    </row>
    <row r="842">
      <c r="A842" s="3"/>
      <c r="B842" s="3"/>
      <c r="C842" s="3"/>
      <c r="D842" s="3"/>
      <c r="I842" s="3"/>
      <c r="J842" s="54"/>
      <c r="N842" s="3"/>
      <c r="O842" s="3"/>
      <c r="S842" s="3"/>
      <c r="U842" s="3"/>
    </row>
    <row r="843">
      <c r="A843" s="3"/>
      <c r="B843" s="3"/>
      <c r="C843" s="3"/>
      <c r="D843" s="3"/>
      <c r="I843" s="3"/>
      <c r="J843" s="54"/>
      <c r="N843" s="3"/>
      <c r="O843" s="3"/>
      <c r="S843" s="3"/>
      <c r="U843" s="3"/>
    </row>
    <row r="844">
      <c r="A844" s="3"/>
      <c r="B844" s="3"/>
      <c r="C844" s="3"/>
      <c r="D844" s="3"/>
      <c r="I844" s="3"/>
      <c r="J844" s="54"/>
      <c r="N844" s="3"/>
      <c r="O844" s="3"/>
      <c r="S844" s="3"/>
      <c r="U844" s="3"/>
    </row>
    <row r="845">
      <c r="A845" s="3"/>
      <c r="B845" s="3"/>
      <c r="C845" s="3"/>
      <c r="D845" s="3"/>
      <c r="I845" s="3"/>
      <c r="J845" s="54"/>
      <c r="N845" s="3"/>
      <c r="O845" s="3"/>
      <c r="S845" s="3"/>
      <c r="U845" s="3"/>
    </row>
    <row r="846">
      <c r="A846" s="3"/>
      <c r="B846" s="3"/>
      <c r="C846" s="3"/>
      <c r="D846" s="3"/>
      <c r="I846" s="3"/>
      <c r="J846" s="54"/>
      <c r="N846" s="3"/>
      <c r="O846" s="3"/>
      <c r="S846" s="3"/>
      <c r="U846" s="3"/>
    </row>
    <row r="847">
      <c r="A847" s="3"/>
      <c r="B847" s="3"/>
      <c r="C847" s="3"/>
      <c r="D847" s="3"/>
      <c r="I847" s="3"/>
      <c r="J847" s="54"/>
      <c r="N847" s="3"/>
      <c r="O847" s="3"/>
      <c r="S847" s="3"/>
      <c r="U847" s="3"/>
    </row>
    <row r="848">
      <c r="A848" s="3"/>
      <c r="B848" s="3"/>
      <c r="C848" s="3"/>
      <c r="D848" s="3"/>
      <c r="I848" s="3"/>
      <c r="J848" s="54"/>
      <c r="N848" s="3"/>
      <c r="O848" s="3"/>
      <c r="S848" s="3"/>
      <c r="U848" s="3"/>
    </row>
    <row r="849">
      <c r="A849" s="3"/>
      <c r="B849" s="3"/>
      <c r="C849" s="3"/>
      <c r="D849" s="3"/>
      <c r="I849" s="3"/>
      <c r="J849" s="54"/>
      <c r="N849" s="3"/>
      <c r="O849" s="3"/>
      <c r="S849" s="3"/>
      <c r="U849" s="3"/>
    </row>
    <row r="850">
      <c r="A850" s="3"/>
      <c r="B850" s="3"/>
      <c r="C850" s="3"/>
      <c r="D850" s="3"/>
      <c r="I850" s="3"/>
      <c r="J850" s="54"/>
      <c r="N850" s="3"/>
      <c r="O850" s="3"/>
      <c r="S850" s="3"/>
      <c r="U850" s="3"/>
    </row>
    <row r="851">
      <c r="A851" s="3"/>
      <c r="B851" s="3"/>
      <c r="C851" s="3"/>
      <c r="D851" s="3"/>
      <c r="I851" s="3"/>
      <c r="J851" s="54"/>
      <c r="N851" s="3"/>
      <c r="O851" s="3"/>
      <c r="S851" s="3"/>
      <c r="U851" s="3"/>
    </row>
    <row r="852">
      <c r="A852" s="3"/>
      <c r="B852" s="3"/>
      <c r="C852" s="3"/>
      <c r="D852" s="3"/>
      <c r="I852" s="3"/>
      <c r="J852" s="54"/>
      <c r="N852" s="3"/>
      <c r="O852" s="3"/>
      <c r="S852" s="3"/>
      <c r="U852" s="3"/>
    </row>
    <row r="853">
      <c r="A853" s="3"/>
      <c r="B853" s="3"/>
      <c r="C853" s="3"/>
      <c r="D853" s="3"/>
      <c r="I853" s="3"/>
      <c r="J853" s="54"/>
      <c r="N853" s="3"/>
      <c r="O853" s="3"/>
      <c r="S853" s="3"/>
      <c r="U853" s="3"/>
    </row>
    <row r="854">
      <c r="A854" s="3"/>
      <c r="B854" s="3"/>
      <c r="C854" s="3"/>
      <c r="D854" s="3"/>
      <c r="I854" s="3"/>
      <c r="J854" s="54"/>
      <c r="N854" s="3"/>
      <c r="O854" s="3"/>
      <c r="S854" s="3"/>
      <c r="U854" s="3"/>
    </row>
    <row r="855">
      <c r="A855" s="3"/>
      <c r="B855" s="3"/>
      <c r="C855" s="3"/>
      <c r="D855" s="3"/>
      <c r="I855" s="3"/>
      <c r="J855" s="54"/>
      <c r="N855" s="3"/>
      <c r="O855" s="3"/>
      <c r="S855" s="3"/>
      <c r="U855" s="3"/>
    </row>
    <row r="856">
      <c r="A856" s="3"/>
      <c r="B856" s="3"/>
      <c r="C856" s="3"/>
      <c r="D856" s="3"/>
      <c r="I856" s="3"/>
      <c r="J856" s="54"/>
      <c r="N856" s="3"/>
      <c r="O856" s="3"/>
      <c r="S856" s="3"/>
      <c r="U856" s="3"/>
    </row>
    <row r="857">
      <c r="A857" s="3"/>
      <c r="B857" s="3"/>
      <c r="C857" s="3"/>
      <c r="D857" s="3"/>
      <c r="I857" s="3"/>
      <c r="J857" s="54"/>
      <c r="N857" s="3"/>
      <c r="O857" s="3"/>
      <c r="S857" s="3"/>
      <c r="U857" s="3"/>
    </row>
    <row r="858">
      <c r="A858" s="3"/>
      <c r="B858" s="3"/>
      <c r="C858" s="3"/>
      <c r="D858" s="3"/>
      <c r="I858" s="3"/>
      <c r="J858" s="54"/>
      <c r="N858" s="3"/>
      <c r="O858" s="3"/>
      <c r="S858" s="3"/>
      <c r="U858" s="3"/>
    </row>
    <row r="859">
      <c r="A859" s="3"/>
      <c r="B859" s="3"/>
      <c r="C859" s="3"/>
      <c r="D859" s="3"/>
      <c r="I859" s="3"/>
      <c r="J859" s="54"/>
      <c r="N859" s="3"/>
      <c r="O859" s="3"/>
      <c r="S859" s="3"/>
      <c r="U859" s="3"/>
    </row>
    <row r="860">
      <c r="A860" s="3"/>
      <c r="B860" s="3"/>
      <c r="C860" s="3"/>
      <c r="D860" s="3"/>
      <c r="I860" s="3"/>
      <c r="J860" s="54"/>
      <c r="N860" s="3"/>
      <c r="O860" s="3"/>
      <c r="S860" s="3"/>
      <c r="U860" s="3"/>
    </row>
    <row r="861">
      <c r="A861" s="3"/>
      <c r="B861" s="3"/>
      <c r="C861" s="3"/>
      <c r="D861" s="3"/>
      <c r="I861" s="3"/>
      <c r="J861" s="54"/>
      <c r="N861" s="3"/>
      <c r="O861" s="3"/>
      <c r="S861" s="3"/>
      <c r="U861" s="3"/>
    </row>
    <row r="862">
      <c r="A862" s="3"/>
      <c r="B862" s="3"/>
      <c r="C862" s="3"/>
      <c r="D862" s="3"/>
      <c r="I862" s="3"/>
      <c r="J862" s="54"/>
      <c r="N862" s="3"/>
      <c r="O862" s="3"/>
      <c r="S862" s="3"/>
      <c r="U862" s="3"/>
    </row>
    <row r="863">
      <c r="A863" s="3"/>
      <c r="B863" s="3"/>
      <c r="C863" s="3"/>
      <c r="D863" s="3"/>
      <c r="I863" s="3"/>
      <c r="J863" s="54"/>
      <c r="N863" s="3"/>
      <c r="O863" s="3"/>
      <c r="S863" s="3"/>
      <c r="U863" s="3"/>
    </row>
    <row r="864">
      <c r="A864" s="3"/>
      <c r="B864" s="3"/>
      <c r="C864" s="3"/>
      <c r="D864" s="3"/>
      <c r="I864" s="3"/>
      <c r="J864" s="54"/>
      <c r="N864" s="3"/>
      <c r="O864" s="3"/>
      <c r="S864" s="3"/>
      <c r="U864" s="3"/>
    </row>
    <row r="865">
      <c r="A865" s="3"/>
      <c r="B865" s="3"/>
      <c r="C865" s="3"/>
      <c r="D865" s="3"/>
      <c r="I865" s="3"/>
      <c r="J865" s="54"/>
      <c r="N865" s="3"/>
      <c r="O865" s="3"/>
      <c r="S865" s="3"/>
      <c r="U865" s="3"/>
    </row>
    <row r="866">
      <c r="A866" s="3"/>
      <c r="B866" s="3"/>
      <c r="C866" s="3"/>
      <c r="D866" s="3"/>
      <c r="I866" s="3"/>
      <c r="J866" s="54"/>
      <c r="N866" s="3"/>
      <c r="O866" s="3"/>
      <c r="S866" s="3"/>
      <c r="U866" s="3"/>
    </row>
    <row r="867">
      <c r="A867" s="3"/>
      <c r="B867" s="3"/>
      <c r="C867" s="3"/>
      <c r="D867" s="3"/>
      <c r="I867" s="3"/>
      <c r="J867" s="54"/>
      <c r="N867" s="3"/>
      <c r="O867" s="3"/>
      <c r="S867" s="3"/>
      <c r="U867" s="3"/>
    </row>
    <row r="868">
      <c r="A868" s="3"/>
      <c r="B868" s="3"/>
      <c r="C868" s="3"/>
      <c r="D868" s="3"/>
      <c r="I868" s="3"/>
      <c r="J868" s="54"/>
      <c r="N868" s="3"/>
      <c r="O868" s="3"/>
      <c r="S868" s="3"/>
      <c r="U868" s="3"/>
    </row>
    <row r="869">
      <c r="A869" s="3"/>
      <c r="B869" s="3"/>
      <c r="C869" s="3"/>
      <c r="D869" s="3"/>
      <c r="I869" s="3"/>
      <c r="J869" s="54"/>
      <c r="N869" s="3"/>
      <c r="O869" s="3"/>
      <c r="S869" s="3"/>
      <c r="U869" s="3"/>
    </row>
    <row r="870">
      <c r="A870" s="3"/>
      <c r="B870" s="3"/>
      <c r="C870" s="3"/>
      <c r="D870" s="3"/>
      <c r="I870" s="3"/>
      <c r="J870" s="54"/>
      <c r="N870" s="3"/>
      <c r="O870" s="3"/>
      <c r="S870" s="3"/>
      <c r="U870" s="3"/>
    </row>
    <row r="871">
      <c r="A871" s="3"/>
      <c r="B871" s="3"/>
      <c r="C871" s="3"/>
      <c r="D871" s="3"/>
      <c r="I871" s="3"/>
      <c r="J871" s="54"/>
      <c r="N871" s="3"/>
      <c r="O871" s="3"/>
      <c r="S871" s="3"/>
      <c r="U871" s="3"/>
    </row>
    <row r="872">
      <c r="A872" s="3"/>
      <c r="B872" s="3"/>
      <c r="C872" s="3"/>
      <c r="D872" s="3"/>
      <c r="I872" s="3"/>
      <c r="J872" s="54"/>
      <c r="N872" s="3"/>
      <c r="O872" s="3"/>
      <c r="S872" s="3"/>
      <c r="U872" s="3"/>
    </row>
    <row r="873">
      <c r="A873" s="3"/>
      <c r="B873" s="3"/>
      <c r="C873" s="3"/>
      <c r="D873" s="3"/>
      <c r="I873" s="3"/>
      <c r="J873" s="54"/>
      <c r="N873" s="3"/>
      <c r="O873" s="3"/>
      <c r="S873" s="3"/>
      <c r="U873" s="3"/>
    </row>
    <row r="874">
      <c r="A874" s="3"/>
      <c r="B874" s="3"/>
      <c r="C874" s="3"/>
      <c r="D874" s="3"/>
      <c r="I874" s="3"/>
      <c r="J874" s="54"/>
      <c r="N874" s="3"/>
      <c r="O874" s="3"/>
      <c r="S874" s="3"/>
      <c r="U874" s="3"/>
    </row>
    <row r="875">
      <c r="A875" s="3"/>
      <c r="B875" s="3"/>
      <c r="C875" s="3"/>
      <c r="D875" s="3"/>
      <c r="I875" s="3"/>
      <c r="J875" s="54"/>
      <c r="N875" s="3"/>
      <c r="O875" s="3"/>
      <c r="S875" s="3"/>
      <c r="U875" s="3"/>
    </row>
    <row r="876">
      <c r="A876" s="3"/>
      <c r="B876" s="3"/>
      <c r="C876" s="3"/>
      <c r="D876" s="3"/>
      <c r="I876" s="3"/>
      <c r="J876" s="54"/>
      <c r="N876" s="3"/>
      <c r="O876" s="3"/>
      <c r="S876" s="3"/>
      <c r="U876" s="3"/>
    </row>
    <row r="877">
      <c r="A877" s="3"/>
      <c r="B877" s="3"/>
      <c r="C877" s="3"/>
      <c r="D877" s="3"/>
      <c r="I877" s="3"/>
      <c r="J877" s="54"/>
      <c r="N877" s="3"/>
      <c r="O877" s="3"/>
      <c r="S877" s="3"/>
      <c r="U877" s="3"/>
    </row>
    <row r="878">
      <c r="A878" s="3"/>
      <c r="B878" s="3"/>
      <c r="C878" s="3"/>
      <c r="D878" s="3"/>
      <c r="I878" s="3"/>
      <c r="J878" s="54"/>
      <c r="N878" s="3"/>
      <c r="O878" s="3"/>
      <c r="S878" s="3"/>
      <c r="U878" s="3"/>
    </row>
    <row r="879">
      <c r="A879" s="3"/>
      <c r="B879" s="3"/>
      <c r="C879" s="3"/>
      <c r="D879" s="3"/>
      <c r="I879" s="3"/>
      <c r="J879" s="54"/>
      <c r="N879" s="3"/>
      <c r="O879" s="3"/>
      <c r="S879" s="3"/>
      <c r="U879" s="3"/>
    </row>
    <row r="880">
      <c r="A880" s="3"/>
      <c r="B880" s="3"/>
      <c r="C880" s="3"/>
      <c r="D880" s="3"/>
      <c r="I880" s="3"/>
      <c r="J880" s="54"/>
      <c r="N880" s="3"/>
      <c r="O880" s="3"/>
      <c r="S880" s="3"/>
      <c r="U880" s="3"/>
    </row>
    <row r="881">
      <c r="A881" s="3"/>
      <c r="B881" s="3"/>
      <c r="C881" s="3"/>
      <c r="D881" s="3"/>
      <c r="I881" s="3"/>
      <c r="J881" s="54"/>
      <c r="N881" s="3"/>
      <c r="O881" s="3"/>
      <c r="S881" s="3"/>
      <c r="U881" s="3"/>
    </row>
    <row r="882">
      <c r="A882" s="3"/>
      <c r="B882" s="3"/>
      <c r="C882" s="3"/>
      <c r="D882" s="3"/>
      <c r="I882" s="3"/>
      <c r="J882" s="54"/>
      <c r="N882" s="3"/>
      <c r="O882" s="3"/>
      <c r="S882" s="3"/>
      <c r="U882" s="3"/>
    </row>
    <row r="883">
      <c r="A883" s="3"/>
      <c r="B883" s="3"/>
      <c r="C883" s="3"/>
      <c r="D883" s="3"/>
      <c r="I883" s="3"/>
      <c r="J883" s="54"/>
      <c r="N883" s="3"/>
      <c r="O883" s="3"/>
      <c r="S883" s="3"/>
      <c r="U883" s="3"/>
    </row>
    <row r="884">
      <c r="A884" s="3"/>
      <c r="B884" s="3"/>
      <c r="C884" s="3"/>
      <c r="D884" s="3"/>
      <c r="I884" s="3"/>
      <c r="J884" s="54"/>
      <c r="N884" s="3"/>
      <c r="O884" s="3"/>
      <c r="S884" s="3"/>
      <c r="U884" s="3"/>
    </row>
    <row r="885">
      <c r="A885" s="3"/>
      <c r="B885" s="3"/>
      <c r="C885" s="3"/>
      <c r="D885" s="3"/>
      <c r="I885" s="3"/>
      <c r="J885" s="54"/>
      <c r="N885" s="3"/>
      <c r="O885" s="3"/>
      <c r="S885" s="3"/>
      <c r="U885" s="3"/>
    </row>
    <row r="886">
      <c r="A886" s="3"/>
      <c r="B886" s="3"/>
      <c r="C886" s="3"/>
      <c r="D886" s="3"/>
      <c r="I886" s="3"/>
      <c r="J886" s="54"/>
      <c r="N886" s="3"/>
      <c r="O886" s="3"/>
      <c r="S886" s="3"/>
      <c r="U886" s="3"/>
    </row>
    <row r="887">
      <c r="A887" s="3"/>
      <c r="B887" s="3"/>
      <c r="C887" s="3"/>
      <c r="D887" s="3"/>
      <c r="I887" s="3"/>
      <c r="J887" s="54"/>
      <c r="N887" s="3"/>
      <c r="O887" s="3"/>
      <c r="S887" s="3"/>
      <c r="U887" s="3"/>
    </row>
    <row r="888">
      <c r="A888" s="3"/>
      <c r="B888" s="3"/>
      <c r="C888" s="3"/>
      <c r="D888" s="3"/>
      <c r="I888" s="3"/>
      <c r="J888" s="54"/>
      <c r="N888" s="3"/>
      <c r="O888" s="3"/>
      <c r="S888" s="3"/>
      <c r="U888" s="3"/>
    </row>
    <row r="889">
      <c r="A889" s="3"/>
      <c r="B889" s="3"/>
      <c r="C889" s="3"/>
      <c r="D889" s="3"/>
      <c r="I889" s="3"/>
      <c r="J889" s="54"/>
      <c r="N889" s="3"/>
      <c r="O889" s="3"/>
      <c r="S889" s="3"/>
      <c r="U889" s="3"/>
    </row>
    <row r="890">
      <c r="A890" s="3"/>
      <c r="B890" s="3"/>
      <c r="C890" s="3"/>
      <c r="D890" s="3"/>
      <c r="I890" s="3"/>
      <c r="J890" s="54"/>
      <c r="N890" s="3"/>
      <c r="O890" s="3"/>
      <c r="S890" s="3"/>
      <c r="U890" s="3"/>
    </row>
    <row r="891">
      <c r="A891" s="3"/>
      <c r="B891" s="3"/>
      <c r="C891" s="3"/>
      <c r="D891" s="3"/>
      <c r="I891" s="3"/>
      <c r="J891" s="54"/>
      <c r="N891" s="3"/>
      <c r="O891" s="3"/>
      <c r="S891" s="3"/>
      <c r="U891" s="3"/>
    </row>
    <row r="892">
      <c r="A892" s="3"/>
      <c r="B892" s="3"/>
      <c r="C892" s="3"/>
      <c r="D892" s="3"/>
      <c r="I892" s="3"/>
      <c r="J892" s="54"/>
      <c r="N892" s="3"/>
      <c r="O892" s="3"/>
      <c r="S892" s="3"/>
      <c r="U892" s="3"/>
    </row>
    <row r="893">
      <c r="A893" s="3"/>
      <c r="B893" s="3"/>
      <c r="C893" s="3"/>
      <c r="D893" s="3"/>
      <c r="I893" s="3"/>
      <c r="J893" s="54"/>
      <c r="N893" s="3"/>
      <c r="O893" s="3"/>
      <c r="S893" s="3"/>
      <c r="U893" s="3"/>
    </row>
    <row r="894">
      <c r="A894" s="3"/>
      <c r="B894" s="3"/>
      <c r="C894" s="3"/>
      <c r="D894" s="3"/>
      <c r="I894" s="3"/>
      <c r="J894" s="54"/>
      <c r="N894" s="3"/>
      <c r="O894" s="3"/>
      <c r="S894" s="3"/>
      <c r="U894" s="3"/>
    </row>
    <row r="895">
      <c r="A895" s="3"/>
      <c r="B895" s="3"/>
      <c r="C895" s="3"/>
      <c r="D895" s="3"/>
      <c r="I895" s="3"/>
      <c r="J895" s="54"/>
      <c r="N895" s="3"/>
      <c r="O895" s="3"/>
      <c r="S895" s="3"/>
      <c r="U895" s="3"/>
    </row>
    <row r="896">
      <c r="A896" s="3"/>
      <c r="B896" s="3"/>
      <c r="C896" s="3"/>
      <c r="D896" s="3"/>
      <c r="I896" s="3"/>
      <c r="J896" s="54"/>
      <c r="N896" s="3"/>
      <c r="O896" s="3"/>
      <c r="S896" s="3"/>
      <c r="U896" s="3"/>
    </row>
    <row r="897">
      <c r="A897" s="3"/>
      <c r="B897" s="3"/>
      <c r="C897" s="3"/>
      <c r="D897" s="3"/>
      <c r="I897" s="3"/>
      <c r="J897" s="54"/>
      <c r="N897" s="3"/>
      <c r="O897" s="3"/>
      <c r="S897" s="3"/>
      <c r="U897" s="3"/>
    </row>
    <row r="898">
      <c r="A898" s="3"/>
      <c r="B898" s="3"/>
      <c r="C898" s="3"/>
      <c r="D898" s="3"/>
      <c r="I898" s="3"/>
      <c r="J898" s="54"/>
      <c r="N898" s="3"/>
      <c r="O898" s="3"/>
      <c r="S898" s="3"/>
      <c r="U898" s="3"/>
    </row>
    <row r="899">
      <c r="A899" s="3"/>
      <c r="B899" s="3"/>
      <c r="C899" s="3"/>
      <c r="D899" s="3"/>
      <c r="I899" s="3"/>
      <c r="J899" s="54"/>
      <c r="N899" s="3"/>
      <c r="O899" s="3"/>
      <c r="S899" s="3"/>
      <c r="U899" s="3"/>
    </row>
    <row r="900">
      <c r="A900" s="3"/>
      <c r="B900" s="3"/>
      <c r="C900" s="3"/>
      <c r="D900" s="3"/>
      <c r="I900" s="3"/>
      <c r="J900" s="54"/>
      <c r="N900" s="3"/>
      <c r="O900" s="3"/>
      <c r="S900" s="3"/>
      <c r="U900" s="3"/>
    </row>
    <row r="901">
      <c r="A901" s="3"/>
      <c r="B901" s="3"/>
      <c r="C901" s="3"/>
      <c r="D901" s="3"/>
      <c r="I901" s="3"/>
      <c r="J901" s="54"/>
      <c r="N901" s="3"/>
      <c r="O901" s="3"/>
      <c r="S901" s="3"/>
      <c r="U901" s="3"/>
    </row>
    <row r="902">
      <c r="A902" s="3"/>
      <c r="B902" s="3"/>
      <c r="C902" s="3"/>
      <c r="D902" s="3"/>
      <c r="I902" s="3"/>
      <c r="J902" s="54"/>
      <c r="N902" s="3"/>
      <c r="O902" s="3"/>
      <c r="S902" s="3"/>
      <c r="U902" s="3"/>
    </row>
    <row r="903">
      <c r="A903" s="3"/>
      <c r="B903" s="3"/>
      <c r="C903" s="3"/>
      <c r="D903" s="3"/>
      <c r="I903" s="3"/>
      <c r="J903" s="54"/>
      <c r="N903" s="3"/>
      <c r="O903" s="3"/>
      <c r="S903" s="3"/>
      <c r="U903" s="3"/>
    </row>
    <row r="904">
      <c r="A904" s="3"/>
      <c r="B904" s="3"/>
      <c r="C904" s="3"/>
      <c r="D904" s="3"/>
      <c r="I904" s="3"/>
      <c r="J904" s="54"/>
      <c r="N904" s="3"/>
      <c r="O904" s="3"/>
      <c r="S904" s="3"/>
      <c r="U904" s="3"/>
    </row>
    <row r="905">
      <c r="A905" s="3"/>
      <c r="B905" s="3"/>
      <c r="C905" s="3"/>
      <c r="D905" s="3"/>
      <c r="I905" s="3"/>
      <c r="J905" s="54"/>
      <c r="N905" s="3"/>
      <c r="O905" s="3"/>
      <c r="S905" s="3"/>
      <c r="U905" s="3"/>
    </row>
    <row r="906">
      <c r="A906" s="3"/>
      <c r="B906" s="3"/>
      <c r="C906" s="3"/>
      <c r="D906" s="3"/>
      <c r="I906" s="3"/>
      <c r="J906" s="54"/>
      <c r="N906" s="3"/>
      <c r="O906" s="3"/>
      <c r="S906" s="3"/>
      <c r="U906" s="3"/>
    </row>
    <row r="907">
      <c r="A907" s="3"/>
      <c r="B907" s="3"/>
      <c r="C907" s="3"/>
      <c r="D907" s="3"/>
      <c r="I907" s="3"/>
      <c r="J907" s="54"/>
      <c r="N907" s="3"/>
      <c r="O907" s="3"/>
      <c r="S907" s="3"/>
      <c r="U907" s="3"/>
    </row>
    <row r="908">
      <c r="A908" s="3"/>
      <c r="B908" s="3"/>
      <c r="C908" s="3"/>
      <c r="D908" s="3"/>
      <c r="I908" s="3"/>
      <c r="J908" s="54"/>
      <c r="N908" s="3"/>
      <c r="O908" s="3"/>
      <c r="S908" s="3"/>
      <c r="U908" s="3"/>
    </row>
    <row r="909">
      <c r="A909" s="3"/>
      <c r="B909" s="3"/>
      <c r="C909" s="3"/>
      <c r="D909" s="3"/>
      <c r="I909" s="3"/>
      <c r="J909" s="54"/>
      <c r="N909" s="3"/>
      <c r="O909" s="3"/>
      <c r="S909" s="3"/>
      <c r="U909" s="3"/>
    </row>
    <row r="910">
      <c r="A910" s="3"/>
      <c r="B910" s="3"/>
      <c r="C910" s="3"/>
      <c r="D910" s="3"/>
      <c r="I910" s="3"/>
      <c r="J910" s="54"/>
      <c r="N910" s="3"/>
      <c r="O910" s="3"/>
      <c r="S910" s="3"/>
      <c r="U910" s="3"/>
    </row>
    <row r="911">
      <c r="A911" s="3"/>
      <c r="B911" s="3"/>
      <c r="C911" s="3"/>
      <c r="D911" s="3"/>
      <c r="I911" s="3"/>
      <c r="J911" s="54"/>
      <c r="N911" s="3"/>
      <c r="O911" s="3"/>
      <c r="S911" s="3"/>
      <c r="U911" s="3"/>
    </row>
    <row r="912">
      <c r="A912" s="3"/>
      <c r="B912" s="3"/>
      <c r="C912" s="3"/>
      <c r="D912" s="3"/>
      <c r="I912" s="3"/>
      <c r="J912" s="54"/>
      <c r="N912" s="3"/>
      <c r="O912" s="3"/>
      <c r="S912" s="3"/>
      <c r="U912" s="3"/>
    </row>
    <row r="913">
      <c r="A913" s="3"/>
      <c r="B913" s="3"/>
      <c r="C913" s="3"/>
      <c r="D913" s="3"/>
      <c r="I913" s="3"/>
      <c r="J913" s="54"/>
      <c r="N913" s="3"/>
      <c r="O913" s="3"/>
      <c r="S913" s="3"/>
      <c r="U913" s="3"/>
    </row>
    <row r="914">
      <c r="A914" s="3"/>
      <c r="B914" s="3"/>
      <c r="C914" s="3"/>
      <c r="D914" s="3"/>
      <c r="I914" s="3"/>
      <c r="J914" s="54"/>
      <c r="N914" s="3"/>
      <c r="O914" s="3"/>
      <c r="S914" s="3"/>
      <c r="U914" s="3"/>
    </row>
    <row r="915">
      <c r="A915" s="3"/>
      <c r="B915" s="3"/>
      <c r="C915" s="3"/>
      <c r="D915" s="3"/>
      <c r="I915" s="3"/>
      <c r="J915" s="54"/>
      <c r="N915" s="3"/>
      <c r="O915" s="3"/>
      <c r="S915" s="3"/>
      <c r="U915" s="3"/>
    </row>
    <row r="916">
      <c r="A916" s="3"/>
      <c r="B916" s="3"/>
      <c r="C916" s="3"/>
      <c r="D916" s="3"/>
      <c r="I916" s="3"/>
      <c r="J916" s="54"/>
      <c r="N916" s="3"/>
      <c r="O916" s="3"/>
      <c r="S916" s="3"/>
      <c r="U916" s="3"/>
    </row>
    <row r="917">
      <c r="A917" s="3"/>
      <c r="B917" s="3"/>
      <c r="C917" s="3"/>
      <c r="D917" s="3"/>
      <c r="I917" s="3"/>
      <c r="J917" s="54"/>
      <c r="N917" s="3"/>
      <c r="O917" s="3"/>
      <c r="S917" s="3"/>
      <c r="U917" s="3"/>
    </row>
    <row r="918">
      <c r="A918" s="3"/>
      <c r="B918" s="3"/>
      <c r="C918" s="3"/>
      <c r="D918" s="3"/>
      <c r="I918" s="3"/>
      <c r="J918" s="54"/>
      <c r="N918" s="3"/>
      <c r="O918" s="3"/>
      <c r="S918" s="3"/>
      <c r="U918" s="3"/>
    </row>
    <row r="919">
      <c r="A919" s="3"/>
      <c r="B919" s="3"/>
      <c r="C919" s="3"/>
      <c r="D919" s="3"/>
      <c r="I919" s="3"/>
      <c r="J919" s="54"/>
      <c r="N919" s="3"/>
      <c r="O919" s="3"/>
      <c r="S919" s="3"/>
      <c r="U919" s="3"/>
    </row>
    <row r="920">
      <c r="A920" s="3"/>
      <c r="B920" s="3"/>
      <c r="C920" s="3"/>
      <c r="D920" s="3"/>
      <c r="I920" s="3"/>
      <c r="J920" s="54"/>
      <c r="N920" s="3"/>
      <c r="O920" s="3"/>
      <c r="S920" s="3"/>
      <c r="U920" s="3"/>
    </row>
    <row r="921">
      <c r="A921" s="3"/>
      <c r="B921" s="3"/>
      <c r="C921" s="3"/>
      <c r="D921" s="3"/>
      <c r="I921" s="3"/>
      <c r="J921" s="54"/>
      <c r="N921" s="3"/>
      <c r="O921" s="3"/>
      <c r="S921" s="3"/>
      <c r="U921" s="3"/>
    </row>
    <row r="922">
      <c r="A922" s="3"/>
      <c r="B922" s="3"/>
      <c r="C922" s="3"/>
      <c r="D922" s="3"/>
      <c r="I922" s="3"/>
      <c r="J922" s="54"/>
      <c r="N922" s="3"/>
      <c r="O922" s="3"/>
      <c r="S922" s="3"/>
      <c r="U922" s="3"/>
    </row>
    <row r="923">
      <c r="A923" s="3"/>
      <c r="B923" s="3"/>
      <c r="C923" s="3"/>
      <c r="D923" s="3"/>
      <c r="I923" s="3"/>
      <c r="J923" s="54"/>
      <c r="N923" s="3"/>
      <c r="O923" s="3"/>
      <c r="S923" s="3"/>
      <c r="U923" s="3"/>
    </row>
    <row r="924">
      <c r="A924" s="3"/>
      <c r="B924" s="3"/>
      <c r="C924" s="3"/>
      <c r="D924" s="3"/>
      <c r="I924" s="3"/>
      <c r="J924" s="54"/>
      <c r="N924" s="3"/>
      <c r="O924" s="3"/>
      <c r="S924" s="3"/>
      <c r="U924" s="3"/>
    </row>
    <row r="925">
      <c r="A925" s="3"/>
      <c r="B925" s="3"/>
      <c r="C925" s="3"/>
      <c r="D925" s="3"/>
      <c r="I925" s="3"/>
      <c r="J925" s="54"/>
      <c r="N925" s="3"/>
      <c r="O925" s="3"/>
      <c r="S925" s="3"/>
      <c r="U925" s="3"/>
    </row>
    <row r="926">
      <c r="A926" s="3"/>
      <c r="B926" s="3"/>
      <c r="C926" s="3"/>
      <c r="D926" s="3"/>
      <c r="I926" s="3"/>
      <c r="J926" s="54"/>
      <c r="N926" s="3"/>
      <c r="O926" s="3"/>
      <c r="S926" s="3"/>
      <c r="U926" s="3"/>
    </row>
    <row r="927">
      <c r="A927" s="3"/>
      <c r="B927" s="3"/>
      <c r="C927" s="3"/>
      <c r="D927" s="3"/>
      <c r="I927" s="3"/>
      <c r="J927" s="54"/>
      <c r="N927" s="3"/>
      <c r="O927" s="3"/>
      <c r="S927" s="3"/>
      <c r="U927" s="3"/>
    </row>
    <row r="928">
      <c r="A928" s="3"/>
      <c r="B928" s="3"/>
      <c r="C928" s="3"/>
      <c r="D928" s="3"/>
      <c r="I928" s="3"/>
      <c r="J928" s="54"/>
      <c r="N928" s="3"/>
      <c r="O928" s="3"/>
      <c r="S928" s="3"/>
      <c r="U928" s="3"/>
    </row>
    <row r="929">
      <c r="A929" s="3"/>
      <c r="B929" s="3"/>
      <c r="C929" s="3"/>
      <c r="D929" s="3"/>
      <c r="I929" s="3"/>
      <c r="J929" s="54"/>
      <c r="N929" s="3"/>
      <c r="O929" s="3"/>
      <c r="S929" s="3"/>
      <c r="U929" s="3"/>
    </row>
    <row r="930">
      <c r="A930" s="3"/>
      <c r="B930" s="3"/>
      <c r="C930" s="3"/>
      <c r="D930" s="3"/>
      <c r="I930" s="3"/>
      <c r="J930" s="54"/>
      <c r="N930" s="3"/>
      <c r="O930" s="3"/>
      <c r="S930" s="3"/>
      <c r="U930" s="3"/>
    </row>
    <row r="931">
      <c r="A931" s="3"/>
      <c r="B931" s="3"/>
      <c r="C931" s="3"/>
      <c r="D931" s="3"/>
      <c r="I931" s="3"/>
      <c r="J931" s="54"/>
      <c r="N931" s="3"/>
      <c r="O931" s="3"/>
      <c r="S931" s="3"/>
      <c r="U931" s="3"/>
    </row>
    <row r="932">
      <c r="A932" s="3"/>
      <c r="B932" s="3"/>
      <c r="C932" s="3"/>
      <c r="D932" s="3"/>
      <c r="I932" s="3"/>
      <c r="J932" s="54"/>
      <c r="N932" s="3"/>
      <c r="O932" s="3"/>
      <c r="S932" s="3"/>
      <c r="U932" s="3"/>
    </row>
    <row r="933">
      <c r="A933" s="3"/>
      <c r="B933" s="3"/>
      <c r="C933" s="3"/>
      <c r="D933" s="3"/>
      <c r="I933" s="3"/>
      <c r="J933" s="54"/>
      <c r="N933" s="3"/>
      <c r="O933" s="3"/>
      <c r="S933" s="3"/>
      <c r="U933" s="3"/>
    </row>
    <row r="934">
      <c r="A934" s="3"/>
      <c r="B934" s="3"/>
      <c r="C934" s="3"/>
      <c r="D934" s="3"/>
      <c r="I934" s="3"/>
      <c r="J934" s="54"/>
      <c r="N934" s="3"/>
      <c r="O934" s="3"/>
      <c r="S934" s="3"/>
      <c r="U934" s="3"/>
    </row>
    <row r="935">
      <c r="A935" s="3"/>
      <c r="B935" s="3"/>
      <c r="C935" s="3"/>
      <c r="D935" s="3"/>
      <c r="I935" s="3"/>
      <c r="J935" s="54"/>
      <c r="N935" s="3"/>
      <c r="O935" s="3"/>
      <c r="S935" s="3"/>
      <c r="U935" s="3"/>
    </row>
    <row r="936">
      <c r="A936" s="3"/>
      <c r="B936" s="3"/>
      <c r="C936" s="3"/>
      <c r="D936" s="3"/>
      <c r="I936" s="3"/>
      <c r="J936" s="54"/>
      <c r="N936" s="3"/>
      <c r="O936" s="3"/>
      <c r="S936" s="3"/>
      <c r="U936" s="3"/>
    </row>
    <row r="937">
      <c r="A937" s="3"/>
      <c r="B937" s="3"/>
      <c r="C937" s="3"/>
      <c r="D937" s="3"/>
      <c r="I937" s="3"/>
      <c r="J937" s="54"/>
      <c r="N937" s="3"/>
      <c r="O937" s="3"/>
      <c r="S937" s="3"/>
      <c r="U937" s="3"/>
    </row>
    <row r="938">
      <c r="A938" s="3"/>
      <c r="B938" s="3"/>
      <c r="C938" s="3"/>
      <c r="D938" s="3"/>
      <c r="I938" s="3"/>
      <c r="J938" s="54"/>
      <c r="N938" s="3"/>
      <c r="O938" s="3"/>
      <c r="S938" s="3"/>
      <c r="U938" s="3"/>
    </row>
    <row r="939">
      <c r="A939" s="3"/>
      <c r="B939" s="3"/>
      <c r="C939" s="3"/>
      <c r="D939" s="3"/>
      <c r="I939" s="3"/>
      <c r="J939" s="54"/>
      <c r="N939" s="3"/>
      <c r="O939" s="3"/>
      <c r="S939" s="3"/>
      <c r="U939" s="3"/>
    </row>
    <row r="940">
      <c r="A940" s="3"/>
      <c r="B940" s="3"/>
      <c r="C940" s="3"/>
      <c r="D940" s="3"/>
      <c r="I940" s="3"/>
      <c r="J940" s="54"/>
      <c r="N940" s="3"/>
      <c r="O940" s="3"/>
      <c r="S940" s="3"/>
      <c r="U940" s="3"/>
    </row>
    <row r="941">
      <c r="A941" s="3"/>
      <c r="B941" s="3"/>
      <c r="C941" s="3"/>
      <c r="D941" s="3"/>
      <c r="I941" s="3"/>
      <c r="J941" s="54"/>
      <c r="N941" s="3"/>
      <c r="O941" s="3"/>
      <c r="S941" s="3"/>
      <c r="U941" s="3"/>
    </row>
    <row r="942">
      <c r="A942" s="3"/>
      <c r="B942" s="3"/>
      <c r="C942" s="3"/>
      <c r="D942" s="3"/>
      <c r="I942" s="3"/>
      <c r="J942" s="54"/>
      <c r="N942" s="3"/>
      <c r="O942" s="3"/>
      <c r="S942" s="3"/>
      <c r="U942" s="3"/>
    </row>
    <row r="943">
      <c r="A943" s="3"/>
      <c r="B943" s="3"/>
      <c r="C943" s="3"/>
      <c r="D943" s="3"/>
      <c r="I943" s="3"/>
      <c r="J943" s="54"/>
      <c r="N943" s="3"/>
      <c r="O943" s="3"/>
      <c r="S943" s="3"/>
      <c r="U943" s="3"/>
    </row>
    <row r="944">
      <c r="A944" s="3"/>
      <c r="B944" s="3"/>
      <c r="C944" s="3"/>
      <c r="D944" s="3"/>
      <c r="I944" s="3"/>
      <c r="J944" s="54"/>
      <c r="N944" s="3"/>
      <c r="O944" s="3"/>
      <c r="S944" s="3"/>
      <c r="U944" s="3"/>
    </row>
    <row r="945">
      <c r="A945" s="3"/>
      <c r="B945" s="3"/>
      <c r="C945" s="3"/>
      <c r="D945" s="3"/>
      <c r="I945" s="3"/>
      <c r="J945" s="54"/>
      <c r="N945" s="3"/>
      <c r="O945" s="3"/>
      <c r="S945" s="3"/>
      <c r="U945" s="3"/>
    </row>
    <row r="946">
      <c r="A946" s="3"/>
      <c r="B946" s="3"/>
      <c r="C946" s="3"/>
      <c r="D946" s="3"/>
      <c r="I946" s="3"/>
      <c r="J946" s="54"/>
      <c r="N946" s="3"/>
      <c r="O946" s="3"/>
      <c r="S946" s="3"/>
      <c r="U946" s="3"/>
    </row>
    <row r="947">
      <c r="A947" s="3"/>
      <c r="B947" s="3"/>
      <c r="C947" s="3"/>
      <c r="D947" s="3"/>
      <c r="I947" s="3"/>
      <c r="J947" s="54"/>
      <c r="N947" s="3"/>
      <c r="O947" s="3"/>
      <c r="S947" s="3"/>
      <c r="U947" s="3"/>
    </row>
    <row r="948">
      <c r="A948" s="3"/>
      <c r="B948" s="3"/>
      <c r="C948" s="3"/>
      <c r="D948" s="3"/>
      <c r="I948" s="3"/>
      <c r="J948" s="54"/>
      <c r="N948" s="3"/>
      <c r="O948" s="3"/>
      <c r="S948" s="3"/>
      <c r="U948" s="3"/>
    </row>
    <row r="949">
      <c r="A949" s="3"/>
      <c r="B949" s="3"/>
      <c r="C949" s="3"/>
      <c r="D949" s="3"/>
      <c r="I949" s="3"/>
      <c r="J949" s="54"/>
      <c r="N949" s="3"/>
      <c r="O949" s="3"/>
      <c r="S949" s="3"/>
      <c r="U949" s="3"/>
    </row>
    <row r="950">
      <c r="A950" s="3"/>
      <c r="B950" s="3"/>
      <c r="C950" s="3"/>
      <c r="D950" s="3"/>
      <c r="I950" s="3"/>
      <c r="J950" s="54"/>
      <c r="N950" s="3"/>
      <c r="O950" s="3"/>
      <c r="S950" s="3"/>
      <c r="U950" s="3"/>
    </row>
    <row r="951">
      <c r="A951" s="3"/>
      <c r="B951" s="3"/>
      <c r="C951" s="3"/>
      <c r="D951" s="3"/>
      <c r="I951" s="3"/>
      <c r="J951" s="54"/>
      <c r="N951" s="3"/>
      <c r="O951" s="3"/>
      <c r="S951" s="3"/>
      <c r="U951" s="3"/>
    </row>
    <row r="952">
      <c r="A952" s="3"/>
      <c r="B952" s="3"/>
      <c r="C952" s="3"/>
      <c r="D952" s="3"/>
      <c r="I952" s="3"/>
      <c r="J952" s="54"/>
      <c r="N952" s="3"/>
      <c r="O952" s="3"/>
      <c r="S952" s="3"/>
      <c r="U952" s="3"/>
    </row>
    <row r="953">
      <c r="A953" s="3"/>
      <c r="B953" s="3"/>
      <c r="C953" s="3"/>
      <c r="D953" s="3"/>
      <c r="I953" s="3"/>
      <c r="J953" s="54"/>
      <c r="N953" s="3"/>
      <c r="O953" s="3"/>
      <c r="S953" s="3"/>
      <c r="U953" s="3"/>
    </row>
    <row r="954">
      <c r="A954" s="3"/>
      <c r="B954" s="3"/>
      <c r="C954" s="3"/>
      <c r="D954" s="3"/>
      <c r="I954" s="3"/>
      <c r="J954" s="54"/>
      <c r="N954" s="3"/>
      <c r="O954" s="3"/>
      <c r="S954" s="3"/>
      <c r="U954" s="3"/>
    </row>
    <row r="955">
      <c r="A955" s="3"/>
      <c r="B955" s="3"/>
      <c r="C955" s="3"/>
      <c r="D955" s="3"/>
      <c r="I955" s="3"/>
      <c r="J955" s="54"/>
      <c r="N955" s="3"/>
      <c r="O955" s="3"/>
      <c r="S955" s="3"/>
      <c r="U955" s="3"/>
    </row>
    <row r="956">
      <c r="A956" s="3"/>
      <c r="B956" s="3"/>
      <c r="C956" s="3"/>
      <c r="D956" s="3"/>
      <c r="I956" s="3"/>
      <c r="J956" s="54"/>
      <c r="N956" s="3"/>
      <c r="O956" s="3"/>
      <c r="S956" s="3"/>
      <c r="U956" s="3"/>
    </row>
    <row r="957">
      <c r="A957" s="3"/>
      <c r="B957" s="3"/>
      <c r="C957" s="3"/>
      <c r="D957" s="3"/>
      <c r="I957" s="3"/>
      <c r="J957" s="54"/>
      <c r="N957" s="3"/>
      <c r="O957" s="3"/>
      <c r="S957" s="3"/>
      <c r="U957" s="3"/>
    </row>
    <row r="958">
      <c r="A958" s="3"/>
      <c r="B958" s="3"/>
      <c r="C958" s="3"/>
      <c r="D958" s="3"/>
      <c r="I958" s="3"/>
      <c r="J958" s="54"/>
      <c r="N958" s="3"/>
      <c r="O958" s="3"/>
      <c r="S958" s="3"/>
      <c r="U958" s="3"/>
    </row>
    <row r="959">
      <c r="A959" s="3"/>
      <c r="B959" s="3"/>
      <c r="C959" s="3"/>
      <c r="D959" s="3"/>
      <c r="I959" s="3"/>
      <c r="J959" s="54"/>
      <c r="N959" s="3"/>
      <c r="O959" s="3"/>
      <c r="S959" s="3"/>
      <c r="U959" s="3"/>
    </row>
    <row r="960">
      <c r="A960" s="3"/>
      <c r="B960" s="3"/>
      <c r="C960" s="3"/>
      <c r="D960" s="3"/>
      <c r="I960" s="3"/>
      <c r="J960" s="54"/>
      <c r="N960" s="3"/>
      <c r="O960" s="3"/>
      <c r="S960" s="3"/>
      <c r="U960" s="3"/>
    </row>
    <row r="961">
      <c r="A961" s="3"/>
      <c r="B961" s="3"/>
      <c r="C961" s="3"/>
      <c r="D961" s="3"/>
      <c r="I961" s="3"/>
      <c r="J961" s="54"/>
      <c r="N961" s="3"/>
      <c r="O961" s="3"/>
      <c r="S961" s="3"/>
      <c r="U961" s="3"/>
    </row>
    <row r="962">
      <c r="A962" s="3"/>
      <c r="B962" s="3"/>
      <c r="C962" s="3"/>
      <c r="D962" s="3"/>
      <c r="I962" s="3"/>
      <c r="J962" s="54"/>
      <c r="N962" s="3"/>
      <c r="O962" s="3"/>
      <c r="S962" s="3"/>
      <c r="U962" s="3"/>
    </row>
    <row r="963">
      <c r="A963" s="3"/>
      <c r="B963" s="3"/>
      <c r="C963" s="3"/>
      <c r="D963" s="3"/>
      <c r="I963" s="3"/>
      <c r="J963" s="54"/>
      <c r="N963" s="3"/>
      <c r="O963" s="3"/>
      <c r="S963" s="3"/>
      <c r="U963" s="3"/>
    </row>
    <row r="964">
      <c r="A964" s="3"/>
      <c r="B964" s="3"/>
      <c r="C964" s="3"/>
      <c r="D964" s="3"/>
      <c r="I964" s="3"/>
      <c r="J964" s="54"/>
      <c r="N964" s="3"/>
      <c r="O964" s="3"/>
      <c r="S964" s="3"/>
      <c r="U964" s="3"/>
    </row>
    <row r="965">
      <c r="A965" s="3"/>
      <c r="B965" s="3"/>
      <c r="C965" s="3"/>
      <c r="D965" s="3"/>
      <c r="I965" s="3"/>
      <c r="J965" s="54"/>
      <c r="N965" s="3"/>
      <c r="O965" s="3"/>
      <c r="S965" s="3"/>
      <c r="U965" s="3"/>
    </row>
    <row r="966">
      <c r="A966" s="3"/>
      <c r="B966" s="3"/>
      <c r="C966" s="3"/>
      <c r="D966" s="3"/>
      <c r="I966" s="3"/>
      <c r="J966" s="54"/>
      <c r="N966" s="3"/>
      <c r="O966" s="3"/>
      <c r="S966" s="3"/>
      <c r="U966" s="3"/>
    </row>
    <row r="967">
      <c r="A967" s="3"/>
      <c r="B967" s="3"/>
      <c r="C967" s="3"/>
      <c r="D967" s="3"/>
      <c r="I967" s="3"/>
      <c r="J967" s="54"/>
      <c r="N967" s="3"/>
      <c r="O967" s="3"/>
      <c r="S967" s="3"/>
      <c r="U967" s="3"/>
    </row>
    <row r="968">
      <c r="A968" s="3"/>
      <c r="B968" s="3"/>
      <c r="C968" s="3"/>
      <c r="D968" s="3"/>
      <c r="I968" s="3"/>
      <c r="J968" s="54"/>
      <c r="N968" s="3"/>
      <c r="O968" s="3"/>
      <c r="S968" s="3"/>
      <c r="U968" s="3"/>
    </row>
    <row r="969">
      <c r="A969" s="3"/>
      <c r="B969" s="3"/>
      <c r="C969" s="3"/>
      <c r="D969" s="3"/>
      <c r="I969" s="3"/>
      <c r="J969" s="54"/>
      <c r="N969" s="3"/>
      <c r="O969" s="3"/>
      <c r="S969" s="3"/>
      <c r="U969" s="3"/>
    </row>
    <row r="970">
      <c r="A970" s="3"/>
      <c r="B970" s="3"/>
      <c r="C970" s="3"/>
      <c r="D970" s="3"/>
      <c r="I970" s="3"/>
      <c r="J970" s="54"/>
      <c r="N970" s="3"/>
      <c r="O970" s="3"/>
      <c r="S970" s="3"/>
      <c r="U970" s="3"/>
    </row>
    <row r="971">
      <c r="A971" s="3"/>
      <c r="B971" s="3"/>
      <c r="C971" s="3"/>
      <c r="D971" s="3"/>
      <c r="I971" s="3"/>
      <c r="J971" s="54"/>
      <c r="N971" s="3"/>
      <c r="O971" s="3"/>
      <c r="S971" s="3"/>
      <c r="U971" s="3"/>
    </row>
    <row r="972">
      <c r="A972" s="3"/>
      <c r="B972" s="3"/>
      <c r="C972" s="3"/>
      <c r="D972" s="3"/>
      <c r="I972" s="3"/>
      <c r="J972" s="54"/>
      <c r="N972" s="3"/>
      <c r="O972" s="3"/>
      <c r="S972" s="3"/>
      <c r="U972" s="3"/>
    </row>
    <row r="973">
      <c r="A973" s="3"/>
      <c r="B973" s="3"/>
      <c r="C973" s="3"/>
      <c r="D973" s="3"/>
      <c r="I973" s="3"/>
      <c r="J973" s="54"/>
      <c r="N973" s="3"/>
      <c r="O973" s="3"/>
      <c r="S973" s="3"/>
      <c r="U973" s="3"/>
    </row>
    <row r="974">
      <c r="A974" s="3"/>
      <c r="B974" s="3"/>
      <c r="C974" s="3"/>
      <c r="D974" s="3"/>
      <c r="I974" s="3"/>
      <c r="J974" s="54"/>
      <c r="N974" s="3"/>
      <c r="O974" s="3"/>
      <c r="S974" s="3"/>
      <c r="U974" s="3"/>
    </row>
    <row r="975">
      <c r="A975" s="3"/>
      <c r="B975" s="3"/>
      <c r="C975" s="3"/>
      <c r="D975" s="3"/>
      <c r="I975" s="3"/>
      <c r="J975" s="54"/>
      <c r="N975" s="3"/>
      <c r="O975" s="3"/>
      <c r="S975" s="3"/>
      <c r="U975" s="3"/>
    </row>
    <row r="976">
      <c r="A976" s="3"/>
      <c r="B976" s="3"/>
      <c r="C976" s="3"/>
      <c r="D976" s="3"/>
      <c r="I976" s="3"/>
      <c r="J976" s="54"/>
      <c r="N976" s="3"/>
      <c r="O976" s="3"/>
      <c r="S976" s="3"/>
      <c r="U976" s="3"/>
    </row>
    <row r="977">
      <c r="A977" s="3"/>
      <c r="B977" s="3"/>
      <c r="C977" s="3"/>
      <c r="D977" s="3"/>
      <c r="I977" s="3"/>
      <c r="J977" s="54"/>
      <c r="N977" s="3"/>
      <c r="O977" s="3"/>
      <c r="S977" s="3"/>
      <c r="U977" s="3"/>
    </row>
    <row r="978">
      <c r="A978" s="3"/>
      <c r="B978" s="3"/>
      <c r="C978" s="3"/>
      <c r="D978" s="3"/>
      <c r="I978" s="3"/>
      <c r="J978" s="54"/>
      <c r="N978" s="3"/>
      <c r="O978" s="3"/>
      <c r="S978" s="3"/>
      <c r="U978" s="3"/>
    </row>
    <row r="979">
      <c r="A979" s="3"/>
      <c r="B979" s="3"/>
      <c r="C979" s="3"/>
      <c r="D979" s="3"/>
      <c r="I979" s="3"/>
      <c r="J979" s="54"/>
      <c r="N979" s="3"/>
      <c r="O979" s="3"/>
      <c r="S979" s="3"/>
      <c r="U979" s="3"/>
    </row>
    <row r="980">
      <c r="A980" s="3"/>
      <c r="B980" s="3"/>
      <c r="C980" s="3"/>
      <c r="D980" s="3"/>
      <c r="I980" s="3"/>
      <c r="J980" s="54"/>
      <c r="N980" s="3"/>
      <c r="O980" s="3"/>
      <c r="S980" s="3"/>
      <c r="U980" s="3"/>
    </row>
    <row r="981">
      <c r="A981" s="3"/>
      <c r="B981" s="3"/>
      <c r="C981" s="3"/>
      <c r="D981" s="3"/>
      <c r="I981" s="3"/>
      <c r="J981" s="54"/>
      <c r="N981" s="3"/>
      <c r="O981" s="3"/>
      <c r="S981" s="3"/>
      <c r="U981" s="3"/>
    </row>
    <row r="982">
      <c r="A982" s="3"/>
      <c r="B982" s="3"/>
      <c r="C982" s="3"/>
      <c r="D982" s="3"/>
      <c r="I982" s="3"/>
      <c r="J982" s="54"/>
      <c r="N982" s="3"/>
      <c r="O982" s="3"/>
      <c r="S982" s="3"/>
      <c r="U982" s="3"/>
    </row>
    <row r="983">
      <c r="A983" s="3"/>
      <c r="B983" s="3"/>
      <c r="C983" s="3"/>
      <c r="D983" s="3"/>
      <c r="I983" s="3"/>
      <c r="J983" s="54"/>
      <c r="N983" s="3"/>
      <c r="O983" s="3"/>
      <c r="S983" s="3"/>
      <c r="U983" s="3"/>
    </row>
    <row r="984">
      <c r="A984" s="3"/>
      <c r="B984" s="3"/>
      <c r="C984" s="3"/>
      <c r="D984" s="3"/>
      <c r="I984" s="3"/>
      <c r="J984" s="54"/>
      <c r="N984" s="3"/>
      <c r="O984" s="3"/>
      <c r="S984" s="3"/>
      <c r="U984" s="3"/>
    </row>
    <row r="985">
      <c r="A985" s="3"/>
      <c r="B985" s="3"/>
      <c r="C985" s="3"/>
      <c r="D985" s="3"/>
      <c r="I985" s="3"/>
      <c r="J985" s="54"/>
      <c r="N985" s="3"/>
      <c r="O985" s="3"/>
      <c r="S985" s="3"/>
      <c r="U985" s="3"/>
    </row>
    <row r="986">
      <c r="A986" s="3"/>
      <c r="B986" s="3"/>
      <c r="C986" s="3"/>
      <c r="D986" s="3"/>
      <c r="I986" s="3"/>
      <c r="J986" s="54"/>
      <c r="N986" s="3"/>
      <c r="O986" s="3"/>
      <c r="S986" s="3"/>
      <c r="U986" s="3"/>
    </row>
    <row r="987">
      <c r="A987" s="3"/>
      <c r="B987" s="3"/>
      <c r="C987" s="3"/>
      <c r="D987" s="3"/>
      <c r="I987" s="3"/>
      <c r="J987" s="54"/>
      <c r="N987" s="3"/>
      <c r="O987" s="3"/>
      <c r="S987" s="3"/>
      <c r="U987" s="3"/>
    </row>
    <row r="988">
      <c r="A988" s="3"/>
      <c r="B988" s="3"/>
      <c r="C988" s="3"/>
      <c r="D988" s="3"/>
      <c r="I988" s="3"/>
      <c r="J988" s="54"/>
      <c r="N988" s="3"/>
      <c r="O988" s="3"/>
      <c r="S988" s="3"/>
      <c r="U988" s="3"/>
    </row>
    <row r="989">
      <c r="A989" s="3"/>
      <c r="B989" s="3"/>
      <c r="C989" s="3"/>
      <c r="D989" s="3"/>
      <c r="I989" s="3"/>
      <c r="J989" s="54"/>
      <c r="N989" s="3"/>
      <c r="O989" s="3"/>
      <c r="S989" s="3"/>
      <c r="U989" s="3"/>
    </row>
    <row r="990">
      <c r="A990" s="3"/>
      <c r="B990" s="3"/>
      <c r="C990" s="3"/>
      <c r="D990" s="3"/>
      <c r="I990" s="3"/>
      <c r="J990" s="54"/>
      <c r="N990" s="3"/>
      <c r="O990" s="3"/>
      <c r="S990" s="3"/>
      <c r="U990" s="3"/>
    </row>
    <row r="991">
      <c r="A991" s="3"/>
      <c r="B991" s="3"/>
      <c r="C991" s="3"/>
      <c r="D991" s="3"/>
      <c r="I991" s="3"/>
      <c r="J991" s="54"/>
      <c r="N991" s="3"/>
      <c r="O991" s="3"/>
      <c r="S991" s="3"/>
      <c r="U991" s="3"/>
    </row>
    <row r="992">
      <c r="A992" s="3"/>
      <c r="B992" s="3"/>
      <c r="C992" s="3"/>
      <c r="D992" s="3"/>
      <c r="I992" s="3"/>
      <c r="J992" s="54"/>
      <c r="N992" s="3"/>
      <c r="O992" s="3"/>
      <c r="S992" s="3"/>
      <c r="U992" s="3"/>
    </row>
    <row r="993">
      <c r="A993" s="3"/>
      <c r="B993" s="3"/>
      <c r="C993" s="3"/>
      <c r="D993" s="3"/>
      <c r="I993" s="3"/>
      <c r="J993" s="54"/>
      <c r="N993" s="3"/>
      <c r="O993" s="3"/>
      <c r="S993" s="3"/>
      <c r="U993" s="3"/>
    </row>
    <row r="994">
      <c r="A994" s="3"/>
      <c r="B994" s="3"/>
      <c r="C994" s="3"/>
      <c r="D994" s="3"/>
      <c r="I994" s="3"/>
      <c r="J994" s="54"/>
      <c r="N994" s="3"/>
      <c r="O994" s="3"/>
      <c r="S994" s="3"/>
      <c r="U994" s="3"/>
    </row>
    <row r="995">
      <c r="A995" s="3"/>
      <c r="B995" s="3"/>
      <c r="C995" s="3"/>
      <c r="D995" s="3"/>
      <c r="I995" s="3"/>
      <c r="J995" s="54"/>
      <c r="N995" s="3"/>
      <c r="O995" s="3"/>
      <c r="S995" s="3"/>
      <c r="U995" s="3"/>
    </row>
    <row r="996">
      <c r="A996" s="3"/>
      <c r="B996" s="3"/>
      <c r="C996" s="3"/>
      <c r="D996" s="3"/>
      <c r="I996" s="3"/>
      <c r="J996" s="54"/>
      <c r="N996" s="3"/>
      <c r="O996" s="3"/>
      <c r="S996" s="3"/>
      <c r="U996" s="3"/>
    </row>
    <row r="997">
      <c r="A997" s="3"/>
      <c r="B997" s="3"/>
      <c r="C997" s="3"/>
      <c r="D997" s="3"/>
      <c r="I997" s="3"/>
      <c r="J997" s="54"/>
      <c r="N997" s="3"/>
      <c r="O997" s="3"/>
      <c r="S997" s="3"/>
      <c r="U997" s="3"/>
    </row>
    <row r="998">
      <c r="A998" s="3"/>
      <c r="B998" s="3"/>
      <c r="C998" s="3"/>
      <c r="D998" s="3"/>
      <c r="I998" s="3"/>
      <c r="J998" s="54"/>
      <c r="N998" s="3"/>
      <c r="O998" s="3"/>
      <c r="S998" s="3"/>
      <c r="U998" s="3"/>
    </row>
    <row r="999">
      <c r="A999" s="3"/>
      <c r="B999" s="3"/>
      <c r="C999" s="3"/>
      <c r="D999" s="3"/>
      <c r="I999" s="3"/>
      <c r="J999" s="54"/>
      <c r="N999" s="3"/>
      <c r="O999" s="3"/>
      <c r="S999" s="3"/>
      <c r="U999" s="3"/>
    </row>
    <row r="1000">
      <c r="A1000" s="3"/>
      <c r="B1000" s="3"/>
      <c r="C1000" s="3"/>
      <c r="D1000" s="3"/>
      <c r="I1000" s="3"/>
      <c r="J1000" s="54"/>
      <c r="N1000" s="3"/>
      <c r="O1000" s="3"/>
      <c r="S1000" s="3"/>
      <c r="U1000" s="3"/>
    </row>
  </sheetData>
  <autoFilter ref="$A$1:$U$3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outlinePr summaryBelow="0" summaryRight="0"/>
  </sheetPr>
  <sheetViews>
    <sheetView workbookViewId="0"/>
  </sheetViews>
  <sheetFormatPr customHeight="1" defaultColWidth="17.29" defaultRowHeight="15.0"/>
  <cols>
    <col customWidth="1" min="1" max="1" width="5.57"/>
    <col customWidth="1" min="2" max="2" width="32.14"/>
    <col customWidth="1" min="3" max="3" width="25.43"/>
    <col customWidth="1" min="4" max="4" width="9.29"/>
    <col customWidth="1" min="5" max="5" width="12.0"/>
    <col customWidth="1" min="6" max="7" width="18.86"/>
    <col customWidth="1" min="8" max="8" width="12.14"/>
    <col customWidth="1" min="9" max="10" width="18.86"/>
    <col customWidth="1" min="11" max="11" width="16.0"/>
    <col customWidth="1" min="12" max="12" width="11.43"/>
    <col customWidth="1" min="13" max="13" width="24.14"/>
    <col customWidth="1" min="14" max="14" width="34.86"/>
    <col customWidth="1" min="15" max="17" width="10.71"/>
    <col customWidth="1" min="18" max="18" width="15.0"/>
    <col customWidth="1" min="19" max="19" width="35.29"/>
    <col customWidth="1" min="20" max="26" width="10.71"/>
  </cols>
  <sheetData>
    <row r="1" ht="40.5" customHeight="1">
      <c r="A1" s="55" t="s">
        <v>1684</v>
      </c>
      <c r="B1" s="56" t="s">
        <v>1685</v>
      </c>
      <c r="C1" s="57" t="s">
        <v>1588</v>
      </c>
      <c r="D1" s="58" t="s">
        <v>1589</v>
      </c>
      <c r="E1" s="58" t="s">
        <v>1551</v>
      </c>
      <c r="F1" s="58" t="s">
        <v>1552</v>
      </c>
      <c r="G1" s="58" t="s">
        <v>1553</v>
      </c>
      <c r="H1" s="58" t="s">
        <v>1554</v>
      </c>
      <c r="I1" s="58" t="s">
        <v>1559</v>
      </c>
      <c r="J1" s="58" t="s">
        <v>1555</v>
      </c>
      <c r="K1" s="56" t="s">
        <v>1554</v>
      </c>
      <c r="L1" s="56" t="s">
        <v>1560</v>
      </c>
      <c r="M1" s="58" t="s">
        <v>1561</v>
      </c>
      <c r="N1" s="56" t="s">
        <v>1562</v>
      </c>
      <c r="O1" s="56" t="s">
        <v>1567</v>
      </c>
      <c r="P1" s="56" t="s">
        <v>1568</v>
      </c>
      <c r="Q1" s="56" t="s">
        <v>1569</v>
      </c>
      <c r="R1" s="56" t="s">
        <v>1570</v>
      </c>
      <c r="S1" s="56" t="s">
        <v>1572</v>
      </c>
    </row>
    <row r="2" ht="25.5" customHeight="1">
      <c r="A2" s="59">
        <v>1.0</v>
      </c>
      <c r="B2" s="60" t="s">
        <v>1686</v>
      </c>
      <c r="C2" s="60" t="s">
        <v>1687</v>
      </c>
      <c r="D2" s="59">
        <v>20.0</v>
      </c>
      <c r="E2" s="59" t="s">
        <v>112</v>
      </c>
      <c r="F2" s="59" t="s">
        <v>127</v>
      </c>
      <c r="G2" s="59" t="s">
        <v>1688</v>
      </c>
      <c r="H2" s="59">
        <v>1.0</v>
      </c>
      <c r="I2" s="61" t="s">
        <v>1632</v>
      </c>
      <c r="J2" s="59" t="s">
        <v>116</v>
      </c>
      <c r="K2" s="59">
        <v>11.0</v>
      </c>
      <c r="L2" s="62">
        <v>40238.0</v>
      </c>
      <c r="M2" s="61" t="s">
        <v>122</v>
      </c>
      <c r="N2" s="60" t="s">
        <v>405</v>
      </c>
      <c r="O2" s="62">
        <v>40191.0</v>
      </c>
      <c r="P2" s="62">
        <v>40193.0</v>
      </c>
      <c r="Q2" s="59" t="s">
        <v>1592</v>
      </c>
      <c r="R2" s="59" t="s">
        <v>1592</v>
      </c>
      <c r="S2" s="59" t="s">
        <v>1592</v>
      </c>
      <c r="T2" s="5"/>
      <c r="U2" s="5"/>
      <c r="V2" s="5"/>
      <c r="W2" s="5"/>
      <c r="X2" s="5"/>
      <c r="Y2" s="5"/>
      <c r="Z2" s="5"/>
    </row>
    <row r="3" ht="25.5" customHeight="1">
      <c r="A3" s="59">
        <v>2.0</v>
      </c>
      <c r="B3" s="60" t="s">
        <v>1686</v>
      </c>
      <c r="C3" s="60" t="s">
        <v>1689</v>
      </c>
      <c r="D3" s="59">
        <v>17.0</v>
      </c>
      <c r="E3" s="59" t="s">
        <v>112</v>
      </c>
      <c r="F3" s="59" t="s">
        <v>125</v>
      </c>
      <c r="G3" s="59" t="s">
        <v>117</v>
      </c>
      <c r="H3" s="59">
        <v>1.0</v>
      </c>
      <c r="I3" s="61" t="s">
        <v>115</v>
      </c>
      <c r="J3" s="59" t="s">
        <v>116</v>
      </c>
      <c r="K3" s="59">
        <v>4.0</v>
      </c>
      <c r="L3" s="62">
        <v>40238.0</v>
      </c>
      <c r="M3" s="61" t="s">
        <v>1690</v>
      </c>
      <c r="N3" s="60" t="s">
        <v>1691</v>
      </c>
      <c r="O3" s="62">
        <v>40191.0</v>
      </c>
      <c r="P3" s="62">
        <v>40193.0</v>
      </c>
      <c r="Q3" s="59">
        <v>20.0</v>
      </c>
      <c r="R3" s="59" t="s">
        <v>125</v>
      </c>
      <c r="S3" s="63" t="s">
        <v>1686</v>
      </c>
      <c r="T3" s="5"/>
      <c r="U3" s="5"/>
      <c r="V3" s="5"/>
      <c r="W3" s="5"/>
      <c r="X3" s="5"/>
      <c r="Y3" s="5"/>
      <c r="Z3" s="5"/>
    </row>
    <row r="4" ht="25.5" customHeight="1">
      <c r="A4" s="59">
        <v>3.0</v>
      </c>
      <c r="B4" s="60" t="s">
        <v>1686</v>
      </c>
      <c r="C4" s="60" t="s">
        <v>1692</v>
      </c>
      <c r="D4" s="59">
        <v>15.0</v>
      </c>
      <c r="E4" s="59" t="s">
        <v>112</v>
      </c>
      <c r="F4" s="64" t="s">
        <v>125</v>
      </c>
      <c r="G4" s="64" t="s">
        <v>117</v>
      </c>
      <c r="H4" s="64">
        <v>2.0</v>
      </c>
      <c r="I4" s="61" t="s">
        <v>115</v>
      </c>
      <c r="J4" s="64" t="s">
        <v>122</v>
      </c>
      <c r="K4" s="64" t="s">
        <v>1592</v>
      </c>
      <c r="L4" s="65">
        <v>40238.0</v>
      </c>
      <c r="M4" s="61" t="s">
        <v>1693</v>
      </c>
      <c r="N4" s="60" t="s">
        <v>122</v>
      </c>
      <c r="O4" s="62">
        <v>40191.0</v>
      </c>
      <c r="P4" s="62">
        <v>40193.0</v>
      </c>
      <c r="Q4" s="59">
        <v>17.0</v>
      </c>
      <c r="R4" s="59" t="s">
        <v>125</v>
      </c>
      <c r="S4" s="63" t="s">
        <v>1686</v>
      </c>
      <c r="T4" s="5"/>
      <c r="U4" s="5"/>
      <c r="V4" s="5"/>
      <c r="W4" s="5"/>
      <c r="X4" s="5"/>
      <c r="Y4" s="5"/>
      <c r="Z4" s="5"/>
    </row>
    <row r="5" ht="25.5" customHeight="1">
      <c r="A5" s="59">
        <v>4.0</v>
      </c>
      <c r="B5" s="60" t="s">
        <v>98</v>
      </c>
      <c r="C5" s="60" t="s">
        <v>1591</v>
      </c>
      <c r="D5" s="59">
        <v>21.0</v>
      </c>
      <c r="E5" s="59" t="s">
        <v>112</v>
      </c>
      <c r="F5" s="59" t="s">
        <v>120</v>
      </c>
      <c r="G5" s="59" t="s">
        <v>117</v>
      </c>
      <c r="H5" s="59">
        <v>0.0</v>
      </c>
      <c r="I5" s="61" t="s">
        <v>1596</v>
      </c>
      <c r="J5" s="59" t="s">
        <v>116</v>
      </c>
      <c r="K5" s="59">
        <v>3.0</v>
      </c>
      <c r="L5" s="62">
        <v>40360.0</v>
      </c>
      <c r="M5" s="61" t="s">
        <v>122</v>
      </c>
      <c r="N5" s="60" t="s">
        <v>1694</v>
      </c>
      <c r="O5" s="62">
        <v>40336.0</v>
      </c>
      <c r="P5" s="62">
        <v>40340.0</v>
      </c>
      <c r="Q5" s="59" t="s">
        <v>1592</v>
      </c>
      <c r="R5" s="59" t="s">
        <v>1592</v>
      </c>
      <c r="S5" s="59" t="s">
        <v>1592</v>
      </c>
      <c r="T5" s="5"/>
      <c r="U5" s="5"/>
      <c r="V5" s="5"/>
      <c r="W5" s="5"/>
      <c r="X5" s="5"/>
      <c r="Y5" s="5"/>
      <c r="Z5" s="5"/>
    </row>
    <row r="6" ht="25.5" customHeight="1">
      <c r="A6" s="59">
        <v>5.0</v>
      </c>
      <c r="B6" s="60" t="s">
        <v>1695</v>
      </c>
      <c r="C6" s="60" t="s">
        <v>127</v>
      </c>
      <c r="D6" s="59">
        <v>21.0</v>
      </c>
      <c r="E6" s="59" t="s">
        <v>112</v>
      </c>
      <c r="F6" s="59" t="s">
        <v>127</v>
      </c>
      <c r="G6" s="59" t="s">
        <v>117</v>
      </c>
      <c r="H6" s="59">
        <v>0.0</v>
      </c>
      <c r="I6" s="61" t="s">
        <v>1596</v>
      </c>
      <c r="J6" s="59" t="s">
        <v>116</v>
      </c>
      <c r="K6" s="59">
        <v>19.0</v>
      </c>
      <c r="L6" s="62">
        <v>40266.0</v>
      </c>
      <c r="M6" s="61" t="s">
        <v>122</v>
      </c>
      <c r="N6" s="60" t="s">
        <v>1081</v>
      </c>
      <c r="O6" s="62">
        <v>40135.0</v>
      </c>
      <c r="P6" s="59" t="s">
        <v>1592</v>
      </c>
      <c r="Q6" s="59" t="s">
        <v>1592</v>
      </c>
      <c r="R6" s="59" t="s">
        <v>1592</v>
      </c>
      <c r="S6" s="59" t="s">
        <v>1592</v>
      </c>
      <c r="T6" s="5"/>
      <c r="U6" s="5"/>
      <c r="V6" s="5"/>
      <c r="W6" s="5"/>
      <c r="X6" s="5"/>
      <c r="Y6" s="5"/>
      <c r="Z6" s="5"/>
    </row>
    <row r="7" ht="25.5" customHeight="1">
      <c r="A7" s="59">
        <v>6.0</v>
      </c>
      <c r="B7" s="60" t="s">
        <v>1696</v>
      </c>
      <c r="C7" s="60" t="s">
        <v>1697</v>
      </c>
      <c r="D7" s="59">
        <v>21.0</v>
      </c>
      <c r="E7" s="59" t="s">
        <v>112</v>
      </c>
      <c r="F7" s="59" t="s">
        <v>125</v>
      </c>
      <c r="G7" s="59" t="s">
        <v>117</v>
      </c>
      <c r="H7" s="59">
        <v>3.0</v>
      </c>
      <c r="I7" s="61" t="s">
        <v>1632</v>
      </c>
      <c r="J7" s="59" t="s">
        <v>116</v>
      </c>
      <c r="K7" s="59">
        <v>3.0</v>
      </c>
      <c r="L7" s="62">
        <v>40360.0</v>
      </c>
      <c r="M7" s="61" t="s">
        <v>122</v>
      </c>
      <c r="N7" s="60" t="s">
        <v>1698</v>
      </c>
      <c r="O7" s="62">
        <v>40315.0</v>
      </c>
      <c r="P7" s="62">
        <v>40318.0</v>
      </c>
      <c r="Q7" s="59" t="s">
        <v>1592</v>
      </c>
      <c r="R7" s="59" t="s">
        <v>1592</v>
      </c>
      <c r="S7" s="59" t="s">
        <v>1592</v>
      </c>
      <c r="T7" s="5"/>
      <c r="U7" s="5"/>
      <c r="V7" s="5"/>
      <c r="W7" s="5"/>
      <c r="X7" s="5"/>
      <c r="Y7" s="5"/>
      <c r="Z7" s="5"/>
    </row>
    <row r="8" ht="25.5" customHeight="1">
      <c r="A8" s="59">
        <v>7.0</v>
      </c>
      <c r="B8" s="60" t="s">
        <v>1699</v>
      </c>
      <c r="C8" s="60" t="s">
        <v>1700</v>
      </c>
      <c r="D8" s="59">
        <v>21.0</v>
      </c>
      <c r="E8" s="59" t="s">
        <v>112</v>
      </c>
      <c r="F8" s="59" t="s">
        <v>125</v>
      </c>
      <c r="G8" s="59" t="s">
        <v>117</v>
      </c>
      <c r="H8" s="59">
        <v>1.0</v>
      </c>
      <c r="I8" s="61" t="s">
        <v>1632</v>
      </c>
      <c r="J8" s="59" t="s">
        <v>116</v>
      </c>
      <c r="K8" s="59">
        <v>2.0</v>
      </c>
      <c r="L8" s="62">
        <v>40395.0</v>
      </c>
      <c r="M8" s="61" t="s">
        <v>122</v>
      </c>
      <c r="N8" s="60" t="s">
        <v>1701</v>
      </c>
      <c r="O8" s="62">
        <v>40373.0</v>
      </c>
      <c r="P8" s="62">
        <v>40379.0</v>
      </c>
      <c r="Q8" s="59" t="s">
        <v>1592</v>
      </c>
      <c r="R8" s="59" t="s">
        <v>1592</v>
      </c>
      <c r="S8" s="59" t="s">
        <v>1592</v>
      </c>
      <c r="T8" s="5"/>
      <c r="U8" s="5"/>
      <c r="V8" s="5"/>
      <c r="W8" s="5"/>
      <c r="X8" s="5"/>
      <c r="Y8" s="5"/>
      <c r="Z8" s="5"/>
    </row>
    <row r="9" ht="25.5" customHeight="1">
      <c r="A9" s="59">
        <v>8.0</v>
      </c>
      <c r="B9" s="60" t="s">
        <v>1699</v>
      </c>
      <c r="C9" s="60" t="s">
        <v>1702</v>
      </c>
      <c r="D9" s="59">
        <v>14.0</v>
      </c>
      <c r="E9" s="59" t="s">
        <v>112</v>
      </c>
      <c r="F9" s="59" t="s">
        <v>114</v>
      </c>
      <c r="G9" s="59" t="s">
        <v>116</v>
      </c>
      <c r="H9" s="59">
        <v>2.0</v>
      </c>
      <c r="I9" s="61" t="s">
        <v>115</v>
      </c>
      <c r="J9" s="59" t="s">
        <v>122</v>
      </c>
      <c r="K9" s="59" t="s">
        <v>1592</v>
      </c>
      <c r="L9" s="62">
        <v>40330.0</v>
      </c>
      <c r="M9" s="61" t="s">
        <v>1592</v>
      </c>
      <c r="N9" s="60" t="s">
        <v>1703</v>
      </c>
      <c r="O9" s="62">
        <v>40315.0</v>
      </c>
      <c r="P9" s="59" t="s">
        <v>1592</v>
      </c>
      <c r="Q9" s="59" t="s">
        <v>1592</v>
      </c>
      <c r="R9" s="59" t="s">
        <v>1592</v>
      </c>
      <c r="S9" s="59" t="s">
        <v>1592</v>
      </c>
      <c r="T9" s="5"/>
      <c r="U9" s="5"/>
      <c r="V9" s="5"/>
      <c r="W9" s="5"/>
      <c r="X9" s="5"/>
      <c r="Y9" s="5"/>
      <c r="Z9" s="5"/>
    </row>
    <row r="10" ht="25.5" customHeight="1">
      <c r="A10" s="59">
        <v>9.0</v>
      </c>
      <c r="B10" s="60" t="s">
        <v>1699</v>
      </c>
      <c r="C10" s="60" t="s">
        <v>1702</v>
      </c>
      <c r="D10" s="59">
        <v>14.0</v>
      </c>
      <c r="E10" s="59" t="s">
        <v>112</v>
      </c>
      <c r="F10" s="59" t="s">
        <v>114</v>
      </c>
      <c r="G10" s="59" t="s">
        <v>116</v>
      </c>
      <c r="H10" s="59">
        <v>1.0</v>
      </c>
      <c r="I10" s="61" t="s">
        <v>115</v>
      </c>
      <c r="J10" s="59" t="s">
        <v>122</v>
      </c>
      <c r="K10" s="59" t="s">
        <v>1592</v>
      </c>
      <c r="L10" s="62">
        <v>40395.0</v>
      </c>
      <c r="M10" s="61" t="s">
        <v>1592</v>
      </c>
      <c r="N10" s="60" t="s">
        <v>1704</v>
      </c>
      <c r="O10" s="65">
        <v>40378.0</v>
      </c>
      <c r="P10" s="59" t="s">
        <v>1592</v>
      </c>
      <c r="Q10" s="59" t="s">
        <v>1592</v>
      </c>
      <c r="R10" s="59" t="s">
        <v>1592</v>
      </c>
      <c r="S10" s="59" t="s">
        <v>1592</v>
      </c>
      <c r="T10" s="5"/>
      <c r="U10" s="5"/>
      <c r="V10" s="5"/>
      <c r="W10" s="5"/>
      <c r="X10" s="5"/>
      <c r="Y10" s="5"/>
      <c r="Z10" s="5"/>
    </row>
    <row r="11" ht="25.5" customHeight="1">
      <c r="A11" s="59">
        <v>10.0</v>
      </c>
      <c r="B11" s="60" t="s">
        <v>1705</v>
      </c>
      <c r="C11" s="60" t="s">
        <v>1706</v>
      </c>
      <c r="D11" s="59">
        <v>12.0</v>
      </c>
      <c r="E11" s="59" t="s">
        <v>112</v>
      </c>
      <c r="F11" s="59" t="s">
        <v>114</v>
      </c>
      <c r="G11" s="59" t="s">
        <v>117</v>
      </c>
      <c r="H11" s="59">
        <v>5.0</v>
      </c>
      <c r="I11" s="61" t="s">
        <v>115</v>
      </c>
      <c r="J11" s="59" t="s">
        <v>122</v>
      </c>
      <c r="K11" s="59" t="s">
        <v>1592</v>
      </c>
      <c r="L11" s="62">
        <v>40422.0</v>
      </c>
      <c r="M11" s="61" t="s">
        <v>1707</v>
      </c>
      <c r="N11" s="60" t="s">
        <v>122</v>
      </c>
      <c r="O11" s="62">
        <v>40381.0</v>
      </c>
      <c r="P11" s="62">
        <v>40388.0</v>
      </c>
      <c r="Q11" s="59">
        <v>17.0</v>
      </c>
      <c r="R11" s="59" t="s">
        <v>120</v>
      </c>
      <c r="S11" s="63" t="s">
        <v>1708</v>
      </c>
      <c r="T11" s="5"/>
      <c r="U11" s="5"/>
      <c r="V11" s="5"/>
      <c r="W11" s="5"/>
      <c r="X11" s="5"/>
      <c r="Y11" s="5"/>
      <c r="Z11" s="5"/>
    </row>
    <row r="12" ht="25.5" customHeight="1">
      <c r="A12" s="59">
        <v>11.0</v>
      </c>
      <c r="B12" s="60" t="s">
        <v>1709</v>
      </c>
      <c r="C12" s="60" t="s">
        <v>120</v>
      </c>
      <c r="D12" s="59">
        <v>21.0</v>
      </c>
      <c r="E12" s="59" t="s">
        <v>112</v>
      </c>
      <c r="F12" s="59" t="s">
        <v>120</v>
      </c>
      <c r="G12" s="59" t="s">
        <v>117</v>
      </c>
      <c r="H12" s="59">
        <v>0.0</v>
      </c>
      <c r="I12" s="61" t="s">
        <v>1596</v>
      </c>
      <c r="J12" s="59" t="s">
        <v>116</v>
      </c>
      <c r="K12" s="59">
        <v>4.0</v>
      </c>
      <c r="L12" s="62">
        <v>40391.0</v>
      </c>
      <c r="M12" s="61" t="s">
        <v>122</v>
      </c>
      <c r="N12" s="60" t="s">
        <v>1710</v>
      </c>
      <c r="O12" s="62">
        <v>40323.0</v>
      </c>
      <c r="P12" s="62">
        <v>40330.0</v>
      </c>
      <c r="Q12" s="59" t="s">
        <v>1592</v>
      </c>
      <c r="R12" s="59" t="s">
        <v>1592</v>
      </c>
      <c r="S12" s="59" t="s">
        <v>1592</v>
      </c>
      <c r="T12" s="5"/>
      <c r="U12" s="5"/>
      <c r="V12" s="5"/>
      <c r="W12" s="5"/>
      <c r="X12" s="5"/>
      <c r="Y12" s="5"/>
      <c r="Z12" s="5"/>
    </row>
    <row r="13" ht="25.5" customHeight="1">
      <c r="A13" s="59">
        <v>12.0</v>
      </c>
      <c r="B13" s="60" t="s">
        <v>1709</v>
      </c>
      <c r="C13" s="60" t="s">
        <v>1711</v>
      </c>
      <c r="D13" s="59">
        <v>14.0</v>
      </c>
      <c r="E13" s="59" t="s">
        <v>112</v>
      </c>
      <c r="F13" s="59" t="s">
        <v>114</v>
      </c>
      <c r="G13" s="59" t="s">
        <v>117</v>
      </c>
      <c r="H13" s="59">
        <v>1.0</v>
      </c>
      <c r="I13" s="61" t="s">
        <v>1632</v>
      </c>
      <c r="J13" s="59" t="s">
        <v>116</v>
      </c>
      <c r="K13" s="59">
        <v>2.0</v>
      </c>
      <c r="L13" s="62">
        <v>40360.0</v>
      </c>
      <c r="M13" s="61" t="s">
        <v>122</v>
      </c>
      <c r="N13" s="60" t="s">
        <v>1712</v>
      </c>
      <c r="O13" s="62">
        <v>40323.0</v>
      </c>
      <c r="P13" s="62">
        <v>40330.0</v>
      </c>
      <c r="Q13" s="59" t="s">
        <v>1592</v>
      </c>
      <c r="R13" s="59" t="s">
        <v>1592</v>
      </c>
      <c r="S13" s="59" t="s">
        <v>1592</v>
      </c>
      <c r="T13" s="5"/>
      <c r="U13" s="5"/>
      <c r="V13" s="5"/>
      <c r="W13" s="5"/>
      <c r="X13" s="5"/>
      <c r="Y13" s="5"/>
      <c r="Z13" s="5"/>
    </row>
    <row r="14" ht="25.5" customHeight="1">
      <c r="A14" s="59">
        <v>13.0</v>
      </c>
      <c r="B14" s="60" t="s">
        <v>1713</v>
      </c>
      <c r="C14" s="60" t="s">
        <v>1638</v>
      </c>
      <c r="D14" s="59">
        <v>24.0</v>
      </c>
      <c r="E14" s="59" t="s">
        <v>112</v>
      </c>
      <c r="F14" s="59" t="s">
        <v>127</v>
      </c>
      <c r="G14" s="59" t="s">
        <v>116</v>
      </c>
      <c r="H14" s="59">
        <v>4.0</v>
      </c>
      <c r="I14" s="61" t="s">
        <v>115</v>
      </c>
      <c r="J14" s="59" t="s">
        <v>122</v>
      </c>
      <c r="K14" s="59" t="s">
        <v>1592</v>
      </c>
      <c r="L14" s="62">
        <v>40371.0</v>
      </c>
      <c r="M14" s="61" t="s">
        <v>1592</v>
      </c>
      <c r="N14" s="60" t="s">
        <v>1714</v>
      </c>
      <c r="O14" s="62">
        <v>40352.0</v>
      </c>
      <c r="P14" s="59" t="s">
        <v>1592</v>
      </c>
      <c r="Q14" s="59" t="s">
        <v>1592</v>
      </c>
      <c r="R14" s="59" t="s">
        <v>1592</v>
      </c>
      <c r="S14" s="59" t="s">
        <v>1592</v>
      </c>
      <c r="T14" s="5"/>
      <c r="U14" s="5"/>
      <c r="V14" s="5"/>
      <c r="W14" s="5"/>
      <c r="X14" s="5"/>
      <c r="Y14" s="5"/>
      <c r="Z14" s="5"/>
    </row>
    <row r="15" ht="25.5" customHeight="1">
      <c r="A15" s="59">
        <v>14.0</v>
      </c>
      <c r="B15" s="60" t="s">
        <v>1713</v>
      </c>
      <c r="C15" s="60" t="s">
        <v>1715</v>
      </c>
      <c r="D15" s="59">
        <v>21.0</v>
      </c>
      <c r="E15" s="59" t="s">
        <v>112</v>
      </c>
      <c r="F15" s="59" t="s">
        <v>120</v>
      </c>
      <c r="G15" s="59" t="s">
        <v>117</v>
      </c>
      <c r="H15" s="59">
        <v>0.0</v>
      </c>
      <c r="I15" s="61" t="s">
        <v>1596</v>
      </c>
      <c r="J15" s="59" t="s">
        <v>116</v>
      </c>
      <c r="K15" s="59">
        <v>3.0</v>
      </c>
      <c r="L15" s="62">
        <v>40360.0</v>
      </c>
      <c r="M15" s="61" t="s">
        <v>122</v>
      </c>
      <c r="N15" s="60" t="s">
        <v>1716</v>
      </c>
      <c r="O15" s="62">
        <v>40331.0</v>
      </c>
      <c r="P15" s="62">
        <v>40336.0</v>
      </c>
      <c r="Q15" s="59" t="s">
        <v>1592</v>
      </c>
      <c r="R15" s="59" t="s">
        <v>1592</v>
      </c>
      <c r="S15" s="59" t="s">
        <v>1592</v>
      </c>
      <c r="T15" s="5"/>
      <c r="U15" s="5"/>
      <c r="V15" s="5"/>
      <c r="W15" s="5"/>
      <c r="X15" s="5"/>
      <c r="Y15" s="5"/>
      <c r="Z15" s="5"/>
    </row>
    <row r="16" ht="25.5" customHeight="1">
      <c r="A16" s="59">
        <v>15.0</v>
      </c>
      <c r="B16" s="60" t="s">
        <v>1713</v>
      </c>
      <c r="C16" s="60" t="s">
        <v>1717</v>
      </c>
      <c r="D16" s="59">
        <v>21.0</v>
      </c>
      <c r="E16" s="59" t="s">
        <v>112</v>
      </c>
      <c r="F16" s="59" t="s">
        <v>125</v>
      </c>
      <c r="G16" s="59" t="s">
        <v>117</v>
      </c>
      <c r="H16" s="59">
        <v>0.0</v>
      </c>
      <c r="I16" s="61" t="s">
        <v>1596</v>
      </c>
      <c r="J16" s="59" t="s">
        <v>116</v>
      </c>
      <c r="K16" s="59">
        <v>13.0</v>
      </c>
      <c r="L16" s="62">
        <v>40330.0</v>
      </c>
      <c r="M16" s="61" t="s">
        <v>122</v>
      </c>
      <c r="N16" s="60" t="s">
        <v>1718</v>
      </c>
      <c r="O16" s="62">
        <v>40283.0</v>
      </c>
      <c r="P16" s="62">
        <v>40288.0</v>
      </c>
      <c r="Q16" s="59" t="s">
        <v>1592</v>
      </c>
      <c r="R16" s="59" t="s">
        <v>1592</v>
      </c>
      <c r="S16" s="59" t="s">
        <v>1592</v>
      </c>
      <c r="T16" s="5"/>
      <c r="U16" s="5"/>
      <c r="V16" s="5"/>
      <c r="W16" s="5"/>
      <c r="X16" s="5"/>
      <c r="Y16" s="5"/>
      <c r="Z16" s="5"/>
    </row>
    <row r="17" ht="25.5" customHeight="1">
      <c r="A17" s="59">
        <v>16.0</v>
      </c>
      <c r="B17" s="60" t="s">
        <v>1719</v>
      </c>
      <c r="C17" s="60" t="s">
        <v>1591</v>
      </c>
      <c r="D17" s="59">
        <v>21.0</v>
      </c>
      <c r="E17" s="59" t="s">
        <v>112</v>
      </c>
      <c r="F17" s="59" t="s">
        <v>120</v>
      </c>
      <c r="G17" s="59" t="s">
        <v>117</v>
      </c>
      <c r="H17" s="59">
        <v>0.0</v>
      </c>
      <c r="I17" s="61" t="s">
        <v>1632</v>
      </c>
      <c r="J17" s="59" t="s">
        <v>116</v>
      </c>
      <c r="K17" s="59">
        <v>5.0</v>
      </c>
      <c r="L17" s="62">
        <v>40392.0</v>
      </c>
      <c r="M17" s="61" t="s">
        <v>122</v>
      </c>
      <c r="N17" s="60" t="s">
        <v>1720</v>
      </c>
      <c r="O17" s="62">
        <v>40346.0</v>
      </c>
      <c r="P17" s="62">
        <v>40351.0</v>
      </c>
      <c r="Q17" s="59" t="s">
        <v>1592</v>
      </c>
      <c r="R17" s="59" t="s">
        <v>1592</v>
      </c>
      <c r="S17" s="59" t="s">
        <v>1592</v>
      </c>
      <c r="T17" s="5"/>
      <c r="U17" s="5"/>
      <c r="V17" s="5"/>
      <c r="W17" s="5"/>
      <c r="X17" s="5"/>
      <c r="Y17" s="5"/>
      <c r="Z17" s="5"/>
    </row>
    <row r="18" ht="25.5" customHeight="1">
      <c r="A18" s="59">
        <v>17.0</v>
      </c>
      <c r="B18" s="60" t="s">
        <v>1719</v>
      </c>
      <c r="C18" s="60" t="s">
        <v>1591</v>
      </c>
      <c r="D18" s="59">
        <v>18.0</v>
      </c>
      <c r="E18" s="59" t="s">
        <v>112</v>
      </c>
      <c r="F18" s="59" t="s">
        <v>120</v>
      </c>
      <c r="G18" s="59" t="s">
        <v>117</v>
      </c>
      <c r="H18" s="59">
        <v>4.0</v>
      </c>
      <c r="I18" s="61" t="s">
        <v>115</v>
      </c>
      <c r="J18" s="59" t="s">
        <v>122</v>
      </c>
      <c r="K18" s="59" t="s">
        <v>1592</v>
      </c>
      <c r="L18" s="62">
        <v>40269.0</v>
      </c>
      <c r="M18" s="61" t="s">
        <v>1721</v>
      </c>
      <c r="N18" s="60" t="s">
        <v>122</v>
      </c>
      <c r="O18" s="62">
        <v>40277.0</v>
      </c>
      <c r="P18" s="62">
        <v>40282.0</v>
      </c>
      <c r="Q18" s="59">
        <v>17.0</v>
      </c>
      <c r="R18" s="59" t="s">
        <v>120</v>
      </c>
      <c r="S18" s="63" t="s">
        <v>98</v>
      </c>
      <c r="T18" s="5"/>
      <c r="U18" s="5"/>
      <c r="V18" s="5"/>
      <c r="W18" s="5"/>
      <c r="X18" s="5"/>
      <c r="Y18" s="5"/>
      <c r="Z18" s="5"/>
    </row>
    <row r="19" ht="25.5" customHeight="1">
      <c r="A19" s="59">
        <v>18.0</v>
      </c>
      <c r="B19" s="60" t="s">
        <v>1719</v>
      </c>
      <c r="C19" s="60" t="s">
        <v>1697</v>
      </c>
      <c r="D19" s="59">
        <v>21.0</v>
      </c>
      <c r="E19" s="59" t="s">
        <v>112</v>
      </c>
      <c r="F19" s="59" t="s">
        <v>125</v>
      </c>
      <c r="G19" s="59" t="s">
        <v>117</v>
      </c>
      <c r="H19" s="59">
        <v>3.0</v>
      </c>
      <c r="I19" s="61" t="s">
        <v>1632</v>
      </c>
      <c r="J19" s="59" t="s">
        <v>116</v>
      </c>
      <c r="K19" s="59">
        <v>4.0</v>
      </c>
      <c r="L19" s="62">
        <v>40360.0</v>
      </c>
      <c r="M19" s="61" t="s">
        <v>122</v>
      </c>
      <c r="N19" s="60" t="s">
        <v>1722</v>
      </c>
      <c r="O19" s="62">
        <v>40277.0</v>
      </c>
      <c r="P19" s="62">
        <v>40282.0</v>
      </c>
      <c r="Q19" s="59" t="s">
        <v>1592</v>
      </c>
      <c r="R19" s="59" t="s">
        <v>1592</v>
      </c>
      <c r="S19" s="59" t="s">
        <v>1592</v>
      </c>
      <c r="T19" s="5"/>
      <c r="U19" s="5"/>
      <c r="V19" s="5"/>
      <c r="W19" s="5"/>
      <c r="X19" s="5"/>
      <c r="Y19" s="5"/>
      <c r="Z19" s="5"/>
    </row>
    <row r="20" ht="25.5" customHeight="1">
      <c r="A20" s="59">
        <v>19.0</v>
      </c>
      <c r="B20" s="60" t="s">
        <v>1723</v>
      </c>
      <c r="C20" s="60" t="s">
        <v>1724</v>
      </c>
      <c r="D20" s="59">
        <v>14.0</v>
      </c>
      <c r="E20" s="59" t="s">
        <v>112</v>
      </c>
      <c r="F20" s="59" t="s">
        <v>114</v>
      </c>
      <c r="G20" s="59" t="s">
        <v>117</v>
      </c>
      <c r="H20" s="59">
        <v>0.0</v>
      </c>
      <c r="I20" s="61" t="s">
        <v>1596</v>
      </c>
      <c r="J20" s="59" t="s">
        <v>116</v>
      </c>
      <c r="K20" s="59">
        <v>14.0</v>
      </c>
      <c r="L20" s="62">
        <v>40360.0</v>
      </c>
      <c r="M20" s="61" t="s">
        <v>122</v>
      </c>
      <c r="N20" s="60" t="s">
        <v>1725</v>
      </c>
      <c r="O20" s="62">
        <v>40325.0</v>
      </c>
      <c r="P20" s="62">
        <v>40330.0</v>
      </c>
      <c r="Q20" s="59" t="s">
        <v>1592</v>
      </c>
      <c r="R20" s="59" t="s">
        <v>1592</v>
      </c>
      <c r="S20" s="59" t="s">
        <v>1592</v>
      </c>
      <c r="T20" s="5"/>
      <c r="U20" s="5"/>
      <c r="V20" s="5"/>
      <c r="W20" s="5"/>
      <c r="X20" s="5"/>
      <c r="Y20" s="5"/>
      <c r="Z20" s="5"/>
    </row>
    <row r="21" ht="25.5" customHeight="1">
      <c r="A21" s="59">
        <v>20.0</v>
      </c>
      <c r="B21" s="60" t="s">
        <v>1723</v>
      </c>
      <c r="C21" s="60" t="s">
        <v>1726</v>
      </c>
      <c r="D21" s="59">
        <v>14.0</v>
      </c>
      <c r="E21" s="59" t="s">
        <v>112</v>
      </c>
      <c r="F21" s="59" t="s">
        <v>114</v>
      </c>
      <c r="G21" s="59" t="s">
        <v>117</v>
      </c>
      <c r="H21" s="59">
        <v>0.0</v>
      </c>
      <c r="I21" s="61" t="s">
        <v>1596</v>
      </c>
      <c r="J21" s="59" t="s">
        <v>116</v>
      </c>
      <c r="K21" s="59">
        <v>17.0</v>
      </c>
      <c r="L21" s="62">
        <v>40360.0</v>
      </c>
      <c r="M21" s="61" t="s">
        <v>122</v>
      </c>
      <c r="N21" s="60" t="s">
        <v>1727</v>
      </c>
      <c r="O21" s="62">
        <v>40325.0</v>
      </c>
      <c r="P21" s="62">
        <v>40330.0</v>
      </c>
      <c r="Q21" s="59" t="s">
        <v>1592</v>
      </c>
      <c r="R21" s="59" t="s">
        <v>1592</v>
      </c>
      <c r="S21" s="59" t="s">
        <v>1592</v>
      </c>
      <c r="T21" s="5"/>
      <c r="U21" s="5"/>
      <c r="V21" s="5"/>
      <c r="W21" s="5"/>
      <c r="X21" s="5"/>
      <c r="Y21" s="5"/>
      <c r="Z21" s="5"/>
    </row>
    <row r="22" ht="25.5" customHeight="1">
      <c r="A22" s="59">
        <v>21.0</v>
      </c>
      <c r="B22" s="60" t="s">
        <v>1728</v>
      </c>
      <c r="C22" s="60" t="s">
        <v>1729</v>
      </c>
      <c r="D22" s="59">
        <v>8.0</v>
      </c>
      <c r="E22" s="59" t="s">
        <v>112</v>
      </c>
      <c r="F22" s="59" t="s">
        <v>114</v>
      </c>
      <c r="G22" s="59" t="s">
        <v>117</v>
      </c>
      <c r="H22" s="59">
        <v>3.0</v>
      </c>
      <c r="I22" s="61" t="s">
        <v>1632</v>
      </c>
      <c r="J22" s="59" t="s">
        <v>122</v>
      </c>
      <c r="K22" s="62" t="s">
        <v>1592</v>
      </c>
      <c r="L22" s="62" t="s">
        <v>1592</v>
      </c>
      <c r="M22" s="61" t="s">
        <v>1592</v>
      </c>
      <c r="N22" s="61" t="s">
        <v>1592</v>
      </c>
      <c r="O22" s="62">
        <v>40463.0</v>
      </c>
      <c r="P22" s="62">
        <v>40469.0</v>
      </c>
      <c r="Q22" s="59" t="s">
        <v>1592</v>
      </c>
      <c r="R22" s="59" t="s">
        <v>1592</v>
      </c>
      <c r="S22" s="59" t="s">
        <v>1592</v>
      </c>
      <c r="T22" s="5"/>
      <c r="U22" s="5"/>
      <c r="V22" s="5"/>
      <c r="W22" s="5"/>
      <c r="X22" s="5"/>
      <c r="Y22" s="5"/>
      <c r="Z22" s="5"/>
    </row>
    <row r="23" ht="25.5" customHeight="1">
      <c r="A23" s="59">
        <v>22.0</v>
      </c>
      <c r="B23" s="60" t="s">
        <v>1730</v>
      </c>
      <c r="C23" s="60" t="s">
        <v>1731</v>
      </c>
      <c r="D23" s="59">
        <v>8.0</v>
      </c>
      <c r="E23" s="59" t="s">
        <v>112</v>
      </c>
      <c r="F23" s="59" t="s">
        <v>114</v>
      </c>
      <c r="G23" s="59" t="s">
        <v>116</v>
      </c>
      <c r="H23" s="59">
        <v>8.0</v>
      </c>
      <c r="I23" s="61" t="s">
        <v>115</v>
      </c>
      <c r="J23" s="59" t="s">
        <v>122</v>
      </c>
      <c r="K23" s="62" t="s">
        <v>1592</v>
      </c>
      <c r="L23" s="62" t="s">
        <v>1592</v>
      </c>
      <c r="M23" s="61" t="s">
        <v>1592</v>
      </c>
      <c r="N23" s="61" t="s">
        <v>1592</v>
      </c>
      <c r="O23" s="62">
        <v>40287.0</v>
      </c>
      <c r="P23" s="62">
        <v>40294.0</v>
      </c>
      <c r="Q23" s="59" t="s">
        <v>1592</v>
      </c>
      <c r="R23" s="59" t="s">
        <v>1592</v>
      </c>
      <c r="S23" s="59" t="s">
        <v>1592</v>
      </c>
      <c r="T23" s="66"/>
      <c r="U23" s="5"/>
      <c r="V23" s="5"/>
      <c r="W23" s="5"/>
      <c r="X23" s="5"/>
      <c r="Y23" s="5"/>
      <c r="Z23" s="5"/>
    </row>
    <row r="24" ht="25.5" customHeight="1">
      <c r="A24" s="59">
        <v>23.0</v>
      </c>
      <c r="B24" s="60" t="s">
        <v>1732</v>
      </c>
      <c r="C24" s="60" t="s">
        <v>1733</v>
      </c>
      <c r="D24" s="59">
        <v>10.0</v>
      </c>
      <c r="E24" s="59" t="s">
        <v>112</v>
      </c>
      <c r="F24" s="64" t="s">
        <v>114</v>
      </c>
      <c r="G24" s="64" t="s">
        <v>116</v>
      </c>
      <c r="H24" s="64">
        <v>3.0</v>
      </c>
      <c r="I24" s="61" t="s">
        <v>115</v>
      </c>
      <c r="J24" s="64" t="s">
        <v>122</v>
      </c>
      <c r="K24" s="64" t="s">
        <v>1592</v>
      </c>
      <c r="L24" s="62">
        <v>40252.0</v>
      </c>
      <c r="M24" s="61" t="s">
        <v>1592</v>
      </c>
      <c r="N24" s="60" t="s">
        <v>1734</v>
      </c>
      <c r="O24" s="62">
        <v>40245.0</v>
      </c>
      <c r="P24" s="62">
        <v>40209.0</v>
      </c>
      <c r="Q24" s="59" t="s">
        <v>1592</v>
      </c>
      <c r="R24" s="59" t="s">
        <v>1592</v>
      </c>
      <c r="S24" s="59" t="s">
        <v>1592</v>
      </c>
      <c r="T24" s="5"/>
      <c r="U24" s="5"/>
      <c r="V24" s="5"/>
      <c r="W24" s="5"/>
      <c r="X24" s="5"/>
      <c r="Y24" s="5"/>
      <c r="Z24" s="5"/>
    </row>
    <row r="25" ht="25.5" customHeight="1">
      <c r="A25" s="59">
        <v>24.0</v>
      </c>
      <c r="B25" s="60" t="s">
        <v>1732</v>
      </c>
      <c r="C25" s="60" t="s">
        <v>1735</v>
      </c>
      <c r="D25" s="59">
        <v>14.0</v>
      </c>
      <c r="E25" s="59" t="s">
        <v>112</v>
      </c>
      <c r="F25" s="64" t="s">
        <v>114</v>
      </c>
      <c r="G25" s="64" t="s">
        <v>116</v>
      </c>
      <c r="H25" s="64">
        <v>3.0</v>
      </c>
      <c r="I25" s="61" t="s">
        <v>115</v>
      </c>
      <c r="J25" s="64" t="s">
        <v>122</v>
      </c>
      <c r="K25" s="64" t="s">
        <v>1592</v>
      </c>
      <c r="L25" s="62">
        <v>40252.0</v>
      </c>
      <c r="M25" s="61" t="s">
        <v>1592</v>
      </c>
      <c r="N25" s="60" t="s">
        <v>1736</v>
      </c>
      <c r="O25" s="62">
        <v>40245.0</v>
      </c>
      <c r="P25" s="59" t="s">
        <v>1592</v>
      </c>
      <c r="Q25" s="59" t="s">
        <v>1592</v>
      </c>
      <c r="R25" s="59" t="s">
        <v>1592</v>
      </c>
      <c r="S25" s="59" t="s">
        <v>1592</v>
      </c>
      <c r="T25" s="5"/>
      <c r="U25" s="5"/>
      <c r="V25" s="5"/>
      <c r="W25" s="5"/>
      <c r="X25" s="5"/>
      <c r="Y25" s="5"/>
      <c r="Z25" s="5"/>
    </row>
    <row r="26" ht="25.5" customHeight="1">
      <c r="A26" s="59">
        <v>25.0</v>
      </c>
      <c r="B26" s="60" t="s">
        <v>1732</v>
      </c>
      <c r="C26" s="60" t="s">
        <v>1735</v>
      </c>
      <c r="D26" s="59">
        <v>10.0</v>
      </c>
      <c r="E26" s="59" t="s">
        <v>112</v>
      </c>
      <c r="F26" s="64" t="s">
        <v>114</v>
      </c>
      <c r="G26" s="64" t="s">
        <v>116</v>
      </c>
      <c r="H26" s="64">
        <v>13.0</v>
      </c>
      <c r="I26" s="61" t="s">
        <v>115</v>
      </c>
      <c r="J26" s="64" t="s">
        <v>122</v>
      </c>
      <c r="K26" s="64" t="s">
        <v>1592</v>
      </c>
      <c r="L26" s="62">
        <v>40196.0</v>
      </c>
      <c r="M26" s="61" t="s">
        <v>1592</v>
      </c>
      <c r="N26" s="60" t="s">
        <v>1737</v>
      </c>
      <c r="O26" s="62">
        <v>40149.0</v>
      </c>
      <c r="P26" s="59" t="s">
        <v>1592</v>
      </c>
      <c r="Q26" s="59" t="s">
        <v>1592</v>
      </c>
      <c r="R26" s="59" t="s">
        <v>1592</v>
      </c>
      <c r="S26" s="59" t="s">
        <v>1592</v>
      </c>
      <c r="T26" s="5"/>
      <c r="U26" s="5"/>
      <c r="V26" s="5"/>
      <c r="W26" s="5"/>
      <c r="X26" s="5"/>
      <c r="Y26" s="5"/>
      <c r="Z26" s="5"/>
    </row>
    <row r="27" ht="25.5" customHeight="1">
      <c r="A27" s="59">
        <v>26.0</v>
      </c>
      <c r="B27" s="60" t="s">
        <v>1590</v>
      </c>
      <c r="C27" s="60" t="s">
        <v>1738</v>
      </c>
      <c r="D27" s="59">
        <v>8.0</v>
      </c>
      <c r="E27" s="59" t="s">
        <v>112</v>
      </c>
      <c r="F27" s="59" t="s">
        <v>114</v>
      </c>
      <c r="G27" s="59" t="s">
        <v>117</v>
      </c>
      <c r="H27" s="59">
        <v>1.0</v>
      </c>
      <c r="I27" s="61" t="s">
        <v>1632</v>
      </c>
      <c r="J27" s="59" t="s">
        <v>116</v>
      </c>
      <c r="K27" s="59">
        <v>13.0</v>
      </c>
      <c r="L27" s="62">
        <v>40477.0</v>
      </c>
      <c r="M27" s="61" t="s">
        <v>122</v>
      </c>
      <c r="N27" s="60" t="s">
        <v>1739</v>
      </c>
      <c r="O27" s="62">
        <v>40465.0</v>
      </c>
      <c r="P27" s="62">
        <v>40471.0</v>
      </c>
      <c r="Q27" s="59" t="s">
        <v>1592</v>
      </c>
      <c r="R27" s="59" t="s">
        <v>1592</v>
      </c>
      <c r="S27" s="59" t="s">
        <v>1592</v>
      </c>
      <c r="T27" s="5"/>
      <c r="U27" s="5"/>
      <c r="V27" s="5"/>
      <c r="W27" s="5"/>
      <c r="X27" s="5"/>
      <c r="Y27" s="5"/>
      <c r="Z27" s="5"/>
    </row>
    <row r="28" ht="25.5" customHeight="1">
      <c r="A28" s="59">
        <v>27.0</v>
      </c>
      <c r="B28" s="60" t="s">
        <v>1740</v>
      </c>
      <c r="C28" s="60" t="s">
        <v>1741</v>
      </c>
      <c r="D28" s="59">
        <v>19.0</v>
      </c>
      <c r="E28" s="59" t="s">
        <v>112</v>
      </c>
      <c r="F28" s="59" t="s">
        <v>127</v>
      </c>
      <c r="G28" s="59" t="s">
        <v>117</v>
      </c>
      <c r="H28" s="59">
        <v>2.0</v>
      </c>
      <c r="I28" s="61" t="s">
        <v>1632</v>
      </c>
      <c r="J28" s="59" t="s">
        <v>116</v>
      </c>
      <c r="K28" s="67">
        <v>4.0</v>
      </c>
      <c r="L28" s="62">
        <v>40422.0</v>
      </c>
      <c r="M28" s="61" t="s">
        <v>122</v>
      </c>
      <c r="N28" s="60" t="s">
        <v>1632</v>
      </c>
      <c r="O28" s="62">
        <v>40407.0</v>
      </c>
      <c r="P28" s="59" t="s">
        <v>1592</v>
      </c>
      <c r="Q28" s="59" t="s">
        <v>1592</v>
      </c>
      <c r="R28" s="59" t="s">
        <v>1592</v>
      </c>
      <c r="S28" s="59" t="s">
        <v>1592</v>
      </c>
      <c r="T28" s="3"/>
      <c r="U28" s="68"/>
      <c r="V28" s="68"/>
      <c r="W28" s="68"/>
      <c r="X28" s="68"/>
      <c r="Y28" s="68"/>
      <c r="Z28" s="68"/>
    </row>
    <row r="29" ht="25.5" customHeight="1">
      <c r="A29" s="59">
        <v>28.0</v>
      </c>
      <c r="B29" s="60" t="s">
        <v>1602</v>
      </c>
      <c r="C29" s="60" t="s">
        <v>1741</v>
      </c>
      <c r="D29" s="59">
        <v>19.0</v>
      </c>
      <c r="E29" s="59" t="s">
        <v>112</v>
      </c>
      <c r="F29" s="59" t="s">
        <v>127</v>
      </c>
      <c r="G29" s="59" t="s">
        <v>117</v>
      </c>
      <c r="H29" s="59">
        <v>3.0</v>
      </c>
      <c r="I29" s="61" t="s">
        <v>115</v>
      </c>
      <c r="J29" s="59" t="s">
        <v>122</v>
      </c>
      <c r="K29" s="59" t="s">
        <v>1592</v>
      </c>
      <c r="L29" s="62">
        <v>40360.0</v>
      </c>
      <c r="M29" s="61" t="s">
        <v>1742</v>
      </c>
      <c r="N29" s="60" t="s">
        <v>122</v>
      </c>
      <c r="O29" s="62">
        <v>40310.0</v>
      </c>
      <c r="P29" s="62">
        <v>40316.0</v>
      </c>
      <c r="Q29" s="59">
        <v>21.0</v>
      </c>
      <c r="R29" s="59" t="s">
        <v>127</v>
      </c>
      <c r="S29" s="63" t="s">
        <v>1602</v>
      </c>
      <c r="T29" s="68"/>
      <c r="U29" s="54"/>
      <c r="V29" s="54"/>
      <c r="W29" s="54"/>
      <c r="X29" s="54"/>
      <c r="Y29" s="54"/>
      <c r="Z29" s="54"/>
    </row>
    <row r="30" ht="25.5" customHeight="1">
      <c r="A30" s="59">
        <v>29.0</v>
      </c>
      <c r="B30" s="60" t="s">
        <v>1743</v>
      </c>
      <c r="C30" s="60" t="s">
        <v>1744</v>
      </c>
      <c r="D30" s="59">
        <v>15.0</v>
      </c>
      <c r="E30" s="59" t="s">
        <v>112</v>
      </c>
      <c r="F30" s="59" t="s">
        <v>120</v>
      </c>
      <c r="G30" s="59" t="s">
        <v>117</v>
      </c>
      <c r="H30" s="59">
        <v>2.0</v>
      </c>
      <c r="I30" s="61" t="s">
        <v>1632</v>
      </c>
      <c r="J30" s="59" t="s">
        <v>122</v>
      </c>
      <c r="K30" s="59" t="s">
        <v>1592</v>
      </c>
      <c r="L30" s="62">
        <v>40289.0</v>
      </c>
      <c r="M30" s="61" t="s">
        <v>122</v>
      </c>
      <c r="N30" s="60" t="s">
        <v>122</v>
      </c>
      <c r="O30" s="62">
        <v>40346.0</v>
      </c>
      <c r="P30" s="62">
        <v>40354.0</v>
      </c>
      <c r="Q30" s="59" t="s">
        <v>1592</v>
      </c>
      <c r="R30" s="59" t="s">
        <v>1592</v>
      </c>
      <c r="S30" s="63" t="s">
        <v>1602</v>
      </c>
      <c r="T30" s="5"/>
      <c r="U30" s="5"/>
      <c r="V30" s="5"/>
      <c r="W30" s="5"/>
      <c r="X30" s="5"/>
      <c r="Y30" s="5"/>
      <c r="Z30" s="5"/>
    </row>
    <row r="31" ht="25.5" customHeight="1">
      <c r="A31" s="59">
        <v>30.0</v>
      </c>
      <c r="B31" s="60" t="s">
        <v>1745</v>
      </c>
      <c r="C31" s="60" t="s">
        <v>1746</v>
      </c>
      <c r="D31" s="59">
        <v>21.0</v>
      </c>
      <c r="E31" s="59" t="s">
        <v>112</v>
      </c>
      <c r="F31" s="59" t="s">
        <v>125</v>
      </c>
      <c r="G31" s="59" t="s">
        <v>117</v>
      </c>
      <c r="H31" s="59">
        <v>2.0</v>
      </c>
      <c r="I31" s="61" t="s">
        <v>1596</v>
      </c>
      <c r="J31" s="59" t="s">
        <v>116</v>
      </c>
      <c r="K31" s="59">
        <v>4.0</v>
      </c>
      <c r="L31" s="62">
        <v>40330.0</v>
      </c>
      <c r="M31" s="61" t="s">
        <v>122</v>
      </c>
      <c r="N31" s="60" t="s">
        <v>1747</v>
      </c>
      <c r="O31" s="62">
        <v>40318.0</v>
      </c>
      <c r="P31" s="59" t="s">
        <v>1592</v>
      </c>
      <c r="Q31" s="59" t="s">
        <v>1592</v>
      </c>
      <c r="R31" s="59" t="s">
        <v>1592</v>
      </c>
      <c r="S31" s="59" t="s">
        <v>1592</v>
      </c>
      <c r="T31" s="5"/>
      <c r="U31" s="5"/>
      <c r="V31" s="5"/>
      <c r="W31" s="5"/>
      <c r="X31" s="5"/>
      <c r="Y31" s="5"/>
      <c r="Z31" s="5"/>
    </row>
    <row r="32" ht="25.5" customHeight="1">
      <c r="A32" s="59">
        <v>31.0</v>
      </c>
      <c r="B32" s="60" t="s">
        <v>1745</v>
      </c>
      <c r="C32" s="60" t="s">
        <v>1748</v>
      </c>
      <c r="D32" s="59">
        <v>21.0</v>
      </c>
      <c r="E32" s="59" t="s">
        <v>112</v>
      </c>
      <c r="F32" s="59" t="s">
        <v>125</v>
      </c>
      <c r="G32" s="59" t="s">
        <v>117</v>
      </c>
      <c r="H32" s="59">
        <v>2.0</v>
      </c>
      <c r="I32" s="61" t="s">
        <v>1596</v>
      </c>
      <c r="J32" s="59" t="s">
        <v>116</v>
      </c>
      <c r="K32" s="59">
        <v>4.0</v>
      </c>
      <c r="L32" s="62">
        <v>40330.0</v>
      </c>
      <c r="M32" s="61" t="s">
        <v>122</v>
      </c>
      <c r="N32" s="60" t="s">
        <v>1749</v>
      </c>
      <c r="O32" s="62"/>
      <c r="P32" s="62">
        <v>40295.0</v>
      </c>
      <c r="Q32" s="59" t="s">
        <v>1592</v>
      </c>
      <c r="R32" s="59" t="s">
        <v>1592</v>
      </c>
      <c r="S32" s="59" t="s">
        <v>1592</v>
      </c>
      <c r="T32" s="5"/>
      <c r="U32" s="5"/>
      <c r="V32" s="5"/>
      <c r="W32" s="5"/>
      <c r="X32" s="5"/>
      <c r="Y32" s="5"/>
      <c r="Z32" s="5"/>
    </row>
    <row r="33" ht="25.5" customHeight="1">
      <c r="A33" s="59">
        <v>32.0</v>
      </c>
      <c r="B33" s="60" t="s">
        <v>1623</v>
      </c>
      <c r="C33" s="60" t="s">
        <v>1750</v>
      </c>
      <c r="D33" s="59">
        <v>18.0</v>
      </c>
      <c r="E33" s="59" t="s">
        <v>112</v>
      </c>
      <c r="F33" s="59" t="s">
        <v>125</v>
      </c>
      <c r="G33" s="59" t="s">
        <v>117</v>
      </c>
      <c r="H33" s="59">
        <v>2.0</v>
      </c>
      <c r="I33" s="61" t="s">
        <v>1632</v>
      </c>
      <c r="J33" s="59" t="s">
        <v>116</v>
      </c>
      <c r="K33" s="59">
        <v>1.0</v>
      </c>
      <c r="L33" s="62">
        <v>40410.0</v>
      </c>
      <c r="M33" s="61" t="s">
        <v>122</v>
      </c>
      <c r="N33" s="60" t="s">
        <v>1751</v>
      </c>
      <c r="O33" s="62">
        <v>40396.0</v>
      </c>
      <c r="P33" s="62">
        <v>40401.0</v>
      </c>
      <c r="Q33" s="59" t="s">
        <v>1592</v>
      </c>
      <c r="R33" s="59" t="s">
        <v>1592</v>
      </c>
      <c r="S33" s="59" t="s">
        <v>1592</v>
      </c>
      <c r="T33" s="5"/>
      <c r="U33" s="5"/>
      <c r="V33" s="5"/>
      <c r="W33" s="5"/>
      <c r="X33" s="5"/>
      <c r="Y33" s="5"/>
      <c r="Z33" s="5"/>
    </row>
    <row r="34" ht="25.5" customHeight="1">
      <c r="A34" s="59">
        <v>33.0</v>
      </c>
      <c r="B34" s="60" t="s">
        <v>1752</v>
      </c>
      <c r="C34" s="60" t="s">
        <v>1753</v>
      </c>
      <c r="D34" s="59">
        <v>24.0</v>
      </c>
      <c r="E34" s="59" t="s">
        <v>112</v>
      </c>
      <c r="F34" s="59" t="s">
        <v>127</v>
      </c>
      <c r="G34" s="59" t="s">
        <v>116</v>
      </c>
      <c r="H34" s="59">
        <v>6.0</v>
      </c>
      <c r="I34" s="61" t="s">
        <v>115</v>
      </c>
      <c r="J34" s="59" t="s">
        <v>122</v>
      </c>
      <c r="K34" s="59" t="s">
        <v>1592</v>
      </c>
      <c r="L34" s="62">
        <v>40392.0</v>
      </c>
      <c r="M34" s="61" t="s">
        <v>1592</v>
      </c>
      <c r="N34" s="60" t="s">
        <v>1754</v>
      </c>
      <c r="O34" s="62">
        <v>40378.0</v>
      </c>
      <c r="P34" s="59" t="s">
        <v>1592</v>
      </c>
      <c r="Q34" s="59" t="s">
        <v>1592</v>
      </c>
      <c r="R34" s="59" t="s">
        <v>1592</v>
      </c>
      <c r="S34" s="59" t="s">
        <v>1592</v>
      </c>
      <c r="T34" s="5"/>
      <c r="U34" s="5"/>
      <c r="V34" s="5"/>
      <c r="W34" s="5"/>
      <c r="X34" s="5"/>
      <c r="Y34" s="5"/>
      <c r="Z34" s="5"/>
    </row>
    <row r="35" ht="25.5" customHeight="1">
      <c r="A35" s="59">
        <v>34.0</v>
      </c>
      <c r="B35" s="60" t="s">
        <v>1752</v>
      </c>
      <c r="C35" s="60" t="s">
        <v>1755</v>
      </c>
      <c r="D35" s="59">
        <v>21.0</v>
      </c>
      <c r="E35" s="59" t="s">
        <v>112</v>
      </c>
      <c r="F35" s="59" t="s">
        <v>127</v>
      </c>
      <c r="G35" s="59" t="s">
        <v>117</v>
      </c>
      <c r="H35" s="59">
        <v>0.0</v>
      </c>
      <c r="I35" s="61" t="s">
        <v>1596</v>
      </c>
      <c r="J35" s="59" t="s">
        <v>116</v>
      </c>
      <c r="K35" s="59">
        <v>8.0</v>
      </c>
      <c r="L35" s="62">
        <v>40360.0</v>
      </c>
      <c r="M35" s="61" t="s">
        <v>122</v>
      </c>
      <c r="N35" s="60" t="s">
        <v>1756</v>
      </c>
      <c r="O35" s="62">
        <v>40317.0</v>
      </c>
      <c r="P35" s="62">
        <v>40324.0</v>
      </c>
      <c r="Q35" s="59" t="s">
        <v>1592</v>
      </c>
      <c r="R35" s="59" t="s">
        <v>1592</v>
      </c>
      <c r="S35" s="59" t="s">
        <v>1592</v>
      </c>
      <c r="T35" s="5"/>
      <c r="U35" s="5"/>
      <c r="V35" s="5"/>
      <c r="W35" s="5"/>
      <c r="X35" s="5"/>
      <c r="Y35" s="5"/>
      <c r="Z35" s="5"/>
    </row>
    <row r="36" ht="25.5" customHeight="1">
      <c r="A36" s="59">
        <v>35.0</v>
      </c>
      <c r="B36" s="60" t="s">
        <v>1752</v>
      </c>
      <c r="C36" s="60" t="s">
        <v>1757</v>
      </c>
      <c r="D36" s="59">
        <v>18.0</v>
      </c>
      <c r="E36" s="59" t="s">
        <v>112</v>
      </c>
      <c r="F36" s="59" t="s">
        <v>125</v>
      </c>
      <c r="G36" s="59" t="s">
        <v>117</v>
      </c>
      <c r="H36" s="59">
        <v>0.0</v>
      </c>
      <c r="I36" s="61" t="s">
        <v>1596</v>
      </c>
      <c r="J36" s="59" t="s">
        <v>116</v>
      </c>
      <c r="K36" s="59">
        <v>5.0</v>
      </c>
      <c r="L36" s="62">
        <v>40360.0</v>
      </c>
      <c r="M36" s="61" t="s">
        <v>122</v>
      </c>
      <c r="N36" s="60" t="s">
        <v>1758</v>
      </c>
      <c r="O36" s="62">
        <v>40325.0</v>
      </c>
      <c r="P36" s="59" t="s">
        <v>1592</v>
      </c>
      <c r="Q36" s="59" t="s">
        <v>1592</v>
      </c>
      <c r="R36" s="59" t="s">
        <v>1592</v>
      </c>
      <c r="S36" s="59" t="s">
        <v>1592</v>
      </c>
      <c r="T36" s="5"/>
      <c r="U36" s="5"/>
      <c r="V36" s="5"/>
      <c r="W36" s="5"/>
      <c r="X36" s="5"/>
      <c r="Y36" s="5"/>
      <c r="Z36" s="5"/>
    </row>
    <row r="37" ht="25.5" customHeight="1">
      <c r="A37" s="59">
        <v>36.0</v>
      </c>
      <c r="B37" s="69" t="s">
        <v>1759</v>
      </c>
      <c r="C37" s="69" t="s">
        <v>1760</v>
      </c>
      <c r="D37" s="59">
        <v>24.0</v>
      </c>
      <c r="E37" s="59" t="s">
        <v>112</v>
      </c>
      <c r="F37" s="59" t="s">
        <v>127</v>
      </c>
      <c r="G37" s="59" t="s">
        <v>117</v>
      </c>
      <c r="H37" s="59">
        <v>0.0</v>
      </c>
      <c r="I37" s="61" t="s">
        <v>1632</v>
      </c>
      <c r="J37" s="59" t="s">
        <v>116</v>
      </c>
      <c r="K37" s="59">
        <v>17.0</v>
      </c>
      <c r="L37" s="62">
        <v>40301.0</v>
      </c>
      <c r="M37" s="61" t="s">
        <v>122</v>
      </c>
      <c r="N37" s="60" t="s">
        <v>1761</v>
      </c>
      <c r="O37" s="62">
        <v>40275.0</v>
      </c>
      <c r="P37" s="62">
        <v>40277.0</v>
      </c>
      <c r="Q37" s="59" t="s">
        <v>1592</v>
      </c>
      <c r="R37" s="59" t="s">
        <v>1592</v>
      </c>
      <c r="S37" s="59" t="s">
        <v>1592</v>
      </c>
      <c r="T37" s="5"/>
      <c r="U37" s="5"/>
      <c r="V37" s="5"/>
      <c r="W37" s="5"/>
      <c r="X37" s="5"/>
      <c r="Y37" s="5"/>
      <c r="Z37" s="5"/>
    </row>
    <row r="38" ht="25.5" customHeight="1">
      <c r="A38" s="59">
        <v>37.0</v>
      </c>
      <c r="B38" s="60" t="s">
        <v>1759</v>
      </c>
      <c r="C38" s="60" t="s">
        <v>1638</v>
      </c>
      <c r="D38" s="59">
        <v>24.0</v>
      </c>
      <c r="E38" s="59" t="s">
        <v>112</v>
      </c>
      <c r="F38" s="59" t="s">
        <v>127</v>
      </c>
      <c r="G38" s="59" t="s">
        <v>117</v>
      </c>
      <c r="H38" s="59">
        <v>0.0</v>
      </c>
      <c r="I38" s="61" t="s">
        <v>1632</v>
      </c>
      <c r="J38" s="59" t="s">
        <v>116</v>
      </c>
      <c r="K38" s="59">
        <v>10.0</v>
      </c>
      <c r="L38" s="62">
        <v>40301.0</v>
      </c>
      <c r="M38" s="61" t="s">
        <v>122</v>
      </c>
      <c r="N38" s="60" t="s">
        <v>1762</v>
      </c>
      <c r="O38" s="62">
        <v>40275.0</v>
      </c>
      <c r="P38" s="62">
        <v>40277.0</v>
      </c>
      <c r="Q38" s="59" t="s">
        <v>1592</v>
      </c>
      <c r="R38" s="59" t="s">
        <v>1592</v>
      </c>
      <c r="S38" s="59" t="s">
        <v>1592</v>
      </c>
      <c r="T38" s="5"/>
      <c r="U38" s="5"/>
      <c r="V38" s="5"/>
      <c r="W38" s="5"/>
      <c r="X38" s="5"/>
      <c r="Y38" s="5"/>
      <c r="Z38" s="5"/>
    </row>
    <row r="39" ht="25.5" customHeight="1">
      <c r="A39" s="59">
        <v>38.0</v>
      </c>
      <c r="B39" s="60" t="s">
        <v>1763</v>
      </c>
      <c r="C39" s="60" t="s">
        <v>1603</v>
      </c>
      <c r="D39" s="59">
        <v>21.0</v>
      </c>
      <c r="E39" s="59" t="s">
        <v>112</v>
      </c>
      <c r="F39" s="59" t="s">
        <v>120</v>
      </c>
      <c r="G39" s="59" t="s">
        <v>117</v>
      </c>
      <c r="H39" s="59">
        <v>0.0</v>
      </c>
      <c r="I39" s="61" t="s">
        <v>1632</v>
      </c>
      <c r="J39" s="59" t="s">
        <v>116</v>
      </c>
      <c r="K39" s="59">
        <v>5.0</v>
      </c>
      <c r="L39" s="62">
        <v>40422.0</v>
      </c>
      <c r="M39" s="61" t="s">
        <v>122</v>
      </c>
      <c r="N39" s="60" t="s">
        <v>1764</v>
      </c>
      <c r="O39" s="62">
        <v>40406.0</v>
      </c>
      <c r="P39" s="62">
        <v>40408.0</v>
      </c>
      <c r="Q39" s="59" t="s">
        <v>1592</v>
      </c>
      <c r="R39" s="59" t="s">
        <v>1592</v>
      </c>
      <c r="S39" s="59" t="s">
        <v>1592</v>
      </c>
      <c r="T39" s="5"/>
      <c r="U39" s="5"/>
      <c r="V39" s="5"/>
      <c r="W39" s="5"/>
      <c r="X39" s="5"/>
      <c r="Y39" s="5"/>
      <c r="Z39" s="5"/>
    </row>
    <row r="40" ht="25.5" customHeight="1">
      <c r="A40" s="59">
        <v>39.0</v>
      </c>
      <c r="B40" s="60" t="s">
        <v>1765</v>
      </c>
      <c r="C40" s="60" t="s">
        <v>1657</v>
      </c>
      <c r="D40" s="59">
        <v>14.0</v>
      </c>
      <c r="E40" s="59" t="s">
        <v>112</v>
      </c>
      <c r="F40" s="59" t="s">
        <v>114</v>
      </c>
      <c r="G40" s="59" t="s">
        <v>116</v>
      </c>
      <c r="H40" s="59">
        <v>6.0</v>
      </c>
      <c r="I40" s="61" t="s">
        <v>115</v>
      </c>
      <c r="J40" s="59" t="s">
        <v>122</v>
      </c>
      <c r="K40" s="59" t="s">
        <v>1592</v>
      </c>
      <c r="L40" s="62">
        <v>40330.0</v>
      </c>
      <c r="M40" s="61" t="s">
        <v>1592</v>
      </c>
      <c r="N40" s="60" t="s">
        <v>1766</v>
      </c>
      <c r="O40" s="62">
        <v>40280.0</v>
      </c>
      <c r="P40" s="59" t="s">
        <v>1592</v>
      </c>
      <c r="Q40" s="59" t="s">
        <v>1592</v>
      </c>
      <c r="R40" s="59" t="s">
        <v>1592</v>
      </c>
      <c r="S40" s="59" t="s">
        <v>1592</v>
      </c>
      <c r="T40" s="5"/>
      <c r="U40" s="5"/>
      <c r="V40" s="5"/>
      <c r="W40" s="5"/>
      <c r="X40" s="5"/>
      <c r="Y40" s="5"/>
      <c r="Z40" s="5"/>
    </row>
    <row r="41" ht="25.5" customHeight="1">
      <c r="A41" s="59">
        <v>40.0</v>
      </c>
      <c r="B41" s="60" t="s">
        <v>1765</v>
      </c>
      <c r="C41" s="60" t="s">
        <v>1767</v>
      </c>
      <c r="D41" s="59">
        <v>14.0</v>
      </c>
      <c r="E41" s="59" t="s">
        <v>112</v>
      </c>
      <c r="F41" s="59" t="s">
        <v>114</v>
      </c>
      <c r="G41" s="59" t="s">
        <v>116</v>
      </c>
      <c r="H41" s="59">
        <v>20.0</v>
      </c>
      <c r="I41" s="61" t="s">
        <v>115</v>
      </c>
      <c r="J41" s="59" t="s">
        <v>122</v>
      </c>
      <c r="K41" s="59" t="s">
        <v>1592</v>
      </c>
      <c r="L41" s="62">
        <v>40392.0</v>
      </c>
      <c r="M41" s="61" t="s">
        <v>1592</v>
      </c>
      <c r="N41" s="60" t="s">
        <v>1768</v>
      </c>
      <c r="O41" s="62">
        <v>40336.0</v>
      </c>
      <c r="P41" s="59" t="s">
        <v>1592</v>
      </c>
      <c r="Q41" s="59" t="s">
        <v>1592</v>
      </c>
      <c r="R41" s="59" t="s">
        <v>1592</v>
      </c>
      <c r="S41" s="59" t="s">
        <v>1592</v>
      </c>
      <c r="T41" s="5"/>
      <c r="U41" s="5"/>
      <c r="V41" s="5"/>
      <c r="W41" s="5"/>
      <c r="X41" s="5"/>
      <c r="Y41" s="5"/>
      <c r="Z41" s="5"/>
    </row>
    <row r="42" ht="39.75" customHeight="1">
      <c r="A42" s="59">
        <v>41.0</v>
      </c>
      <c r="B42" s="60" t="s">
        <v>1765</v>
      </c>
      <c r="C42" s="60" t="s">
        <v>1769</v>
      </c>
      <c r="D42" s="59">
        <v>21.0</v>
      </c>
      <c r="E42" s="59" t="s">
        <v>112</v>
      </c>
      <c r="F42" s="59" t="s">
        <v>125</v>
      </c>
      <c r="G42" s="59" t="s">
        <v>117</v>
      </c>
      <c r="H42" s="59">
        <v>0.0</v>
      </c>
      <c r="I42" s="61" t="s">
        <v>1632</v>
      </c>
      <c r="J42" s="59" t="s">
        <v>116</v>
      </c>
      <c r="K42" s="59">
        <v>25.0</v>
      </c>
      <c r="L42" s="62">
        <v>40392.0</v>
      </c>
      <c r="M42" s="61" t="s">
        <v>122</v>
      </c>
      <c r="N42" s="60" t="s">
        <v>1770</v>
      </c>
      <c r="O42" s="62">
        <v>40325.0</v>
      </c>
      <c r="P42" s="62">
        <v>40330.0</v>
      </c>
      <c r="Q42" s="59" t="s">
        <v>1592</v>
      </c>
      <c r="R42" s="59" t="s">
        <v>1592</v>
      </c>
      <c r="S42" s="59" t="s">
        <v>1592</v>
      </c>
      <c r="T42" s="5"/>
      <c r="U42" s="5"/>
      <c r="V42" s="5"/>
      <c r="W42" s="5"/>
      <c r="X42" s="5"/>
      <c r="Y42" s="5"/>
      <c r="Z42" s="5"/>
    </row>
    <row r="43" ht="25.5" customHeight="1">
      <c r="A43" s="59">
        <v>42.0</v>
      </c>
      <c r="B43" s="60" t="s">
        <v>1771</v>
      </c>
      <c r="C43" s="60" t="s">
        <v>1772</v>
      </c>
      <c r="D43" s="59">
        <v>8.0</v>
      </c>
      <c r="E43" s="59" t="s">
        <v>112</v>
      </c>
      <c r="F43" s="59" t="s">
        <v>114</v>
      </c>
      <c r="G43" s="59" t="s">
        <v>117</v>
      </c>
      <c r="H43" s="59">
        <v>5.0</v>
      </c>
      <c r="I43" s="61" t="s">
        <v>115</v>
      </c>
      <c r="J43" s="59" t="s">
        <v>122</v>
      </c>
      <c r="K43" s="59" t="s">
        <v>1592</v>
      </c>
      <c r="L43" s="62">
        <v>40442.0</v>
      </c>
      <c r="M43" s="61" t="s">
        <v>1773</v>
      </c>
      <c r="N43" s="60" t="s">
        <v>1592</v>
      </c>
      <c r="O43" s="62">
        <v>40410.0</v>
      </c>
      <c r="P43" s="62">
        <v>40414.0</v>
      </c>
      <c r="Q43" s="59">
        <v>8.0</v>
      </c>
      <c r="R43" s="59" t="s">
        <v>114</v>
      </c>
      <c r="S43" s="63" t="s">
        <v>1774</v>
      </c>
      <c r="T43" s="5"/>
      <c r="U43" s="5"/>
      <c r="V43" s="5"/>
      <c r="W43" s="5"/>
      <c r="X43" s="5"/>
      <c r="Y43" s="5"/>
      <c r="Z43" s="5"/>
    </row>
    <row r="44" ht="25.5" customHeight="1">
      <c r="A44" s="59">
        <v>43.0</v>
      </c>
      <c r="B44" s="60" t="s">
        <v>1771</v>
      </c>
      <c r="C44" s="60" t="s">
        <v>1775</v>
      </c>
      <c r="D44" s="59">
        <v>8.0</v>
      </c>
      <c r="E44" s="59" t="s">
        <v>112</v>
      </c>
      <c r="F44" s="59" t="s">
        <v>114</v>
      </c>
      <c r="G44" s="59" t="s">
        <v>117</v>
      </c>
      <c r="H44" s="59">
        <v>1.0</v>
      </c>
      <c r="I44" s="61" t="s">
        <v>115</v>
      </c>
      <c r="J44" s="59" t="s">
        <v>122</v>
      </c>
      <c r="K44" s="59" t="s">
        <v>1592</v>
      </c>
      <c r="L44" s="62">
        <v>40367.0</v>
      </c>
      <c r="M44" s="61" t="s">
        <v>1776</v>
      </c>
      <c r="N44" s="60" t="s">
        <v>122</v>
      </c>
      <c r="O44" s="62">
        <v>40339.0</v>
      </c>
      <c r="P44" s="62">
        <v>40344.0</v>
      </c>
      <c r="Q44" s="59">
        <v>9.0</v>
      </c>
      <c r="R44" s="59" t="s">
        <v>114</v>
      </c>
      <c r="S44" s="63" t="s">
        <v>1777</v>
      </c>
      <c r="T44" s="5"/>
      <c r="U44" s="5"/>
      <c r="V44" s="5"/>
      <c r="W44" s="5"/>
      <c r="X44" s="5"/>
      <c r="Y44" s="5"/>
      <c r="Z44" s="5"/>
    </row>
    <row r="45" ht="27.0" customHeight="1">
      <c r="A45" s="59">
        <v>44.0</v>
      </c>
      <c r="B45" s="60" t="s">
        <v>1771</v>
      </c>
      <c r="C45" s="60" t="s">
        <v>1778</v>
      </c>
      <c r="D45" s="59">
        <v>19.0</v>
      </c>
      <c r="E45" s="59" t="s">
        <v>112</v>
      </c>
      <c r="F45" s="59" t="s">
        <v>120</v>
      </c>
      <c r="G45" s="59" t="s">
        <v>117</v>
      </c>
      <c r="H45" s="59">
        <v>2.0</v>
      </c>
      <c r="I45" s="61" t="s">
        <v>1632</v>
      </c>
      <c r="J45" s="59" t="s">
        <v>116</v>
      </c>
      <c r="K45" s="59">
        <v>5.0</v>
      </c>
      <c r="L45" s="62">
        <v>40364.0</v>
      </c>
      <c r="M45" s="61" t="s">
        <v>122</v>
      </c>
      <c r="N45" s="60" t="s">
        <v>1779</v>
      </c>
      <c r="O45" s="62">
        <v>40301.0</v>
      </c>
      <c r="P45" s="62">
        <v>40304.0</v>
      </c>
      <c r="Q45" s="59" t="s">
        <v>1592</v>
      </c>
      <c r="R45" s="59" t="s">
        <v>1592</v>
      </c>
      <c r="S45" s="59" t="s">
        <v>1592</v>
      </c>
      <c r="T45" s="5"/>
    </row>
    <row r="46">
      <c r="A46" s="70">
        <v>45.0</v>
      </c>
      <c r="B46" s="3" t="s">
        <v>1601</v>
      </c>
      <c r="C46" s="3" t="s">
        <v>1591</v>
      </c>
      <c r="D46" s="3">
        <v>20.0</v>
      </c>
      <c r="E46" s="3" t="s">
        <v>112</v>
      </c>
      <c r="F46" s="3" t="s">
        <v>120</v>
      </c>
      <c r="G46" s="3" t="s">
        <v>117</v>
      </c>
      <c r="H46" s="3">
        <v>1.0</v>
      </c>
      <c r="I46" s="3" t="s">
        <v>1632</v>
      </c>
      <c r="J46" s="3" t="s">
        <v>118</v>
      </c>
      <c r="K46" s="3">
        <v>8.0</v>
      </c>
      <c r="L46" s="5" t="s">
        <v>1592</v>
      </c>
      <c r="M46" s="5" t="s">
        <v>1592</v>
      </c>
      <c r="N46" s="3" t="s">
        <v>1780</v>
      </c>
      <c r="O46" s="71">
        <v>40513.0</v>
      </c>
      <c r="P46" s="71">
        <v>40513.0</v>
      </c>
      <c r="Q46" s="5" t="s">
        <v>1592</v>
      </c>
      <c r="R46" s="5" t="s">
        <v>1592</v>
      </c>
      <c r="S46" s="5" t="s">
        <v>1592</v>
      </c>
      <c r="T46" s="5" t="s">
        <v>1592</v>
      </c>
    </row>
    <row r="47">
      <c r="A47" s="70"/>
      <c r="B47" s="3"/>
      <c r="C47" s="3"/>
      <c r="D47" s="3"/>
      <c r="E47" s="3"/>
      <c r="F47" s="3"/>
      <c r="G47" s="3"/>
      <c r="H47" s="3"/>
      <c r="I47" s="3"/>
      <c r="J47" s="3"/>
      <c r="K47" s="70"/>
      <c r="L47" s="3"/>
      <c r="M47" s="70"/>
      <c r="N47" s="5"/>
      <c r="R47" s="70"/>
      <c r="S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70"/>
      <c r="L48" s="3"/>
      <c r="M48" s="70"/>
      <c r="N48" s="5"/>
      <c r="R48" s="70"/>
      <c r="S48" s="3"/>
    </row>
    <row r="49">
      <c r="A49" s="70"/>
      <c r="B49" s="3"/>
      <c r="C49" s="3"/>
      <c r="D49" s="3"/>
      <c r="E49" s="3"/>
      <c r="F49" s="3"/>
      <c r="G49" s="3"/>
      <c r="H49" s="3"/>
      <c r="I49" s="3"/>
      <c r="J49" s="3"/>
      <c r="K49" s="70"/>
      <c r="L49" s="3"/>
      <c r="M49" s="70"/>
      <c r="N49" s="5"/>
      <c r="R49" s="70"/>
      <c r="S49" s="3"/>
    </row>
    <row r="50">
      <c r="A50" s="70"/>
      <c r="B50" s="3"/>
      <c r="C50" s="3"/>
      <c r="D50" s="3"/>
      <c r="E50" s="3"/>
      <c r="F50" s="3"/>
      <c r="G50" s="3"/>
      <c r="H50" s="3"/>
      <c r="I50" s="3"/>
      <c r="J50" s="3"/>
      <c r="K50" s="70"/>
      <c r="L50" s="3"/>
      <c r="M50" s="70"/>
      <c r="N50" s="5"/>
      <c r="R50" s="70"/>
      <c r="S50" s="3"/>
    </row>
    <row r="51">
      <c r="A51" s="70"/>
      <c r="B51" s="3"/>
      <c r="C51" s="3"/>
      <c r="D51" s="3"/>
      <c r="E51" s="3"/>
      <c r="F51" s="3"/>
      <c r="G51" s="3"/>
      <c r="H51" s="3"/>
      <c r="I51" s="3"/>
      <c r="J51" s="3"/>
      <c r="K51" s="70"/>
      <c r="L51" s="3"/>
      <c r="M51" s="70"/>
      <c r="N51" s="5"/>
      <c r="R51" s="70"/>
      <c r="S51" s="3"/>
    </row>
    <row r="52">
      <c r="A52" s="70"/>
      <c r="B52" s="3"/>
      <c r="C52" s="3"/>
      <c r="D52" s="3"/>
      <c r="E52" s="3"/>
      <c r="F52" s="3"/>
      <c r="G52" s="3"/>
      <c r="H52" s="3"/>
      <c r="I52" s="3"/>
      <c r="J52" s="3"/>
      <c r="K52" s="70"/>
      <c r="L52" s="3"/>
      <c r="M52" s="70"/>
      <c r="N52" s="5"/>
      <c r="R52" s="70"/>
      <c r="S52" s="3"/>
    </row>
    <row r="53">
      <c r="A53" s="70"/>
      <c r="B53" s="3"/>
      <c r="C53" s="3"/>
      <c r="D53" s="3"/>
      <c r="E53" s="3"/>
      <c r="F53" s="3"/>
      <c r="G53" s="3"/>
      <c r="H53" s="3"/>
      <c r="I53" s="3"/>
      <c r="J53" s="3"/>
      <c r="K53" s="70"/>
      <c r="L53" s="3"/>
      <c r="M53" s="70"/>
      <c r="N53" s="5"/>
      <c r="R53" s="70"/>
      <c r="S53" s="3"/>
    </row>
    <row r="54">
      <c r="A54" s="70"/>
      <c r="B54" s="3"/>
      <c r="C54" s="3"/>
      <c r="D54" s="3"/>
      <c r="E54" s="3"/>
      <c r="F54" s="3"/>
      <c r="G54" s="3"/>
      <c r="H54" s="3"/>
      <c r="I54" s="3"/>
      <c r="J54" s="3"/>
      <c r="K54" s="70"/>
      <c r="L54" s="3"/>
      <c r="M54" s="70"/>
      <c r="N54" s="5"/>
      <c r="R54" s="70"/>
      <c r="S54" s="3"/>
    </row>
    <row r="55">
      <c r="A55" s="70"/>
      <c r="B55" s="3"/>
      <c r="C55" s="3"/>
      <c r="D55" s="3"/>
      <c r="E55" s="3"/>
      <c r="F55" s="3"/>
      <c r="G55" s="3"/>
      <c r="H55" s="3"/>
      <c r="I55" s="3"/>
      <c r="J55" s="3"/>
      <c r="K55" s="70"/>
      <c r="L55" s="3"/>
      <c r="M55" s="70"/>
      <c r="N55" s="5"/>
      <c r="R55" s="70"/>
      <c r="S55" s="3"/>
    </row>
    <row r="56">
      <c r="A56" s="70"/>
      <c r="B56" s="3"/>
      <c r="C56" s="3"/>
      <c r="D56" s="3"/>
      <c r="E56" s="3"/>
      <c r="F56" s="3"/>
      <c r="G56" s="3"/>
      <c r="H56" s="3"/>
      <c r="I56" s="3"/>
      <c r="J56" s="3"/>
      <c r="K56" s="70"/>
      <c r="L56" s="3"/>
      <c r="M56" s="70"/>
      <c r="N56" s="5"/>
      <c r="R56" s="70"/>
      <c r="S56" s="3"/>
    </row>
    <row r="57">
      <c r="A57" s="70"/>
      <c r="B57" s="3"/>
      <c r="C57" s="3"/>
      <c r="D57" s="3"/>
      <c r="E57" s="3"/>
      <c r="F57" s="3"/>
      <c r="G57" s="3"/>
      <c r="H57" s="3"/>
      <c r="I57" s="3"/>
      <c r="J57" s="3"/>
      <c r="K57" s="70"/>
      <c r="L57" s="3"/>
      <c r="M57" s="70"/>
      <c r="N57" s="5"/>
      <c r="R57" s="70"/>
      <c r="S57" s="3"/>
    </row>
    <row r="58">
      <c r="A58" s="70"/>
      <c r="B58" s="3"/>
      <c r="C58" s="3"/>
      <c r="D58" s="3"/>
      <c r="E58" s="3"/>
      <c r="F58" s="3"/>
      <c r="G58" s="3"/>
      <c r="H58" s="3"/>
      <c r="I58" s="3"/>
      <c r="J58" s="3"/>
      <c r="K58" s="70"/>
      <c r="L58" s="3"/>
      <c r="M58" s="70"/>
      <c r="N58" s="5"/>
      <c r="R58" s="70"/>
      <c r="S58" s="3"/>
    </row>
    <row r="59">
      <c r="A59" s="70"/>
      <c r="B59" s="3"/>
      <c r="C59" s="3"/>
      <c r="D59" s="3"/>
      <c r="E59" s="3"/>
      <c r="F59" s="3"/>
      <c r="G59" s="3"/>
      <c r="H59" s="3"/>
      <c r="I59" s="3"/>
      <c r="J59" s="3"/>
      <c r="K59" s="70"/>
      <c r="L59" s="3"/>
      <c r="M59" s="70"/>
      <c r="N59" s="5"/>
      <c r="R59" s="70"/>
      <c r="S59" s="3"/>
    </row>
    <row r="60">
      <c r="A60" s="70"/>
      <c r="B60" s="3"/>
      <c r="C60" s="3"/>
      <c r="D60" s="3"/>
      <c r="E60" s="3"/>
      <c r="F60" s="3"/>
      <c r="G60" s="3"/>
      <c r="H60" s="3"/>
      <c r="I60" s="3"/>
      <c r="J60" s="3"/>
      <c r="K60" s="70"/>
      <c r="L60" s="3"/>
      <c r="M60" s="70"/>
      <c r="N60" s="5"/>
      <c r="R60" s="70"/>
      <c r="S60" s="3"/>
    </row>
    <row r="61">
      <c r="A61" s="70"/>
      <c r="B61" s="3"/>
      <c r="C61" s="3"/>
      <c r="D61" s="3"/>
      <c r="E61" s="3"/>
      <c r="F61" s="3"/>
      <c r="G61" s="3"/>
      <c r="H61" s="3"/>
      <c r="I61" s="3"/>
      <c r="J61" s="3"/>
      <c r="K61" s="70"/>
      <c r="L61" s="3"/>
      <c r="M61" s="70"/>
      <c r="N61" s="5"/>
      <c r="R61" s="70"/>
      <c r="S61" s="3"/>
    </row>
    <row r="62">
      <c r="A62" s="70"/>
      <c r="B62" s="3"/>
      <c r="C62" s="3"/>
      <c r="D62" s="3"/>
      <c r="E62" s="3"/>
      <c r="F62" s="3"/>
      <c r="G62" s="3"/>
      <c r="H62" s="3"/>
      <c r="I62" s="3"/>
      <c r="J62" s="3"/>
      <c r="K62" s="70"/>
      <c r="L62" s="3"/>
      <c r="M62" s="70"/>
      <c r="N62" s="5"/>
      <c r="R62" s="70"/>
      <c r="S62" s="3"/>
    </row>
    <row r="63">
      <c r="A63" s="70"/>
      <c r="B63" s="3"/>
      <c r="C63" s="3"/>
      <c r="D63" s="3"/>
      <c r="E63" s="3"/>
      <c r="F63" s="3"/>
      <c r="G63" s="3"/>
      <c r="H63" s="3"/>
      <c r="I63" s="3"/>
      <c r="J63" s="3"/>
      <c r="K63" s="70"/>
      <c r="L63" s="3"/>
      <c r="M63" s="70"/>
      <c r="N63" s="5"/>
      <c r="R63" s="70"/>
      <c r="S63" s="3"/>
    </row>
    <row r="64">
      <c r="A64" s="70"/>
      <c r="B64" s="3"/>
      <c r="C64" s="3"/>
      <c r="D64" s="3"/>
      <c r="E64" s="3"/>
      <c r="F64" s="3"/>
      <c r="G64" s="3"/>
      <c r="H64" s="3"/>
      <c r="I64" s="3"/>
      <c r="J64" s="3"/>
      <c r="K64" s="70"/>
      <c r="L64" s="3"/>
      <c r="M64" s="70"/>
      <c r="N64" s="5"/>
      <c r="R64" s="70"/>
      <c r="S64" s="3"/>
    </row>
    <row r="65">
      <c r="A65" s="70"/>
      <c r="B65" s="3"/>
      <c r="C65" s="3"/>
      <c r="D65" s="3"/>
      <c r="E65" s="3"/>
      <c r="F65" s="3"/>
      <c r="G65" s="3"/>
      <c r="H65" s="3"/>
      <c r="I65" s="3"/>
      <c r="J65" s="3"/>
      <c r="K65" s="70"/>
      <c r="L65" s="3"/>
      <c r="M65" s="70"/>
      <c r="N65" s="5"/>
      <c r="R65" s="70"/>
      <c r="S65" s="3"/>
    </row>
    <row r="66">
      <c r="A66" s="70"/>
      <c r="B66" s="3"/>
      <c r="C66" s="3"/>
      <c r="D66" s="3"/>
      <c r="E66" s="3"/>
      <c r="F66" s="3"/>
      <c r="G66" s="3"/>
      <c r="H66" s="3"/>
      <c r="I66" s="3"/>
      <c r="J66" s="3"/>
      <c r="K66" s="70"/>
      <c r="L66" s="3"/>
      <c r="M66" s="70"/>
      <c r="N66" s="5"/>
      <c r="R66" s="70"/>
      <c r="S66" s="3"/>
    </row>
    <row r="67">
      <c r="A67" s="70"/>
      <c r="B67" s="3"/>
      <c r="C67" s="3"/>
      <c r="D67" s="3"/>
      <c r="E67" s="3"/>
      <c r="F67" s="3"/>
      <c r="G67" s="3"/>
      <c r="H67" s="3"/>
      <c r="I67" s="3"/>
      <c r="J67" s="3"/>
      <c r="K67" s="70"/>
      <c r="L67" s="3"/>
      <c r="M67" s="70"/>
      <c r="N67" s="5"/>
      <c r="R67" s="70"/>
      <c r="S67" s="3"/>
    </row>
    <row r="68">
      <c r="A68" s="70"/>
      <c r="B68" s="3"/>
      <c r="C68" s="3"/>
      <c r="D68" s="3"/>
      <c r="E68" s="3"/>
      <c r="F68" s="3"/>
      <c r="G68" s="3"/>
      <c r="H68" s="3"/>
      <c r="I68" s="3"/>
      <c r="J68" s="3"/>
      <c r="K68" s="70"/>
      <c r="L68" s="3"/>
      <c r="M68" s="70"/>
      <c r="N68" s="5"/>
      <c r="R68" s="70"/>
      <c r="S68" s="3"/>
    </row>
    <row r="69">
      <c r="A69" s="70"/>
      <c r="B69" s="3"/>
      <c r="C69" s="3"/>
      <c r="D69" s="3"/>
      <c r="E69" s="3"/>
      <c r="F69" s="3"/>
      <c r="G69" s="3"/>
      <c r="H69" s="3"/>
      <c r="I69" s="3"/>
      <c r="J69" s="3"/>
      <c r="K69" s="70"/>
      <c r="L69" s="3"/>
      <c r="M69" s="70"/>
      <c r="N69" s="5"/>
      <c r="R69" s="70"/>
      <c r="S69" s="3"/>
    </row>
    <row r="70">
      <c r="A70" s="70"/>
      <c r="B70" s="3"/>
      <c r="C70" s="3"/>
      <c r="D70" s="3"/>
      <c r="E70" s="3"/>
      <c r="F70" s="3"/>
      <c r="G70" s="3"/>
      <c r="H70" s="3"/>
      <c r="I70" s="3"/>
      <c r="J70" s="3"/>
      <c r="K70" s="70"/>
      <c r="L70" s="3"/>
      <c r="M70" s="70"/>
      <c r="N70" s="5"/>
      <c r="R70" s="70"/>
      <c r="S70" s="3"/>
    </row>
    <row r="71">
      <c r="A71" s="70"/>
      <c r="B71" s="3"/>
      <c r="C71" s="3"/>
      <c r="D71" s="3"/>
      <c r="E71" s="3"/>
      <c r="F71" s="3"/>
      <c r="G71" s="3"/>
      <c r="H71" s="3"/>
      <c r="I71" s="3"/>
      <c r="J71" s="3"/>
      <c r="K71" s="70"/>
      <c r="L71" s="3"/>
      <c r="M71" s="70"/>
      <c r="N71" s="5"/>
      <c r="R71" s="70"/>
      <c r="S71" s="3"/>
    </row>
    <row r="72">
      <c r="A72" s="70"/>
      <c r="B72" s="3"/>
      <c r="C72" s="3"/>
      <c r="D72" s="3"/>
      <c r="E72" s="3"/>
      <c r="F72" s="3"/>
      <c r="G72" s="3"/>
      <c r="H72" s="3"/>
      <c r="I72" s="3"/>
      <c r="J72" s="3"/>
      <c r="K72" s="70"/>
      <c r="L72" s="3"/>
      <c r="M72" s="70"/>
      <c r="N72" s="5"/>
      <c r="R72" s="70"/>
      <c r="S72" s="3"/>
    </row>
    <row r="73">
      <c r="A73" s="70"/>
      <c r="B73" s="3"/>
      <c r="C73" s="3"/>
      <c r="D73" s="3"/>
      <c r="E73" s="3"/>
      <c r="F73" s="3"/>
      <c r="G73" s="3"/>
      <c r="H73" s="3"/>
      <c r="I73" s="3"/>
      <c r="J73" s="3"/>
      <c r="K73" s="70"/>
      <c r="L73" s="3"/>
      <c r="M73" s="70"/>
      <c r="N73" s="5"/>
      <c r="R73" s="70"/>
      <c r="S73" s="3"/>
    </row>
    <row r="74">
      <c r="A74" s="70"/>
      <c r="B74" s="3"/>
      <c r="C74" s="3"/>
      <c r="D74" s="3"/>
      <c r="E74" s="3"/>
      <c r="F74" s="3"/>
      <c r="G74" s="3"/>
      <c r="H74" s="3"/>
      <c r="I74" s="3"/>
      <c r="J74" s="3"/>
      <c r="K74" s="70"/>
      <c r="L74" s="3"/>
      <c r="M74" s="70"/>
      <c r="N74" s="5"/>
      <c r="R74" s="70"/>
      <c r="S74" s="3"/>
    </row>
    <row r="75">
      <c r="A75" s="70"/>
      <c r="B75" s="3"/>
      <c r="C75" s="3"/>
      <c r="D75" s="3"/>
      <c r="E75" s="3"/>
      <c r="F75" s="3"/>
      <c r="G75" s="3"/>
      <c r="H75" s="3"/>
      <c r="I75" s="3"/>
      <c r="J75" s="3"/>
      <c r="K75" s="70"/>
      <c r="L75" s="3"/>
      <c r="M75" s="70"/>
      <c r="N75" s="5"/>
      <c r="R75" s="70"/>
      <c r="S75" s="3"/>
    </row>
    <row r="76">
      <c r="A76" s="70"/>
      <c r="B76" s="3"/>
      <c r="C76" s="3"/>
      <c r="D76" s="3"/>
      <c r="E76" s="3"/>
      <c r="F76" s="3"/>
      <c r="G76" s="3"/>
      <c r="H76" s="3"/>
      <c r="I76" s="3"/>
      <c r="J76" s="3"/>
      <c r="K76" s="70"/>
      <c r="L76" s="3"/>
      <c r="M76" s="70"/>
      <c r="N76" s="5"/>
      <c r="R76" s="70"/>
      <c r="S76" s="3"/>
    </row>
    <row r="77">
      <c r="A77" s="70"/>
      <c r="B77" s="3"/>
      <c r="C77" s="3"/>
      <c r="D77" s="3"/>
      <c r="E77" s="3"/>
      <c r="F77" s="3"/>
      <c r="G77" s="3"/>
      <c r="H77" s="3"/>
      <c r="I77" s="3"/>
      <c r="J77" s="3"/>
      <c r="K77" s="70"/>
      <c r="L77" s="3"/>
      <c r="M77" s="70"/>
      <c r="N77" s="5"/>
      <c r="R77" s="70"/>
      <c r="S77" s="3"/>
    </row>
    <row r="78">
      <c r="A78" s="70"/>
      <c r="B78" s="3"/>
      <c r="C78" s="3"/>
      <c r="D78" s="3"/>
      <c r="E78" s="3"/>
      <c r="F78" s="3"/>
      <c r="G78" s="3"/>
      <c r="H78" s="3"/>
      <c r="I78" s="3"/>
      <c r="J78" s="3"/>
      <c r="K78" s="70"/>
      <c r="L78" s="3"/>
      <c r="M78" s="70"/>
      <c r="N78" s="5"/>
      <c r="R78" s="70"/>
      <c r="S78" s="3"/>
    </row>
    <row r="79">
      <c r="A79" s="70"/>
      <c r="B79" s="3"/>
      <c r="C79" s="3"/>
      <c r="D79" s="3"/>
      <c r="E79" s="3"/>
      <c r="F79" s="3"/>
      <c r="G79" s="3"/>
      <c r="H79" s="3"/>
      <c r="I79" s="3"/>
      <c r="J79" s="3"/>
      <c r="K79" s="70"/>
      <c r="L79" s="3"/>
      <c r="M79" s="70"/>
      <c r="N79" s="5"/>
      <c r="R79" s="70"/>
      <c r="S79" s="3"/>
    </row>
    <row r="80">
      <c r="A80" s="70"/>
      <c r="B80" s="3"/>
      <c r="C80" s="3"/>
      <c r="D80" s="3"/>
      <c r="E80" s="3"/>
      <c r="F80" s="3"/>
      <c r="G80" s="3"/>
      <c r="H80" s="3"/>
      <c r="I80" s="3"/>
      <c r="J80" s="3"/>
      <c r="K80" s="70"/>
      <c r="L80" s="3"/>
      <c r="M80" s="70"/>
      <c r="N80" s="5"/>
      <c r="R80" s="70"/>
      <c r="S80" s="3"/>
    </row>
    <row r="81">
      <c r="A81" s="70"/>
      <c r="B81" s="3"/>
      <c r="C81" s="3"/>
      <c r="D81" s="3"/>
      <c r="E81" s="3"/>
      <c r="F81" s="3"/>
      <c r="G81" s="3"/>
      <c r="H81" s="3"/>
      <c r="I81" s="3"/>
      <c r="J81" s="3"/>
      <c r="K81" s="70"/>
      <c r="L81" s="3"/>
      <c r="M81" s="70"/>
      <c r="N81" s="5"/>
      <c r="R81" s="70"/>
      <c r="S81" s="3"/>
    </row>
    <row r="82">
      <c r="A82" s="70"/>
      <c r="B82" s="3"/>
      <c r="C82" s="3"/>
      <c r="D82" s="3"/>
      <c r="E82" s="3"/>
      <c r="F82" s="3"/>
      <c r="G82" s="3"/>
      <c r="H82" s="3"/>
      <c r="I82" s="3"/>
      <c r="J82" s="3"/>
      <c r="K82" s="70"/>
      <c r="L82" s="3"/>
      <c r="M82" s="70"/>
      <c r="N82" s="5"/>
      <c r="R82" s="70"/>
      <c r="S82" s="3"/>
    </row>
    <row r="83">
      <c r="A83" s="70"/>
      <c r="B83" s="3"/>
      <c r="C83" s="3"/>
      <c r="D83" s="3"/>
      <c r="E83" s="3"/>
      <c r="F83" s="3"/>
      <c r="G83" s="3"/>
      <c r="H83" s="3"/>
      <c r="I83" s="3"/>
      <c r="J83" s="3"/>
      <c r="K83" s="70"/>
      <c r="L83" s="3"/>
      <c r="M83" s="70"/>
      <c r="N83" s="5"/>
      <c r="R83" s="70"/>
      <c r="S83" s="3"/>
    </row>
    <row r="84">
      <c r="A84" s="70"/>
      <c r="B84" s="3"/>
      <c r="C84" s="3"/>
      <c r="D84" s="3"/>
      <c r="E84" s="3"/>
      <c r="F84" s="3"/>
      <c r="G84" s="3"/>
      <c r="H84" s="3"/>
      <c r="I84" s="3"/>
      <c r="J84" s="3"/>
      <c r="K84" s="70"/>
      <c r="L84" s="3"/>
      <c r="M84" s="70"/>
      <c r="N84" s="5"/>
      <c r="R84" s="70"/>
      <c r="S84" s="3"/>
    </row>
    <row r="85">
      <c r="A85" s="70"/>
      <c r="B85" s="3"/>
      <c r="C85" s="3"/>
      <c r="D85" s="3"/>
      <c r="E85" s="3"/>
      <c r="F85" s="3"/>
      <c r="G85" s="3"/>
      <c r="H85" s="3"/>
      <c r="I85" s="3"/>
      <c r="J85" s="3"/>
      <c r="K85" s="70"/>
      <c r="L85" s="3"/>
      <c r="M85" s="70"/>
      <c r="N85" s="5"/>
      <c r="R85" s="70"/>
      <c r="S85" s="3"/>
    </row>
    <row r="86">
      <c r="A86" s="70"/>
      <c r="B86" s="3"/>
      <c r="C86" s="3"/>
      <c r="D86" s="3"/>
      <c r="E86" s="3"/>
      <c r="F86" s="3"/>
      <c r="G86" s="3"/>
      <c r="H86" s="3"/>
      <c r="I86" s="3"/>
      <c r="J86" s="3"/>
      <c r="K86" s="70"/>
      <c r="L86" s="3"/>
      <c r="M86" s="70"/>
      <c r="N86" s="5"/>
      <c r="R86" s="70"/>
      <c r="S86" s="3"/>
    </row>
    <row r="87">
      <c r="A87" s="70"/>
      <c r="B87" s="3"/>
      <c r="C87" s="3"/>
      <c r="D87" s="3"/>
      <c r="E87" s="3"/>
      <c r="F87" s="3"/>
      <c r="G87" s="3"/>
      <c r="H87" s="3"/>
      <c r="I87" s="3"/>
      <c r="J87" s="3"/>
      <c r="K87" s="70"/>
      <c r="L87" s="3"/>
      <c r="M87" s="70"/>
      <c r="N87" s="5"/>
      <c r="R87" s="70"/>
      <c r="S87" s="3"/>
    </row>
    <row r="88">
      <c r="A88" s="70"/>
      <c r="B88" s="3"/>
      <c r="C88" s="3"/>
      <c r="D88" s="3"/>
      <c r="E88" s="3"/>
      <c r="F88" s="3"/>
      <c r="G88" s="3"/>
      <c r="H88" s="3"/>
      <c r="I88" s="3"/>
      <c r="J88" s="3"/>
      <c r="K88" s="70"/>
      <c r="L88" s="3"/>
      <c r="M88" s="70"/>
      <c r="N88" s="5"/>
      <c r="R88" s="70"/>
      <c r="S88" s="3"/>
    </row>
    <row r="89">
      <c r="A89" s="70"/>
      <c r="B89" s="3"/>
      <c r="C89" s="3"/>
      <c r="D89" s="3"/>
      <c r="E89" s="3"/>
      <c r="F89" s="3"/>
      <c r="G89" s="3"/>
      <c r="H89" s="3"/>
      <c r="I89" s="3"/>
      <c r="J89" s="3"/>
      <c r="K89" s="70"/>
      <c r="L89" s="3"/>
      <c r="M89" s="70"/>
      <c r="N89" s="5"/>
      <c r="R89" s="70"/>
      <c r="S89" s="3"/>
    </row>
    <row r="90">
      <c r="A90" s="70"/>
      <c r="B90" s="3"/>
      <c r="C90" s="3"/>
      <c r="D90" s="3"/>
      <c r="E90" s="3"/>
      <c r="F90" s="3"/>
      <c r="G90" s="3"/>
      <c r="H90" s="3"/>
      <c r="I90" s="3"/>
      <c r="J90" s="3"/>
      <c r="K90" s="70"/>
      <c r="L90" s="3"/>
      <c r="M90" s="70"/>
      <c r="N90" s="5"/>
      <c r="R90" s="70"/>
      <c r="S90" s="3"/>
    </row>
    <row r="91">
      <c r="A91" s="70"/>
      <c r="B91" s="3"/>
      <c r="C91" s="3"/>
      <c r="D91" s="3"/>
      <c r="E91" s="3"/>
      <c r="F91" s="3"/>
      <c r="G91" s="3"/>
      <c r="H91" s="3"/>
      <c r="I91" s="3"/>
      <c r="J91" s="3"/>
      <c r="K91" s="70"/>
      <c r="L91" s="3"/>
      <c r="M91" s="70"/>
      <c r="N91" s="5"/>
      <c r="R91" s="70"/>
      <c r="S91" s="3"/>
    </row>
    <row r="92">
      <c r="A92" s="70"/>
      <c r="B92" s="3"/>
      <c r="C92" s="3"/>
      <c r="D92" s="3"/>
      <c r="E92" s="3"/>
      <c r="F92" s="3"/>
      <c r="G92" s="3"/>
      <c r="H92" s="3"/>
      <c r="I92" s="3"/>
      <c r="J92" s="3"/>
      <c r="K92" s="70"/>
      <c r="L92" s="3"/>
      <c r="M92" s="70"/>
      <c r="N92" s="5"/>
      <c r="R92" s="70"/>
      <c r="S92" s="3"/>
    </row>
    <row r="93">
      <c r="A93" s="70"/>
      <c r="B93" s="3"/>
      <c r="C93" s="3"/>
      <c r="D93" s="3"/>
      <c r="E93" s="3"/>
      <c r="F93" s="3"/>
      <c r="G93" s="3"/>
      <c r="H93" s="3"/>
      <c r="I93" s="3"/>
      <c r="J93" s="3"/>
      <c r="K93" s="70"/>
      <c r="L93" s="3"/>
      <c r="M93" s="70"/>
      <c r="N93" s="5"/>
      <c r="R93" s="70"/>
      <c r="S93" s="3"/>
    </row>
    <row r="94">
      <c r="A94" s="70"/>
      <c r="B94" s="3"/>
      <c r="C94" s="3"/>
      <c r="D94" s="3"/>
      <c r="E94" s="3"/>
      <c r="F94" s="3"/>
      <c r="G94" s="3"/>
      <c r="H94" s="3"/>
      <c r="I94" s="3"/>
      <c r="J94" s="3"/>
      <c r="K94" s="70"/>
      <c r="L94" s="3"/>
      <c r="M94" s="70"/>
      <c r="N94" s="5"/>
      <c r="R94" s="70"/>
      <c r="S94" s="3"/>
    </row>
    <row r="95">
      <c r="A95" s="70"/>
      <c r="B95" s="3"/>
      <c r="C95" s="3"/>
      <c r="D95" s="3"/>
      <c r="E95" s="3"/>
      <c r="F95" s="3"/>
      <c r="G95" s="3"/>
      <c r="H95" s="3"/>
      <c r="I95" s="3"/>
      <c r="J95" s="3"/>
      <c r="K95" s="70"/>
      <c r="L95" s="3"/>
      <c r="M95" s="70"/>
      <c r="N95" s="5"/>
      <c r="R95" s="70"/>
      <c r="S95" s="3"/>
    </row>
    <row r="96">
      <c r="A96" s="70"/>
      <c r="B96" s="3"/>
      <c r="C96" s="3"/>
      <c r="D96" s="3"/>
      <c r="E96" s="3"/>
      <c r="F96" s="3"/>
      <c r="G96" s="3"/>
      <c r="H96" s="3"/>
      <c r="I96" s="3"/>
      <c r="J96" s="3"/>
      <c r="K96" s="70"/>
      <c r="L96" s="3"/>
      <c r="M96" s="70"/>
      <c r="N96" s="5"/>
      <c r="R96" s="70"/>
      <c r="S96" s="3"/>
    </row>
    <row r="97">
      <c r="A97" s="70"/>
      <c r="B97" s="3"/>
      <c r="C97" s="3"/>
      <c r="D97" s="3"/>
      <c r="E97" s="3"/>
      <c r="F97" s="3"/>
      <c r="G97" s="3"/>
      <c r="H97" s="3"/>
      <c r="I97" s="3"/>
      <c r="J97" s="3"/>
      <c r="K97" s="70"/>
      <c r="L97" s="3"/>
      <c r="M97" s="70"/>
      <c r="N97" s="5"/>
      <c r="R97" s="70"/>
      <c r="S97" s="3"/>
    </row>
    <row r="98">
      <c r="A98" s="70"/>
      <c r="B98" s="3"/>
      <c r="C98" s="3"/>
      <c r="D98" s="3"/>
      <c r="E98" s="3"/>
      <c r="F98" s="3"/>
      <c r="G98" s="3"/>
      <c r="H98" s="3"/>
      <c r="I98" s="3"/>
      <c r="J98" s="3"/>
      <c r="K98" s="70"/>
      <c r="L98" s="3"/>
      <c r="M98" s="70"/>
      <c r="N98" s="5"/>
      <c r="R98" s="70"/>
      <c r="S98" s="3"/>
    </row>
    <row r="99">
      <c r="A99" s="70"/>
      <c r="B99" s="3"/>
      <c r="C99" s="3"/>
      <c r="D99" s="3"/>
      <c r="E99" s="3"/>
      <c r="F99" s="3"/>
      <c r="G99" s="3"/>
      <c r="H99" s="3"/>
      <c r="I99" s="3"/>
      <c r="J99" s="3"/>
      <c r="K99" s="70"/>
      <c r="L99" s="3"/>
      <c r="M99" s="70"/>
      <c r="N99" s="5"/>
      <c r="R99" s="70"/>
      <c r="S99" s="3"/>
    </row>
    <row r="100">
      <c r="A100" s="70"/>
      <c r="B100" s="3"/>
      <c r="C100" s="3"/>
      <c r="D100" s="3"/>
      <c r="E100" s="3"/>
      <c r="F100" s="3"/>
      <c r="G100" s="3"/>
      <c r="H100" s="3"/>
      <c r="I100" s="3"/>
      <c r="J100" s="3"/>
      <c r="K100" s="70"/>
      <c r="L100" s="3"/>
      <c r="M100" s="70"/>
      <c r="N100" s="5"/>
      <c r="R100" s="70"/>
      <c r="S100" s="3"/>
    </row>
    <row r="101">
      <c r="A101" s="70"/>
      <c r="B101" s="3"/>
      <c r="C101" s="3"/>
      <c r="D101" s="3"/>
      <c r="E101" s="3"/>
      <c r="F101" s="3"/>
      <c r="G101" s="3"/>
      <c r="H101" s="3"/>
      <c r="I101" s="3"/>
      <c r="J101" s="3"/>
      <c r="K101" s="70"/>
      <c r="L101" s="3"/>
      <c r="M101" s="70"/>
      <c r="N101" s="5"/>
      <c r="R101" s="70"/>
      <c r="S101" s="3"/>
    </row>
    <row r="102">
      <c r="A102" s="70"/>
      <c r="B102" s="3"/>
      <c r="C102" s="3"/>
      <c r="D102" s="3"/>
      <c r="E102" s="3"/>
      <c r="F102" s="3"/>
      <c r="G102" s="3"/>
      <c r="H102" s="3"/>
      <c r="I102" s="3"/>
      <c r="J102" s="3"/>
      <c r="K102" s="70"/>
      <c r="L102" s="3"/>
      <c r="M102" s="70"/>
      <c r="N102" s="5"/>
      <c r="R102" s="70"/>
      <c r="S102" s="3"/>
    </row>
    <row r="103">
      <c r="A103" s="70"/>
      <c r="B103" s="3"/>
      <c r="C103" s="3"/>
      <c r="D103" s="3"/>
      <c r="E103" s="3"/>
      <c r="F103" s="3"/>
      <c r="G103" s="3"/>
      <c r="H103" s="3"/>
      <c r="I103" s="3"/>
      <c r="J103" s="3"/>
      <c r="K103" s="70"/>
      <c r="L103" s="3"/>
      <c r="M103" s="70"/>
      <c r="N103" s="5"/>
      <c r="R103" s="70"/>
      <c r="S103" s="3"/>
    </row>
    <row r="104">
      <c r="A104" s="70"/>
      <c r="B104" s="3"/>
      <c r="C104" s="3"/>
      <c r="D104" s="3"/>
      <c r="E104" s="3"/>
      <c r="F104" s="3"/>
      <c r="G104" s="3"/>
      <c r="H104" s="3"/>
      <c r="I104" s="3"/>
      <c r="J104" s="3"/>
      <c r="K104" s="70"/>
      <c r="L104" s="3"/>
      <c r="M104" s="70"/>
      <c r="N104" s="5"/>
      <c r="R104" s="70"/>
      <c r="S104" s="3"/>
    </row>
    <row r="105">
      <c r="A105" s="70"/>
      <c r="B105" s="3"/>
      <c r="C105" s="3"/>
      <c r="D105" s="3"/>
      <c r="E105" s="3"/>
      <c r="F105" s="3"/>
      <c r="G105" s="3"/>
      <c r="H105" s="3"/>
      <c r="I105" s="3"/>
      <c r="J105" s="3"/>
      <c r="K105" s="70"/>
      <c r="L105" s="3"/>
      <c r="M105" s="70"/>
      <c r="N105" s="5"/>
      <c r="R105" s="70"/>
      <c r="S105" s="3"/>
    </row>
    <row r="106">
      <c r="A106" s="70"/>
      <c r="B106" s="3"/>
      <c r="C106" s="3"/>
      <c r="D106" s="3"/>
      <c r="E106" s="3"/>
      <c r="F106" s="3"/>
      <c r="G106" s="3"/>
      <c r="H106" s="3"/>
      <c r="I106" s="3"/>
      <c r="J106" s="3"/>
      <c r="K106" s="70"/>
      <c r="L106" s="3"/>
      <c r="M106" s="70"/>
      <c r="N106" s="5"/>
      <c r="R106" s="70"/>
      <c r="S106" s="3"/>
    </row>
    <row r="107">
      <c r="A107" s="70"/>
      <c r="B107" s="3"/>
      <c r="C107" s="3"/>
      <c r="D107" s="3"/>
      <c r="E107" s="3"/>
      <c r="F107" s="3"/>
      <c r="G107" s="3"/>
      <c r="H107" s="3"/>
      <c r="I107" s="3"/>
      <c r="J107" s="3"/>
      <c r="K107" s="70"/>
      <c r="L107" s="3"/>
      <c r="M107" s="70"/>
      <c r="N107" s="5"/>
      <c r="R107" s="70"/>
      <c r="S107" s="3"/>
    </row>
    <row r="108">
      <c r="A108" s="70"/>
      <c r="B108" s="3"/>
      <c r="C108" s="3"/>
      <c r="D108" s="3"/>
      <c r="E108" s="3"/>
      <c r="F108" s="3"/>
      <c r="G108" s="3"/>
      <c r="H108" s="3"/>
      <c r="I108" s="3"/>
      <c r="J108" s="3"/>
      <c r="K108" s="70"/>
      <c r="L108" s="3"/>
      <c r="M108" s="70"/>
      <c r="N108" s="5"/>
      <c r="R108" s="70"/>
      <c r="S108" s="3"/>
    </row>
    <row r="109">
      <c r="A109" s="70"/>
      <c r="B109" s="3"/>
      <c r="C109" s="3"/>
      <c r="D109" s="3"/>
      <c r="E109" s="3"/>
      <c r="F109" s="3"/>
      <c r="G109" s="3"/>
      <c r="H109" s="3"/>
      <c r="I109" s="3"/>
      <c r="J109" s="3"/>
      <c r="K109" s="70"/>
      <c r="L109" s="3"/>
      <c r="M109" s="70"/>
      <c r="N109" s="5"/>
      <c r="R109" s="70"/>
      <c r="S109" s="3"/>
    </row>
    <row r="110">
      <c r="A110" s="70"/>
      <c r="B110" s="3"/>
      <c r="C110" s="3"/>
      <c r="D110" s="3"/>
      <c r="E110" s="3"/>
      <c r="F110" s="3"/>
      <c r="G110" s="3"/>
      <c r="H110" s="3"/>
      <c r="I110" s="3"/>
      <c r="J110" s="3"/>
      <c r="K110" s="70"/>
      <c r="L110" s="3"/>
      <c r="M110" s="70"/>
      <c r="N110" s="5"/>
      <c r="R110" s="70"/>
      <c r="S110" s="3"/>
    </row>
    <row r="111">
      <c r="A111" s="70"/>
      <c r="B111" s="3"/>
      <c r="C111" s="3"/>
      <c r="D111" s="3"/>
      <c r="E111" s="3"/>
      <c r="F111" s="3"/>
      <c r="G111" s="3"/>
      <c r="H111" s="3"/>
      <c r="I111" s="3"/>
      <c r="J111" s="3"/>
      <c r="K111" s="70"/>
      <c r="L111" s="3"/>
      <c r="M111" s="70"/>
      <c r="N111" s="5"/>
      <c r="R111" s="70"/>
      <c r="S111" s="3"/>
    </row>
    <row r="112">
      <c r="A112" s="70"/>
      <c r="B112" s="3"/>
      <c r="C112" s="3"/>
      <c r="D112" s="3"/>
      <c r="E112" s="3"/>
      <c r="F112" s="3"/>
      <c r="G112" s="3"/>
      <c r="H112" s="3"/>
      <c r="I112" s="3"/>
      <c r="J112" s="3"/>
      <c r="K112" s="70"/>
      <c r="L112" s="3"/>
      <c r="M112" s="70"/>
      <c r="N112" s="5"/>
      <c r="R112" s="70"/>
      <c r="S112" s="3"/>
    </row>
    <row r="113">
      <c r="A113" s="70"/>
      <c r="B113" s="3"/>
      <c r="C113" s="3"/>
      <c r="D113" s="3"/>
      <c r="E113" s="3"/>
      <c r="F113" s="3"/>
      <c r="G113" s="3"/>
      <c r="H113" s="3"/>
      <c r="I113" s="3"/>
      <c r="J113" s="3"/>
      <c r="K113" s="70"/>
      <c r="L113" s="3"/>
      <c r="M113" s="70"/>
      <c r="N113" s="5"/>
      <c r="R113" s="70"/>
      <c r="S113" s="3"/>
    </row>
    <row r="114">
      <c r="A114" s="70"/>
      <c r="B114" s="3"/>
      <c r="C114" s="3"/>
      <c r="D114" s="3"/>
      <c r="E114" s="3"/>
      <c r="F114" s="3"/>
      <c r="G114" s="3"/>
      <c r="H114" s="3"/>
      <c r="I114" s="3"/>
      <c r="J114" s="3"/>
      <c r="K114" s="70"/>
      <c r="L114" s="3"/>
      <c r="M114" s="70"/>
      <c r="N114" s="5"/>
      <c r="R114" s="70"/>
      <c r="S114" s="3"/>
    </row>
    <row r="115">
      <c r="A115" s="70"/>
      <c r="B115" s="3"/>
      <c r="C115" s="3"/>
      <c r="D115" s="3"/>
      <c r="E115" s="3"/>
      <c r="F115" s="3"/>
      <c r="G115" s="3"/>
      <c r="H115" s="3"/>
      <c r="I115" s="3"/>
      <c r="J115" s="3"/>
      <c r="K115" s="70"/>
      <c r="L115" s="3"/>
      <c r="M115" s="70"/>
      <c r="N115" s="5"/>
      <c r="R115" s="70"/>
      <c r="S115" s="3"/>
    </row>
    <row r="116">
      <c r="A116" s="70"/>
      <c r="B116" s="3"/>
      <c r="C116" s="3"/>
      <c r="D116" s="3"/>
      <c r="E116" s="3"/>
      <c r="F116" s="3"/>
      <c r="G116" s="3"/>
      <c r="H116" s="3"/>
      <c r="I116" s="3"/>
      <c r="J116" s="3"/>
      <c r="K116" s="70"/>
      <c r="L116" s="3"/>
      <c r="M116" s="70"/>
      <c r="N116" s="5"/>
      <c r="R116" s="70"/>
      <c r="S116" s="3"/>
    </row>
    <row r="117">
      <c r="A117" s="70"/>
      <c r="B117" s="3"/>
      <c r="C117" s="3"/>
      <c r="D117" s="3"/>
      <c r="E117" s="3"/>
      <c r="F117" s="3"/>
      <c r="G117" s="3"/>
      <c r="H117" s="3"/>
      <c r="I117" s="3"/>
      <c r="J117" s="3"/>
      <c r="K117" s="70"/>
      <c r="L117" s="3"/>
      <c r="M117" s="70"/>
      <c r="N117" s="5"/>
      <c r="R117" s="70"/>
      <c r="S117" s="3"/>
    </row>
    <row r="118">
      <c r="A118" s="70"/>
      <c r="B118" s="3"/>
      <c r="C118" s="3"/>
      <c r="D118" s="3"/>
      <c r="E118" s="3"/>
      <c r="F118" s="3"/>
      <c r="G118" s="3"/>
      <c r="H118" s="3"/>
      <c r="I118" s="3"/>
      <c r="J118" s="3"/>
      <c r="K118" s="70"/>
      <c r="L118" s="3"/>
      <c r="M118" s="70"/>
      <c r="N118" s="5"/>
      <c r="R118" s="70"/>
      <c r="S118" s="3"/>
    </row>
    <row r="119">
      <c r="A119" s="70"/>
      <c r="B119" s="3"/>
      <c r="C119" s="3"/>
      <c r="D119" s="3"/>
      <c r="E119" s="3"/>
      <c r="F119" s="3"/>
      <c r="G119" s="3"/>
      <c r="H119" s="3"/>
      <c r="I119" s="3"/>
      <c r="J119" s="3"/>
      <c r="K119" s="70"/>
      <c r="L119" s="3"/>
      <c r="M119" s="70"/>
      <c r="N119" s="5"/>
      <c r="R119" s="70"/>
      <c r="S119" s="3"/>
    </row>
    <row r="120">
      <c r="A120" s="70"/>
      <c r="B120" s="3"/>
      <c r="C120" s="3"/>
      <c r="D120" s="3"/>
      <c r="E120" s="3"/>
      <c r="F120" s="3"/>
      <c r="G120" s="3"/>
      <c r="H120" s="3"/>
      <c r="I120" s="3"/>
      <c r="J120" s="3"/>
      <c r="K120" s="70"/>
      <c r="L120" s="3"/>
      <c r="M120" s="70"/>
      <c r="N120" s="5"/>
      <c r="R120" s="70"/>
      <c r="S120" s="3"/>
    </row>
    <row r="121">
      <c r="A121" s="70"/>
      <c r="B121" s="3"/>
      <c r="C121" s="3"/>
      <c r="D121" s="3"/>
      <c r="E121" s="3"/>
      <c r="F121" s="3"/>
      <c r="G121" s="3"/>
      <c r="H121" s="3"/>
      <c r="I121" s="3"/>
      <c r="J121" s="3"/>
      <c r="K121" s="70"/>
      <c r="L121" s="3"/>
      <c r="M121" s="70"/>
      <c r="N121" s="5"/>
      <c r="R121" s="70"/>
      <c r="S121" s="3"/>
    </row>
    <row r="122">
      <c r="A122" s="70"/>
      <c r="B122" s="3"/>
      <c r="C122" s="3"/>
      <c r="D122" s="3"/>
      <c r="E122" s="3"/>
      <c r="F122" s="3"/>
      <c r="G122" s="3"/>
      <c r="H122" s="3"/>
      <c r="I122" s="3"/>
      <c r="J122" s="3"/>
      <c r="K122" s="70"/>
      <c r="L122" s="3"/>
      <c r="M122" s="70"/>
      <c r="N122" s="5"/>
      <c r="R122" s="70"/>
      <c r="S122" s="3"/>
    </row>
    <row r="123">
      <c r="A123" s="70"/>
      <c r="B123" s="3"/>
      <c r="C123" s="3"/>
      <c r="D123" s="3"/>
      <c r="E123" s="3"/>
      <c r="F123" s="3"/>
      <c r="G123" s="3"/>
      <c r="H123" s="3"/>
      <c r="I123" s="3"/>
      <c r="J123" s="3"/>
      <c r="K123" s="70"/>
      <c r="L123" s="3"/>
      <c r="M123" s="70"/>
      <c r="N123" s="5"/>
      <c r="R123" s="70"/>
      <c r="S123" s="3"/>
    </row>
    <row r="124">
      <c r="A124" s="70"/>
      <c r="B124" s="3"/>
      <c r="C124" s="3"/>
      <c r="D124" s="3"/>
      <c r="E124" s="3"/>
      <c r="F124" s="3"/>
      <c r="G124" s="3"/>
      <c r="H124" s="3"/>
      <c r="I124" s="3"/>
      <c r="J124" s="3"/>
      <c r="K124" s="70"/>
      <c r="L124" s="3"/>
      <c r="M124" s="70"/>
      <c r="N124" s="5"/>
      <c r="R124" s="70"/>
      <c r="S124" s="3"/>
    </row>
    <row r="125">
      <c r="A125" s="70"/>
      <c r="B125" s="3"/>
      <c r="C125" s="3"/>
      <c r="D125" s="3"/>
      <c r="E125" s="3"/>
      <c r="F125" s="3"/>
      <c r="G125" s="3"/>
      <c r="H125" s="3"/>
      <c r="I125" s="3"/>
      <c r="J125" s="3"/>
      <c r="K125" s="70"/>
      <c r="L125" s="3"/>
      <c r="M125" s="70"/>
      <c r="N125" s="5"/>
      <c r="R125" s="70"/>
      <c r="S125" s="3"/>
    </row>
    <row r="126">
      <c r="A126" s="70"/>
      <c r="B126" s="3"/>
      <c r="C126" s="3"/>
      <c r="D126" s="3"/>
      <c r="E126" s="3"/>
      <c r="F126" s="3"/>
      <c r="G126" s="3"/>
      <c r="H126" s="3"/>
      <c r="I126" s="3"/>
      <c r="J126" s="3"/>
      <c r="K126" s="70"/>
      <c r="L126" s="3"/>
      <c r="M126" s="70"/>
      <c r="N126" s="5"/>
      <c r="R126" s="70"/>
      <c r="S126" s="3"/>
    </row>
    <row r="127">
      <c r="A127" s="70"/>
      <c r="B127" s="3"/>
      <c r="C127" s="3"/>
      <c r="D127" s="3"/>
      <c r="E127" s="3"/>
      <c r="F127" s="3"/>
      <c r="G127" s="3"/>
      <c r="H127" s="3"/>
      <c r="I127" s="3"/>
      <c r="J127" s="3"/>
      <c r="K127" s="70"/>
      <c r="L127" s="3"/>
      <c r="M127" s="70"/>
      <c r="N127" s="5"/>
      <c r="R127" s="70"/>
      <c r="S127" s="3"/>
    </row>
    <row r="128">
      <c r="A128" s="70"/>
      <c r="B128" s="3"/>
      <c r="C128" s="3"/>
      <c r="D128" s="3"/>
      <c r="E128" s="3"/>
      <c r="F128" s="3"/>
      <c r="G128" s="3"/>
      <c r="H128" s="3"/>
      <c r="I128" s="3"/>
      <c r="J128" s="3"/>
      <c r="K128" s="70"/>
      <c r="L128" s="3"/>
      <c r="M128" s="70"/>
      <c r="N128" s="5"/>
      <c r="R128" s="70"/>
      <c r="S128" s="3"/>
    </row>
    <row r="129">
      <c r="A129" s="70"/>
      <c r="B129" s="3"/>
      <c r="C129" s="3"/>
      <c r="D129" s="3"/>
      <c r="E129" s="3"/>
      <c r="F129" s="3"/>
      <c r="G129" s="3"/>
      <c r="H129" s="3"/>
      <c r="I129" s="3"/>
      <c r="J129" s="3"/>
      <c r="K129" s="70"/>
      <c r="L129" s="3"/>
      <c r="M129" s="70"/>
      <c r="N129" s="5"/>
      <c r="R129" s="70"/>
      <c r="S129" s="3"/>
    </row>
    <row r="130">
      <c r="A130" s="70"/>
      <c r="B130" s="3"/>
      <c r="C130" s="3"/>
      <c r="D130" s="3"/>
      <c r="E130" s="3"/>
      <c r="F130" s="3"/>
      <c r="G130" s="3"/>
      <c r="H130" s="3"/>
      <c r="I130" s="3"/>
      <c r="J130" s="3"/>
      <c r="K130" s="70"/>
      <c r="L130" s="3"/>
      <c r="M130" s="70"/>
      <c r="N130" s="5"/>
      <c r="R130" s="70"/>
      <c r="S130" s="3"/>
    </row>
    <row r="131">
      <c r="A131" s="70"/>
      <c r="B131" s="3"/>
      <c r="C131" s="3"/>
      <c r="D131" s="3"/>
      <c r="E131" s="3"/>
      <c r="F131" s="3"/>
      <c r="G131" s="3"/>
      <c r="H131" s="3"/>
      <c r="I131" s="3"/>
      <c r="J131" s="3"/>
      <c r="K131" s="70"/>
      <c r="L131" s="3"/>
      <c r="M131" s="70"/>
      <c r="N131" s="5"/>
      <c r="R131" s="70"/>
      <c r="S131" s="3"/>
    </row>
    <row r="132">
      <c r="A132" s="70"/>
      <c r="B132" s="3"/>
      <c r="C132" s="3"/>
      <c r="D132" s="3"/>
      <c r="E132" s="3"/>
      <c r="F132" s="3"/>
      <c r="G132" s="3"/>
      <c r="H132" s="3"/>
      <c r="I132" s="3"/>
      <c r="J132" s="3"/>
      <c r="K132" s="70"/>
      <c r="L132" s="3"/>
      <c r="M132" s="70"/>
      <c r="N132" s="5"/>
      <c r="R132" s="70"/>
      <c r="S132" s="3"/>
    </row>
    <row r="133">
      <c r="A133" s="70"/>
      <c r="B133" s="3"/>
      <c r="C133" s="3"/>
      <c r="D133" s="3"/>
      <c r="E133" s="3"/>
      <c r="F133" s="3"/>
      <c r="G133" s="3"/>
      <c r="H133" s="3"/>
      <c r="I133" s="3"/>
      <c r="J133" s="3"/>
      <c r="K133" s="70"/>
      <c r="L133" s="3"/>
      <c r="M133" s="70"/>
      <c r="N133" s="5"/>
      <c r="R133" s="70"/>
      <c r="S133" s="3"/>
    </row>
    <row r="134">
      <c r="A134" s="70"/>
      <c r="B134" s="3"/>
      <c r="C134" s="3"/>
      <c r="D134" s="3"/>
      <c r="E134" s="3"/>
      <c r="F134" s="3"/>
      <c r="G134" s="3"/>
      <c r="H134" s="3"/>
      <c r="I134" s="3"/>
      <c r="J134" s="3"/>
      <c r="K134" s="70"/>
      <c r="L134" s="3"/>
      <c r="M134" s="70"/>
      <c r="N134" s="5"/>
      <c r="R134" s="70"/>
      <c r="S134" s="3"/>
    </row>
    <row r="135">
      <c r="A135" s="70"/>
      <c r="B135" s="3"/>
      <c r="C135" s="3"/>
      <c r="D135" s="3"/>
      <c r="E135" s="3"/>
      <c r="F135" s="3"/>
      <c r="G135" s="3"/>
      <c r="H135" s="3"/>
      <c r="I135" s="3"/>
      <c r="J135" s="3"/>
      <c r="K135" s="70"/>
      <c r="L135" s="3"/>
      <c r="M135" s="70"/>
      <c r="N135" s="5"/>
      <c r="R135" s="70"/>
      <c r="S135" s="3"/>
    </row>
    <row r="136">
      <c r="A136" s="70"/>
      <c r="B136" s="3"/>
      <c r="C136" s="3"/>
      <c r="D136" s="3"/>
      <c r="E136" s="3"/>
      <c r="F136" s="3"/>
      <c r="G136" s="3"/>
      <c r="H136" s="3"/>
      <c r="I136" s="3"/>
      <c r="J136" s="3"/>
      <c r="K136" s="70"/>
      <c r="L136" s="3"/>
      <c r="M136" s="70"/>
      <c r="N136" s="5"/>
      <c r="R136" s="70"/>
      <c r="S136" s="3"/>
    </row>
    <row r="137">
      <c r="A137" s="70"/>
      <c r="B137" s="3"/>
      <c r="C137" s="3"/>
      <c r="D137" s="3"/>
      <c r="E137" s="3"/>
      <c r="F137" s="3"/>
      <c r="G137" s="3"/>
      <c r="H137" s="3"/>
      <c r="I137" s="3"/>
      <c r="J137" s="3"/>
      <c r="K137" s="70"/>
      <c r="L137" s="3"/>
      <c r="M137" s="70"/>
      <c r="N137" s="5"/>
      <c r="R137" s="70"/>
      <c r="S137" s="3"/>
    </row>
    <row r="138">
      <c r="A138" s="70"/>
      <c r="B138" s="3"/>
      <c r="C138" s="3"/>
      <c r="D138" s="3"/>
      <c r="E138" s="3"/>
      <c r="F138" s="3"/>
      <c r="G138" s="3"/>
      <c r="H138" s="3"/>
      <c r="I138" s="3"/>
      <c r="J138" s="3"/>
      <c r="K138" s="70"/>
      <c r="L138" s="3"/>
      <c r="M138" s="70"/>
      <c r="N138" s="5"/>
      <c r="R138" s="70"/>
      <c r="S138" s="3"/>
    </row>
    <row r="139">
      <c r="A139" s="70"/>
      <c r="B139" s="3"/>
      <c r="C139" s="3"/>
      <c r="D139" s="3"/>
      <c r="E139" s="3"/>
      <c r="F139" s="3"/>
      <c r="G139" s="3"/>
      <c r="H139" s="3"/>
      <c r="I139" s="3"/>
      <c r="J139" s="3"/>
      <c r="K139" s="70"/>
      <c r="L139" s="3"/>
      <c r="M139" s="70"/>
      <c r="N139" s="5"/>
      <c r="R139" s="70"/>
      <c r="S139" s="3"/>
    </row>
    <row r="140">
      <c r="A140" s="70"/>
      <c r="B140" s="3"/>
      <c r="C140" s="3"/>
      <c r="D140" s="3"/>
      <c r="E140" s="3"/>
      <c r="F140" s="3"/>
      <c r="G140" s="3"/>
      <c r="H140" s="3"/>
      <c r="I140" s="3"/>
      <c r="J140" s="3"/>
      <c r="K140" s="70"/>
      <c r="L140" s="3"/>
      <c r="M140" s="70"/>
      <c r="N140" s="5"/>
      <c r="R140" s="70"/>
      <c r="S140" s="3"/>
    </row>
    <row r="141">
      <c r="A141" s="70"/>
      <c r="B141" s="3"/>
      <c r="C141" s="3"/>
      <c r="D141" s="3"/>
      <c r="E141" s="3"/>
      <c r="F141" s="3"/>
      <c r="G141" s="3"/>
      <c r="H141" s="3"/>
      <c r="I141" s="3"/>
      <c r="J141" s="3"/>
      <c r="K141" s="70"/>
      <c r="L141" s="3"/>
      <c r="M141" s="70"/>
      <c r="N141" s="5"/>
      <c r="R141" s="70"/>
      <c r="S141" s="3"/>
    </row>
    <row r="142">
      <c r="A142" s="70"/>
      <c r="B142" s="3"/>
      <c r="C142" s="3"/>
      <c r="D142" s="3"/>
      <c r="E142" s="3"/>
      <c r="F142" s="3"/>
      <c r="G142" s="3"/>
      <c r="H142" s="3"/>
      <c r="I142" s="3"/>
      <c r="J142" s="3"/>
      <c r="K142" s="70"/>
      <c r="L142" s="3"/>
      <c r="M142" s="70"/>
      <c r="N142" s="5"/>
      <c r="R142" s="70"/>
      <c r="S142" s="3"/>
    </row>
    <row r="143">
      <c r="A143" s="70"/>
      <c r="B143" s="3"/>
      <c r="C143" s="3"/>
      <c r="D143" s="3"/>
      <c r="E143" s="3"/>
      <c r="F143" s="3"/>
      <c r="G143" s="3"/>
      <c r="H143" s="3"/>
      <c r="I143" s="3"/>
      <c r="J143" s="3"/>
      <c r="K143" s="70"/>
      <c r="L143" s="3"/>
      <c r="M143" s="70"/>
      <c r="N143" s="5"/>
      <c r="R143" s="70"/>
      <c r="S143" s="3"/>
    </row>
    <row r="144">
      <c r="A144" s="70"/>
      <c r="B144" s="3"/>
      <c r="C144" s="3"/>
      <c r="D144" s="3"/>
      <c r="E144" s="3"/>
      <c r="F144" s="3"/>
      <c r="G144" s="3"/>
      <c r="H144" s="3"/>
      <c r="I144" s="3"/>
      <c r="J144" s="3"/>
      <c r="K144" s="70"/>
      <c r="L144" s="3"/>
      <c r="M144" s="70"/>
      <c r="N144" s="5"/>
      <c r="R144" s="70"/>
      <c r="S144" s="3"/>
    </row>
    <row r="145">
      <c r="A145" s="70"/>
      <c r="B145" s="3"/>
      <c r="C145" s="3"/>
      <c r="D145" s="3"/>
      <c r="E145" s="3"/>
      <c r="F145" s="3"/>
      <c r="G145" s="3"/>
      <c r="H145" s="3"/>
      <c r="I145" s="3"/>
      <c r="J145" s="3"/>
      <c r="K145" s="70"/>
      <c r="L145" s="3"/>
      <c r="M145" s="70"/>
      <c r="N145" s="5"/>
      <c r="R145" s="70"/>
      <c r="S145" s="3"/>
    </row>
    <row r="146">
      <c r="A146" s="70"/>
      <c r="B146" s="3"/>
      <c r="C146" s="3"/>
      <c r="D146" s="3"/>
      <c r="E146" s="3"/>
      <c r="F146" s="3"/>
      <c r="G146" s="3"/>
      <c r="H146" s="3"/>
      <c r="I146" s="3"/>
      <c r="J146" s="3"/>
      <c r="K146" s="70"/>
      <c r="L146" s="3"/>
      <c r="M146" s="70"/>
      <c r="N146" s="5"/>
      <c r="R146" s="70"/>
      <c r="S146" s="3"/>
    </row>
    <row r="147">
      <c r="A147" s="70"/>
      <c r="B147" s="3"/>
      <c r="C147" s="3"/>
      <c r="D147" s="3"/>
      <c r="E147" s="3"/>
      <c r="F147" s="3"/>
      <c r="G147" s="3"/>
      <c r="H147" s="3"/>
      <c r="I147" s="3"/>
      <c r="J147" s="3"/>
      <c r="K147" s="70"/>
      <c r="L147" s="3"/>
      <c r="M147" s="70"/>
      <c r="N147" s="5"/>
      <c r="R147" s="70"/>
      <c r="S147" s="3"/>
    </row>
    <row r="148">
      <c r="A148" s="70"/>
      <c r="B148" s="3"/>
      <c r="C148" s="3"/>
      <c r="D148" s="3"/>
      <c r="E148" s="3"/>
      <c r="F148" s="3"/>
      <c r="G148" s="3"/>
      <c r="H148" s="3"/>
      <c r="I148" s="3"/>
      <c r="J148" s="3"/>
      <c r="K148" s="70"/>
      <c r="L148" s="3"/>
      <c r="M148" s="70"/>
      <c r="N148" s="5"/>
      <c r="R148" s="70"/>
      <c r="S148" s="3"/>
    </row>
    <row r="149">
      <c r="A149" s="70"/>
      <c r="B149" s="3"/>
      <c r="C149" s="3"/>
      <c r="D149" s="3"/>
      <c r="E149" s="3"/>
      <c r="F149" s="3"/>
      <c r="G149" s="3"/>
      <c r="H149" s="3"/>
      <c r="I149" s="3"/>
      <c r="J149" s="3"/>
      <c r="K149" s="70"/>
      <c r="L149" s="3"/>
      <c r="M149" s="70"/>
      <c r="N149" s="5"/>
      <c r="R149" s="70"/>
      <c r="S149" s="3"/>
    </row>
    <row r="150">
      <c r="A150" s="70"/>
      <c r="B150" s="3"/>
      <c r="C150" s="3"/>
      <c r="D150" s="3"/>
      <c r="E150" s="3"/>
      <c r="F150" s="3"/>
      <c r="G150" s="3"/>
      <c r="H150" s="3"/>
      <c r="I150" s="3"/>
      <c r="J150" s="3"/>
      <c r="K150" s="70"/>
      <c r="L150" s="3"/>
      <c r="M150" s="70"/>
      <c r="N150" s="5"/>
      <c r="R150" s="70"/>
      <c r="S150" s="3"/>
    </row>
    <row r="151">
      <c r="A151" s="70"/>
      <c r="B151" s="3"/>
      <c r="C151" s="3"/>
      <c r="D151" s="3"/>
      <c r="E151" s="3"/>
      <c r="F151" s="3"/>
      <c r="G151" s="3"/>
      <c r="H151" s="3"/>
      <c r="I151" s="3"/>
      <c r="J151" s="3"/>
      <c r="K151" s="70"/>
      <c r="L151" s="3"/>
      <c r="M151" s="70"/>
      <c r="N151" s="5"/>
      <c r="R151" s="70"/>
      <c r="S151" s="3"/>
    </row>
    <row r="152">
      <c r="A152" s="70"/>
      <c r="B152" s="3"/>
      <c r="C152" s="3"/>
      <c r="D152" s="3"/>
      <c r="E152" s="3"/>
      <c r="F152" s="3"/>
      <c r="G152" s="3"/>
      <c r="H152" s="3"/>
      <c r="I152" s="3"/>
      <c r="J152" s="3"/>
      <c r="K152" s="70"/>
      <c r="L152" s="3"/>
      <c r="M152" s="70"/>
      <c r="N152" s="5"/>
      <c r="R152" s="70"/>
      <c r="S152" s="3"/>
    </row>
    <row r="153">
      <c r="A153" s="70"/>
      <c r="B153" s="3"/>
      <c r="C153" s="3"/>
      <c r="D153" s="3"/>
      <c r="E153" s="3"/>
      <c r="F153" s="3"/>
      <c r="G153" s="3"/>
      <c r="H153" s="3"/>
      <c r="I153" s="3"/>
      <c r="J153" s="3"/>
      <c r="K153" s="70"/>
      <c r="L153" s="3"/>
      <c r="M153" s="70"/>
      <c r="N153" s="5"/>
      <c r="R153" s="70"/>
      <c r="S153" s="3"/>
    </row>
    <row r="154">
      <c r="A154" s="70"/>
      <c r="B154" s="3"/>
      <c r="C154" s="3"/>
      <c r="D154" s="3"/>
      <c r="E154" s="3"/>
      <c r="F154" s="3"/>
      <c r="G154" s="3"/>
      <c r="H154" s="3"/>
      <c r="I154" s="3"/>
      <c r="J154" s="3"/>
      <c r="K154" s="70"/>
      <c r="L154" s="3"/>
      <c r="M154" s="70"/>
      <c r="N154" s="5"/>
      <c r="R154" s="70"/>
      <c r="S154" s="3"/>
    </row>
    <row r="155">
      <c r="A155" s="70"/>
      <c r="B155" s="3"/>
      <c r="C155" s="3"/>
      <c r="D155" s="3"/>
      <c r="E155" s="3"/>
      <c r="F155" s="3"/>
      <c r="G155" s="3"/>
      <c r="H155" s="3"/>
      <c r="I155" s="3"/>
      <c r="J155" s="3"/>
      <c r="K155" s="70"/>
      <c r="L155" s="3"/>
      <c r="M155" s="70"/>
      <c r="N155" s="5"/>
      <c r="R155" s="70"/>
      <c r="S155" s="3"/>
    </row>
    <row r="156">
      <c r="A156" s="70"/>
      <c r="B156" s="3"/>
      <c r="C156" s="3"/>
      <c r="D156" s="3"/>
      <c r="E156" s="3"/>
      <c r="F156" s="3"/>
      <c r="G156" s="3"/>
      <c r="H156" s="3"/>
      <c r="I156" s="3"/>
      <c r="J156" s="3"/>
      <c r="K156" s="70"/>
      <c r="L156" s="3"/>
      <c r="M156" s="70"/>
      <c r="N156" s="5"/>
      <c r="R156" s="70"/>
      <c r="S156" s="3"/>
    </row>
    <row r="157">
      <c r="A157" s="70"/>
      <c r="B157" s="3"/>
      <c r="C157" s="3"/>
      <c r="D157" s="3"/>
      <c r="E157" s="3"/>
      <c r="F157" s="3"/>
      <c r="G157" s="3"/>
      <c r="H157" s="3"/>
      <c r="I157" s="3"/>
      <c r="J157" s="3"/>
      <c r="K157" s="70"/>
      <c r="L157" s="3"/>
      <c r="M157" s="70"/>
      <c r="N157" s="5"/>
      <c r="R157" s="70"/>
      <c r="S157" s="3"/>
    </row>
    <row r="158">
      <c r="A158" s="70"/>
      <c r="B158" s="3"/>
      <c r="C158" s="3"/>
      <c r="D158" s="3"/>
      <c r="E158" s="3"/>
      <c r="F158" s="3"/>
      <c r="G158" s="3"/>
      <c r="H158" s="3"/>
      <c r="I158" s="3"/>
      <c r="J158" s="3"/>
      <c r="K158" s="70"/>
      <c r="L158" s="3"/>
      <c r="M158" s="70"/>
      <c r="N158" s="5"/>
      <c r="R158" s="70"/>
      <c r="S158" s="3"/>
    </row>
    <row r="159">
      <c r="A159" s="70"/>
      <c r="B159" s="3"/>
      <c r="C159" s="3"/>
      <c r="D159" s="3"/>
      <c r="E159" s="3"/>
      <c r="F159" s="3"/>
      <c r="G159" s="3"/>
      <c r="H159" s="3"/>
      <c r="I159" s="3"/>
      <c r="J159" s="3"/>
      <c r="K159" s="70"/>
      <c r="L159" s="3"/>
      <c r="M159" s="70"/>
      <c r="N159" s="5"/>
      <c r="R159" s="70"/>
      <c r="S159" s="3"/>
    </row>
    <row r="160">
      <c r="A160" s="70"/>
      <c r="B160" s="3"/>
      <c r="C160" s="3"/>
      <c r="D160" s="3"/>
      <c r="E160" s="3"/>
      <c r="F160" s="3"/>
      <c r="G160" s="3"/>
      <c r="H160" s="3"/>
      <c r="I160" s="3"/>
      <c r="J160" s="3"/>
      <c r="K160" s="70"/>
      <c r="L160" s="3"/>
      <c r="M160" s="70"/>
      <c r="N160" s="5"/>
      <c r="R160" s="70"/>
      <c r="S160" s="3"/>
    </row>
    <row r="161">
      <c r="A161" s="70"/>
      <c r="B161" s="3"/>
      <c r="C161" s="3"/>
      <c r="D161" s="3"/>
      <c r="E161" s="3"/>
      <c r="F161" s="3"/>
      <c r="G161" s="3"/>
      <c r="H161" s="3"/>
      <c r="I161" s="3"/>
      <c r="J161" s="3"/>
      <c r="K161" s="70"/>
      <c r="L161" s="3"/>
      <c r="M161" s="70"/>
      <c r="N161" s="5"/>
      <c r="R161" s="70"/>
      <c r="S161" s="3"/>
    </row>
    <row r="162">
      <c r="A162" s="70"/>
      <c r="B162" s="3"/>
      <c r="C162" s="3"/>
      <c r="D162" s="3"/>
      <c r="E162" s="3"/>
      <c r="F162" s="3"/>
      <c r="G162" s="3"/>
      <c r="H162" s="3"/>
      <c r="I162" s="3"/>
      <c r="J162" s="3"/>
      <c r="K162" s="70"/>
      <c r="L162" s="3"/>
      <c r="M162" s="70"/>
      <c r="N162" s="5"/>
      <c r="R162" s="70"/>
      <c r="S162" s="3"/>
    </row>
    <row r="163">
      <c r="A163" s="70"/>
      <c r="B163" s="3"/>
      <c r="C163" s="3"/>
      <c r="D163" s="3"/>
      <c r="E163" s="3"/>
      <c r="F163" s="3"/>
      <c r="G163" s="3"/>
      <c r="H163" s="3"/>
      <c r="I163" s="3"/>
      <c r="J163" s="3"/>
      <c r="K163" s="70"/>
      <c r="L163" s="3"/>
      <c r="M163" s="70"/>
      <c r="N163" s="5"/>
      <c r="R163" s="70"/>
      <c r="S163" s="3"/>
    </row>
    <row r="164">
      <c r="A164" s="70"/>
      <c r="B164" s="3"/>
      <c r="C164" s="3"/>
      <c r="D164" s="3"/>
      <c r="E164" s="3"/>
      <c r="F164" s="3"/>
      <c r="G164" s="3"/>
      <c r="H164" s="3"/>
      <c r="I164" s="3"/>
      <c r="J164" s="3"/>
      <c r="K164" s="70"/>
      <c r="L164" s="3"/>
      <c r="M164" s="70"/>
      <c r="N164" s="5"/>
      <c r="R164" s="70"/>
      <c r="S164" s="3"/>
    </row>
    <row r="165">
      <c r="A165" s="70"/>
      <c r="B165" s="3"/>
      <c r="C165" s="3"/>
      <c r="D165" s="3"/>
      <c r="E165" s="3"/>
      <c r="F165" s="3"/>
      <c r="G165" s="3"/>
      <c r="H165" s="3"/>
      <c r="I165" s="3"/>
      <c r="J165" s="3"/>
      <c r="K165" s="70"/>
      <c r="L165" s="3"/>
      <c r="M165" s="70"/>
      <c r="N165" s="5"/>
      <c r="R165" s="70"/>
      <c r="S165" s="3"/>
    </row>
    <row r="166">
      <c r="A166" s="70"/>
      <c r="B166" s="3"/>
      <c r="C166" s="3"/>
      <c r="D166" s="3"/>
      <c r="E166" s="3"/>
      <c r="F166" s="3"/>
      <c r="G166" s="3"/>
      <c r="H166" s="3"/>
      <c r="I166" s="3"/>
      <c r="J166" s="3"/>
      <c r="K166" s="70"/>
      <c r="L166" s="3"/>
      <c r="M166" s="70"/>
      <c r="N166" s="5"/>
      <c r="R166" s="70"/>
      <c r="S166" s="3"/>
    </row>
    <row r="167">
      <c r="A167" s="70"/>
      <c r="B167" s="3"/>
      <c r="C167" s="3"/>
      <c r="D167" s="3"/>
      <c r="E167" s="3"/>
      <c r="F167" s="3"/>
      <c r="G167" s="3"/>
      <c r="H167" s="3"/>
      <c r="I167" s="3"/>
      <c r="J167" s="3"/>
      <c r="K167" s="70"/>
      <c r="L167" s="3"/>
      <c r="M167" s="70"/>
      <c r="N167" s="5"/>
      <c r="R167" s="70"/>
      <c r="S167" s="3"/>
    </row>
    <row r="168">
      <c r="A168" s="70"/>
      <c r="B168" s="3"/>
      <c r="C168" s="3"/>
      <c r="D168" s="3"/>
      <c r="E168" s="3"/>
      <c r="F168" s="3"/>
      <c r="G168" s="3"/>
      <c r="H168" s="3"/>
      <c r="I168" s="3"/>
      <c r="J168" s="3"/>
      <c r="K168" s="70"/>
      <c r="L168" s="3"/>
      <c r="M168" s="70"/>
      <c r="N168" s="5"/>
      <c r="R168" s="70"/>
      <c r="S168" s="3"/>
    </row>
    <row r="169">
      <c r="A169" s="70"/>
      <c r="B169" s="3"/>
      <c r="C169" s="3"/>
      <c r="D169" s="3"/>
      <c r="E169" s="3"/>
      <c r="F169" s="3"/>
      <c r="G169" s="3"/>
      <c r="H169" s="3"/>
      <c r="I169" s="3"/>
      <c r="J169" s="3"/>
      <c r="K169" s="70"/>
      <c r="L169" s="3"/>
      <c r="M169" s="70"/>
      <c r="N169" s="5"/>
      <c r="R169" s="70"/>
      <c r="S169" s="3"/>
    </row>
    <row r="170">
      <c r="A170" s="70"/>
      <c r="B170" s="3"/>
      <c r="C170" s="3"/>
      <c r="D170" s="3"/>
      <c r="E170" s="3"/>
      <c r="F170" s="3"/>
      <c r="G170" s="3"/>
      <c r="H170" s="3"/>
      <c r="I170" s="3"/>
      <c r="J170" s="3"/>
      <c r="K170" s="70"/>
      <c r="L170" s="3"/>
      <c r="M170" s="70"/>
      <c r="N170" s="5"/>
      <c r="R170" s="70"/>
      <c r="S170" s="3"/>
    </row>
    <row r="171">
      <c r="A171" s="70"/>
      <c r="B171" s="3"/>
      <c r="C171" s="3"/>
      <c r="D171" s="3"/>
      <c r="E171" s="3"/>
      <c r="F171" s="3"/>
      <c r="G171" s="3"/>
      <c r="H171" s="3"/>
      <c r="I171" s="3"/>
      <c r="J171" s="3"/>
      <c r="K171" s="70"/>
      <c r="L171" s="3"/>
      <c r="M171" s="70"/>
      <c r="N171" s="5"/>
      <c r="R171" s="70"/>
      <c r="S171" s="3"/>
    </row>
    <row r="172">
      <c r="A172" s="70"/>
      <c r="B172" s="3"/>
      <c r="C172" s="3"/>
      <c r="D172" s="3"/>
      <c r="E172" s="3"/>
      <c r="F172" s="3"/>
      <c r="G172" s="3"/>
      <c r="H172" s="3"/>
      <c r="I172" s="3"/>
      <c r="J172" s="3"/>
      <c r="K172" s="70"/>
      <c r="L172" s="3"/>
      <c r="M172" s="70"/>
      <c r="N172" s="5"/>
      <c r="R172" s="70"/>
      <c r="S172" s="3"/>
    </row>
    <row r="173">
      <c r="A173" s="70"/>
      <c r="B173" s="3"/>
      <c r="C173" s="3"/>
      <c r="D173" s="3"/>
      <c r="E173" s="3"/>
      <c r="F173" s="3"/>
      <c r="G173" s="3"/>
      <c r="H173" s="3"/>
      <c r="I173" s="3"/>
      <c r="J173" s="3"/>
      <c r="K173" s="70"/>
      <c r="L173" s="3"/>
      <c r="M173" s="70"/>
      <c r="N173" s="5"/>
      <c r="R173" s="70"/>
      <c r="S173" s="3"/>
    </row>
    <row r="174">
      <c r="A174" s="70"/>
      <c r="B174" s="3"/>
      <c r="C174" s="3"/>
      <c r="D174" s="3"/>
      <c r="E174" s="3"/>
      <c r="F174" s="3"/>
      <c r="G174" s="3"/>
      <c r="H174" s="3"/>
      <c r="I174" s="3"/>
      <c r="J174" s="3"/>
      <c r="K174" s="70"/>
      <c r="L174" s="3"/>
      <c r="M174" s="70"/>
      <c r="N174" s="5"/>
      <c r="R174" s="70"/>
      <c r="S174" s="3"/>
    </row>
    <row r="175">
      <c r="A175" s="70"/>
      <c r="B175" s="3"/>
      <c r="C175" s="3"/>
      <c r="D175" s="3"/>
      <c r="E175" s="3"/>
      <c r="F175" s="3"/>
      <c r="G175" s="3"/>
      <c r="H175" s="3"/>
      <c r="I175" s="3"/>
      <c r="J175" s="3"/>
      <c r="K175" s="70"/>
      <c r="L175" s="3"/>
      <c r="M175" s="70"/>
      <c r="N175" s="5"/>
      <c r="R175" s="70"/>
      <c r="S175" s="3"/>
    </row>
    <row r="176">
      <c r="A176" s="70"/>
      <c r="B176" s="3"/>
      <c r="C176" s="3"/>
      <c r="D176" s="3"/>
      <c r="E176" s="3"/>
      <c r="F176" s="3"/>
      <c r="G176" s="3"/>
      <c r="H176" s="3"/>
      <c r="I176" s="3"/>
      <c r="J176" s="3"/>
      <c r="K176" s="70"/>
      <c r="L176" s="3"/>
      <c r="M176" s="70"/>
      <c r="N176" s="5"/>
      <c r="R176" s="70"/>
      <c r="S176" s="3"/>
    </row>
    <row r="177">
      <c r="A177" s="70"/>
      <c r="B177" s="3"/>
      <c r="C177" s="3"/>
      <c r="D177" s="3"/>
      <c r="E177" s="3"/>
      <c r="F177" s="3"/>
      <c r="G177" s="3"/>
      <c r="H177" s="3"/>
      <c r="I177" s="3"/>
      <c r="J177" s="3"/>
      <c r="K177" s="70"/>
      <c r="L177" s="3"/>
      <c r="M177" s="70"/>
      <c r="N177" s="5"/>
      <c r="R177" s="70"/>
      <c r="S177" s="3"/>
    </row>
    <row r="178">
      <c r="A178" s="70"/>
      <c r="B178" s="3"/>
      <c r="C178" s="3"/>
      <c r="D178" s="3"/>
      <c r="E178" s="3"/>
      <c r="F178" s="3"/>
      <c r="G178" s="3"/>
      <c r="H178" s="3"/>
      <c r="I178" s="3"/>
      <c r="J178" s="3"/>
      <c r="K178" s="70"/>
      <c r="L178" s="3"/>
      <c r="M178" s="70"/>
      <c r="N178" s="5"/>
      <c r="R178" s="70"/>
      <c r="S178" s="3"/>
    </row>
    <row r="179">
      <c r="A179" s="70"/>
      <c r="B179" s="3"/>
      <c r="C179" s="3"/>
      <c r="D179" s="3"/>
      <c r="E179" s="3"/>
      <c r="F179" s="3"/>
      <c r="G179" s="3"/>
      <c r="H179" s="3"/>
      <c r="I179" s="3"/>
      <c r="J179" s="3"/>
      <c r="K179" s="70"/>
      <c r="L179" s="3"/>
      <c r="M179" s="70"/>
      <c r="N179" s="5"/>
      <c r="R179" s="70"/>
      <c r="S179" s="3"/>
    </row>
    <row r="180">
      <c r="A180" s="70"/>
      <c r="B180" s="3"/>
      <c r="C180" s="3"/>
      <c r="D180" s="3"/>
      <c r="E180" s="3"/>
      <c r="F180" s="3"/>
      <c r="G180" s="3"/>
      <c r="H180" s="3"/>
      <c r="I180" s="3"/>
      <c r="J180" s="3"/>
      <c r="K180" s="70"/>
      <c r="L180" s="3"/>
      <c r="M180" s="70"/>
      <c r="N180" s="5"/>
      <c r="R180" s="70"/>
      <c r="S180" s="3"/>
    </row>
    <row r="181">
      <c r="A181" s="70"/>
      <c r="B181" s="3"/>
      <c r="C181" s="3"/>
      <c r="D181" s="3"/>
      <c r="E181" s="3"/>
      <c r="F181" s="3"/>
      <c r="G181" s="3"/>
      <c r="H181" s="3"/>
      <c r="I181" s="3"/>
      <c r="J181" s="3"/>
      <c r="K181" s="70"/>
      <c r="L181" s="3"/>
      <c r="M181" s="70"/>
      <c r="N181" s="5"/>
      <c r="R181" s="70"/>
      <c r="S181" s="3"/>
    </row>
    <row r="182">
      <c r="A182" s="70"/>
      <c r="B182" s="3"/>
      <c r="C182" s="3"/>
      <c r="D182" s="3"/>
      <c r="E182" s="3"/>
      <c r="F182" s="3"/>
      <c r="G182" s="3"/>
      <c r="H182" s="3"/>
      <c r="I182" s="3"/>
      <c r="J182" s="3"/>
      <c r="K182" s="70"/>
      <c r="L182" s="3"/>
      <c r="M182" s="70"/>
      <c r="N182" s="5"/>
      <c r="R182" s="70"/>
      <c r="S182" s="3"/>
    </row>
    <row r="183">
      <c r="A183" s="70"/>
      <c r="B183" s="3"/>
      <c r="C183" s="3"/>
      <c r="D183" s="3"/>
      <c r="E183" s="3"/>
      <c r="F183" s="3"/>
      <c r="G183" s="3"/>
      <c r="H183" s="3"/>
      <c r="I183" s="3"/>
      <c r="J183" s="3"/>
      <c r="K183" s="70"/>
      <c r="L183" s="3"/>
      <c r="M183" s="70"/>
      <c r="N183" s="5"/>
      <c r="R183" s="70"/>
      <c r="S183" s="3"/>
    </row>
    <row r="184">
      <c r="A184" s="70"/>
      <c r="B184" s="3"/>
      <c r="C184" s="3"/>
      <c r="D184" s="3"/>
      <c r="E184" s="3"/>
      <c r="F184" s="3"/>
      <c r="G184" s="3"/>
      <c r="H184" s="3"/>
      <c r="I184" s="3"/>
      <c r="J184" s="3"/>
      <c r="K184" s="70"/>
      <c r="L184" s="3"/>
      <c r="M184" s="70"/>
      <c r="N184" s="5"/>
      <c r="R184" s="70"/>
      <c r="S184" s="3"/>
    </row>
    <row r="185">
      <c r="A185" s="70"/>
      <c r="B185" s="3"/>
      <c r="C185" s="3"/>
      <c r="D185" s="3"/>
      <c r="E185" s="3"/>
      <c r="F185" s="3"/>
      <c r="G185" s="3"/>
      <c r="H185" s="3"/>
      <c r="I185" s="3"/>
      <c r="J185" s="3"/>
      <c r="K185" s="70"/>
      <c r="L185" s="3"/>
      <c r="M185" s="70"/>
      <c r="N185" s="5"/>
      <c r="R185" s="70"/>
      <c r="S185" s="3"/>
    </row>
    <row r="186">
      <c r="A186" s="70"/>
      <c r="B186" s="3"/>
      <c r="C186" s="3"/>
      <c r="D186" s="3"/>
      <c r="E186" s="3"/>
      <c r="F186" s="3"/>
      <c r="G186" s="3"/>
      <c r="H186" s="3"/>
      <c r="I186" s="3"/>
      <c r="J186" s="3"/>
      <c r="K186" s="70"/>
      <c r="L186" s="3"/>
      <c r="M186" s="70"/>
      <c r="N186" s="5"/>
      <c r="R186" s="70"/>
      <c r="S186" s="3"/>
    </row>
    <row r="187">
      <c r="A187" s="70"/>
      <c r="B187" s="3"/>
      <c r="C187" s="3"/>
      <c r="D187" s="3"/>
      <c r="E187" s="3"/>
      <c r="F187" s="3"/>
      <c r="G187" s="3"/>
      <c r="H187" s="3"/>
      <c r="I187" s="3"/>
      <c r="J187" s="3"/>
      <c r="K187" s="70"/>
      <c r="L187" s="3"/>
      <c r="M187" s="70"/>
      <c r="N187" s="5"/>
      <c r="R187" s="70"/>
      <c r="S187" s="3"/>
    </row>
    <row r="188">
      <c r="A188" s="70"/>
      <c r="B188" s="3"/>
      <c r="C188" s="3"/>
      <c r="D188" s="3"/>
      <c r="E188" s="3"/>
      <c r="F188" s="3"/>
      <c r="G188" s="3"/>
      <c r="H188" s="3"/>
      <c r="I188" s="3"/>
      <c r="J188" s="3"/>
      <c r="K188" s="70"/>
      <c r="L188" s="3"/>
      <c r="M188" s="70"/>
      <c r="N188" s="5"/>
      <c r="R188" s="70"/>
      <c r="S188" s="3"/>
    </row>
    <row r="189">
      <c r="A189" s="70"/>
      <c r="B189" s="3"/>
      <c r="C189" s="3"/>
      <c r="D189" s="3"/>
      <c r="E189" s="3"/>
      <c r="F189" s="3"/>
      <c r="G189" s="3"/>
      <c r="H189" s="3"/>
      <c r="I189" s="3"/>
      <c r="J189" s="3"/>
      <c r="K189" s="70"/>
      <c r="L189" s="3"/>
      <c r="M189" s="70"/>
      <c r="N189" s="5"/>
      <c r="R189" s="70"/>
      <c r="S189" s="3"/>
    </row>
    <row r="190">
      <c r="A190" s="70"/>
      <c r="B190" s="3"/>
      <c r="C190" s="3"/>
      <c r="D190" s="3"/>
      <c r="E190" s="3"/>
      <c r="F190" s="3"/>
      <c r="G190" s="3"/>
      <c r="H190" s="3"/>
      <c r="I190" s="3"/>
      <c r="J190" s="3"/>
      <c r="K190" s="70"/>
      <c r="L190" s="3"/>
      <c r="M190" s="70"/>
      <c r="N190" s="5"/>
      <c r="R190" s="70"/>
      <c r="S190" s="3"/>
    </row>
    <row r="191">
      <c r="A191" s="70"/>
      <c r="B191" s="3"/>
      <c r="C191" s="3"/>
      <c r="D191" s="3"/>
      <c r="E191" s="3"/>
      <c r="F191" s="3"/>
      <c r="G191" s="3"/>
      <c r="H191" s="3"/>
      <c r="I191" s="3"/>
      <c r="J191" s="3"/>
      <c r="K191" s="70"/>
      <c r="L191" s="3"/>
      <c r="M191" s="70"/>
      <c r="N191" s="5"/>
      <c r="R191" s="70"/>
      <c r="S191" s="3"/>
    </row>
    <row r="192">
      <c r="A192" s="70"/>
      <c r="B192" s="3"/>
      <c r="C192" s="3"/>
      <c r="D192" s="3"/>
      <c r="E192" s="3"/>
      <c r="F192" s="3"/>
      <c r="G192" s="3"/>
      <c r="H192" s="3"/>
      <c r="I192" s="3"/>
      <c r="J192" s="3"/>
      <c r="K192" s="70"/>
      <c r="L192" s="3"/>
      <c r="M192" s="70"/>
      <c r="N192" s="5"/>
      <c r="R192" s="70"/>
      <c r="S192" s="3"/>
    </row>
    <row r="193">
      <c r="A193" s="70"/>
      <c r="B193" s="3"/>
      <c r="C193" s="3"/>
      <c r="D193" s="3"/>
      <c r="E193" s="3"/>
      <c r="F193" s="3"/>
      <c r="G193" s="3"/>
      <c r="H193" s="3"/>
      <c r="I193" s="3"/>
      <c r="J193" s="3"/>
      <c r="K193" s="70"/>
      <c r="L193" s="3"/>
      <c r="M193" s="70"/>
      <c r="N193" s="5"/>
      <c r="R193" s="70"/>
      <c r="S193" s="3"/>
    </row>
    <row r="194">
      <c r="A194" s="70"/>
      <c r="B194" s="3"/>
      <c r="C194" s="3"/>
      <c r="D194" s="3"/>
      <c r="E194" s="3"/>
      <c r="F194" s="3"/>
      <c r="G194" s="3"/>
      <c r="H194" s="3"/>
      <c r="I194" s="3"/>
      <c r="J194" s="3"/>
      <c r="K194" s="70"/>
      <c r="L194" s="3"/>
      <c r="M194" s="70"/>
      <c r="N194" s="5"/>
      <c r="R194" s="70"/>
      <c r="S194" s="3"/>
    </row>
    <row r="195">
      <c r="A195" s="70"/>
      <c r="B195" s="3"/>
      <c r="C195" s="3"/>
      <c r="D195" s="3"/>
      <c r="E195" s="3"/>
      <c r="F195" s="3"/>
      <c r="G195" s="3"/>
      <c r="H195" s="3"/>
      <c r="I195" s="3"/>
      <c r="J195" s="3"/>
      <c r="K195" s="70"/>
      <c r="L195" s="3"/>
      <c r="M195" s="70"/>
      <c r="N195" s="5"/>
      <c r="R195" s="70"/>
      <c r="S195" s="3"/>
    </row>
    <row r="196">
      <c r="A196" s="70"/>
      <c r="B196" s="3"/>
      <c r="C196" s="3"/>
      <c r="D196" s="3"/>
      <c r="E196" s="3"/>
      <c r="F196" s="3"/>
      <c r="G196" s="3"/>
      <c r="H196" s="3"/>
      <c r="I196" s="3"/>
      <c r="J196" s="3"/>
      <c r="K196" s="70"/>
      <c r="L196" s="3"/>
      <c r="M196" s="70"/>
      <c r="N196" s="5"/>
      <c r="R196" s="70"/>
      <c r="S196" s="3"/>
    </row>
    <row r="197">
      <c r="A197" s="70"/>
      <c r="B197" s="3"/>
      <c r="C197" s="3"/>
      <c r="D197" s="3"/>
      <c r="E197" s="3"/>
      <c r="F197" s="3"/>
      <c r="G197" s="3"/>
      <c r="H197" s="3"/>
      <c r="I197" s="3"/>
      <c r="J197" s="3"/>
      <c r="K197" s="70"/>
      <c r="L197" s="3"/>
      <c r="M197" s="70"/>
      <c r="N197" s="5"/>
      <c r="R197" s="70"/>
      <c r="S197" s="3"/>
    </row>
    <row r="198">
      <c r="A198" s="70"/>
      <c r="B198" s="3"/>
      <c r="C198" s="3"/>
      <c r="D198" s="3"/>
      <c r="E198" s="3"/>
      <c r="F198" s="3"/>
      <c r="G198" s="3"/>
      <c r="H198" s="3"/>
      <c r="I198" s="3"/>
      <c r="J198" s="3"/>
      <c r="K198" s="70"/>
      <c r="L198" s="3"/>
      <c r="M198" s="70"/>
      <c r="N198" s="5"/>
      <c r="R198" s="70"/>
      <c r="S198" s="3"/>
    </row>
    <row r="199">
      <c r="A199" s="70"/>
      <c r="B199" s="3"/>
      <c r="C199" s="3"/>
      <c r="D199" s="3"/>
      <c r="E199" s="3"/>
      <c r="F199" s="3"/>
      <c r="G199" s="3"/>
      <c r="H199" s="3"/>
      <c r="I199" s="3"/>
      <c r="J199" s="3"/>
      <c r="K199" s="70"/>
      <c r="L199" s="3"/>
      <c r="M199" s="70"/>
      <c r="N199" s="5"/>
      <c r="R199" s="70"/>
      <c r="S199" s="3"/>
    </row>
    <row r="200">
      <c r="A200" s="70"/>
      <c r="B200" s="3"/>
      <c r="C200" s="3"/>
      <c r="D200" s="3"/>
      <c r="E200" s="3"/>
      <c r="F200" s="3"/>
      <c r="G200" s="3"/>
      <c r="H200" s="3"/>
      <c r="I200" s="3"/>
      <c r="J200" s="3"/>
      <c r="K200" s="70"/>
      <c r="L200" s="3"/>
      <c r="M200" s="70"/>
      <c r="N200" s="5"/>
      <c r="R200" s="70"/>
      <c r="S200" s="3"/>
    </row>
    <row r="201">
      <c r="A201" s="70"/>
      <c r="B201" s="3"/>
      <c r="C201" s="3"/>
      <c r="D201" s="3"/>
      <c r="E201" s="3"/>
      <c r="F201" s="3"/>
      <c r="G201" s="3"/>
      <c r="H201" s="3"/>
      <c r="I201" s="3"/>
      <c r="J201" s="3"/>
      <c r="K201" s="70"/>
      <c r="L201" s="3"/>
      <c r="M201" s="70"/>
      <c r="N201" s="5"/>
      <c r="R201" s="70"/>
      <c r="S201" s="3"/>
    </row>
    <row r="202">
      <c r="A202" s="70"/>
      <c r="B202" s="3"/>
      <c r="C202" s="3"/>
      <c r="D202" s="3"/>
      <c r="E202" s="3"/>
      <c r="F202" s="3"/>
      <c r="G202" s="3"/>
      <c r="H202" s="3"/>
      <c r="I202" s="3"/>
      <c r="J202" s="3"/>
      <c r="K202" s="70"/>
      <c r="L202" s="3"/>
      <c r="M202" s="70"/>
      <c r="N202" s="5"/>
      <c r="R202" s="70"/>
      <c r="S202" s="3"/>
    </row>
    <row r="203">
      <c r="A203" s="70"/>
      <c r="B203" s="3"/>
      <c r="C203" s="3"/>
      <c r="D203" s="3"/>
      <c r="E203" s="3"/>
      <c r="F203" s="3"/>
      <c r="G203" s="3"/>
      <c r="H203" s="3"/>
      <c r="I203" s="3"/>
      <c r="J203" s="3"/>
      <c r="K203" s="70"/>
      <c r="L203" s="3"/>
      <c r="M203" s="70"/>
      <c r="N203" s="5"/>
      <c r="R203" s="70"/>
      <c r="S203" s="3"/>
    </row>
    <row r="204">
      <c r="A204" s="70"/>
      <c r="B204" s="3"/>
      <c r="C204" s="3"/>
      <c r="D204" s="3"/>
      <c r="E204" s="3"/>
      <c r="F204" s="3"/>
      <c r="G204" s="3"/>
      <c r="H204" s="3"/>
      <c r="I204" s="3"/>
      <c r="J204" s="3"/>
      <c r="K204" s="70"/>
      <c r="L204" s="3"/>
      <c r="M204" s="70"/>
      <c r="N204" s="5"/>
      <c r="R204" s="70"/>
      <c r="S204" s="3"/>
    </row>
    <row r="205">
      <c r="A205" s="70"/>
      <c r="B205" s="3"/>
      <c r="C205" s="3"/>
      <c r="D205" s="3"/>
      <c r="E205" s="3"/>
      <c r="F205" s="3"/>
      <c r="G205" s="3"/>
      <c r="H205" s="3"/>
      <c r="I205" s="3"/>
      <c r="J205" s="3"/>
      <c r="K205" s="70"/>
      <c r="L205" s="3"/>
      <c r="M205" s="70"/>
      <c r="N205" s="5"/>
      <c r="R205" s="70"/>
      <c r="S205" s="3"/>
    </row>
    <row r="206">
      <c r="A206" s="70"/>
      <c r="B206" s="3"/>
      <c r="C206" s="3"/>
      <c r="D206" s="3"/>
      <c r="E206" s="3"/>
      <c r="F206" s="3"/>
      <c r="G206" s="3"/>
      <c r="H206" s="3"/>
      <c r="I206" s="3"/>
      <c r="J206" s="3"/>
      <c r="K206" s="70"/>
      <c r="L206" s="3"/>
      <c r="M206" s="70"/>
      <c r="N206" s="5"/>
      <c r="R206" s="70"/>
      <c r="S206" s="3"/>
    </row>
    <row r="207">
      <c r="A207" s="70"/>
      <c r="B207" s="3"/>
      <c r="C207" s="3"/>
      <c r="D207" s="3"/>
      <c r="E207" s="3"/>
      <c r="F207" s="3"/>
      <c r="G207" s="3"/>
      <c r="H207" s="3"/>
      <c r="I207" s="3"/>
      <c r="J207" s="3"/>
      <c r="K207" s="70"/>
      <c r="L207" s="3"/>
      <c r="M207" s="70"/>
      <c r="N207" s="5"/>
      <c r="R207" s="70"/>
      <c r="S207" s="3"/>
    </row>
    <row r="208">
      <c r="A208" s="70"/>
      <c r="B208" s="3"/>
      <c r="C208" s="3"/>
      <c r="D208" s="3"/>
      <c r="E208" s="3"/>
      <c r="F208" s="3"/>
      <c r="G208" s="3"/>
      <c r="H208" s="3"/>
      <c r="I208" s="3"/>
      <c r="J208" s="3"/>
      <c r="K208" s="70"/>
      <c r="L208" s="3"/>
      <c r="M208" s="70"/>
      <c r="N208" s="5"/>
      <c r="R208" s="70"/>
      <c r="S208" s="3"/>
    </row>
    <row r="209">
      <c r="A209" s="70"/>
      <c r="B209" s="3"/>
      <c r="C209" s="3"/>
      <c r="D209" s="3"/>
      <c r="E209" s="3"/>
      <c r="F209" s="3"/>
      <c r="G209" s="3"/>
      <c r="H209" s="3"/>
      <c r="I209" s="3"/>
      <c r="J209" s="3"/>
      <c r="K209" s="70"/>
      <c r="L209" s="3"/>
      <c r="M209" s="70"/>
      <c r="N209" s="5"/>
      <c r="R209" s="70"/>
      <c r="S209" s="3"/>
    </row>
    <row r="210">
      <c r="A210" s="70"/>
      <c r="B210" s="3"/>
      <c r="C210" s="3"/>
      <c r="D210" s="3"/>
      <c r="E210" s="3"/>
      <c r="F210" s="3"/>
      <c r="G210" s="3"/>
      <c r="H210" s="3"/>
      <c r="I210" s="3"/>
      <c r="J210" s="3"/>
      <c r="K210" s="70"/>
      <c r="L210" s="3"/>
      <c r="M210" s="70"/>
      <c r="N210" s="5"/>
      <c r="R210" s="70"/>
      <c r="S210" s="3"/>
    </row>
    <row r="211">
      <c r="A211" s="70"/>
      <c r="B211" s="3"/>
      <c r="C211" s="3"/>
      <c r="D211" s="3"/>
      <c r="E211" s="3"/>
      <c r="F211" s="3"/>
      <c r="G211" s="3"/>
      <c r="H211" s="3"/>
      <c r="I211" s="3"/>
      <c r="J211" s="3"/>
      <c r="K211" s="70"/>
      <c r="L211" s="3"/>
      <c r="M211" s="70"/>
      <c r="N211" s="5"/>
      <c r="R211" s="70"/>
      <c r="S211" s="3"/>
    </row>
    <row r="212">
      <c r="A212" s="70"/>
      <c r="B212" s="3"/>
      <c r="C212" s="3"/>
      <c r="D212" s="3"/>
      <c r="E212" s="3"/>
      <c r="F212" s="3"/>
      <c r="G212" s="3"/>
      <c r="H212" s="3"/>
      <c r="I212" s="3"/>
      <c r="J212" s="3"/>
      <c r="K212" s="70"/>
      <c r="L212" s="3"/>
      <c r="M212" s="70"/>
      <c r="N212" s="5"/>
      <c r="R212" s="70"/>
      <c r="S212" s="3"/>
    </row>
    <row r="213">
      <c r="A213" s="70"/>
      <c r="B213" s="3"/>
      <c r="C213" s="3"/>
      <c r="D213" s="3"/>
      <c r="E213" s="3"/>
      <c r="F213" s="3"/>
      <c r="G213" s="3"/>
      <c r="H213" s="3"/>
      <c r="I213" s="3"/>
      <c r="J213" s="3"/>
      <c r="K213" s="70"/>
      <c r="L213" s="3"/>
      <c r="M213" s="70"/>
      <c r="N213" s="5"/>
      <c r="R213" s="70"/>
      <c r="S213" s="3"/>
    </row>
    <row r="214">
      <c r="A214" s="70"/>
      <c r="B214" s="3"/>
      <c r="C214" s="3"/>
      <c r="D214" s="3"/>
      <c r="E214" s="3"/>
      <c r="F214" s="3"/>
      <c r="G214" s="3"/>
      <c r="H214" s="3"/>
      <c r="I214" s="3"/>
      <c r="J214" s="3"/>
      <c r="K214" s="70"/>
      <c r="L214" s="3"/>
      <c r="M214" s="70"/>
      <c r="N214" s="5"/>
      <c r="R214" s="70"/>
      <c r="S214" s="3"/>
    </row>
    <row r="215">
      <c r="A215" s="70"/>
      <c r="B215" s="3"/>
      <c r="C215" s="3"/>
      <c r="D215" s="3"/>
      <c r="E215" s="3"/>
      <c r="F215" s="3"/>
      <c r="G215" s="3"/>
      <c r="H215" s="3"/>
      <c r="I215" s="3"/>
      <c r="J215" s="3"/>
      <c r="K215" s="70"/>
      <c r="L215" s="3"/>
      <c r="M215" s="70"/>
      <c r="N215" s="5"/>
      <c r="R215" s="70"/>
      <c r="S215" s="3"/>
    </row>
    <row r="216">
      <c r="A216" s="70"/>
      <c r="B216" s="3"/>
      <c r="C216" s="3"/>
      <c r="D216" s="3"/>
      <c r="E216" s="3"/>
      <c r="F216" s="3"/>
      <c r="G216" s="3"/>
      <c r="H216" s="3"/>
      <c r="I216" s="3"/>
      <c r="J216" s="3"/>
      <c r="K216" s="70"/>
      <c r="L216" s="3"/>
      <c r="M216" s="70"/>
      <c r="N216" s="5"/>
      <c r="R216" s="70"/>
      <c r="S216" s="3"/>
    </row>
    <row r="217">
      <c r="A217" s="70"/>
      <c r="B217" s="3"/>
      <c r="C217" s="3"/>
      <c r="D217" s="3"/>
      <c r="E217" s="3"/>
      <c r="F217" s="3"/>
      <c r="G217" s="3"/>
      <c r="H217" s="3"/>
      <c r="I217" s="3"/>
      <c r="J217" s="3"/>
      <c r="K217" s="70"/>
      <c r="L217" s="3"/>
      <c r="M217" s="70"/>
      <c r="N217" s="5"/>
      <c r="R217" s="70"/>
      <c r="S217" s="3"/>
    </row>
    <row r="218">
      <c r="A218" s="70"/>
      <c r="B218" s="3"/>
      <c r="C218" s="3"/>
      <c r="D218" s="3"/>
      <c r="E218" s="3"/>
      <c r="F218" s="3"/>
      <c r="G218" s="3"/>
      <c r="H218" s="3"/>
      <c r="I218" s="3"/>
      <c r="J218" s="3"/>
      <c r="K218" s="70"/>
      <c r="L218" s="3"/>
      <c r="M218" s="70"/>
      <c r="N218" s="5"/>
      <c r="R218" s="70"/>
      <c r="S218" s="3"/>
    </row>
    <row r="219">
      <c r="A219" s="70"/>
      <c r="B219" s="3"/>
      <c r="C219" s="3"/>
      <c r="D219" s="3"/>
      <c r="E219" s="3"/>
      <c r="F219" s="3"/>
      <c r="G219" s="3"/>
      <c r="H219" s="3"/>
      <c r="I219" s="3"/>
      <c r="J219" s="3"/>
      <c r="K219" s="70"/>
      <c r="L219" s="3"/>
      <c r="M219" s="70"/>
      <c r="N219" s="5"/>
      <c r="R219" s="70"/>
      <c r="S219" s="3"/>
    </row>
    <row r="220">
      <c r="A220" s="70"/>
      <c r="B220" s="3"/>
      <c r="C220" s="3"/>
      <c r="D220" s="3"/>
      <c r="E220" s="3"/>
      <c r="F220" s="3"/>
      <c r="G220" s="3"/>
      <c r="H220" s="3"/>
      <c r="I220" s="3"/>
      <c r="J220" s="3"/>
      <c r="K220" s="70"/>
      <c r="L220" s="3"/>
      <c r="M220" s="70"/>
      <c r="N220" s="5"/>
      <c r="R220" s="70"/>
      <c r="S220" s="3"/>
    </row>
    <row r="221">
      <c r="A221" s="70"/>
      <c r="B221" s="3"/>
      <c r="C221" s="3"/>
      <c r="D221" s="3"/>
      <c r="E221" s="3"/>
      <c r="F221" s="3"/>
      <c r="G221" s="3"/>
      <c r="H221" s="3"/>
      <c r="I221" s="3"/>
      <c r="J221" s="3"/>
      <c r="K221" s="70"/>
      <c r="L221" s="3"/>
      <c r="M221" s="70"/>
      <c r="N221" s="5"/>
      <c r="R221" s="70"/>
      <c r="S221" s="3"/>
    </row>
    <row r="222">
      <c r="A222" s="70"/>
      <c r="B222" s="3"/>
      <c r="C222" s="3"/>
      <c r="D222" s="3"/>
      <c r="E222" s="3"/>
      <c r="F222" s="3"/>
      <c r="G222" s="3"/>
      <c r="H222" s="3"/>
      <c r="I222" s="3"/>
      <c r="J222" s="3"/>
      <c r="K222" s="70"/>
      <c r="L222" s="3"/>
      <c r="M222" s="70"/>
      <c r="N222" s="5"/>
      <c r="R222" s="70"/>
      <c r="S222" s="3"/>
    </row>
    <row r="223">
      <c r="A223" s="70"/>
      <c r="B223" s="3"/>
      <c r="C223" s="3"/>
      <c r="D223" s="3"/>
      <c r="E223" s="3"/>
      <c r="F223" s="3"/>
      <c r="G223" s="3"/>
      <c r="H223" s="3"/>
      <c r="I223" s="3"/>
      <c r="J223" s="3"/>
      <c r="K223" s="70"/>
      <c r="L223" s="3"/>
      <c r="M223" s="70"/>
      <c r="N223" s="5"/>
      <c r="R223" s="70"/>
      <c r="S223" s="3"/>
    </row>
    <row r="224">
      <c r="A224" s="70"/>
      <c r="B224" s="3"/>
      <c r="C224" s="3"/>
      <c r="D224" s="3"/>
      <c r="E224" s="3"/>
      <c r="F224" s="3"/>
      <c r="G224" s="3"/>
      <c r="H224" s="3"/>
      <c r="I224" s="3"/>
      <c r="J224" s="3"/>
      <c r="K224" s="70"/>
      <c r="L224" s="3"/>
      <c r="M224" s="70"/>
      <c r="N224" s="5"/>
      <c r="R224" s="70"/>
      <c r="S224" s="3"/>
    </row>
    <row r="225">
      <c r="A225" s="70"/>
      <c r="B225" s="3"/>
      <c r="C225" s="3"/>
      <c r="D225" s="3"/>
      <c r="E225" s="3"/>
      <c r="F225" s="3"/>
      <c r="G225" s="3"/>
      <c r="H225" s="3"/>
      <c r="I225" s="3"/>
      <c r="J225" s="3"/>
      <c r="K225" s="70"/>
      <c r="L225" s="3"/>
      <c r="M225" s="70"/>
      <c r="N225" s="5"/>
      <c r="R225" s="70"/>
      <c r="S225" s="3"/>
    </row>
    <row r="226">
      <c r="A226" s="70"/>
      <c r="B226" s="3"/>
      <c r="C226" s="3"/>
      <c r="D226" s="3"/>
      <c r="E226" s="3"/>
      <c r="F226" s="3"/>
      <c r="G226" s="3"/>
      <c r="H226" s="3"/>
      <c r="I226" s="3"/>
      <c r="J226" s="3"/>
      <c r="K226" s="70"/>
      <c r="L226" s="3"/>
      <c r="M226" s="70"/>
      <c r="N226" s="5"/>
      <c r="R226" s="70"/>
      <c r="S226" s="3"/>
    </row>
    <row r="227">
      <c r="A227" s="70"/>
      <c r="B227" s="3"/>
      <c r="C227" s="3"/>
      <c r="D227" s="3"/>
      <c r="E227" s="3"/>
      <c r="F227" s="3"/>
      <c r="G227" s="3"/>
      <c r="H227" s="3"/>
      <c r="I227" s="3"/>
      <c r="J227" s="3"/>
      <c r="K227" s="70"/>
      <c r="L227" s="3"/>
      <c r="M227" s="70"/>
      <c r="N227" s="5"/>
      <c r="R227" s="70"/>
      <c r="S227" s="3"/>
    </row>
    <row r="228">
      <c r="A228" s="70"/>
      <c r="B228" s="3"/>
      <c r="C228" s="3"/>
      <c r="D228" s="3"/>
      <c r="E228" s="3"/>
      <c r="F228" s="3"/>
      <c r="G228" s="3"/>
      <c r="H228" s="3"/>
      <c r="I228" s="3"/>
      <c r="J228" s="3"/>
      <c r="K228" s="70"/>
      <c r="L228" s="3"/>
      <c r="M228" s="70"/>
      <c r="N228" s="5"/>
      <c r="R228" s="70"/>
      <c r="S228" s="3"/>
    </row>
    <row r="229">
      <c r="A229" s="70"/>
      <c r="B229" s="3"/>
      <c r="C229" s="3"/>
      <c r="D229" s="3"/>
      <c r="E229" s="3"/>
      <c r="F229" s="3"/>
      <c r="G229" s="3"/>
      <c r="H229" s="3"/>
      <c r="I229" s="3"/>
      <c r="J229" s="3"/>
      <c r="K229" s="70"/>
      <c r="L229" s="3"/>
      <c r="M229" s="70"/>
      <c r="N229" s="5"/>
      <c r="R229" s="70"/>
      <c r="S229" s="3"/>
    </row>
    <row r="230">
      <c r="A230" s="70"/>
      <c r="B230" s="3"/>
      <c r="C230" s="3"/>
      <c r="D230" s="3"/>
      <c r="E230" s="3"/>
      <c r="F230" s="3"/>
      <c r="G230" s="3"/>
      <c r="H230" s="3"/>
      <c r="I230" s="3"/>
      <c r="J230" s="3"/>
      <c r="K230" s="70"/>
      <c r="L230" s="3"/>
      <c r="M230" s="70"/>
      <c r="N230" s="5"/>
      <c r="R230" s="70"/>
      <c r="S230" s="3"/>
    </row>
    <row r="231">
      <c r="A231" s="70"/>
      <c r="B231" s="3"/>
      <c r="C231" s="3"/>
      <c r="D231" s="3"/>
      <c r="E231" s="3"/>
      <c r="F231" s="3"/>
      <c r="G231" s="3"/>
      <c r="H231" s="3"/>
      <c r="I231" s="3"/>
      <c r="J231" s="3"/>
      <c r="K231" s="70"/>
      <c r="L231" s="3"/>
      <c r="M231" s="70"/>
      <c r="N231" s="5"/>
      <c r="R231" s="70"/>
      <c r="S231" s="3"/>
    </row>
    <row r="232">
      <c r="A232" s="70"/>
      <c r="B232" s="3"/>
      <c r="C232" s="3"/>
      <c r="D232" s="3"/>
      <c r="E232" s="3"/>
      <c r="F232" s="3"/>
      <c r="G232" s="3"/>
      <c r="H232" s="3"/>
      <c r="I232" s="3"/>
      <c r="J232" s="3"/>
      <c r="K232" s="70"/>
      <c r="L232" s="3"/>
      <c r="M232" s="70"/>
      <c r="N232" s="5"/>
      <c r="R232" s="70"/>
      <c r="S232" s="3"/>
    </row>
    <row r="233">
      <c r="A233" s="70"/>
      <c r="B233" s="3"/>
      <c r="C233" s="3"/>
      <c r="D233" s="3"/>
      <c r="E233" s="3"/>
      <c r="F233" s="3"/>
      <c r="G233" s="3"/>
      <c r="H233" s="3"/>
      <c r="I233" s="3"/>
      <c r="J233" s="3"/>
      <c r="K233" s="70"/>
      <c r="L233" s="3"/>
      <c r="M233" s="70"/>
      <c r="N233" s="5"/>
      <c r="R233" s="70"/>
      <c r="S233" s="3"/>
    </row>
    <row r="234">
      <c r="A234" s="70"/>
      <c r="B234" s="3"/>
      <c r="C234" s="3"/>
      <c r="D234" s="3"/>
      <c r="E234" s="3"/>
      <c r="F234" s="3"/>
      <c r="G234" s="3"/>
      <c r="H234" s="3"/>
      <c r="I234" s="3"/>
      <c r="J234" s="3"/>
      <c r="K234" s="70"/>
      <c r="L234" s="3"/>
      <c r="M234" s="70"/>
      <c r="N234" s="5"/>
      <c r="R234" s="70"/>
      <c r="S234" s="3"/>
    </row>
    <row r="235">
      <c r="A235" s="70"/>
      <c r="B235" s="3"/>
      <c r="C235" s="3"/>
      <c r="D235" s="3"/>
      <c r="E235" s="3"/>
      <c r="F235" s="3"/>
      <c r="G235" s="3"/>
      <c r="H235" s="3"/>
      <c r="I235" s="3"/>
      <c r="J235" s="3"/>
      <c r="K235" s="70"/>
      <c r="L235" s="3"/>
      <c r="M235" s="70"/>
      <c r="N235" s="5"/>
      <c r="R235" s="70"/>
      <c r="S235" s="3"/>
    </row>
    <row r="236">
      <c r="A236" s="70"/>
      <c r="B236" s="3"/>
      <c r="C236" s="3"/>
      <c r="D236" s="3"/>
      <c r="E236" s="3"/>
      <c r="F236" s="3"/>
      <c r="G236" s="3"/>
      <c r="H236" s="3"/>
      <c r="I236" s="3"/>
      <c r="J236" s="3"/>
      <c r="K236" s="70"/>
      <c r="L236" s="3"/>
      <c r="M236" s="70"/>
      <c r="N236" s="5"/>
      <c r="R236" s="70"/>
      <c r="S236" s="3"/>
    </row>
    <row r="237">
      <c r="A237" s="70"/>
      <c r="B237" s="3"/>
      <c r="C237" s="3"/>
      <c r="D237" s="3"/>
      <c r="E237" s="3"/>
      <c r="F237" s="3"/>
      <c r="G237" s="3"/>
      <c r="H237" s="3"/>
      <c r="I237" s="3"/>
      <c r="J237" s="3"/>
      <c r="K237" s="70"/>
      <c r="L237" s="3"/>
      <c r="M237" s="70"/>
      <c r="N237" s="5"/>
      <c r="R237" s="70"/>
      <c r="S237" s="3"/>
    </row>
    <row r="238">
      <c r="A238" s="70"/>
      <c r="B238" s="3"/>
      <c r="C238" s="3"/>
      <c r="D238" s="3"/>
      <c r="E238" s="3"/>
      <c r="F238" s="3"/>
      <c r="G238" s="3"/>
      <c r="H238" s="3"/>
      <c r="I238" s="3"/>
      <c r="J238" s="3"/>
      <c r="K238" s="70"/>
      <c r="L238" s="3"/>
      <c r="M238" s="70"/>
      <c r="N238" s="5"/>
      <c r="R238" s="70"/>
      <c r="S238" s="3"/>
    </row>
    <row r="239">
      <c r="A239" s="70"/>
      <c r="B239" s="3"/>
      <c r="C239" s="3"/>
      <c r="D239" s="3"/>
      <c r="E239" s="3"/>
      <c r="F239" s="3"/>
      <c r="G239" s="3"/>
      <c r="H239" s="3"/>
      <c r="I239" s="3"/>
      <c r="J239" s="3"/>
      <c r="K239" s="70"/>
      <c r="L239" s="3"/>
      <c r="M239" s="70"/>
      <c r="N239" s="5"/>
      <c r="R239" s="70"/>
      <c r="S239" s="3"/>
    </row>
    <row r="240">
      <c r="A240" s="70"/>
      <c r="B240" s="3"/>
      <c r="C240" s="3"/>
      <c r="D240" s="3"/>
      <c r="E240" s="3"/>
      <c r="F240" s="3"/>
      <c r="G240" s="3"/>
      <c r="H240" s="3"/>
      <c r="I240" s="3"/>
      <c r="J240" s="3"/>
      <c r="K240" s="70"/>
      <c r="L240" s="3"/>
      <c r="M240" s="70"/>
      <c r="N240" s="5"/>
      <c r="R240" s="70"/>
      <c r="S240" s="3"/>
    </row>
    <row r="241">
      <c r="A241" s="70"/>
      <c r="B241" s="3"/>
      <c r="C241" s="3"/>
      <c r="D241" s="3"/>
      <c r="E241" s="3"/>
      <c r="F241" s="3"/>
      <c r="G241" s="3"/>
      <c r="H241" s="3"/>
      <c r="I241" s="3"/>
      <c r="J241" s="3"/>
      <c r="K241" s="70"/>
      <c r="L241" s="3"/>
      <c r="M241" s="70"/>
      <c r="N241" s="5"/>
      <c r="R241" s="70"/>
      <c r="S241" s="3"/>
    </row>
    <row r="242">
      <c r="A242" s="70"/>
      <c r="B242" s="3"/>
      <c r="C242" s="3"/>
      <c r="D242" s="3"/>
      <c r="E242" s="3"/>
      <c r="F242" s="3"/>
      <c r="G242" s="3"/>
      <c r="H242" s="3"/>
      <c r="I242" s="3"/>
      <c r="J242" s="3"/>
      <c r="K242" s="70"/>
      <c r="L242" s="3"/>
      <c r="M242" s="70"/>
      <c r="N242" s="5"/>
      <c r="R242" s="70"/>
      <c r="S242" s="3"/>
    </row>
    <row r="243">
      <c r="A243" s="70"/>
      <c r="B243" s="3"/>
      <c r="C243" s="3"/>
      <c r="D243" s="3"/>
      <c r="E243" s="3"/>
      <c r="F243" s="3"/>
      <c r="G243" s="3"/>
      <c r="H243" s="3"/>
      <c r="I243" s="3"/>
      <c r="J243" s="3"/>
      <c r="K243" s="70"/>
      <c r="L243" s="3"/>
      <c r="M243" s="70"/>
      <c r="N243" s="5"/>
      <c r="R243" s="70"/>
      <c r="S243" s="3"/>
    </row>
    <row r="244">
      <c r="A244" s="70"/>
      <c r="B244" s="3"/>
      <c r="C244" s="3"/>
      <c r="D244" s="3"/>
      <c r="E244" s="3"/>
      <c r="F244" s="3"/>
      <c r="G244" s="3"/>
      <c r="H244" s="3"/>
      <c r="I244" s="3"/>
      <c r="J244" s="3"/>
      <c r="K244" s="70"/>
      <c r="L244" s="3"/>
      <c r="M244" s="70"/>
      <c r="N244" s="5"/>
      <c r="R244" s="70"/>
      <c r="S244" s="3"/>
    </row>
    <row r="245">
      <c r="A245" s="70"/>
      <c r="B245" s="3"/>
      <c r="C245" s="3"/>
      <c r="D245" s="3"/>
      <c r="E245" s="3"/>
      <c r="F245" s="3"/>
      <c r="G245" s="3"/>
      <c r="H245" s="3"/>
      <c r="I245" s="3"/>
      <c r="J245" s="3"/>
      <c r="K245" s="70"/>
      <c r="L245" s="3"/>
      <c r="M245" s="70"/>
      <c r="N245" s="5"/>
      <c r="R245" s="70"/>
      <c r="S245" s="3"/>
    </row>
    <row r="246">
      <c r="A246" s="70"/>
      <c r="B246" s="3"/>
      <c r="C246" s="3"/>
      <c r="D246" s="3"/>
      <c r="E246" s="3"/>
      <c r="F246" s="3"/>
      <c r="G246" s="3"/>
      <c r="H246" s="3"/>
      <c r="I246" s="3"/>
      <c r="J246" s="3"/>
      <c r="K246" s="70"/>
      <c r="L246" s="3"/>
      <c r="M246" s="70"/>
      <c r="N246" s="5"/>
      <c r="R246" s="70"/>
      <c r="S246" s="3"/>
    </row>
    <row r="247">
      <c r="A247" s="70"/>
      <c r="B247" s="3"/>
      <c r="C247" s="3"/>
      <c r="D247" s="3"/>
      <c r="E247" s="3"/>
      <c r="F247" s="3"/>
      <c r="G247" s="3"/>
      <c r="H247" s="3"/>
      <c r="I247" s="3"/>
      <c r="J247" s="3"/>
      <c r="K247" s="70"/>
      <c r="L247" s="3"/>
      <c r="M247" s="70"/>
      <c r="N247" s="5"/>
      <c r="R247" s="70"/>
      <c r="S247" s="3"/>
    </row>
    <row r="248">
      <c r="A248" s="70"/>
      <c r="B248" s="3"/>
      <c r="C248" s="3"/>
      <c r="D248" s="3"/>
      <c r="E248" s="3"/>
      <c r="F248" s="3"/>
      <c r="G248" s="3"/>
      <c r="H248" s="3"/>
      <c r="I248" s="3"/>
      <c r="J248" s="3"/>
      <c r="K248" s="70"/>
      <c r="L248" s="3"/>
      <c r="M248" s="70"/>
      <c r="N248" s="5"/>
      <c r="R248" s="70"/>
      <c r="S248" s="3"/>
    </row>
    <row r="249">
      <c r="A249" s="70"/>
      <c r="B249" s="3"/>
      <c r="C249" s="3"/>
      <c r="D249" s="3"/>
      <c r="E249" s="3"/>
      <c r="F249" s="3"/>
      <c r="G249" s="3"/>
      <c r="H249" s="3"/>
      <c r="I249" s="3"/>
      <c r="J249" s="3"/>
      <c r="K249" s="70"/>
      <c r="L249" s="3"/>
      <c r="M249" s="70"/>
      <c r="N249" s="5"/>
      <c r="R249" s="70"/>
      <c r="S249" s="3"/>
    </row>
    <row r="250">
      <c r="A250" s="70"/>
      <c r="B250" s="3"/>
      <c r="C250" s="3"/>
      <c r="D250" s="3"/>
      <c r="E250" s="3"/>
      <c r="F250" s="3"/>
      <c r="G250" s="3"/>
      <c r="H250" s="3"/>
      <c r="I250" s="3"/>
      <c r="J250" s="3"/>
      <c r="K250" s="70"/>
      <c r="L250" s="3"/>
      <c r="M250" s="70"/>
      <c r="N250" s="5"/>
      <c r="R250" s="70"/>
      <c r="S250" s="3"/>
    </row>
    <row r="251">
      <c r="A251" s="70"/>
      <c r="B251" s="3"/>
      <c r="C251" s="3"/>
      <c r="D251" s="3"/>
      <c r="E251" s="3"/>
      <c r="F251" s="3"/>
      <c r="G251" s="3"/>
      <c r="H251" s="3"/>
      <c r="I251" s="3"/>
      <c r="J251" s="3"/>
      <c r="K251" s="70"/>
      <c r="L251" s="3"/>
      <c r="M251" s="70"/>
      <c r="N251" s="5"/>
      <c r="R251" s="70"/>
      <c r="S251" s="3"/>
    </row>
    <row r="252">
      <c r="A252" s="70"/>
      <c r="B252" s="3"/>
      <c r="C252" s="3"/>
      <c r="D252" s="3"/>
      <c r="E252" s="3"/>
      <c r="F252" s="3"/>
      <c r="G252" s="3"/>
      <c r="H252" s="3"/>
      <c r="I252" s="3"/>
      <c r="J252" s="3"/>
      <c r="K252" s="70"/>
      <c r="L252" s="3"/>
      <c r="M252" s="70"/>
      <c r="N252" s="5"/>
      <c r="R252" s="70"/>
      <c r="S252" s="3"/>
    </row>
    <row r="253">
      <c r="A253" s="70"/>
      <c r="B253" s="3"/>
      <c r="C253" s="3"/>
      <c r="D253" s="3"/>
      <c r="E253" s="3"/>
      <c r="F253" s="3"/>
      <c r="G253" s="3"/>
      <c r="H253" s="3"/>
      <c r="I253" s="3"/>
      <c r="J253" s="3"/>
      <c r="K253" s="70"/>
      <c r="L253" s="3"/>
      <c r="M253" s="70"/>
      <c r="N253" s="5"/>
      <c r="R253" s="70"/>
      <c r="S253" s="3"/>
    </row>
    <row r="254">
      <c r="A254" s="70"/>
      <c r="B254" s="3"/>
      <c r="C254" s="3"/>
      <c r="D254" s="3"/>
      <c r="E254" s="3"/>
      <c r="F254" s="3"/>
      <c r="G254" s="3"/>
      <c r="H254" s="3"/>
      <c r="I254" s="3"/>
      <c r="J254" s="3"/>
      <c r="K254" s="70"/>
      <c r="L254" s="3"/>
      <c r="M254" s="70"/>
      <c r="N254" s="5"/>
      <c r="R254" s="70"/>
      <c r="S254" s="3"/>
    </row>
    <row r="255">
      <c r="A255" s="70"/>
      <c r="B255" s="3"/>
      <c r="C255" s="3"/>
      <c r="D255" s="3"/>
      <c r="E255" s="3"/>
      <c r="F255" s="3"/>
      <c r="G255" s="3"/>
      <c r="H255" s="3"/>
      <c r="I255" s="3"/>
      <c r="J255" s="3"/>
      <c r="K255" s="70"/>
      <c r="L255" s="3"/>
      <c r="M255" s="70"/>
      <c r="N255" s="5"/>
      <c r="R255" s="70"/>
      <c r="S255" s="3"/>
    </row>
    <row r="256">
      <c r="A256" s="70"/>
      <c r="B256" s="3"/>
      <c r="C256" s="3"/>
      <c r="D256" s="3"/>
      <c r="E256" s="3"/>
      <c r="F256" s="3"/>
      <c r="G256" s="3"/>
      <c r="H256" s="3"/>
      <c r="I256" s="3"/>
      <c r="J256" s="3"/>
      <c r="K256" s="70"/>
      <c r="L256" s="3"/>
      <c r="M256" s="70"/>
      <c r="N256" s="5"/>
      <c r="R256" s="70"/>
      <c r="S256" s="3"/>
    </row>
    <row r="257">
      <c r="A257" s="70"/>
      <c r="B257" s="3"/>
      <c r="C257" s="3"/>
      <c r="D257" s="3"/>
      <c r="E257" s="3"/>
      <c r="F257" s="3"/>
      <c r="G257" s="3"/>
      <c r="H257" s="3"/>
      <c r="I257" s="3"/>
      <c r="J257" s="3"/>
      <c r="K257" s="70"/>
      <c r="L257" s="3"/>
      <c r="M257" s="70"/>
      <c r="N257" s="5"/>
      <c r="R257" s="70"/>
      <c r="S257" s="3"/>
    </row>
    <row r="258">
      <c r="A258" s="70"/>
      <c r="B258" s="3"/>
      <c r="C258" s="3"/>
      <c r="D258" s="3"/>
      <c r="E258" s="3"/>
      <c r="F258" s="3"/>
      <c r="G258" s="3"/>
      <c r="H258" s="3"/>
      <c r="I258" s="3"/>
      <c r="J258" s="3"/>
      <c r="K258" s="70"/>
      <c r="L258" s="3"/>
      <c r="M258" s="70"/>
      <c r="N258" s="5"/>
      <c r="R258" s="70"/>
      <c r="S258" s="3"/>
    </row>
    <row r="259">
      <c r="A259" s="70"/>
      <c r="B259" s="3"/>
      <c r="C259" s="3"/>
      <c r="D259" s="3"/>
      <c r="E259" s="3"/>
      <c r="F259" s="3"/>
      <c r="G259" s="3"/>
      <c r="H259" s="3"/>
      <c r="I259" s="3"/>
      <c r="J259" s="3"/>
      <c r="K259" s="70"/>
      <c r="L259" s="3"/>
      <c r="M259" s="70"/>
      <c r="N259" s="5"/>
      <c r="R259" s="70"/>
      <c r="S259" s="3"/>
    </row>
    <row r="260">
      <c r="A260" s="70"/>
      <c r="B260" s="3"/>
      <c r="C260" s="3"/>
      <c r="D260" s="3"/>
      <c r="E260" s="3"/>
      <c r="F260" s="3"/>
      <c r="G260" s="3"/>
      <c r="H260" s="3"/>
      <c r="I260" s="3"/>
      <c r="J260" s="3"/>
      <c r="K260" s="70"/>
      <c r="L260" s="3"/>
      <c r="M260" s="70"/>
      <c r="N260" s="5"/>
      <c r="R260" s="70"/>
      <c r="S260" s="3"/>
    </row>
    <row r="261">
      <c r="A261" s="70"/>
      <c r="B261" s="3"/>
      <c r="C261" s="3"/>
      <c r="D261" s="3"/>
      <c r="E261" s="3"/>
      <c r="F261" s="3"/>
      <c r="G261" s="3"/>
      <c r="H261" s="3"/>
      <c r="I261" s="3"/>
      <c r="J261" s="3"/>
      <c r="K261" s="70"/>
      <c r="L261" s="3"/>
      <c r="M261" s="70"/>
      <c r="N261" s="5"/>
      <c r="R261" s="70"/>
      <c r="S261" s="3"/>
    </row>
    <row r="262">
      <c r="A262" s="70"/>
      <c r="B262" s="3"/>
      <c r="C262" s="3"/>
      <c r="D262" s="3"/>
      <c r="E262" s="3"/>
      <c r="F262" s="3"/>
      <c r="G262" s="3"/>
      <c r="H262" s="3"/>
      <c r="I262" s="3"/>
      <c r="J262" s="3"/>
      <c r="K262" s="70"/>
      <c r="L262" s="3"/>
      <c r="M262" s="70"/>
      <c r="N262" s="5"/>
      <c r="R262" s="70"/>
      <c r="S262" s="3"/>
    </row>
    <row r="263">
      <c r="A263" s="70"/>
      <c r="B263" s="3"/>
      <c r="C263" s="3"/>
      <c r="D263" s="3"/>
      <c r="E263" s="3"/>
      <c r="F263" s="3"/>
      <c r="G263" s="3"/>
      <c r="H263" s="3"/>
      <c r="I263" s="3"/>
      <c r="J263" s="3"/>
      <c r="K263" s="70"/>
      <c r="L263" s="3"/>
      <c r="M263" s="70"/>
      <c r="N263" s="5"/>
      <c r="R263" s="70"/>
      <c r="S263" s="3"/>
    </row>
    <row r="264">
      <c r="A264" s="70"/>
      <c r="B264" s="3"/>
      <c r="C264" s="3"/>
      <c r="D264" s="3"/>
      <c r="E264" s="3"/>
      <c r="F264" s="3"/>
      <c r="G264" s="3"/>
      <c r="H264" s="3"/>
      <c r="I264" s="3"/>
      <c r="J264" s="3"/>
      <c r="K264" s="70"/>
      <c r="L264" s="3"/>
      <c r="M264" s="70"/>
      <c r="N264" s="5"/>
      <c r="R264" s="70"/>
      <c r="S264" s="3"/>
    </row>
    <row r="265">
      <c r="A265" s="70"/>
      <c r="B265" s="3"/>
      <c r="C265" s="3"/>
      <c r="D265" s="3"/>
      <c r="E265" s="3"/>
      <c r="F265" s="3"/>
      <c r="G265" s="3"/>
      <c r="H265" s="3"/>
      <c r="I265" s="3"/>
      <c r="J265" s="3"/>
      <c r="K265" s="70"/>
      <c r="L265" s="3"/>
      <c r="M265" s="70"/>
      <c r="N265" s="5"/>
      <c r="R265" s="70"/>
      <c r="S265" s="3"/>
    </row>
    <row r="266">
      <c r="A266" s="70"/>
      <c r="B266" s="3"/>
      <c r="C266" s="3"/>
      <c r="D266" s="3"/>
      <c r="E266" s="3"/>
      <c r="F266" s="3"/>
      <c r="G266" s="3"/>
      <c r="H266" s="3"/>
      <c r="I266" s="3"/>
      <c r="J266" s="3"/>
      <c r="K266" s="70"/>
      <c r="L266" s="3"/>
      <c r="M266" s="70"/>
      <c r="N266" s="5"/>
      <c r="R266" s="70"/>
      <c r="S266" s="3"/>
    </row>
    <row r="267">
      <c r="A267" s="70"/>
      <c r="B267" s="3"/>
      <c r="C267" s="3"/>
      <c r="D267" s="3"/>
      <c r="E267" s="3"/>
      <c r="F267" s="3"/>
      <c r="G267" s="3"/>
      <c r="H267" s="3"/>
      <c r="I267" s="3"/>
      <c r="J267" s="3"/>
      <c r="K267" s="70"/>
      <c r="L267" s="3"/>
      <c r="M267" s="70"/>
      <c r="N267" s="5"/>
      <c r="R267" s="70"/>
      <c r="S267" s="3"/>
    </row>
    <row r="268">
      <c r="A268" s="70"/>
      <c r="B268" s="3"/>
      <c r="C268" s="3"/>
      <c r="D268" s="3"/>
      <c r="E268" s="3"/>
      <c r="F268" s="3"/>
      <c r="G268" s="3"/>
      <c r="H268" s="3"/>
      <c r="I268" s="3"/>
      <c r="J268" s="3"/>
      <c r="K268" s="70"/>
      <c r="L268" s="3"/>
      <c r="M268" s="70"/>
      <c r="N268" s="5"/>
      <c r="R268" s="70"/>
      <c r="S268" s="3"/>
    </row>
    <row r="269">
      <c r="A269" s="70"/>
      <c r="B269" s="3"/>
      <c r="C269" s="3"/>
      <c r="D269" s="3"/>
      <c r="E269" s="3"/>
      <c r="F269" s="3"/>
      <c r="G269" s="3"/>
      <c r="H269" s="3"/>
      <c r="I269" s="3"/>
      <c r="J269" s="3"/>
      <c r="K269" s="70"/>
      <c r="L269" s="3"/>
      <c r="M269" s="70"/>
      <c r="N269" s="5"/>
      <c r="R269" s="70"/>
      <c r="S269" s="3"/>
    </row>
    <row r="270">
      <c r="A270" s="70"/>
      <c r="B270" s="3"/>
      <c r="C270" s="3"/>
      <c r="D270" s="3"/>
      <c r="E270" s="3"/>
      <c r="F270" s="3"/>
      <c r="G270" s="3"/>
      <c r="H270" s="3"/>
      <c r="I270" s="3"/>
      <c r="J270" s="3"/>
      <c r="K270" s="70"/>
      <c r="L270" s="3"/>
      <c r="M270" s="70"/>
      <c r="N270" s="5"/>
      <c r="R270" s="70"/>
      <c r="S270" s="3"/>
    </row>
    <row r="271">
      <c r="A271" s="70"/>
      <c r="B271" s="3"/>
      <c r="C271" s="3"/>
      <c r="D271" s="3"/>
      <c r="E271" s="3"/>
      <c r="F271" s="3"/>
      <c r="G271" s="3"/>
      <c r="H271" s="3"/>
      <c r="I271" s="3"/>
      <c r="J271" s="3"/>
      <c r="K271" s="70"/>
      <c r="L271" s="3"/>
      <c r="M271" s="70"/>
      <c r="N271" s="5"/>
      <c r="R271" s="70"/>
      <c r="S271" s="3"/>
    </row>
    <row r="272">
      <c r="A272" s="70"/>
      <c r="B272" s="3"/>
      <c r="C272" s="3"/>
      <c r="D272" s="3"/>
      <c r="E272" s="3"/>
      <c r="F272" s="3"/>
      <c r="G272" s="3"/>
      <c r="H272" s="3"/>
      <c r="I272" s="3"/>
      <c r="J272" s="3"/>
      <c r="K272" s="70"/>
      <c r="L272" s="3"/>
      <c r="M272" s="70"/>
      <c r="N272" s="5"/>
      <c r="R272" s="70"/>
      <c r="S272" s="3"/>
    </row>
    <row r="273">
      <c r="A273" s="70"/>
      <c r="B273" s="3"/>
      <c r="C273" s="3"/>
      <c r="D273" s="3"/>
      <c r="E273" s="3"/>
      <c r="F273" s="3"/>
      <c r="G273" s="3"/>
      <c r="H273" s="3"/>
      <c r="I273" s="3"/>
      <c r="J273" s="3"/>
      <c r="K273" s="70"/>
      <c r="L273" s="3"/>
      <c r="M273" s="70"/>
      <c r="N273" s="5"/>
      <c r="R273" s="70"/>
      <c r="S273" s="3"/>
    </row>
    <row r="274">
      <c r="A274" s="70"/>
      <c r="B274" s="3"/>
      <c r="C274" s="3"/>
      <c r="D274" s="3"/>
      <c r="E274" s="3"/>
      <c r="F274" s="3"/>
      <c r="G274" s="3"/>
      <c r="H274" s="3"/>
      <c r="I274" s="3"/>
      <c r="J274" s="3"/>
      <c r="K274" s="70"/>
      <c r="L274" s="3"/>
      <c r="M274" s="70"/>
      <c r="N274" s="5"/>
      <c r="R274" s="70"/>
      <c r="S274" s="3"/>
    </row>
    <row r="275">
      <c r="A275" s="70"/>
      <c r="B275" s="3"/>
      <c r="C275" s="3"/>
      <c r="D275" s="3"/>
      <c r="E275" s="3"/>
      <c r="F275" s="3"/>
      <c r="G275" s="3"/>
      <c r="H275" s="3"/>
      <c r="I275" s="3"/>
      <c r="J275" s="3"/>
      <c r="K275" s="70"/>
      <c r="L275" s="3"/>
      <c r="M275" s="70"/>
      <c r="N275" s="5"/>
      <c r="R275" s="70"/>
      <c r="S275" s="3"/>
    </row>
    <row r="276">
      <c r="A276" s="70"/>
      <c r="B276" s="3"/>
      <c r="C276" s="3"/>
      <c r="D276" s="3"/>
      <c r="E276" s="3"/>
      <c r="F276" s="3"/>
      <c r="G276" s="3"/>
      <c r="H276" s="3"/>
      <c r="I276" s="3"/>
      <c r="J276" s="3"/>
      <c r="K276" s="70"/>
      <c r="L276" s="3"/>
      <c r="M276" s="70"/>
      <c r="N276" s="5"/>
      <c r="R276" s="70"/>
      <c r="S276" s="3"/>
    </row>
    <row r="277">
      <c r="A277" s="70"/>
      <c r="B277" s="3"/>
      <c r="C277" s="3"/>
      <c r="D277" s="3"/>
      <c r="E277" s="3"/>
      <c r="F277" s="3"/>
      <c r="G277" s="3"/>
      <c r="H277" s="3"/>
      <c r="I277" s="3"/>
      <c r="J277" s="3"/>
      <c r="K277" s="70"/>
      <c r="L277" s="3"/>
      <c r="M277" s="70"/>
      <c r="N277" s="5"/>
      <c r="R277" s="70"/>
      <c r="S277" s="3"/>
    </row>
    <row r="278">
      <c r="A278" s="70"/>
      <c r="B278" s="3"/>
      <c r="C278" s="3"/>
      <c r="D278" s="3"/>
      <c r="E278" s="3"/>
      <c r="F278" s="3"/>
      <c r="G278" s="3"/>
      <c r="H278" s="3"/>
      <c r="I278" s="3"/>
      <c r="J278" s="3"/>
      <c r="K278" s="70"/>
      <c r="L278" s="3"/>
      <c r="M278" s="70"/>
      <c r="N278" s="5"/>
      <c r="R278" s="70"/>
      <c r="S278" s="3"/>
    </row>
    <row r="279">
      <c r="A279" s="70"/>
      <c r="B279" s="3"/>
      <c r="C279" s="3"/>
      <c r="D279" s="3"/>
      <c r="E279" s="3"/>
      <c r="F279" s="3"/>
      <c r="G279" s="3"/>
      <c r="H279" s="3"/>
      <c r="I279" s="3"/>
      <c r="J279" s="3"/>
      <c r="K279" s="70"/>
      <c r="L279" s="3"/>
      <c r="M279" s="70"/>
      <c r="N279" s="5"/>
      <c r="R279" s="70"/>
      <c r="S279" s="3"/>
    </row>
    <row r="280">
      <c r="A280" s="70"/>
      <c r="B280" s="3"/>
      <c r="C280" s="3"/>
      <c r="D280" s="3"/>
      <c r="E280" s="3"/>
      <c r="F280" s="3"/>
      <c r="G280" s="3"/>
      <c r="H280" s="3"/>
      <c r="I280" s="3"/>
      <c r="J280" s="3"/>
      <c r="K280" s="70"/>
      <c r="L280" s="3"/>
      <c r="M280" s="70"/>
      <c r="N280" s="5"/>
      <c r="R280" s="70"/>
      <c r="S280" s="3"/>
    </row>
    <row r="281">
      <c r="A281" s="70"/>
      <c r="B281" s="3"/>
      <c r="C281" s="3"/>
      <c r="D281" s="3"/>
      <c r="E281" s="3"/>
      <c r="F281" s="3"/>
      <c r="G281" s="3"/>
      <c r="H281" s="3"/>
      <c r="I281" s="3"/>
      <c r="J281" s="3"/>
      <c r="K281" s="70"/>
      <c r="L281" s="3"/>
      <c r="M281" s="70"/>
      <c r="N281" s="5"/>
      <c r="R281" s="70"/>
      <c r="S281" s="3"/>
    </row>
    <row r="282">
      <c r="A282" s="70"/>
      <c r="B282" s="3"/>
      <c r="C282" s="3"/>
      <c r="D282" s="3"/>
      <c r="E282" s="3"/>
      <c r="F282" s="3"/>
      <c r="G282" s="3"/>
      <c r="H282" s="3"/>
      <c r="I282" s="3"/>
      <c r="J282" s="3"/>
      <c r="K282" s="70"/>
      <c r="L282" s="3"/>
      <c r="M282" s="70"/>
      <c r="N282" s="5"/>
      <c r="R282" s="70"/>
      <c r="S282" s="3"/>
    </row>
    <row r="283">
      <c r="A283" s="70"/>
      <c r="B283" s="3"/>
      <c r="C283" s="3"/>
      <c r="D283" s="3"/>
      <c r="E283" s="3"/>
      <c r="F283" s="3"/>
      <c r="G283" s="3"/>
      <c r="H283" s="3"/>
      <c r="I283" s="3"/>
      <c r="J283" s="3"/>
      <c r="K283" s="70"/>
      <c r="L283" s="3"/>
      <c r="M283" s="70"/>
      <c r="N283" s="5"/>
      <c r="R283" s="70"/>
      <c r="S283" s="3"/>
    </row>
    <row r="284">
      <c r="A284" s="70"/>
      <c r="B284" s="3"/>
      <c r="C284" s="3"/>
      <c r="D284" s="3"/>
      <c r="E284" s="3"/>
      <c r="F284" s="3"/>
      <c r="G284" s="3"/>
      <c r="H284" s="3"/>
      <c r="I284" s="3"/>
      <c r="J284" s="3"/>
      <c r="K284" s="70"/>
      <c r="L284" s="3"/>
      <c r="M284" s="70"/>
      <c r="N284" s="5"/>
      <c r="R284" s="70"/>
      <c r="S284" s="3"/>
    </row>
    <row r="285">
      <c r="A285" s="70"/>
      <c r="B285" s="3"/>
      <c r="C285" s="3"/>
      <c r="D285" s="3"/>
      <c r="E285" s="3"/>
      <c r="F285" s="3"/>
      <c r="G285" s="3"/>
      <c r="H285" s="3"/>
      <c r="I285" s="3"/>
      <c r="J285" s="3"/>
      <c r="K285" s="70"/>
      <c r="L285" s="3"/>
      <c r="M285" s="70"/>
      <c r="N285" s="5"/>
      <c r="R285" s="70"/>
      <c r="S285" s="3"/>
    </row>
    <row r="286">
      <c r="A286" s="70"/>
      <c r="B286" s="3"/>
      <c r="C286" s="3"/>
      <c r="D286" s="3"/>
      <c r="E286" s="3"/>
      <c r="F286" s="3"/>
      <c r="G286" s="3"/>
      <c r="H286" s="3"/>
      <c r="I286" s="3"/>
      <c r="J286" s="3"/>
      <c r="K286" s="70"/>
      <c r="L286" s="3"/>
      <c r="M286" s="70"/>
      <c r="N286" s="5"/>
      <c r="R286" s="70"/>
      <c r="S286" s="3"/>
    </row>
    <row r="287">
      <c r="A287" s="70"/>
      <c r="B287" s="3"/>
      <c r="C287" s="3"/>
      <c r="D287" s="3"/>
      <c r="E287" s="3"/>
      <c r="F287" s="3"/>
      <c r="G287" s="3"/>
      <c r="H287" s="3"/>
      <c r="I287" s="3"/>
      <c r="J287" s="3"/>
      <c r="K287" s="70"/>
      <c r="L287" s="3"/>
      <c r="M287" s="70"/>
      <c r="N287" s="5"/>
      <c r="R287" s="70"/>
      <c r="S287" s="3"/>
    </row>
    <row r="288">
      <c r="A288" s="70"/>
      <c r="B288" s="3"/>
      <c r="C288" s="3"/>
      <c r="D288" s="3"/>
      <c r="E288" s="3"/>
      <c r="F288" s="3"/>
      <c r="G288" s="3"/>
      <c r="H288" s="3"/>
      <c r="I288" s="3"/>
      <c r="J288" s="3"/>
      <c r="K288" s="70"/>
      <c r="L288" s="3"/>
      <c r="M288" s="70"/>
      <c r="N288" s="5"/>
      <c r="R288" s="70"/>
      <c r="S288" s="3"/>
    </row>
    <row r="289">
      <c r="A289" s="70"/>
      <c r="B289" s="3"/>
      <c r="C289" s="3"/>
      <c r="D289" s="3"/>
      <c r="E289" s="3"/>
      <c r="F289" s="3"/>
      <c r="G289" s="3"/>
      <c r="H289" s="3"/>
      <c r="I289" s="3"/>
      <c r="J289" s="3"/>
      <c r="K289" s="70"/>
      <c r="L289" s="3"/>
      <c r="M289" s="70"/>
      <c r="N289" s="5"/>
      <c r="R289" s="70"/>
      <c r="S289" s="3"/>
    </row>
    <row r="290">
      <c r="A290" s="70"/>
      <c r="B290" s="3"/>
      <c r="C290" s="3"/>
      <c r="D290" s="3"/>
      <c r="E290" s="3"/>
      <c r="F290" s="3"/>
      <c r="G290" s="3"/>
      <c r="H290" s="3"/>
      <c r="I290" s="3"/>
      <c r="J290" s="3"/>
      <c r="K290" s="70"/>
      <c r="L290" s="3"/>
      <c r="M290" s="70"/>
      <c r="N290" s="5"/>
      <c r="R290" s="70"/>
      <c r="S290" s="3"/>
    </row>
    <row r="291">
      <c r="A291" s="70"/>
      <c r="B291" s="3"/>
      <c r="C291" s="3"/>
      <c r="D291" s="3"/>
      <c r="E291" s="3"/>
      <c r="F291" s="3"/>
      <c r="G291" s="3"/>
      <c r="H291" s="3"/>
      <c r="I291" s="3"/>
      <c r="J291" s="3"/>
      <c r="K291" s="70"/>
      <c r="L291" s="3"/>
      <c r="M291" s="70"/>
      <c r="N291" s="5"/>
      <c r="R291" s="70"/>
      <c r="S291" s="3"/>
    </row>
    <row r="292">
      <c r="A292" s="70"/>
      <c r="B292" s="3"/>
      <c r="C292" s="3"/>
      <c r="D292" s="3"/>
      <c r="E292" s="3"/>
      <c r="F292" s="3"/>
      <c r="G292" s="3"/>
      <c r="H292" s="3"/>
      <c r="I292" s="3"/>
      <c r="J292" s="3"/>
      <c r="K292" s="70"/>
      <c r="L292" s="3"/>
      <c r="M292" s="70"/>
      <c r="N292" s="5"/>
      <c r="R292" s="70"/>
      <c r="S292" s="3"/>
    </row>
    <row r="293">
      <c r="A293" s="70"/>
      <c r="B293" s="3"/>
      <c r="C293" s="3"/>
      <c r="D293" s="3"/>
      <c r="E293" s="3"/>
      <c r="F293" s="3"/>
      <c r="G293" s="3"/>
      <c r="H293" s="3"/>
      <c r="I293" s="3"/>
      <c r="J293" s="3"/>
      <c r="K293" s="70"/>
      <c r="L293" s="3"/>
      <c r="M293" s="70"/>
      <c r="N293" s="5"/>
      <c r="R293" s="70"/>
      <c r="S293" s="3"/>
    </row>
    <row r="294">
      <c r="A294" s="70"/>
      <c r="B294" s="3"/>
      <c r="C294" s="3"/>
      <c r="D294" s="3"/>
      <c r="E294" s="3"/>
      <c r="F294" s="3"/>
      <c r="G294" s="3"/>
      <c r="H294" s="3"/>
      <c r="I294" s="3"/>
      <c r="J294" s="3"/>
      <c r="K294" s="70"/>
      <c r="L294" s="3"/>
      <c r="M294" s="70"/>
      <c r="N294" s="5"/>
      <c r="R294" s="70"/>
      <c r="S294" s="3"/>
    </row>
    <row r="295">
      <c r="A295" s="70"/>
      <c r="B295" s="3"/>
      <c r="C295" s="3"/>
      <c r="D295" s="3"/>
      <c r="E295" s="3"/>
      <c r="F295" s="3"/>
      <c r="G295" s="3"/>
      <c r="H295" s="3"/>
      <c r="I295" s="3"/>
      <c r="J295" s="3"/>
      <c r="K295" s="70"/>
      <c r="L295" s="3"/>
      <c r="M295" s="70"/>
      <c r="N295" s="5"/>
      <c r="R295" s="70"/>
      <c r="S295" s="3"/>
    </row>
    <row r="296">
      <c r="A296" s="70"/>
      <c r="B296" s="3"/>
      <c r="C296" s="3"/>
      <c r="D296" s="3"/>
      <c r="E296" s="3"/>
      <c r="F296" s="3"/>
      <c r="G296" s="3"/>
      <c r="H296" s="3"/>
      <c r="I296" s="3"/>
      <c r="J296" s="3"/>
      <c r="K296" s="70"/>
      <c r="L296" s="3"/>
      <c r="M296" s="70"/>
      <c r="N296" s="5"/>
      <c r="R296" s="70"/>
      <c r="S296" s="3"/>
    </row>
    <row r="297">
      <c r="A297" s="70"/>
      <c r="B297" s="3"/>
      <c r="C297" s="3"/>
      <c r="D297" s="3"/>
      <c r="E297" s="3"/>
      <c r="F297" s="3"/>
      <c r="G297" s="3"/>
      <c r="H297" s="3"/>
      <c r="I297" s="3"/>
      <c r="J297" s="3"/>
      <c r="K297" s="70"/>
      <c r="L297" s="3"/>
      <c r="M297" s="70"/>
      <c r="N297" s="5"/>
      <c r="R297" s="70"/>
      <c r="S297" s="3"/>
    </row>
    <row r="298">
      <c r="A298" s="70"/>
      <c r="B298" s="3"/>
      <c r="C298" s="3"/>
      <c r="D298" s="3"/>
      <c r="E298" s="3"/>
      <c r="F298" s="3"/>
      <c r="G298" s="3"/>
      <c r="H298" s="3"/>
      <c r="I298" s="3"/>
      <c r="J298" s="3"/>
      <c r="K298" s="70"/>
      <c r="L298" s="3"/>
      <c r="M298" s="70"/>
      <c r="N298" s="5"/>
      <c r="R298" s="70"/>
      <c r="S298" s="3"/>
    </row>
    <row r="299">
      <c r="A299" s="70"/>
      <c r="B299" s="3"/>
      <c r="C299" s="3"/>
      <c r="D299" s="3"/>
      <c r="E299" s="3"/>
      <c r="F299" s="3"/>
      <c r="G299" s="3"/>
      <c r="H299" s="3"/>
      <c r="I299" s="3"/>
      <c r="J299" s="3"/>
      <c r="K299" s="70"/>
      <c r="L299" s="3"/>
      <c r="M299" s="70"/>
      <c r="N299" s="5"/>
      <c r="R299" s="70"/>
      <c r="S299" s="3"/>
    </row>
    <row r="300">
      <c r="A300" s="70"/>
      <c r="B300" s="3"/>
      <c r="C300" s="3"/>
      <c r="D300" s="3"/>
      <c r="E300" s="3"/>
      <c r="F300" s="3"/>
      <c r="G300" s="3"/>
      <c r="H300" s="3"/>
      <c r="I300" s="3"/>
      <c r="J300" s="3"/>
      <c r="K300" s="70"/>
      <c r="L300" s="3"/>
      <c r="M300" s="70"/>
      <c r="N300" s="5"/>
      <c r="R300" s="70"/>
      <c r="S300" s="3"/>
    </row>
    <row r="301">
      <c r="A301" s="70"/>
      <c r="B301" s="3"/>
      <c r="C301" s="3"/>
      <c r="D301" s="3"/>
      <c r="E301" s="3"/>
      <c r="F301" s="3"/>
      <c r="G301" s="3"/>
      <c r="H301" s="3"/>
      <c r="I301" s="3"/>
      <c r="J301" s="3"/>
      <c r="K301" s="70"/>
      <c r="L301" s="3"/>
      <c r="M301" s="70"/>
      <c r="N301" s="5"/>
      <c r="R301" s="70"/>
      <c r="S301" s="3"/>
    </row>
    <row r="302">
      <c r="A302" s="70"/>
      <c r="B302" s="3"/>
      <c r="C302" s="3"/>
      <c r="D302" s="3"/>
      <c r="E302" s="3"/>
      <c r="F302" s="3"/>
      <c r="G302" s="3"/>
      <c r="H302" s="3"/>
      <c r="I302" s="3"/>
      <c r="J302" s="3"/>
      <c r="K302" s="70"/>
      <c r="L302" s="3"/>
      <c r="M302" s="70"/>
      <c r="N302" s="5"/>
      <c r="R302" s="70"/>
      <c r="S302" s="3"/>
    </row>
    <row r="303">
      <c r="A303" s="70"/>
      <c r="B303" s="3"/>
      <c r="C303" s="3"/>
      <c r="D303" s="3"/>
      <c r="E303" s="3"/>
      <c r="F303" s="3"/>
      <c r="G303" s="3"/>
      <c r="H303" s="3"/>
      <c r="I303" s="3"/>
      <c r="J303" s="3"/>
      <c r="K303" s="70"/>
      <c r="L303" s="3"/>
      <c r="M303" s="70"/>
      <c r="N303" s="5"/>
      <c r="R303" s="70"/>
      <c r="S303" s="3"/>
    </row>
    <row r="304">
      <c r="A304" s="70"/>
      <c r="B304" s="3"/>
      <c r="C304" s="3"/>
      <c r="D304" s="3"/>
      <c r="E304" s="3"/>
      <c r="F304" s="3"/>
      <c r="G304" s="3"/>
      <c r="H304" s="3"/>
      <c r="I304" s="3"/>
      <c r="J304" s="3"/>
      <c r="K304" s="70"/>
      <c r="L304" s="3"/>
      <c r="M304" s="70"/>
      <c r="N304" s="5"/>
      <c r="R304" s="70"/>
      <c r="S304" s="3"/>
    </row>
    <row r="305">
      <c r="A305" s="70"/>
      <c r="B305" s="3"/>
      <c r="C305" s="3"/>
      <c r="D305" s="3"/>
      <c r="E305" s="3"/>
      <c r="F305" s="3"/>
      <c r="G305" s="3"/>
      <c r="H305" s="3"/>
      <c r="I305" s="3"/>
      <c r="J305" s="3"/>
      <c r="K305" s="70"/>
      <c r="L305" s="3"/>
      <c r="M305" s="70"/>
      <c r="N305" s="5"/>
      <c r="R305" s="70"/>
      <c r="S305" s="3"/>
    </row>
    <row r="306">
      <c r="A306" s="70"/>
      <c r="B306" s="3"/>
      <c r="C306" s="3"/>
      <c r="D306" s="3"/>
      <c r="E306" s="3"/>
      <c r="F306" s="3"/>
      <c r="G306" s="3"/>
      <c r="H306" s="3"/>
      <c r="I306" s="3"/>
      <c r="J306" s="3"/>
      <c r="K306" s="70"/>
      <c r="L306" s="3"/>
      <c r="M306" s="70"/>
      <c r="N306" s="5"/>
      <c r="R306" s="70"/>
      <c r="S306" s="3"/>
    </row>
    <row r="307">
      <c r="A307" s="70"/>
      <c r="B307" s="3"/>
      <c r="C307" s="3"/>
      <c r="D307" s="3"/>
      <c r="E307" s="3"/>
      <c r="F307" s="3"/>
      <c r="G307" s="3"/>
      <c r="H307" s="3"/>
      <c r="I307" s="3"/>
      <c r="J307" s="3"/>
      <c r="K307" s="70"/>
      <c r="L307" s="3"/>
      <c r="M307" s="70"/>
      <c r="N307" s="5"/>
      <c r="R307" s="70"/>
      <c r="S307" s="3"/>
    </row>
    <row r="308">
      <c r="A308" s="70"/>
      <c r="B308" s="3"/>
      <c r="C308" s="3"/>
      <c r="D308" s="3"/>
      <c r="E308" s="3"/>
      <c r="F308" s="3"/>
      <c r="G308" s="3"/>
      <c r="H308" s="3"/>
      <c r="I308" s="3"/>
      <c r="J308" s="3"/>
      <c r="K308" s="70"/>
      <c r="L308" s="3"/>
      <c r="M308" s="70"/>
      <c r="N308" s="5"/>
      <c r="R308" s="70"/>
      <c r="S308" s="3"/>
    </row>
    <row r="309">
      <c r="A309" s="70"/>
      <c r="B309" s="3"/>
      <c r="C309" s="3"/>
      <c r="D309" s="3"/>
      <c r="E309" s="3"/>
      <c r="F309" s="3"/>
      <c r="G309" s="3"/>
      <c r="H309" s="3"/>
      <c r="I309" s="3"/>
      <c r="J309" s="3"/>
      <c r="K309" s="70"/>
      <c r="L309" s="3"/>
      <c r="M309" s="70"/>
      <c r="N309" s="5"/>
      <c r="R309" s="70"/>
      <c r="S309" s="3"/>
    </row>
    <row r="310">
      <c r="A310" s="70"/>
      <c r="B310" s="3"/>
      <c r="C310" s="3"/>
      <c r="D310" s="3"/>
      <c r="E310" s="3"/>
      <c r="F310" s="3"/>
      <c r="G310" s="3"/>
      <c r="H310" s="3"/>
      <c r="I310" s="3"/>
      <c r="J310" s="3"/>
      <c r="K310" s="70"/>
      <c r="L310" s="3"/>
      <c r="M310" s="70"/>
      <c r="N310" s="5"/>
      <c r="R310" s="70"/>
      <c r="S310" s="3"/>
    </row>
    <row r="311">
      <c r="A311" s="70"/>
      <c r="B311" s="3"/>
      <c r="C311" s="3"/>
      <c r="D311" s="3"/>
      <c r="E311" s="3"/>
      <c r="F311" s="3"/>
      <c r="G311" s="3"/>
      <c r="H311" s="3"/>
      <c r="I311" s="3"/>
      <c r="J311" s="3"/>
      <c r="K311" s="70"/>
      <c r="L311" s="3"/>
      <c r="M311" s="70"/>
      <c r="N311" s="5"/>
      <c r="R311" s="70"/>
      <c r="S311" s="3"/>
    </row>
    <row r="312">
      <c r="A312" s="70"/>
      <c r="B312" s="3"/>
      <c r="C312" s="3"/>
      <c r="D312" s="3"/>
      <c r="E312" s="3"/>
      <c r="F312" s="3"/>
      <c r="G312" s="3"/>
      <c r="H312" s="3"/>
      <c r="I312" s="3"/>
      <c r="J312" s="3"/>
      <c r="K312" s="70"/>
      <c r="L312" s="3"/>
      <c r="M312" s="70"/>
      <c r="N312" s="5"/>
      <c r="R312" s="70"/>
      <c r="S312" s="3"/>
    </row>
    <row r="313">
      <c r="A313" s="70"/>
      <c r="B313" s="3"/>
      <c r="C313" s="3"/>
      <c r="D313" s="3"/>
      <c r="E313" s="3"/>
      <c r="F313" s="3"/>
      <c r="G313" s="3"/>
      <c r="H313" s="3"/>
      <c r="I313" s="3"/>
      <c r="J313" s="3"/>
      <c r="K313" s="70"/>
      <c r="L313" s="3"/>
      <c r="M313" s="70"/>
      <c r="N313" s="5"/>
      <c r="R313" s="70"/>
      <c r="S313" s="3"/>
    </row>
    <row r="314">
      <c r="A314" s="70"/>
      <c r="B314" s="3"/>
      <c r="C314" s="3"/>
      <c r="D314" s="3"/>
      <c r="E314" s="3"/>
      <c r="F314" s="3"/>
      <c r="G314" s="3"/>
      <c r="H314" s="3"/>
      <c r="I314" s="3"/>
      <c r="J314" s="3"/>
      <c r="K314" s="70"/>
      <c r="L314" s="3"/>
      <c r="M314" s="70"/>
      <c r="N314" s="5"/>
      <c r="R314" s="70"/>
      <c r="S314" s="3"/>
    </row>
    <row r="315">
      <c r="A315" s="70"/>
      <c r="B315" s="3"/>
      <c r="C315" s="3"/>
      <c r="D315" s="3"/>
      <c r="E315" s="3"/>
      <c r="F315" s="3"/>
      <c r="G315" s="3"/>
      <c r="H315" s="3"/>
      <c r="I315" s="3"/>
      <c r="J315" s="3"/>
      <c r="K315" s="70"/>
      <c r="L315" s="3"/>
      <c r="M315" s="70"/>
      <c r="N315" s="5"/>
      <c r="R315" s="70"/>
      <c r="S315" s="3"/>
    </row>
    <row r="316">
      <c r="A316" s="70"/>
      <c r="B316" s="3"/>
      <c r="C316" s="3"/>
      <c r="D316" s="3"/>
      <c r="E316" s="3"/>
      <c r="F316" s="3"/>
      <c r="G316" s="3"/>
      <c r="H316" s="3"/>
      <c r="I316" s="3"/>
      <c r="J316" s="3"/>
      <c r="K316" s="70"/>
      <c r="L316" s="3"/>
      <c r="M316" s="70"/>
      <c r="N316" s="5"/>
      <c r="R316" s="70"/>
      <c r="S316" s="3"/>
    </row>
    <row r="317">
      <c r="A317" s="70"/>
      <c r="B317" s="3"/>
      <c r="C317" s="3"/>
      <c r="D317" s="3"/>
      <c r="E317" s="3"/>
      <c r="F317" s="3"/>
      <c r="G317" s="3"/>
      <c r="H317" s="3"/>
      <c r="I317" s="3"/>
      <c r="J317" s="3"/>
      <c r="K317" s="70"/>
      <c r="L317" s="3"/>
      <c r="M317" s="70"/>
      <c r="N317" s="5"/>
      <c r="R317" s="70"/>
      <c r="S317" s="3"/>
    </row>
    <row r="318">
      <c r="A318" s="70"/>
      <c r="B318" s="3"/>
      <c r="C318" s="3"/>
      <c r="D318" s="3"/>
      <c r="E318" s="3"/>
      <c r="F318" s="3"/>
      <c r="G318" s="3"/>
      <c r="H318" s="3"/>
      <c r="I318" s="3"/>
      <c r="J318" s="3"/>
      <c r="K318" s="70"/>
      <c r="L318" s="3"/>
      <c r="M318" s="70"/>
      <c r="N318" s="5"/>
      <c r="R318" s="70"/>
      <c r="S318" s="3"/>
    </row>
    <row r="319">
      <c r="A319" s="70"/>
      <c r="B319" s="3"/>
      <c r="C319" s="3"/>
      <c r="D319" s="3"/>
      <c r="E319" s="3"/>
      <c r="F319" s="3"/>
      <c r="G319" s="3"/>
      <c r="H319" s="3"/>
      <c r="I319" s="3"/>
      <c r="J319" s="3"/>
      <c r="K319" s="70"/>
      <c r="L319" s="3"/>
      <c r="M319" s="70"/>
      <c r="N319" s="5"/>
      <c r="R319" s="70"/>
      <c r="S319" s="3"/>
    </row>
    <row r="320">
      <c r="A320" s="70"/>
      <c r="B320" s="3"/>
      <c r="C320" s="3"/>
      <c r="D320" s="3"/>
      <c r="E320" s="3"/>
      <c r="F320" s="3"/>
      <c r="G320" s="3"/>
      <c r="H320" s="3"/>
      <c r="I320" s="3"/>
      <c r="J320" s="3"/>
      <c r="K320" s="70"/>
      <c r="L320" s="3"/>
      <c r="M320" s="70"/>
      <c r="N320" s="5"/>
      <c r="R320" s="70"/>
      <c r="S320" s="3"/>
    </row>
    <row r="321">
      <c r="A321" s="70"/>
      <c r="B321" s="3"/>
      <c r="C321" s="3"/>
      <c r="D321" s="3"/>
      <c r="E321" s="3"/>
      <c r="F321" s="3"/>
      <c r="G321" s="3"/>
      <c r="H321" s="3"/>
      <c r="I321" s="3"/>
      <c r="J321" s="3"/>
      <c r="K321" s="70"/>
      <c r="L321" s="3"/>
      <c r="M321" s="70"/>
      <c r="N321" s="5"/>
      <c r="R321" s="70"/>
      <c r="S321" s="3"/>
    </row>
    <row r="322">
      <c r="A322" s="70"/>
      <c r="B322" s="3"/>
      <c r="C322" s="3"/>
      <c r="D322" s="3"/>
      <c r="E322" s="3"/>
      <c r="F322" s="3"/>
      <c r="G322" s="3"/>
      <c r="H322" s="3"/>
      <c r="I322" s="3"/>
      <c r="J322" s="3"/>
      <c r="K322" s="70"/>
      <c r="L322" s="3"/>
      <c r="M322" s="70"/>
      <c r="N322" s="5"/>
      <c r="R322" s="70"/>
      <c r="S322" s="3"/>
    </row>
    <row r="323">
      <c r="A323" s="70"/>
      <c r="B323" s="3"/>
      <c r="C323" s="3"/>
      <c r="D323" s="3"/>
      <c r="E323" s="3"/>
      <c r="F323" s="3"/>
      <c r="G323" s="3"/>
      <c r="H323" s="3"/>
      <c r="I323" s="3"/>
      <c r="J323" s="3"/>
      <c r="K323" s="70"/>
      <c r="L323" s="3"/>
      <c r="M323" s="70"/>
      <c r="N323" s="5"/>
      <c r="R323" s="70"/>
      <c r="S323" s="3"/>
    </row>
    <row r="324">
      <c r="A324" s="70"/>
      <c r="B324" s="3"/>
      <c r="C324" s="3"/>
      <c r="D324" s="3"/>
      <c r="E324" s="3"/>
      <c r="F324" s="3"/>
      <c r="G324" s="3"/>
      <c r="H324" s="3"/>
      <c r="I324" s="3"/>
      <c r="J324" s="3"/>
      <c r="K324" s="70"/>
      <c r="L324" s="3"/>
      <c r="M324" s="70"/>
      <c r="N324" s="5"/>
      <c r="R324" s="70"/>
      <c r="S324" s="3"/>
    </row>
    <row r="325">
      <c r="A325" s="70"/>
      <c r="B325" s="3"/>
      <c r="C325" s="3"/>
      <c r="D325" s="3"/>
      <c r="E325" s="3"/>
      <c r="F325" s="3"/>
      <c r="G325" s="3"/>
      <c r="H325" s="3"/>
      <c r="I325" s="3"/>
      <c r="J325" s="3"/>
      <c r="K325" s="70"/>
      <c r="L325" s="3"/>
      <c r="M325" s="70"/>
      <c r="N325" s="5"/>
      <c r="R325" s="70"/>
      <c r="S325" s="3"/>
    </row>
    <row r="326">
      <c r="A326" s="70"/>
      <c r="B326" s="3"/>
      <c r="C326" s="3"/>
      <c r="D326" s="3"/>
      <c r="E326" s="3"/>
      <c r="F326" s="3"/>
      <c r="G326" s="3"/>
      <c r="H326" s="3"/>
      <c r="I326" s="3"/>
      <c r="J326" s="3"/>
      <c r="K326" s="70"/>
      <c r="L326" s="3"/>
      <c r="M326" s="70"/>
      <c r="N326" s="5"/>
      <c r="R326" s="70"/>
      <c r="S326" s="3"/>
    </row>
    <row r="327">
      <c r="A327" s="70"/>
      <c r="B327" s="3"/>
      <c r="C327" s="3"/>
      <c r="D327" s="3"/>
      <c r="E327" s="3"/>
      <c r="F327" s="3"/>
      <c r="G327" s="3"/>
      <c r="H327" s="3"/>
      <c r="I327" s="3"/>
      <c r="J327" s="3"/>
      <c r="K327" s="70"/>
      <c r="L327" s="3"/>
      <c r="M327" s="70"/>
      <c r="N327" s="5"/>
      <c r="R327" s="70"/>
      <c r="S327" s="3"/>
    </row>
    <row r="328">
      <c r="A328" s="70"/>
      <c r="B328" s="3"/>
      <c r="C328" s="3"/>
      <c r="D328" s="3"/>
      <c r="E328" s="3"/>
      <c r="F328" s="3"/>
      <c r="G328" s="3"/>
      <c r="H328" s="3"/>
      <c r="I328" s="3"/>
      <c r="J328" s="3"/>
      <c r="K328" s="70"/>
      <c r="L328" s="3"/>
      <c r="M328" s="70"/>
      <c r="N328" s="5"/>
      <c r="R328" s="70"/>
      <c r="S328" s="3"/>
    </row>
    <row r="329">
      <c r="A329" s="70"/>
      <c r="B329" s="3"/>
      <c r="C329" s="3"/>
      <c r="D329" s="3"/>
      <c r="E329" s="3"/>
      <c r="F329" s="3"/>
      <c r="G329" s="3"/>
      <c r="H329" s="3"/>
      <c r="I329" s="3"/>
      <c r="J329" s="3"/>
      <c r="K329" s="70"/>
      <c r="L329" s="3"/>
      <c r="M329" s="70"/>
      <c r="N329" s="5"/>
      <c r="R329" s="70"/>
      <c r="S329" s="3"/>
    </row>
    <row r="330">
      <c r="A330" s="70"/>
      <c r="B330" s="3"/>
      <c r="C330" s="3"/>
      <c r="D330" s="3"/>
      <c r="E330" s="3"/>
      <c r="F330" s="3"/>
      <c r="G330" s="3"/>
      <c r="H330" s="3"/>
      <c r="I330" s="3"/>
      <c r="J330" s="3"/>
      <c r="K330" s="70"/>
      <c r="L330" s="3"/>
      <c r="M330" s="70"/>
      <c r="N330" s="5"/>
      <c r="R330" s="70"/>
      <c r="S330" s="3"/>
    </row>
    <row r="331">
      <c r="A331" s="70"/>
      <c r="B331" s="3"/>
      <c r="C331" s="3"/>
      <c r="D331" s="3"/>
      <c r="E331" s="3"/>
      <c r="F331" s="3"/>
      <c r="G331" s="3"/>
      <c r="H331" s="3"/>
      <c r="I331" s="3"/>
      <c r="J331" s="3"/>
      <c r="K331" s="70"/>
      <c r="L331" s="3"/>
      <c r="M331" s="70"/>
      <c r="N331" s="5"/>
      <c r="R331" s="70"/>
      <c r="S331" s="3"/>
    </row>
    <row r="332">
      <c r="A332" s="70"/>
      <c r="B332" s="3"/>
      <c r="C332" s="3"/>
      <c r="D332" s="3"/>
      <c r="E332" s="3"/>
      <c r="F332" s="3"/>
      <c r="G332" s="3"/>
      <c r="H332" s="3"/>
      <c r="I332" s="3"/>
      <c r="J332" s="3"/>
      <c r="K332" s="70"/>
      <c r="L332" s="3"/>
      <c r="M332" s="70"/>
      <c r="N332" s="5"/>
      <c r="R332" s="70"/>
      <c r="S332" s="3"/>
    </row>
    <row r="333">
      <c r="A333" s="70"/>
      <c r="B333" s="3"/>
      <c r="C333" s="3"/>
      <c r="D333" s="3"/>
      <c r="E333" s="3"/>
      <c r="F333" s="3"/>
      <c r="G333" s="3"/>
      <c r="H333" s="3"/>
      <c r="I333" s="3"/>
      <c r="J333" s="3"/>
      <c r="K333" s="70"/>
      <c r="L333" s="3"/>
      <c r="M333" s="70"/>
      <c r="N333" s="5"/>
      <c r="R333" s="70"/>
      <c r="S333" s="3"/>
    </row>
    <row r="334">
      <c r="A334" s="70"/>
      <c r="B334" s="3"/>
      <c r="C334" s="3"/>
      <c r="D334" s="3"/>
      <c r="E334" s="3"/>
      <c r="F334" s="3"/>
      <c r="G334" s="3"/>
      <c r="H334" s="3"/>
      <c r="I334" s="3"/>
      <c r="J334" s="3"/>
      <c r="K334" s="70"/>
      <c r="L334" s="3"/>
      <c r="M334" s="70"/>
      <c r="N334" s="5"/>
      <c r="R334" s="70"/>
      <c r="S334" s="3"/>
    </row>
    <row r="335">
      <c r="A335" s="70"/>
      <c r="B335" s="3"/>
      <c r="C335" s="3"/>
      <c r="D335" s="3"/>
      <c r="E335" s="3"/>
      <c r="F335" s="3"/>
      <c r="G335" s="3"/>
      <c r="H335" s="3"/>
      <c r="I335" s="3"/>
      <c r="J335" s="3"/>
      <c r="K335" s="70"/>
      <c r="L335" s="3"/>
      <c r="M335" s="70"/>
      <c r="N335" s="5"/>
      <c r="R335" s="70"/>
      <c r="S335" s="3"/>
    </row>
    <row r="336">
      <c r="A336" s="70"/>
      <c r="B336" s="3"/>
      <c r="C336" s="3"/>
      <c r="D336" s="3"/>
      <c r="E336" s="3"/>
      <c r="F336" s="3"/>
      <c r="G336" s="3"/>
      <c r="H336" s="3"/>
      <c r="I336" s="3"/>
      <c r="J336" s="3"/>
      <c r="K336" s="70"/>
      <c r="L336" s="3"/>
      <c r="M336" s="70"/>
      <c r="N336" s="5"/>
      <c r="R336" s="70"/>
      <c r="S336" s="3"/>
    </row>
    <row r="337">
      <c r="A337" s="70"/>
      <c r="B337" s="3"/>
      <c r="C337" s="3"/>
      <c r="D337" s="3"/>
      <c r="E337" s="3"/>
      <c r="F337" s="3"/>
      <c r="G337" s="3"/>
      <c r="H337" s="3"/>
      <c r="I337" s="3"/>
      <c r="J337" s="3"/>
      <c r="K337" s="70"/>
      <c r="L337" s="3"/>
      <c r="M337" s="70"/>
      <c r="N337" s="5"/>
      <c r="R337" s="70"/>
      <c r="S337" s="3"/>
    </row>
    <row r="338">
      <c r="A338" s="70"/>
      <c r="B338" s="3"/>
      <c r="C338" s="3"/>
      <c r="D338" s="3"/>
      <c r="E338" s="3"/>
      <c r="F338" s="3"/>
      <c r="G338" s="3"/>
      <c r="H338" s="3"/>
      <c r="I338" s="3"/>
      <c r="J338" s="3"/>
      <c r="K338" s="70"/>
      <c r="L338" s="3"/>
      <c r="M338" s="70"/>
      <c r="N338" s="5"/>
      <c r="R338" s="70"/>
      <c r="S338" s="3"/>
    </row>
    <row r="339">
      <c r="A339" s="70"/>
      <c r="B339" s="3"/>
      <c r="C339" s="3"/>
      <c r="D339" s="3"/>
      <c r="E339" s="3"/>
      <c r="F339" s="3"/>
      <c r="G339" s="3"/>
      <c r="H339" s="3"/>
      <c r="I339" s="3"/>
      <c r="J339" s="3"/>
      <c r="K339" s="70"/>
      <c r="L339" s="3"/>
      <c r="M339" s="70"/>
      <c r="N339" s="5"/>
      <c r="R339" s="70"/>
      <c r="S339" s="3"/>
    </row>
    <row r="340">
      <c r="A340" s="70"/>
      <c r="B340" s="3"/>
      <c r="C340" s="3"/>
      <c r="D340" s="3"/>
      <c r="E340" s="3"/>
      <c r="F340" s="3"/>
      <c r="G340" s="3"/>
      <c r="H340" s="3"/>
      <c r="I340" s="3"/>
      <c r="J340" s="3"/>
      <c r="K340" s="70"/>
      <c r="L340" s="3"/>
      <c r="M340" s="70"/>
      <c r="N340" s="5"/>
      <c r="R340" s="70"/>
      <c r="S340" s="3"/>
    </row>
    <row r="341">
      <c r="A341" s="70"/>
      <c r="B341" s="3"/>
      <c r="C341" s="3"/>
      <c r="D341" s="3"/>
      <c r="E341" s="3"/>
      <c r="F341" s="3"/>
      <c r="G341" s="3"/>
      <c r="H341" s="3"/>
      <c r="I341" s="3"/>
      <c r="J341" s="3"/>
      <c r="K341" s="70"/>
      <c r="L341" s="3"/>
      <c r="M341" s="70"/>
      <c r="N341" s="5"/>
      <c r="R341" s="70"/>
      <c r="S341" s="3"/>
    </row>
    <row r="342">
      <c r="A342" s="70"/>
      <c r="B342" s="3"/>
      <c r="C342" s="3"/>
      <c r="D342" s="3"/>
      <c r="E342" s="3"/>
      <c r="F342" s="3"/>
      <c r="G342" s="3"/>
      <c r="H342" s="3"/>
      <c r="I342" s="3"/>
      <c r="J342" s="3"/>
      <c r="K342" s="70"/>
      <c r="L342" s="3"/>
      <c r="M342" s="70"/>
      <c r="N342" s="5"/>
      <c r="R342" s="70"/>
      <c r="S342" s="3"/>
    </row>
    <row r="343">
      <c r="A343" s="70"/>
      <c r="B343" s="3"/>
      <c r="C343" s="3"/>
      <c r="D343" s="3"/>
      <c r="E343" s="3"/>
      <c r="F343" s="3"/>
      <c r="G343" s="3"/>
      <c r="H343" s="3"/>
      <c r="I343" s="3"/>
      <c r="J343" s="3"/>
      <c r="K343" s="70"/>
      <c r="L343" s="3"/>
      <c r="M343" s="70"/>
      <c r="N343" s="5"/>
      <c r="R343" s="70"/>
      <c r="S343" s="3"/>
    </row>
    <row r="344">
      <c r="A344" s="70"/>
      <c r="B344" s="3"/>
      <c r="C344" s="3"/>
      <c r="D344" s="3"/>
      <c r="E344" s="3"/>
      <c r="F344" s="3"/>
      <c r="G344" s="3"/>
      <c r="H344" s="3"/>
      <c r="I344" s="3"/>
      <c r="J344" s="3"/>
      <c r="K344" s="70"/>
      <c r="L344" s="3"/>
      <c r="M344" s="70"/>
      <c r="N344" s="5"/>
      <c r="R344" s="70"/>
      <c r="S344" s="3"/>
    </row>
    <row r="345">
      <c r="A345" s="70"/>
      <c r="B345" s="3"/>
      <c r="C345" s="3"/>
      <c r="D345" s="3"/>
      <c r="E345" s="3"/>
      <c r="F345" s="3"/>
      <c r="G345" s="3"/>
      <c r="H345" s="3"/>
      <c r="I345" s="3"/>
      <c r="J345" s="3"/>
      <c r="K345" s="70"/>
      <c r="L345" s="3"/>
      <c r="M345" s="70"/>
      <c r="N345" s="5"/>
      <c r="R345" s="70"/>
      <c r="S345" s="3"/>
    </row>
    <row r="346">
      <c r="A346" s="70"/>
      <c r="B346" s="3"/>
      <c r="C346" s="3"/>
      <c r="D346" s="3"/>
      <c r="E346" s="3"/>
      <c r="F346" s="3"/>
      <c r="G346" s="3"/>
      <c r="H346" s="3"/>
      <c r="I346" s="3"/>
      <c r="J346" s="3"/>
      <c r="K346" s="70"/>
      <c r="L346" s="3"/>
      <c r="M346" s="70"/>
      <c r="N346" s="5"/>
      <c r="R346" s="70"/>
      <c r="S346" s="3"/>
    </row>
    <row r="347">
      <c r="A347" s="70"/>
      <c r="B347" s="3"/>
      <c r="C347" s="3"/>
      <c r="D347" s="3"/>
      <c r="E347" s="3"/>
      <c r="F347" s="3"/>
      <c r="G347" s="3"/>
      <c r="H347" s="3"/>
      <c r="I347" s="3"/>
      <c r="J347" s="3"/>
      <c r="K347" s="70"/>
      <c r="L347" s="3"/>
      <c r="M347" s="70"/>
      <c r="N347" s="5"/>
      <c r="R347" s="70"/>
      <c r="S347" s="3"/>
    </row>
    <row r="348">
      <c r="A348" s="70"/>
      <c r="B348" s="3"/>
      <c r="C348" s="3"/>
      <c r="D348" s="3"/>
      <c r="E348" s="3"/>
      <c r="F348" s="3"/>
      <c r="G348" s="3"/>
      <c r="H348" s="3"/>
      <c r="I348" s="3"/>
      <c r="J348" s="3"/>
      <c r="K348" s="70"/>
      <c r="L348" s="3"/>
      <c r="M348" s="70"/>
      <c r="N348" s="5"/>
      <c r="R348" s="70"/>
      <c r="S348" s="3"/>
    </row>
    <row r="349">
      <c r="A349" s="70"/>
      <c r="B349" s="3"/>
      <c r="C349" s="3"/>
      <c r="D349" s="3"/>
      <c r="E349" s="3"/>
      <c r="F349" s="3"/>
      <c r="G349" s="3"/>
      <c r="H349" s="3"/>
      <c r="I349" s="3"/>
      <c r="J349" s="3"/>
      <c r="K349" s="70"/>
      <c r="L349" s="3"/>
      <c r="M349" s="70"/>
      <c r="N349" s="5"/>
      <c r="R349" s="70"/>
      <c r="S349" s="3"/>
    </row>
    <row r="350">
      <c r="A350" s="70"/>
      <c r="B350" s="3"/>
      <c r="C350" s="3"/>
      <c r="D350" s="3"/>
      <c r="E350" s="3"/>
      <c r="F350" s="3"/>
      <c r="G350" s="3"/>
      <c r="H350" s="3"/>
      <c r="I350" s="3"/>
      <c r="J350" s="3"/>
      <c r="K350" s="70"/>
      <c r="L350" s="3"/>
      <c r="M350" s="70"/>
      <c r="N350" s="5"/>
      <c r="R350" s="70"/>
      <c r="S350" s="3"/>
    </row>
    <row r="351">
      <c r="A351" s="70"/>
      <c r="B351" s="3"/>
      <c r="C351" s="3"/>
      <c r="D351" s="3"/>
      <c r="E351" s="3"/>
      <c r="F351" s="3"/>
      <c r="G351" s="3"/>
      <c r="H351" s="3"/>
      <c r="I351" s="3"/>
      <c r="J351" s="3"/>
      <c r="K351" s="70"/>
      <c r="L351" s="3"/>
      <c r="M351" s="70"/>
      <c r="N351" s="5"/>
      <c r="R351" s="70"/>
      <c r="S351" s="3"/>
    </row>
    <row r="352">
      <c r="A352" s="70"/>
      <c r="B352" s="3"/>
      <c r="C352" s="3"/>
      <c r="D352" s="3"/>
      <c r="E352" s="3"/>
      <c r="F352" s="3"/>
      <c r="G352" s="3"/>
      <c r="H352" s="3"/>
      <c r="I352" s="3"/>
      <c r="J352" s="3"/>
      <c r="K352" s="70"/>
      <c r="L352" s="3"/>
      <c r="M352" s="70"/>
      <c r="N352" s="5"/>
      <c r="R352" s="70"/>
      <c r="S352" s="3"/>
    </row>
    <row r="353">
      <c r="A353" s="70"/>
      <c r="B353" s="3"/>
      <c r="C353" s="3"/>
      <c r="D353" s="3"/>
      <c r="E353" s="3"/>
      <c r="F353" s="3"/>
      <c r="G353" s="3"/>
      <c r="H353" s="3"/>
      <c r="I353" s="3"/>
      <c r="J353" s="3"/>
      <c r="K353" s="70"/>
      <c r="L353" s="3"/>
      <c r="M353" s="70"/>
      <c r="N353" s="5"/>
      <c r="R353" s="70"/>
      <c r="S353" s="3"/>
    </row>
    <row r="354">
      <c r="A354" s="70"/>
      <c r="B354" s="3"/>
      <c r="C354" s="3"/>
      <c r="D354" s="3"/>
      <c r="E354" s="3"/>
      <c r="F354" s="3"/>
      <c r="G354" s="3"/>
      <c r="H354" s="3"/>
      <c r="I354" s="3"/>
      <c r="J354" s="3"/>
      <c r="K354" s="70"/>
      <c r="L354" s="3"/>
      <c r="M354" s="70"/>
      <c r="N354" s="5"/>
      <c r="R354" s="70"/>
      <c r="S354" s="3"/>
    </row>
    <row r="355">
      <c r="A355" s="70"/>
      <c r="B355" s="3"/>
      <c r="C355" s="3"/>
      <c r="D355" s="3"/>
      <c r="E355" s="3"/>
      <c r="F355" s="3"/>
      <c r="G355" s="3"/>
      <c r="H355" s="3"/>
      <c r="I355" s="3"/>
      <c r="J355" s="3"/>
      <c r="K355" s="70"/>
      <c r="L355" s="3"/>
      <c r="M355" s="70"/>
      <c r="N355" s="5"/>
      <c r="R355" s="70"/>
      <c r="S355" s="3"/>
    </row>
    <row r="356">
      <c r="A356" s="70"/>
      <c r="B356" s="3"/>
      <c r="C356" s="3"/>
      <c r="D356" s="3"/>
      <c r="E356" s="3"/>
      <c r="F356" s="3"/>
      <c r="G356" s="3"/>
      <c r="H356" s="3"/>
      <c r="I356" s="3"/>
      <c r="J356" s="3"/>
      <c r="K356" s="70"/>
      <c r="L356" s="3"/>
      <c r="M356" s="70"/>
      <c r="N356" s="5"/>
      <c r="R356" s="70"/>
      <c r="S356" s="3"/>
    </row>
    <row r="357">
      <c r="A357" s="70"/>
      <c r="B357" s="3"/>
      <c r="C357" s="3"/>
      <c r="D357" s="3"/>
      <c r="E357" s="3"/>
      <c r="F357" s="3"/>
      <c r="G357" s="3"/>
      <c r="H357" s="3"/>
      <c r="I357" s="3"/>
      <c r="J357" s="3"/>
      <c r="K357" s="70"/>
      <c r="L357" s="3"/>
      <c r="M357" s="70"/>
      <c r="N357" s="5"/>
      <c r="R357" s="70"/>
      <c r="S357" s="3"/>
    </row>
    <row r="358">
      <c r="A358" s="70"/>
      <c r="B358" s="3"/>
      <c r="C358" s="3"/>
      <c r="D358" s="3"/>
      <c r="E358" s="3"/>
      <c r="F358" s="3"/>
      <c r="G358" s="3"/>
      <c r="H358" s="3"/>
      <c r="I358" s="3"/>
      <c r="J358" s="3"/>
      <c r="K358" s="70"/>
      <c r="L358" s="3"/>
      <c r="M358" s="70"/>
      <c r="N358" s="5"/>
      <c r="R358" s="70"/>
      <c r="S358" s="3"/>
    </row>
    <row r="359">
      <c r="A359" s="70"/>
      <c r="B359" s="3"/>
      <c r="C359" s="3"/>
      <c r="D359" s="3"/>
      <c r="E359" s="3"/>
      <c r="F359" s="3"/>
      <c r="G359" s="3"/>
      <c r="H359" s="3"/>
      <c r="I359" s="3"/>
      <c r="J359" s="3"/>
      <c r="K359" s="70"/>
      <c r="L359" s="3"/>
      <c r="M359" s="70"/>
      <c r="N359" s="5"/>
      <c r="R359" s="70"/>
      <c r="S359" s="3"/>
    </row>
    <row r="360">
      <c r="A360" s="70"/>
      <c r="B360" s="3"/>
      <c r="C360" s="3"/>
      <c r="D360" s="3"/>
      <c r="E360" s="3"/>
      <c r="F360" s="3"/>
      <c r="G360" s="3"/>
      <c r="H360" s="3"/>
      <c r="I360" s="3"/>
      <c r="J360" s="3"/>
      <c r="K360" s="70"/>
      <c r="L360" s="3"/>
      <c r="M360" s="70"/>
      <c r="N360" s="5"/>
      <c r="R360" s="70"/>
      <c r="S360" s="3"/>
    </row>
    <row r="361">
      <c r="A361" s="70"/>
      <c r="B361" s="3"/>
      <c r="C361" s="3"/>
      <c r="D361" s="3"/>
      <c r="E361" s="3"/>
      <c r="F361" s="3"/>
      <c r="G361" s="3"/>
      <c r="H361" s="3"/>
      <c r="I361" s="3"/>
      <c r="J361" s="3"/>
      <c r="K361" s="70"/>
      <c r="L361" s="3"/>
      <c r="M361" s="70"/>
      <c r="N361" s="5"/>
      <c r="R361" s="70"/>
      <c r="S361" s="3"/>
    </row>
    <row r="362">
      <c r="A362" s="70"/>
      <c r="B362" s="3"/>
      <c r="C362" s="3"/>
      <c r="D362" s="3"/>
      <c r="E362" s="3"/>
      <c r="F362" s="3"/>
      <c r="G362" s="3"/>
      <c r="H362" s="3"/>
      <c r="I362" s="3"/>
      <c r="J362" s="3"/>
      <c r="K362" s="70"/>
      <c r="L362" s="3"/>
      <c r="M362" s="70"/>
      <c r="N362" s="5"/>
      <c r="R362" s="70"/>
      <c r="S362" s="3"/>
    </row>
    <row r="363">
      <c r="A363" s="70"/>
      <c r="B363" s="3"/>
      <c r="C363" s="3"/>
      <c r="D363" s="3"/>
      <c r="E363" s="3"/>
      <c r="F363" s="3"/>
      <c r="G363" s="3"/>
      <c r="H363" s="3"/>
      <c r="I363" s="3"/>
      <c r="J363" s="3"/>
      <c r="K363" s="70"/>
      <c r="L363" s="3"/>
      <c r="M363" s="70"/>
      <c r="N363" s="5"/>
      <c r="R363" s="70"/>
      <c r="S363" s="3"/>
    </row>
    <row r="364">
      <c r="A364" s="70"/>
      <c r="B364" s="3"/>
      <c r="C364" s="3"/>
      <c r="D364" s="3"/>
      <c r="E364" s="3"/>
      <c r="F364" s="3"/>
      <c r="G364" s="3"/>
      <c r="H364" s="3"/>
      <c r="I364" s="3"/>
      <c r="J364" s="3"/>
      <c r="K364" s="70"/>
      <c r="L364" s="3"/>
      <c r="M364" s="70"/>
      <c r="N364" s="5"/>
      <c r="R364" s="70"/>
      <c r="S364" s="3"/>
    </row>
    <row r="365">
      <c r="A365" s="70"/>
      <c r="B365" s="3"/>
      <c r="C365" s="3"/>
      <c r="D365" s="3"/>
      <c r="E365" s="3"/>
      <c r="F365" s="3"/>
      <c r="G365" s="3"/>
      <c r="H365" s="3"/>
      <c r="I365" s="3"/>
      <c r="J365" s="3"/>
      <c r="K365" s="70"/>
      <c r="L365" s="3"/>
      <c r="M365" s="70"/>
      <c r="N365" s="5"/>
      <c r="R365" s="70"/>
      <c r="S365" s="3"/>
    </row>
    <row r="366">
      <c r="A366" s="70"/>
      <c r="B366" s="3"/>
      <c r="C366" s="3"/>
      <c r="D366" s="3"/>
      <c r="E366" s="3"/>
      <c r="F366" s="3"/>
      <c r="G366" s="3"/>
      <c r="H366" s="3"/>
      <c r="I366" s="3"/>
      <c r="J366" s="3"/>
      <c r="K366" s="70"/>
      <c r="L366" s="3"/>
      <c r="M366" s="70"/>
      <c r="N366" s="5"/>
      <c r="R366" s="70"/>
      <c r="S366" s="3"/>
    </row>
    <row r="367">
      <c r="A367" s="70"/>
      <c r="B367" s="3"/>
      <c r="C367" s="3"/>
      <c r="D367" s="3"/>
      <c r="E367" s="3"/>
      <c r="F367" s="3"/>
      <c r="G367" s="3"/>
      <c r="H367" s="3"/>
      <c r="I367" s="3"/>
      <c r="J367" s="3"/>
      <c r="K367" s="70"/>
      <c r="L367" s="3"/>
      <c r="M367" s="70"/>
      <c r="N367" s="5"/>
      <c r="R367" s="70"/>
      <c r="S367" s="3"/>
    </row>
    <row r="368">
      <c r="A368" s="70"/>
      <c r="B368" s="3"/>
      <c r="C368" s="3"/>
      <c r="D368" s="3"/>
      <c r="E368" s="3"/>
      <c r="F368" s="3"/>
      <c r="G368" s="3"/>
      <c r="H368" s="3"/>
      <c r="I368" s="3"/>
      <c r="J368" s="3"/>
      <c r="K368" s="70"/>
      <c r="L368" s="3"/>
      <c r="M368" s="70"/>
      <c r="N368" s="5"/>
      <c r="R368" s="70"/>
      <c r="S368" s="3"/>
    </row>
    <row r="369">
      <c r="A369" s="70"/>
      <c r="B369" s="3"/>
      <c r="C369" s="3"/>
      <c r="D369" s="3"/>
      <c r="E369" s="3"/>
      <c r="F369" s="3"/>
      <c r="G369" s="3"/>
      <c r="H369" s="3"/>
      <c r="I369" s="3"/>
      <c r="J369" s="3"/>
      <c r="K369" s="70"/>
      <c r="L369" s="3"/>
      <c r="M369" s="70"/>
      <c r="N369" s="5"/>
      <c r="R369" s="70"/>
      <c r="S369" s="3"/>
    </row>
    <row r="370">
      <c r="A370" s="70"/>
      <c r="B370" s="3"/>
      <c r="C370" s="3"/>
      <c r="D370" s="3"/>
      <c r="E370" s="3"/>
      <c r="F370" s="3"/>
      <c r="G370" s="3"/>
      <c r="H370" s="3"/>
      <c r="I370" s="3"/>
      <c r="J370" s="3"/>
      <c r="K370" s="70"/>
      <c r="L370" s="3"/>
      <c r="M370" s="70"/>
      <c r="N370" s="5"/>
      <c r="R370" s="70"/>
      <c r="S370" s="3"/>
    </row>
    <row r="371">
      <c r="A371" s="70"/>
      <c r="B371" s="3"/>
      <c r="C371" s="3"/>
      <c r="D371" s="3"/>
      <c r="E371" s="3"/>
      <c r="F371" s="3"/>
      <c r="G371" s="3"/>
      <c r="H371" s="3"/>
      <c r="I371" s="3"/>
      <c r="J371" s="3"/>
      <c r="K371" s="70"/>
      <c r="L371" s="3"/>
      <c r="M371" s="70"/>
      <c r="N371" s="5"/>
      <c r="R371" s="70"/>
      <c r="S371" s="3"/>
    </row>
    <row r="372">
      <c r="A372" s="70"/>
      <c r="B372" s="3"/>
      <c r="C372" s="3"/>
      <c r="D372" s="3"/>
      <c r="E372" s="3"/>
      <c r="F372" s="3"/>
      <c r="G372" s="3"/>
      <c r="H372" s="3"/>
      <c r="I372" s="3"/>
      <c r="J372" s="3"/>
      <c r="K372" s="70"/>
      <c r="L372" s="3"/>
      <c r="M372" s="70"/>
      <c r="N372" s="5"/>
      <c r="R372" s="70"/>
      <c r="S372" s="3"/>
    </row>
    <row r="373">
      <c r="A373" s="70"/>
      <c r="B373" s="3"/>
      <c r="C373" s="3"/>
      <c r="D373" s="3"/>
      <c r="E373" s="3"/>
      <c r="F373" s="3"/>
      <c r="G373" s="3"/>
      <c r="H373" s="3"/>
      <c r="I373" s="3"/>
      <c r="J373" s="3"/>
      <c r="K373" s="70"/>
      <c r="L373" s="3"/>
      <c r="M373" s="70"/>
      <c r="N373" s="5"/>
      <c r="R373" s="70"/>
      <c r="S373" s="3"/>
    </row>
    <row r="374">
      <c r="A374" s="70"/>
      <c r="B374" s="3"/>
      <c r="C374" s="3"/>
      <c r="D374" s="3"/>
      <c r="E374" s="3"/>
      <c r="F374" s="3"/>
      <c r="G374" s="3"/>
      <c r="H374" s="3"/>
      <c r="I374" s="3"/>
      <c r="J374" s="3"/>
      <c r="K374" s="70"/>
      <c r="L374" s="3"/>
      <c r="M374" s="70"/>
      <c r="N374" s="5"/>
      <c r="R374" s="70"/>
      <c r="S374" s="3"/>
    </row>
    <row r="375">
      <c r="A375" s="70"/>
      <c r="B375" s="3"/>
      <c r="C375" s="3"/>
      <c r="D375" s="3"/>
      <c r="E375" s="3"/>
      <c r="F375" s="3"/>
      <c r="G375" s="3"/>
      <c r="H375" s="3"/>
      <c r="I375" s="3"/>
      <c r="J375" s="3"/>
      <c r="K375" s="70"/>
      <c r="L375" s="3"/>
      <c r="M375" s="70"/>
      <c r="N375" s="5"/>
      <c r="R375" s="70"/>
      <c r="S375" s="3"/>
    </row>
    <row r="376">
      <c r="A376" s="70"/>
      <c r="B376" s="3"/>
      <c r="C376" s="3"/>
      <c r="D376" s="3"/>
      <c r="E376" s="3"/>
      <c r="F376" s="3"/>
      <c r="G376" s="3"/>
      <c r="H376" s="3"/>
      <c r="I376" s="3"/>
      <c r="J376" s="3"/>
      <c r="K376" s="70"/>
      <c r="L376" s="3"/>
      <c r="M376" s="70"/>
      <c r="N376" s="5"/>
      <c r="R376" s="70"/>
      <c r="S376" s="3"/>
    </row>
    <row r="377">
      <c r="A377" s="70"/>
      <c r="B377" s="3"/>
      <c r="C377" s="3"/>
      <c r="D377" s="3"/>
      <c r="E377" s="3"/>
      <c r="F377" s="3"/>
      <c r="G377" s="3"/>
      <c r="H377" s="3"/>
      <c r="I377" s="3"/>
      <c r="J377" s="3"/>
      <c r="K377" s="70"/>
      <c r="L377" s="3"/>
      <c r="M377" s="70"/>
      <c r="N377" s="5"/>
      <c r="R377" s="70"/>
      <c r="S377" s="3"/>
    </row>
    <row r="378">
      <c r="A378" s="70"/>
      <c r="B378" s="3"/>
      <c r="C378" s="3"/>
      <c r="D378" s="3"/>
      <c r="E378" s="3"/>
      <c r="F378" s="3"/>
      <c r="G378" s="3"/>
      <c r="H378" s="3"/>
      <c r="I378" s="3"/>
      <c r="J378" s="3"/>
      <c r="K378" s="70"/>
      <c r="L378" s="3"/>
      <c r="M378" s="70"/>
      <c r="N378" s="5"/>
      <c r="R378" s="70"/>
      <c r="S378" s="3"/>
    </row>
    <row r="379">
      <c r="A379" s="70"/>
      <c r="B379" s="3"/>
      <c r="C379" s="3"/>
      <c r="D379" s="3"/>
      <c r="E379" s="3"/>
      <c r="F379" s="3"/>
      <c r="G379" s="3"/>
      <c r="H379" s="3"/>
      <c r="I379" s="3"/>
      <c r="J379" s="3"/>
      <c r="K379" s="70"/>
      <c r="L379" s="3"/>
      <c r="M379" s="70"/>
      <c r="N379" s="5"/>
      <c r="R379" s="70"/>
      <c r="S379" s="3"/>
    </row>
    <row r="380">
      <c r="A380" s="70"/>
      <c r="B380" s="3"/>
      <c r="C380" s="3"/>
      <c r="D380" s="3"/>
      <c r="E380" s="3"/>
      <c r="F380" s="3"/>
      <c r="G380" s="3"/>
      <c r="H380" s="3"/>
      <c r="I380" s="3"/>
      <c r="J380" s="3"/>
      <c r="K380" s="70"/>
      <c r="L380" s="3"/>
      <c r="M380" s="70"/>
      <c r="N380" s="5"/>
      <c r="R380" s="70"/>
      <c r="S380" s="3"/>
    </row>
    <row r="381">
      <c r="A381" s="70"/>
      <c r="B381" s="3"/>
      <c r="C381" s="3"/>
      <c r="D381" s="3"/>
      <c r="E381" s="3"/>
      <c r="F381" s="3"/>
      <c r="G381" s="3"/>
      <c r="H381" s="3"/>
      <c r="I381" s="3"/>
      <c r="J381" s="3"/>
      <c r="K381" s="70"/>
      <c r="L381" s="3"/>
      <c r="M381" s="70"/>
      <c r="N381" s="5"/>
      <c r="R381" s="70"/>
      <c r="S381" s="3"/>
    </row>
    <row r="382">
      <c r="A382" s="70"/>
      <c r="B382" s="3"/>
      <c r="C382" s="3"/>
      <c r="D382" s="3"/>
      <c r="E382" s="3"/>
      <c r="F382" s="3"/>
      <c r="G382" s="3"/>
      <c r="H382" s="3"/>
      <c r="I382" s="3"/>
      <c r="J382" s="3"/>
      <c r="K382" s="70"/>
      <c r="L382" s="3"/>
      <c r="M382" s="70"/>
      <c r="N382" s="5"/>
      <c r="R382" s="70"/>
      <c r="S382" s="3"/>
    </row>
    <row r="383">
      <c r="A383" s="70"/>
      <c r="B383" s="3"/>
      <c r="C383" s="3"/>
      <c r="D383" s="3"/>
      <c r="E383" s="3"/>
      <c r="F383" s="3"/>
      <c r="G383" s="3"/>
      <c r="H383" s="3"/>
      <c r="I383" s="3"/>
      <c r="J383" s="3"/>
      <c r="K383" s="70"/>
      <c r="L383" s="3"/>
      <c r="M383" s="70"/>
      <c r="N383" s="5"/>
      <c r="R383" s="70"/>
      <c r="S383" s="3"/>
    </row>
    <row r="384">
      <c r="A384" s="70"/>
      <c r="B384" s="3"/>
      <c r="C384" s="3"/>
      <c r="D384" s="3"/>
      <c r="E384" s="3"/>
      <c r="F384" s="3"/>
      <c r="G384" s="3"/>
      <c r="H384" s="3"/>
      <c r="I384" s="3"/>
      <c r="J384" s="3"/>
      <c r="K384" s="70"/>
      <c r="L384" s="3"/>
      <c r="M384" s="70"/>
      <c r="N384" s="5"/>
      <c r="R384" s="70"/>
      <c r="S384" s="3"/>
    </row>
    <row r="385">
      <c r="A385" s="70"/>
      <c r="B385" s="3"/>
      <c r="C385" s="3"/>
      <c r="D385" s="3"/>
      <c r="E385" s="3"/>
      <c r="F385" s="3"/>
      <c r="G385" s="3"/>
      <c r="H385" s="3"/>
      <c r="I385" s="3"/>
      <c r="J385" s="3"/>
      <c r="K385" s="70"/>
      <c r="L385" s="3"/>
      <c r="M385" s="70"/>
      <c r="N385" s="5"/>
      <c r="R385" s="70"/>
      <c r="S385" s="3"/>
    </row>
    <row r="386">
      <c r="A386" s="70"/>
      <c r="B386" s="3"/>
      <c r="C386" s="3"/>
      <c r="D386" s="3"/>
      <c r="E386" s="3"/>
      <c r="F386" s="3"/>
      <c r="G386" s="3"/>
      <c r="H386" s="3"/>
      <c r="I386" s="3"/>
      <c r="J386" s="3"/>
      <c r="K386" s="70"/>
      <c r="L386" s="3"/>
      <c r="M386" s="70"/>
      <c r="N386" s="5"/>
      <c r="R386" s="70"/>
      <c r="S386" s="3"/>
    </row>
    <row r="387">
      <c r="A387" s="70"/>
      <c r="B387" s="3"/>
      <c r="C387" s="3"/>
      <c r="D387" s="3"/>
      <c r="E387" s="3"/>
      <c r="F387" s="3"/>
      <c r="G387" s="3"/>
      <c r="H387" s="3"/>
      <c r="I387" s="3"/>
      <c r="J387" s="3"/>
      <c r="K387" s="70"/>
      <c r="L387" s="3"/>
      <c r="M387" s="70"/>
      <c r="N387" s="5"/>
      <c r="R387" s="70"/>
      <c r="S387" s="3"/>
    </row>
    <row r="388">
      <c r="A388" s="70"/>
      <c r="B388" s="3"/>
      <c r="C388" s="3"/>
      <c r="D388" s="3"/>
      <c r="E388" s="3"/>
      <c r="F388" s="3"/>
      <c r="G388" s="3"/>
      <c r="H388" s="3"/>
      <c r="I388" s="3"/>
      <c r="J388" s="3"/>
      <c r="K388" s="70"/>
      <c r="L388" s="3"/>
      <c r="M388" s="70"/>
      <c r="N388" s="5"/>
      <c r="R388" s="70"/>
      <c r="S388" s="3"/>
    </row>
    <row r="389">
      <c r="A389" s="70"/>
      <c r="B389" s="3"/>
      <c r="C389" s="3"/>
      <c r="D389" s="3"/>
      <c r="E389" s="3"/>
      <c r="F389" s="3"/>
      <c r="G389" s="3"/>
      <c r="H389" s="3"/>
      <c r="I389" s="3"/>
      <c r="J389" s="3"/>
      <c r="K389" s="70"/>
      <c r="L389" s="3"/>
      <c r="M389" s="70"/>
      <c r="N389" s="5"/>
      <c r="R389" s="70"/>
      <c r="S389" s="3"/>
    </row>
    <row r="390">
      <c r="A390" s="70"/>
      <c r="B390" s="3"/>
      <c r="C390" s="3"/>
      <c r="D390" s="3"/>
      <c r="E390" s="3"/>
      <c r="F390" s="3"/>
      <c r="G390" s="3"/>
      <c r="H390" s="3"/>
      <c r="I390" s="3"/>
      <c r="J390" s="3"/>
      <c r="K390" s="70"/>
      <c r="L390" s="3"/>
      <c r="M390" s="70"/>
      <c r="N390" s="5"/>
      <c r="R390" s="70"/>
      <c r="S390" s="3"/>
    </row>
    <row r="391">
      <c r="A391" s="70"/>
      <c r="B391" s="3"/>
      <c r="C391" s="3"/>
      <c r="D391" s="3"/>
      <c r="E391" s="3"/>
      <c r="F391" s="3"/>
      <c r="G391" s="3"/>
      <c r="H391" s="3"/>
      <c r="I391" s="3"/>
      <c r="J391" s="3"/>
      <c r="K391" s="70"/>
      <c r="L391" s="3"/>
      <c r="M391" s="70"/>
      <c r="N391" s="5"/>
      <c r="R391" s="70"/>
      <c r="S391" s="3"/>
    </row>
    <row r="392">
      <c r="A392" s="70"/>
      <c r="B392" s="3"/>
      <c r="C392" s="3"/>
      <c r="D392" s="3"/>
      <c r="E392" s="3"/>
      <c r="F392" s="3"/>
      <c r="G392" s="3"/>
      <c r="H392" s="3"/>
      <c r="I392" s="3"/>
      <c r="J392" s="3"/>
      <c r="K392" s="70"/>
      <c r="L392" s="3"/>
      <c r="M392" s="70"/>
      <c r="N392" s="5"/>
      <c r="R392" s="70"/>
      <c r="S392" s="3"/>
    </row>
    <row r="393">
      <c r="A393" s="70"/>
      <c r="B393" s="3"/>
      <c r="C393" s="3"/>
      <c r="D393" s="3"/>
      <c r="E393" s="3"/>
      <c r="F393" s="3"/>
      <c r="G393" s="3"/>
      <c r="H393" s="3"/>
      <c r="I393" s="3"/>
      <c r="J393" s="3"/>
      <c r="K393" s="70"/>
      <c r="L393" s="3"/>
      <c r="M393" s="70"/>
      <c r="N393" s="5"/>
      <c r="R393" s="70"/>
      <c r="S393" s="3"/>
    </row>
    <row r="394">
      <c r="A394" s="70"/>
      <c r="B394" s="3"/>
      <c r="C394" s="3"/>
      <c r="D394" s="3"/>
      <c r="E394" s="3"/>
      <c r="F394" s="3"/>
      <c r="G394" s="3"/>
      <c r="H394" s="3"/>
      <c r="I394" s="3"/>
      <c r="J394" s="3"/>
      <c r="K394" s="70"/>
      <c r="L394" s="3"/>
      <c r="M394" s="70"/>
      <c r="N394" s="5"/>
      <c r="R394" s="70"/>
      <c r="S394" s="3"/>
    </row>
    <row r="395">
      <c r="A395" s="70"/>
      <c r="B395" s="3"/>
      <c r="C395" s="3"/>
      <c r="D395" s="3"/>
      <c r="E395" s="3"/>
      <c r="F395" s="3"/>
      <c r="G395" s="3"/>
      <c r="H395" s="3"/>
      <c r="I395" s="3"/>
      <c r="J395" s="3"/>
      <c r="K395" s="70"/>
      <c r="L395" s="3"/>
      <c r="M395" s="70"/>
      <c r="N395" s="5"/>
      <c r="R395" s="70"/>
      <c r="S395" s="3"/>
    </row>
    <row r="396">
      <c r="A396" s="70"/>
      <c r="B396" s="3"/>
      <c r="C396" s="3"/>
      <c r="D396" s="3"/>
      <c r="E396" s="3"/>
      <c r="F396" s="3"/>
      <c r="G396" s="3"/>
      <c r="H396" s="3"/>
      <c r="I396" s="3"/>
      <c r="J396" s="3"/>
      <c r="K396" s="70"/>
      <c r="L396" s="3"/>
      <c r="M396" s="70"/>
      <c r="N396" s="5"/>
      <c r="R396" s="70"/>
      <c r="S396" s="3"/>
    </row>
    <row r="397">
      <c r="A397" s="70"/>
      <c r="B397" s="3"/>
      <c r="C397" s="3"/>
      <c r="D397" s="3"/>
      <c r="E397" s="3"/>
      <c r="F397" s="3"/>
      <c r="G397" s="3"/>
      <c r="H397" s="3"/>
      <c r="I397" s="3"/>
      <c r="J397" s="3"/>
      <c r="K397" s="70"/>
      <c r="L397" s="3"/>
      <c r="M397" s="70"/>
      <c r="N397" s="5"/>
      <c r="R397" s="70"/>
      <c r="S397" s="3"/>
    </row>
    <row r="398">
      <c r="A398" s="70"/>
      <c r="B398" s="3"/>
      <c r="C398" s="3"/>
      <c r="D398" s="3"/>
      <c r="E398" s="3"/>
      <c r="F398" s="3"/>
      <c r="G398" s="3"/>
      <c r="H398" s="3"/>
      <c r="I398" s="3"/>
      <c r="J398" s="3"/>
      <c r="K398" s="70"/>
      <c r="L398" s="3"/>
      <c r="M398" s="70"/>
      <c r="N398" s="5"/>
      <c r="R398" s="70"/>
      <c r="S398" s="3"/>
    </row>
    <row r="399">
      <c r="A399" s="70"/>
      <c r="B399" s="3"/>
      <c r="C399" s="3"/>
      <c r="D399" s="3"/>
      <c r="E399" s="3"/>
      <c r="F399" s="3"/>
      <c r="G399" s="3"/>
      <c r="H399" s="3"/>
      <c r="I399" s="3"/>
      <c r="J399" s="3"/>
      <c r="K399" s="70"/>
      <c r="L399" s="3"/>
      <c r="M399" s="70"/>
      <c r="N399" s="5"/>
      <c r="R399" s="70"/>
      <c r="S399" s="3"/>
    </row>
    <row r="400">
      <c r="A400" s="70"/>
      <c r="B400" s="3"/>
      <c r="C400" s="3"/>
      <c r="D400" s="3"/>
      <c r="E400" s="3"/>
      <c r="F400" s="3"/>
      <c r="G400" s="3"/>
      <c r="H400" s="3"/>
      <c r="I400" s="3"/>
      <c r="J400" s="3"/>
      <c r="K400" s="70"/>
      <c r="L400" s="3"/>
      <c r="M400" s="70"/>
      <c r="N400" s="5"/>
      <c r="R400" s="70"/>
      <c r="S400" s="3"/>
    </row>
    <row r="401">
      <c r="A401" s="70"/>
      <c r="B401" s="3"/>
      <c r="C401" s="3"/>
      <c r="D401" s="3"/>
      <c r="E401" s="3"/>
      <c r="F401" s="3"/>
      <c r="G401" s="3"/>
      <c r="H401" s="3"/>
      <c r="I401" s="3"/>
      <c r="J401" s="3"/>
      <c r="K401" s="70"/>
      <c r="L401" s="3"/>
      <c r="M401" s="70"/>
      <c r="N401" s="5"/>
      <c r="R401" s="70"/>
      <c r="S401" s="3"/>
    </row>
    <row r="402">
      <c r="A402" s="70"/>
      <c r="B402" s="3"/>
      <c r="C402" s="3"/>
      <c r="D402" s="3"/>
      <c r="E402" s="3"/>
      <c r="F402" s="3"/>
      <c r="G402" s="3"/>
      <c r="H402" s="3"/>
      <c r="I402" s="3"/>
      <c r="J402" s="3"/>
      <c r="K402" s="70"/>
      <c r="L402" s="3"/>
      <c r="M402" s="70"/>
      <c r="N402" s="5"/>
      <c r="R402" s="70"/>
      <c r="S402" s="3"/>
    </row>
    <row r="403">
      <c r="A403" s="70"/>
      <c r="B403" s="3"/>
      <c r="C403" s="3"/>
      <c r="D403" s="3"/>
      <c r="E403" s="3"/>
      <c r="F403" s="3"/>
      <c r="G403" s="3"/>
      <c r="H403" s="3"/>
      <c r="I403" s="3"/>
      <c r="J403" s="3"/>
      <c r="K403" s="70"/>
      <c r="L403" s="3"/>
      <c r="M403" s="70"/>
      <c r="N403" s="5"/>
      <c r="R403" s="70"/>
      <c r="S403" s="3"/>
    </row>
    <row r="404">
      <c r="A404" s="70"/>
      <c r="B404" s="3"/>
      <c r="C404" s="3"/>
      <c r="D404" s="3"/>
      <c r="E404" s="3"/>
      <c r="F404" s="3"/>
      <c r="G404" s="3"/>
      <c r="H404" s="3"/>
      <c r="I404" s="3"/>
      <c r="J404" s="3"/>
      <c r="K404" s="70"/>
      <c r="L404" s="3"/>
      <c r="M404" s="70"/>
      <c r="N404" s="5"/>
      <c r="R404" s="70"/>
      <c r="S404" s="3"/>
    </row>
    <row r="405">
      <c r="A405" s="70"/>
      <c r="B405" s="3"/>
      <c r="C405" s="3"/>
      <c r="D405" s="3"/>
      <c r="E405" s="3"/>
      <c r="F405" s="3"/>
      <c r="G405" s="3"/>
      <c r="H405" s="3"/>
      <c r="I405" s="3"/>
      <c r="J405" s="3"/>
      <c r="K405" s="70"/>
      <c r="L405" s="3"/>
      <c r="M405" s="70"/>
      <c r="N405" s="5"/>
      <c r="R405" s="70"/>
      <c r="S405" s="3"/>
    </row>
    <row r="406">
      <c r="A406" s="70"/>
      <c r="B406" s="3"/>
      <c r="C406" s="3"/>
      <c r="D406" s="3"/>
      <c r="E406" s="3"/>
      <c r="F406" s="3"/>
      <c r="G406" s="3"/>
      <c r="H406" s="3"/>
      <c r="I406" s="3"/>
      <c r="J406" s="3"/>
      <c r="K406" s="70"/>
      <c r="L406" s="3"/>
      <c r="M406" s="70"/>
      <c r="N406" s="5"/>
      <c r="R406" s="70"/>
      <c r="S406" s="3"/>
    </row>
    <row r="407">
      <c r="A407" s="70"/>
      <c r="B407" s="3"/>
      <c r="C407" s="3"/>
      <c r="D407" s="3"/>
      <c r="E407" s="3"/>
      <c r="F407" s="3"/>
      <c r="G407" s="3"/>
      <c r="H407" s="3"/>
      <c r="I407" s="3"/>
      <c r="J407" s="3"/>
      <c r="K407" s="70"/>
      <c r="L407" s="3"/>
      <c r="M407" s="70"/>
      <c r="N407" s="5"/>
      <c r="R407" s="70"/>
      <c r="S407" s="3"/>
    </row>
    <row r="408">
      <c r="A408" s="70"/>
      <c r="B408" s="3"/>
      <c r="C408" s="3"/>
      <c r="D408" s="3"/>
      <c r="E408" s="3"/>
      <c r="F408" s="3"/>
      <c r="G408" s="3"/>
      <c r="H408" s="3"/>
      <c r="I408" s="3"/>
      <c r="J408" s="3"/>
      <c r="K408" s="70"/>
      <c r="L408" s="3"/>
      <c r="M408" s="70"/>
      <c r="N408" s="5"/>
      <c r="R408" s="70"/>
      <c r="S408" s="3"/>
    </row>
    <row r="409">
      <c r="A409" s="70"/>
      <c r="B409" s="3"/>
      <c r="C409" s="3"/>
      <c r="D409" s="3"/>
      <c r="E409" s="3"/>
      <c r="F409" s="3"/>
      <c r="G409" s="3"/>
      <c r="H409" s="3"/>
      <c r="I409" s="3"/>
      <c r="J409" s="3"/>
      <c r="K409" s="70"/>
      <c r="L409" s="3"/>
      <c r="M409" s="70"/>
      <c r="N409" s="5"/>
      <c r="R409" s="70"/>
      <c r="S409" s="3"/>
    </row>
    <row r="410">
      <c r="A410" s="70"/>
      <c r="B410" s="3"/>
      <c r="C410" s="3"/>
      <c r="D410" s="3"/>
      <c r="E410" s="3"/>
      <c r="F410" s="3"/>
      <c r="G410" s="3"/>
      <c r="H410" s="3"/>
      <c r="I410" s="3"/>
      <c r="J410" s="3"/>
      <c r="K410" s="70"/>
      <c r="L410" s="3"/>
      <c r="M410" s="70"/>
      <c r="N410" s="5"/>
      <c r="R410" s="70"/>
      <c r="S410" s="3"/>
    </row>
    <row r="411">
      <c r="A411" s="70"/>
      <c r="B411" s="3"/>
      <c r="C411" s="3"/>
      <c r="D411" s="3"/>
      <c r="E411" s="3"/>
      <c r="F411" s="3"/>
      <c r="G411" s="3"/>
      <c r="H411" s="3"/>
      <c r="I411" s="3"/>
      <c r="J411" s="3"/>
      <c r="K411" s="70"/>
      <c r="L411" s="3"/>
      <c r="M411" s="70"/>
      <c r="N411" s="5"/>
      <c r="R411" s="70"/>
      <c r="S411" s="3"/>
    </row>
    <row r="412">
      <c r="A412" s="70"/>
      <c r="B412" s="3"/>
      <c r="C412" s="3"/>
      <c r="D412" s="3"/>
      <c r="E412" s="3"/>
      <c r="F412" s="3"/>
      <c r="G412" s="3"/>
      <c r="H412" s="3"/>
      <c r="I412" s="3"/>
      <c r="J412" s="3"/>
      <c r="K412" s="70"/>
      <c r="L412" s="3"/>
      <c r="M412" s="70"/>
      <c r="N412" s="5"/>
      <c r="R412" s="70"/>
      <c r="S412" s="3"/>
    </row>
    <row r="413">
      <c r="A413" s="70"/>
      <c r="B413" s="3"/>
      <c r="C413" s="3"/>
      <c r="D413" s="3"/>
      <c r="E413" s="3"/>
      <c r="F413" s="3"/>
      <c r="G413" s="3"/>
      <c r="H413" s="3"/>
      <c r="I413" s="3"/>
      <c r="J413" s="3"/>
      <c r="K413" s="70"/>
      <c r="L413" s="3"/>
      <c r="M413" s="70"/>
      <c r="N413" s="5"/>
      <c r="R413" s="70"/>
      <c r="S413" s="3"/>
    </row>
    <row r="414">
      <c r="A414" s="70"/>
      <c r="B414" s="3"/>
      <c r="C414" s="3"/>
      <c r="D414" s="3"/>
      <c r="E414" s="3"/>
      <c r="F414" s="3"/>
      <c r="G414" s="3"/>
      <c r="H414" s="3"/>
      <c r="I414" s="3"/>
      <c r="J414" s="3"/>
      <c r="K414" s="70"/>
      <c r="L414" s="3"/>
      <c r="M414" s="70"/>
      <c r="N414" s="5"/>
      <c r="R414" s="70"/>
      <c r="S414" s="3"/>
    </row>
    <row r="415">
      <c r="A415" s="70"/>
      <c r="B415" s="3"/>
      <c r="C415" s="3"/>
      <c r="D415" s="3"/>
      <c r="E415" s="3"/>
      <c r="F415" s="3"/>
      <c r="G415" s="3"/>
      <c r="H415" s="3"/>
      <c r="I415" s="3"/>
      <c r="J415" s="3"/>
      <c r="K415" s="70"/>
      <c r="L415" s="3"/>
      <c r="M415" s="70"/>
      <c r="N415" s="5"/>
      <c r="R415" s="70"/>
      <c r="S415" s="3"/>
    </row>
    <row r="416">
      <c r="A416" s="70"/>
      <c r="B416" s="3"/>
      <c r="C416" s="3"/>
      <c r="D416" s="3"/>
      <c r="E416" s="3"/>
      <c r="F416" s="3"/>
      <c r="G416" s="3"/>
      <c r="H416" s="3"/>
      <c r="I416" s="3"/>
      <c r="J416" s="3"/>
      <c r="K416" s="70"/>
      <c r="L416" s="3"/>
      <c r="M416" s="70"/>
      <c r="N416" s="5"/>
      <c r="R416" s="70"/>
      <c r="S416" s="3"/>
    </row>
    <row r="417">
      <c r="A417" s="70"/>
      <c r="B417" s="3"/>
      <c r="C417" s="3"/>
      <c r="D417" s="3"/>
      <c r="E417" s="3"/>
      <c r="F417" s="3"/>
      <c r="G417" s="3"/>
      <c r="H417" s="3"/>
      <c r="I417" s="3"/>
      <c r="J417" s="3"/>
      <c r="K417" s="70"/>
      <c r="L417" s="3"/>
      <c r="M417" s="70"/>
      <c r="N417" s="5"/>
      <c r="R417" s="70"/>
      <c r="S417" s="3"/>
    </row>
    <row r="418">
      <c r="A418" s="70"/>
      <c r="B418" s="3"/>
      <c r="C418" s="3"/>
      <c r="D418" s="3"/>
      <c r="E418" s="3"/>
      <c r="F418" s="3"/>
      <c r="G418" s="3"/>
      <c r="H418" s="3"/>
      <c r="I418" s="3"/>
      <c r="J418" s="3"/>
      <c r="K418" s="70"/>
      <c r="L418" s="3"/>
      <c r="M418" s="70"/>
      <c r="N418" s="5"/>
      <c r="R418" s="70"/>
      <c r="S418" s="3"/>
    </row>
    <row r="419">
      <c r="A419" s="70"/>
      <c r="B419" s="3"/>
      <c r="C419" s="3"/>
      <c r="D419" s="3"/>
      <c r="E419" s="3"/>
      <c r="F419" s="3"/>
      <c r="G419" s="3"/>
      <c r="H419" s="3"/>
      <c r="I419" s="3"/>
      <c r="J419" s="3"/>
      <c r="K419" s="70"/>
      <c r="L419" s="3"/>
      <c r="M419" s="70"/>
      <c r="N419" s="5"/>
      <c r="R419" s="70"/>
      <c r="S419" s="3"/>
    </row>
    <row r="420">
      <c r="A420" s="70"/>
      <c r="B420" s="3"/>
      <c r="C420" s="3"/>
      <c r="D420" s="3"/>
      <c r="E420" s="3"/>
      <c r="F420" s="3"/>
      <c r="G420" s="3"/>
      <c r="H420" s="3"/>
      <c r="I420" s="3"/>
      <c r="J420" s="3"/>
      <c r="K420" s="70"/>
      <c r="L420" s="3"/>
      <c r="M420" s="70"/>
      <c r="N420" s="5"/>
      <c r="R420" s="70"/>
      <c r="S420" s="3"/>
    </row>
    <row r="421">
      <c r="A421" s="70"/>
      <c r="B421" s="3"/>
      <c r="C421" s="3"/>
      <c r="D421" s="3"/>
      <c r="E421" s="3"/>
      <c r="F421" s="3"/>
      <c r="G421" s="3"/>
      <c r="H421" s="3"/>
      <c r="I421" s="3"/>
      <c r="J421" s="3"/>
      <c r="K421" s="70"/>
      <c r="L421" s="3"/>
      <c r="M421" s="70"/>
      <c r="N421" s="5"/>
      <c r="R421" s="70"/>
      <c r="S421" s="3"/>
    </row>
    <row r="422">
      <c r="A422" s="70"/>
      <c r="B422" s="3"/>
      <c r="C422" s="3"/>
      <c r="D422" s="3"/>
      <c r="E422" s="3"/>
      <c r="F422" s="3"/>
      <c r="G422" s="3"/>
      <c r="H422" s="3"/>
      <c r="I422" s="3"/>
      <c r="J422" s="3"/>
      <c r="K422" s="70"/>
      <c r="L422" s="3"/>
      <c r="M422" s="70"/>
      <c r="N422" s="5"/>
      <c r="R422" s="70"/>
      <c r="S422" s="3"/>
    </row>
    <row r="423">
      <c r="A423" s="70"/>
      <c r="B423" s="3"/>
      <c r="C423" s="3"/>
      <c r="D423" s="3"/>
      <c r="E423" s="3"/>
      <c r="F423" s="3"/>
      <c r="G423" s="3"/>
      <c r="H423" s="3"/>
      <c r="I423" s="3"/>
      <c r="J423" s="3"/>
      <c r="K423" s="70"/>
      <c r="L423" s="3"/>
      <c r="M423" s="70"/>
      <c r="N423" s="5"/>
      <c r="R423" s="70"/>
      <c r="S423" s="3"/>
    </row>
    <row r="424">
      <c r="A424" s="70"/>
      <c r="B424" s="3"/>
      <c r="C424" s="3"/>
      <c r="D424" s="3"/>
      <c r="E424" s="3"/>
      <c r="F424" s="3"/>
      <c r="G424" s="3"/>
      <c r="H424" s="3"/>
      <c r="I424" s="3"/>
      <c r="J424" s="3"/>
      <c r="K424" s="70"/>
      <c r="L424" s="3"/>
      <c r="M424" s="70"/>
      <c r="N424" s="5"/>
      <c r="R424" s="70"/>
      <c r="S424" s="3"/>
    </row>
    <row r="425">
      <c r="A425" s="70"/>
      <c r="B425" s="3"/>
      <c r="C425" s="3"/>
      <c r="D425" s="3"/>
      <c r="E425" s="3"/>
      <c r="F425" s="3"/>
      <c r="G425" s="3"/>
      <c r="H425" s="3"/>
      <c r="I425" s="3"/>
      <c r="J425" s="3"/>
      <c r="K425" s="70"/>
      <c r="L425" s="3"/>
      <c r="M425" s="70"/>
      <c r="N425" s="5"/>
      <c r="R425" s="70"/>
      <c r="S425" s="3"/>
    </row>
    <row r="426">
      <c r="A426" s="70"/>
      <c r="B426" s="3"/>
      <c r="C426" s="3"/>
      <c r="D426" s="3"/>
      <c r="E426" s="3"/>
      <c r="F426" s="3"/>
      <c r="G426" s="3"/>
      <c r="H426" s="3"/>
      <c r="I426" s="3"/>
      <c r="J426" s="3"/>
      <c r="K426" s="70"/>
      <c r="L426" s="3"/>
      <c r="M426" s="70"/>
      <c r="N426" s="5"/>
      <c r="R426" s="70"/>
      <c r="S426" s="3"/>
    </row>
    <row r="427">
      <c r="A427" s="70"/>
      <c r="B427" s="3"/>
      <c r="C427" s="3"/>
      <c r="D427" s="3"/>
      <c r="E427" s="3"/>
      <c r="F427" s="3"/>
      <c r="G427" s="3"/>
      <c r="H427" s="3"/>
      <c r="I427" s="3"/>
      <c r="J427" s="3"/>
      <c r="K427" s="70"/>
      <c r="L427" s="3"/>
      <c r="M427" s="70"/>
      <c r="N427" s="5"/>
      <c r="R427" s="70"/>
      <c r="S427" s="3"/>
    </row>
    <row r="428">
      <c r="A428" s="70"/>
      <c r="B428" s="3"/>
      <c r="C428" s="3"/>
      <c r="D428" s="3"/>
      <c r="E428" s="3"/>
      <c r="F428" s="3"/>
      <c r="G428" s="3"/>
      <c r="H428" s="3"/>
      <c r="I428" s="3"/>
      <c r="J428" s="3"/>
      <c r="K428" s="70"/>
      <c r="L428" s="3"/>
      <c r="M428" s="70"/>
      <c r="N428" s="5"/>
      <c r="R428" s="70"/>
      <c r="S428" s="3"/>
    </row>
    <row r="429">
      <c r="A429" s="70"/>
      <c r="B429" s="3"/>
      <c r="C429" s="3"/>
      <c r="D429" s="3"/>
      <c r="E429" s="3"/>
      <c r="F429" s="3"/>
      <c r="G429" s="3"/>
      <c r="H429" s="3"/>
      <c r="I429" s="3"/>
      <c r="J429" s="3"/>
      <c r="K429" s="70"/>
      <c r="L429" s="3"/>
      <c r="M429" s="70"/>
      <c r="N429" s="5"/>
      <c r="R429" s="70"/>
      <c r="S429" s="3"/>
    </row>
    <row r="430">
      <c r="A430" s="70"/>
      <c r="B430" s="3"/>
      <c r="C430" s="3"/>
      <c r="D430" s="3"/>
      <c r="E430" s="3"/>
      <c r="F430" s="3"/>
      <c r="G430" s="3"/>
      <c r="H430" s="3"/>
      <c r="I430" s="3"/>
      <c r="J430" s="3"/>
      <c r="K430" s="70"/>
      <c r="L430" s="3"/>
      <c r="M430" s="70"/>
      <c r="N430" s="5"/>
      <c r="R430" s="70"/>
      <c r="S430" s="3"/>
    </row>
    <row r="431">
      <c r="A431" s="70"/>
      <c r="B431" s="3"/>
      <c r="C431" s="3"/>
      <c r="D431" s="3"/>
      <c r="E431" s="3"/>
      <c r="F431" s="3"/>
      <c r="G431" s="3"/>
      <c r="H431" s="3"/>
      <c r="I431" s="3"/>
      <c r="J431" s="3"/>
      <c r="K431" s="70"/>
      <c r="L431" s="3"/>
      <c r="M431" s="70"/>
      <c r="N431" s="5"/>
      <c r="R431" s="70"/>
      <c r="S431" s="3"/>
    </row>
    <row r="432">
      <c r="A432" s="70"/>
      <c r="B432" s="3"/>
      <c r="C432" s="3"/>
      <c r="D432" s="3"/>
      <c r="E432" s="3"/>
      <c r="F432" s="3"/>
      <c r="G432" s="3"/>
      <c r="H432" s="3"/>
      <c r="I432" s="3"/>
      <c r="J432" s="3"/>
      <c r="K432" s="70"/>
      <c r="L432" s="3"/>
      <c r="M432" s="70"/>
      <c r="N432" s="5"/>
      <c r="R432" s="70"/>
      <c r="S432" s="3"/>
    </row>
    <row r="433">
      <c r="A433" s="70"/>
      <c r="B433" s="3"/>
      <c r="C433" s="3"/>
      <c r="D433" s="3"/>
      <c r="E433" s="3"/>
      <c r="F433" s="3"/>
      <c r="G433" s="3"/>
      <c r="H433" s="3"/>
      <c r="I433" s="3"/>
      <c r="J433" s="3"/>
      <c r="K433" s="70"/>
      <c r="L433" s="3"/>
      <c r="M433" s="70"/>
      <c r="N433" s="5"/>
      <c r="R433" s="70"/>
      <c r="S433" s="3"/>
    </row>
    <row r="434">
      <c r="A434" s="70"/>
      <c r="B434" s="3"/>
      <c r="C434" s="3"/>
      <c r="D434" s="3"/>
      <c r="E434" s="3"/>
      <c r="F434" s="3"/>
      <c r="G434" s="3"/>
      <c r="H434" s="3"/>
      <c r="I434" s="3"/>
      <c r="J434" s="3"/>
      <c r="K434" s="70"/>
      <c r="L434" s="3"/>
      <c r="M434" s="70"/>
      <c r="N434" s="5"/>
      <c r="R434" s="70"/>
      <c r="S434" s="3"/>
    </row>
    <row r="435">
      <c r="A435" s="70"/>
      <c r="B435" s="3"/>
      <c r="C435" s="3"/>
      <c r="D435" s="3"/>
      <c r="E435" s="3"/>
      <c r="F435" s="3"/>
      <c r="G435" s="3"/>
      <c r="H435" s="3"/>
      <c r="I435" s="3"/>
      <c r="J435" s="3"/>
      <c r="K435" s="70"/>
      <c r="L435" s="3"/>
      <c r="M435" s="70"/>
      <c r="N435" s="5"/>
      <c r="R435" s="70"/>
      <c r="S435" s="3"/>
    </row>
    <row r="436">
      <c r="A436" s="70"/>
      <c r="B436" s="3"/>
      <c r="C436" s="3"/>
      <c r="D436" s="3"/>
      <c r="E436" s="3"/>
      <c r="F436" s="3"/>
      <c r="G436" s="3"/>
      <c r="H436" s="3"/>
      <c r="I436" s="3"/>
      <c r="J436" s="3"/>
      <c r="K436" s="70"/>
      <c r="L436" s="3"/>
      <c r="M436" s="70"/>
      <c r="N436" s="5"/>
      <c r="R436" s="70"/>
      <c r="S436" s="3"/>
    </row>
    <row r="437">
      <c r="A437" s="70"/>
      <c r="B437" s="3"/>
      <c r="C437" s="3"/>
      <c r="D437" s="3"/>
      <c r="E437" s="3"/>
      <c r="F437" s="3"/>
      <c r="G437" s="3"/>
      <c r="H437" s="3"/>
      <c r="I437" s="3"/>
      <c r="J437" s="3"/>
      <c r="K437" s="70"/>
      <c r="L437" s="3"/>
      <c r="M437" s="70"/>
      <c r="N437" s="5"/>
      <c r="R437" s="70"/>
      <c r="S437" s="3"/>
    </row>
    <row r="438">
      <c r="A438" s="70"/>
      <c r="B438" s="3"/>
      <c r="C438" s="3"/>
      <c r="D438" s="3"/>
      <c r="E438" s="3"/>
      <c r="F438" s="3"/>
      <c r="G438" s="3"/>
      <c r="H438" s="3"/>
      <c r="I438" s="3"/>
      <c r="J438" s="3"/>
      <c r="K438" s="70"/>
      <c r="L438" s="3"/>
      <c r="M438" s="70"/>
      <c r="N438" s="5"/>
      <c r="R438" s="70"/>
      <c r="S438" s="3"/>
    </row>
    <row r="439">
      <c r="A439" s="70"/>
      <c r="B439" s="3"/>
      <c r="C439" s="3"/>
      <c r="D439" s="3"/>
      <c r="E439" s="3"/>
      <c r="F439" s="3"/>
      <c r="G439" s="3"/>
      <c r="H439" s="3"/>
      <c r="I439" s="3"/>
      <c r="J439" s="3"/>
      <c r="K439" s="70"/>
      <c r="L439" s="3"/>
      <c r="M439" s="70"/>
      <c r="N439" s="5"/>
      <c r="R439" s="70"/>
      <c r="S439" s="3"/>
    </row>
    <row r="440">
      <c r="A440" s="70"/>
      <c r="B440" s="3"/>
      <c r="C440" s="3"/>
      <c r="D440" s="3"/>
      <c r="E440" s="3"/>
      <c r="F440" s="3"/>
      <c r="G440" s="3"/>
      <c r="H440" s="3"/>
      <c r="I440" s="3"/>
      <c r="J440" s="3"/>
      <c r="K440" s="70"/>
      <c r="L440" s="3"/>
      <c r="M440" s="70"/>
      <c r="N440" s="5"/>
      <c r="R440" s="70"/>
      <c r="S440" s="3"/>
    </row>
    <row r="441">
      <c r="A441" s="70"/>
      <c r="B441" s="3"/>
      <c r="C441" s="3"/>
      <c r="D441" s="3"/>
      <c r="E441" s="3"/>
      <c r="F441" s="3"/>
      <c r="G441" s="3"/>
      <c r="H441" s="3"/>
      <c r="I441" s="3"/>
      <c r="J441" s="3"/>
      <c r="K441" s="70"/>
      <c r="L441" s="3"/>
      <c r="M441" s="70"/>
      <c r="N441" s="5"/>
      <c r="R441" s="70"/>
      <c r="S441" s="3"/>
    </row>
    <row r="442">
      <c r="A442" s="70"/>
      <c r="B442" s="3"/>
      <c r="C442" s="3"/>
      <c r="D442" s="3"/>
      <c r="E442" s="3"/>
      <c r="F442" s="3"/>
      <c r="G442" s="3"/>
      <c r="H442" s="3"/>
      <c r="I442" s="3"/>
      <c r="J442" s="3"/>
      <c r="K442" s="70"/>
      <c r="L442" s="3"/>
      <c r="M442" s="70"/>
      <c r="N442" s="5"/>
      <c r="R442" s="70"/>
      <c r="S442" s="3"/>
    </row>
    <row r="443">
      <c r="A443" s="70"/>
      <c r="B443" s="3"/>
      <c r="C443" s="3"/>
      <c r="D443" s="3"/>
      <c r="E443" s="3"/>
      <c r="F443" s="3"/>
      <c r="G443" s="3"/>
      <c r="H443" s="3"/>
      <c r="I443" s="3"/>
      <c r="J443" s="3"/>
      <c r="K443" s="70"/>
      <c r="L443" s="3"/>
      <c r="M443" s="70"/>
      <c r="N443" s="5"/>
      <c r="R443" s="70"/>
      <c r="S443" s="3"/>
    </row>
    <row r="444">
      <c r="A444" s="70"/>
      <c r="B444" s="3"/>
      <c r="C444" s="3"/>
      <c r="D444" s="3"/>
      <c r="E444" s="3"/>
      <c r="F444" s="3"/>
      <c r="G444" s="3"/>
      <c r="H444" s="3"/>
      <c r="I444" s="3"/>
      <c r="J444" s="3"/>
      <c r="K444" s="70"/>
      <c r="L444" s="3"/>
      <c r="M444" s="70"/>
      <c r="N444" s="5"/>
      <c r="R444" s="70"/>
      <c r="S444" s="3"/>
    </row>
    <row r="445">
      <c r="A445" s="70"/>
      <c r="B445" s="3"/>
      <c r="C445" s="3"/>
      <c r="D445" s="3"/>
      <c r="E445" s="3"/>
      <c r="F445" s="3"/>
      <c r="G445" s="3"/>
      <c r="H445" s="3"/>
      <c r="I445" s="3"/>
      <c r="J445" s="3"/>
      <c r="K445" s="70"/>
      <c r="L445" s="3"/>
      <c r="M445" s="70"/>
      <c r="N445" s="5"/>
      <c r="R445" s="70"/>
      <c r="S445" s="3"/>
    </row>
    <row r="446">
      <c r="A446" s="70"/>
      <c r="B446" s="3"/>
      <c r="C446" s="3"/>
      <c r="D446" s="3"/>
      <c r="E446" s="3"/>
      <c r="F446" s="3"/>
      <c r="G446" s="3"/>
      <c r="H446" s="3"/>
      <c r="I446" s="3"/>
      <c r="J446" s="3"/>
      <c r="K446" s="70"/>
      <c r="L446" s="3"/>
      <c r="M446" s="70"/>
      <c r="N446" s="5"/>
      <c r="R446" s="70"/>
      <c r="S446" s="3"/>
    </row>
    <row r="447">
      <c r="A447" s="70"/>
      <c r="B447" s="3"/>
      <c r="C447" s="3"/>
      <c r="D447" s="3"/>
      <c r="E447" s="3"/>
      <c r="F447" s="3"/>
      <c r="G447" s="3"/>
      <c r="H447" s="3"/>
      <c r="I447" s="3"/>
      <c r="J447" s="3"/>
      <c r="K447" s="70"/>
      <c r="L447" s="3"/>
      <c r="M447" s="70"/>
      <c r="N447" s="5"/>
      <c r="R447" s="70"/>
      <c r="S447" s="3"/>
    </row>
    <row r="448">
      <c r="A448" s="70"/>
      <c r="B448" s="3"/>
      <c r="C448" s="3"/>
      <c r="D448" s="3"/>
      <c r="E448" s="3"/>
      <c r="F448" s="3"/>
      <c r="G448" s="3"/>
      <c r="H448" s="3"/>
      <c r="I448" s="3"/>
      <c r="J448" s="3"/>
      <c r="K448" s="70"/>
      <c r="L448" s="3"/>
      <c r="M448" s="70"/>
      <c r="N448" s="5"/>
      <c r="R448" s="70"/>
      <c r="S448" s="3"/>
    </row>
    <row r="449">
      <c r="A449" s="70"/>
      <c r="B449" s="3"/>
      <c r="C449" s="3"/>
      <c r="D449" s="3"/>
      <c r="E449" s="3"/>
      <c r="F449" s="3"/>
      <c r="G449" s="3"/>
      <c r="H449" s="3"/>
      <c r="I449" s="3"/>
      <c r="J449" s="3"/>
      <c r="K449" s="70"/>
      <c r="L449" s="3"/>
      <c r="M449" s="70"/>
      <c r="N449" s="5"/>
      <c r="R449" s="70"/>
      <c r="S449" s="3"/>
    </row>
    <row r="450">
      <c r="A450" s="70"/>
      <c r="B450" s="3"/>
      <c r="C450" s="3"/>
      <c r="D450" s="3"/>
      <c r="E450" s="3"/>
      <c r="F450" s="3"/>
      <c r="G450" s="3"/>
      <c r="H450" s="3"/>
      <c r="I450" s="3"/>
      <c r="J450" s="3"/>
      <c r="K450" s="70"/>
      <c r="L450" s="3"/>
      <c r="M450" s="70"/>
      <c r="N450" s="5"/>
      <c r="R450" s="70"/>
      <c r="S450" s="3"/>
    </row>
    <row r="451">
      <c r="A451" s="70"/>
      <c r="B451" s="3"/>
      <c r="C451" s="3"/>
      <c r="D451" s="3"/>
      <c r="E451" s="3"/>
      <c r="F451" s="3"/>
      <c r="G451" s="3"/>
      <c r="H451" s="3"/>
      <c r="I451" s="3"/>
      <c r="J451" s="3"/>
      <c r="K451" s="70"/>
      <c r="L451" s="3"/>
      <c r="M451" s="70"/>
      <c r="N451" s="5"/>
      <c r="R451" s="70"/>
      <c r="S451" s="3"/>
    </row>
    <row r="452">
      <c r="A452" s="70"/>
      <c r="B452" s="3"/>
      <c r="C452" s="3"/>
      <c r="D452" s="3"/>
      <c r="E452" s="3"/>
      <c r="F452" s="3"/>
      <c r="G452" s="3"/>
      <c r="H452" s="3"/>
      <c r="I452" s="3"/>
      <c r="J452" s="3"/>
      <c r="K452" s="70"/>
      <c r="L452" s="3"/>
      <c r="M452" s="70"/>
      <c r="N452" s="5"/>
      <c r="R452" s="70"/>
      <c r="S452" s="3"/>
    </row>
    <row r="453">
      <c r="A453" s="70"/>
      <c r="B453" s="3"/>
      <c r="C453" s="3"/>
      <c r="D453" s="3"/>
      <c r="E453" s="3"/>
      <c r="F453" s="3"/>
      <c r="G453" s="3"/>
      <c r="H453" s="3"/>
      <c r="I453" s="3"/>
      <c r="J453" s="3"/>
      <c r="K453" s="70"/>
      <c r="L453" s="3"/>
      <c r="M453" s="70"/>
      <c r="N453" s="5"/>
      <c r="R453" s="70"/>
      <c r="S453" s="3"/>
    </row>
    <row r="454">
      <c r="A454" s="70"/>
      <c r="B454" s="3"/>
      <c r="C454" s="3"/>
      <c r="D454" s="3"/>
      <c r="E454" s="3"/>
      <c r="F454" s="3"/>
      <c r="G454" s="3"/>
      <c r="H454" s="3"/>
      <c r="I454" s="3"/>
      <c r="J454" s="3"/>
      <c r="K454" s="70"/>
      <c r="L454" s="3"/>
      <c r="M454" s="70"/>
      <c r="N454" s="5"/>
      <c r="R454" s="70"/>
      <c r="S454" s="3"/>
    </row>
    <row r="455">
      <c r="A455" s="70"/>
      <c r="B455" s="3"/>
      <c r="C455" s="3"/>
      <c r="D455" s="3"/>
      <c r="E455" s="3"/>
      <c r="F455" s="3"/>
      <c r="G455" s="3"/>
      <c r="H455" s="3"/>
      <c r="I455" s="3"/>
      <c r="J455" s="3"/>
      <c r="K455" s="70"/>
      <c r="L455" s="3"/>
      <c r="M455" s="70"/>
      <c r="N455" s="5"/>
      <c r="R455" s="70"/>
      <c r="S455" s="3"/>
    </row>
    <row r="456">
      <c r="A456" s="70"/>
      <c r="B456" s="3"/>
      <c r="C456" s="3"/>
      <c r="D456" s="3"/>
      <c r="E456" s="3"/>
      <c r="F456" s="3"/>
      <c r="G456" s="3"/>
      <c r="H456" s="3"/>
      <c r="I456" s="3"/>
      <c r="J456" s="3"/>
      <c r="K456" s="70"/>
      <c r="L456" s="3"/>
      <c r="M456" s="70"/>
      <c r="N456" s="5"/>
      <c r="R456" s="70"/>
      <c r="S456" s="3"/>
    </row>
    <row r="457">
      <c r="A457" s="70"/>
      <c r="B457" s="3"/>
      <c r="C457" s="3"/>
      <c r="D457" s="3"/>
      <c r="E457" s="3"/>
      <c r="F457" s="3"/>
      <c r="G457" s="3"/>
      <c r="H457" s="3"/>
      <c r="I457" s="3"/>
      <c r="J457" s="3"/>
      <c r="K457" s="70"/>
      <c r="L457" s="3"/>
      <c r="M457" s="70"/>
      <c r="N457" s="5"/>
      <c r="R457" s="70"/>
      <c r="S457" s="3"/>
    </row>
    <row r="458">
      <c r="A458" s="70"/>
      <c r="B458" s="3"/>
      <c r="C458" s="3"/>
      <c r="D458" s="3"/>
      <c r="E458" s="3"/>
      <c r="F458" s="3"/>
      <c r="G458" s="3"/>
      <c r="H458" s="3"/>
      <c r="I458" s="3"/>
      <c r="J458" s="3"/>
      <c r="K458" s="70"/>
      <c r="L458" s="3"/>
      <c r="M458" s="70"/>
      <c r="N458" s="5"/>
      <c r="R458" s="70"/>
      <c r="S458" s="3"/>
    </row>
    <row r="459">
      <c r="A459" s="70"/>
      <c r="B459" s="3"/>
      <c r="C459" s="3"/>
      <c r="D459" s="3"/>
      <c r="E459" s="3"/>
      <c r="F459" s="3"/>
      <c r="G459" s="3"/>
      <c r="H459" s="3"/>
      <c r="I459" s="3"/>
      <c r="J459" s="3"/>
      <c r="K459" s="70"/>
      <c r="L459" s="3"/>
      <c r="M459" s="70"/>
      <c r="N459" s="5"/>
      <c r="R459" s="70"/>
      <c r="S459" s="3"/>
    </row>
    <row r="460">
      <c r="A460" s="70"/>
      <c r="B460" s="3"/>
      <c r="C460" s="3"/>
      <c r="D460" s="3"/>
      <c r="E460" s="3"/>
      <c r="F460" s="3"/>
      <c r="G460" s="3"/>
      <c r="H460" s="3"/>
      <c r="I460" s="3"/>
      <c r="J460" s="3"/>
      <c r="K460" s="70"/>
      <c r="L460" s="3"/>
      <c r="M460" s="70"/>
      <c r="N460" s="5"/>
      <c r="R460" s="70"/>
      <c r="S460" s="3"/>
    </row>
    <row r="461">
      <c r="A461" s="70"/>
      <c r="B461" s="3"/>
      <c r="C461" s="3"/>
      <c r="D461" s="3"/>
      <c r="E461" s="3"/>
      <c r="F461" s="3"/>
      <c r="G461" s="3"/>
      <c r="H461" s="3"/>
      <c r="I461" s="3"/>
      <c r="J461" s="3"/>
      <c r="K461" s="70"/>
      <c r="L461" s="3"/>
      <c r="M461" s="70"/>
      <c r="N461" s="5"/>
      <c r="R461" s="70"/>
      <c r="S461" s="3"/>
    </row>
    <row r="462">
      <c r="A462" s="70"/>
      <c r="B462" s="3"/>
      <c r="C462" s="3"/>
      <c r="D462" s="3"/>
      <c r="E462" s="3"/>
      <c r="F462" s="3"/>
      <c r="G462" s="3"/>
      <c r="H462" s="3"/>
      <c r="I462" s="3"/>
      <c r="J462" s="3"/>
      <c r="K462" s="70"/>
      <c r="L462" s="3"/>
      <c r="M462" s="70"/>
      <c r="N462" s="5"/>
      <c r="R462" s="70"/>
      <c r="S462" s="3"/>
    </row>
    <row r="463">
      <c r="A463" s="70"/>
      <c r="B463" s="3"/>
      <c r="C463" s="3"/>
      <c r="D463" s="3"/>
      <c r="E463" s="3"/>
      <c r="F463" s="3"/>
      <c r="G463" s="3"/>
      <c r="H463" s="3"/>
      <c r="I463" s="3"/>
      <c r="J463" s="3"/>
      <c r="K463" s="70"/>
      <c r="L463" s="3"/>
      <c r="M463" s="70"/>
      <c r="N463" s="5"/>
      <c r="R463" s="70"/>
      <c r="S463" s="3"/>
    </row>
    <row r="464">
      <c r="A464" s="70"/>
      <c r="B464" s="3"/>
      <c r="C464" s="3"/>
      <c r="D464" s="3"/>
      <c r="E464" s="3"/>
      <c r="F464" s="3"/>
      <c r="G464" s="3"/>
      <c r="H464" s="3"/>
      <c r="I464" s="3"/>
      <c r="J464" s="3"/>
      <c r="K464" s="70"/>
      <c r="L464" s="3"/>
      <c r="M464" s="70"/>
      <c r="N464" s="5"/>
      <c r="R464" s="70"/>
      <c r="S464" s="3"/>
    </row>
    <row r="465">
      <c r="A465" s="70"/>
      <c r="B465" s="3"/>
      <c r="C465" s="3"/>
      <c r="D465" s="3"/>
      <c r="E465" s="3"/>
      <c r="F465" s="3"/>
      <c r="G465" s="3"/>
      <c r="H465" s="3"/>
      <c r="I465" s="3"/>
      <c r="J465" s="3"/>
      <c r="K465" s="70"/>
      <c r="L465" s="3"/>
      <c r="M465" s="70"/>
      <c r="N465" s="5"/>
      <c r="R465" s="70"/>
      <c r="S465" s="3"/>
    </row>
    <row r="466">
      <c r="A466" s="70"/>
      <c r="B466" s="3"/>
      <c r="C466" s="3"/>
      <c r="D466" s="3"/>
      <c r="E466" s="3"/>
      <c r="F466" s="3"/>
      <c r="G466" s="3"/>
      <c r="H466" s="3"/>
      <c r="I466" s="3"/>
      <c r="J466" s="3"/>
      <c r="K466" s="70"/>
      <c r="L466" s="3"/>
      <c r="M466" s="70"/>
      <c r="N466" s="5"/>
      <c r="R466" s="70"/>
      <c r="S466" s="3"/>
    </row>
    <row r="467">
      <c r="A467" s="70"/>
      <c r="B467" s="3"/>
      <c r="C467" s="3"/>
      <c r="D467" s="3"/>
      <c r="E467" s="3"/>
      <c r="F467" s="3"/>
      <c r="G467" s="3"/>
      <c r="H467" s="3"/>
      <c r="I467" s="3"/>
      <c r="J467" s="3"/>
      <c r="K467" s="70"/>
      <c r="L467" s="3"/>
      <c r="M467" s="70"/>
      <c r="N467" s="5"/>
      <c r="R467" s="70"/>
      <c r="S467" s="3"/>
    </row>
    <row r="468">
      <c r="A468" s="70"/>
      <c r="B468" s="3"/>
      <c r="C468" s="3"/>
      <c r="D468" s="3"/>
      <c r="E468" s="3"/>
      <c r="F468" s="3"/>
      <c r="G468" s="3"/>
      <c r="H468" s="3"/>
      <c r="I468" s="3"/>
      <c r="J468" s="3"/>
      <c r="K468" s="70"/>
      <c r="L468" s="3"/>
      <c r="M468" s="70"/>
      <c r="N468" s="5"/>
      <c r="R468" s="70"/>
      <c r="S468" s="3"/>
    </row>
    <row r="469">
      <c r="A469" s="70"/>
      <c r="B469" s="3"/>
      <c r="C469" s="3"/>
      <c r="D469" s="3"/>
      <c r="E469" s="3"/>
      <c r="F469" s="3"/>
      <c r="G469" s="3"/>
      <c r="H469" s="3"/>
      <c r="I469" s="3"/>
      <c r="J469" s="3"/>
      <c r="K469" s="70"/>
      <c r="L469" s="3"/>
      <c r="M469" s="70"/>
      <c r="N469" s="5"/>
      <c r="R469" s="70"/>
      <c r="S469" s="3"/>
    </row>
    <row r="470">
      <c r="A470" s="70"/>
      <c r="B470" s="3"/>
      <c r="C470" s="3"/>
      <c r="D470" s="3"/>
      <c r="E470" s="3"/>
      <c r="F470" s="3"/>
      <c r="G470" s="3"/>
      <c r="H470" s="3"/>
      <c r="I470" s="3"/>
      <c r="J470" s="3"/>
      <c r="K470" s="70"/>
      <c r="L470" s="3"/>
      <c r="M470" s="70"/>
      <c r="N470" s="5"/>
      <c r="R470" s="70"/>
      <c r="S470" s="3"/>
    </row>
    <row r="471">
      <c r="A471" s="70"/>
      <c r="B471" s="3"/>
      <c r="C471" s="3"/>
      <c r="D471" s="3"/>
      <c r="E471" s="3"/>
      <c r="F471" s="3"/>
      <c r="G471" s="3"/>
      <c r="H471" s="3"/>
      <c r="I471" s="3"/>
      <c r="J471" s="3"/>
      <c r="K471" s="70"/>
      <c r="L471" s="3"/>
      <c r="M471" s="70"/>
      <c r="N471" s="5"/>
      <c r="R471" s="70"/>
      <c r="S471" s="3"/>
    </row>
    <row r="472">
      <c r="A472" s="70"/>
      <c r="B472" s="3"/>
      <c r="C472" s="3"/>
      <c r="D472" s="3"/>
      <c r="E472" s="3"/>
      <c r="F472" s="3"/>
      <c r="G472" s="3"/>
      <c r="H472" s="3"/>
      <c r="I472" s="3"/>
      <c r="J472" s="3"/>
      <c r="K472" s="70"/>
      <c r="L472" s="3"/>
      <c r="M472" s="70"/>
      <c r="N472" s="5"/>
      <c r="R472" s="70"/>
      <c r="S472" s="3"/>
    </row>
    <row r="473">
      <c r="A473" s="70"/>
      <c r="B473" s="3"/>
      <c r="C473" s="3"/>
      <c r="D473" s="3"/>
      <c r="E473" s="3"/>
      <c r="F473" s="3"/>
      <c r="G473" s="3"/>
      <c r="H473" s="3"/>
      <c r="I473" s="3"/>
      <c r="J473" s="3"/>
      <c r="K473" s="70"/>
      <c r="L473" s="3"/>
      <c r="M473" s="70"/>
      <c r="N473" s="5"/>
      <c r="R473" s="70"/>
      <c r="S473" s="3"/>
    </row>
    <row r="474">
      <c r="A474" s="70"/>
      <c r="B474" s="3"/>
      <c r="C474" s="3"/>
      <c r="D474" s="3"/>
      <c r="E474" s="3"/>
      <c r="F474" s="3"/>
      <c r="G474" s="3"/>
      <c r="H474" s="3"/>
      <c r="I474" s="3"/>
      <c r="J474" s="3"/>
      <c r="K474" s="70"/>
      <c r="L474" s="3"/>
      <c r="M474" s="70"/>
      <c r="N474" s="5"/>
      <c r="R474" s="70"/>
      <c r="S474" s="3"/>
    </row>
    <row r="475">
      <c r="A475" s="70"/>
      <c r="B475" s="3"/>
      <c r="C475" s="3"/>
      <c r="D475" s="3"/>
      <c r="E475" s="3"/>
      <c r="F475" s="3"/>
      <c r="G475" s="3"/>
      <c r="H475" s="3"/>
      <c r="I475" s="3"/>
      <c r="J475" s="3"/>
      <c r="K475" s="70"/>
      <c r="L475" s="3"/>
      <c r="M475" s="70"/>
      <c r="N475" s="5"/>
      <c r="R475" s="70"/>
      <c r="S475" s="3"/>
    </row>
    <row r="476">
      <c r="A476" s="70"/>
      <c r="B476" s="3"/>
      <c r="C476" s="3"/>
      <c r="D476" s="3"/>
      <c r="E476" s="3"/>
      <c r="F476" s="3"/>
      <c r="G476" s="3"/>
      <c r="H476" s="3"/>
      <c r="I476" s="3"/>
      <c r="J476" s="3"/>
      <c r="K476" s="70"/>
      <c r="L476" s="3"/>
      <c r="M476" s="70"/>
      <c r="N476" s="5"/>
      <c r="R476" s="70"/>
      <c r="S476" s="3"/>
    </row>
    <row r="477">
      <c r="A477" s="70"/>
      <c r="B477" s="3"/>
      <c r="C477" s="3"/>
      <c r="D477" s="3"/>
      <c r="E477" s="3"/>
      <c r="F477" s="3"/>
      <c r="G477" s="3"/>
      <c r="H477" s="3"/>
      <c r="I477" s="3"/>
      <c r="J477" s="3"/>
      <c r="K477" s="70"/>
      <c r="L477" s="3"/>
      <c r="M477" s="70"/>
      <c r="N477" s="5"/>
      <c r="R477" s="70"/>
      <c r="S477" s="3"/>
    </row>
    <row r="478">
      <c r="A478" s="70"/>
      <c r="B478" s="3"/>
      <c r="C478" s="3"/>
      <c r="D478" s="3"/>
      <c r="E478" s="3"/>
      <c r="F478" s="3"/>
      <c r="G478" s="3"/>
      <c r="H478" s="3"/>
      <c r="I478" s="3"/>
      <c r="J478" s="3"/>
      <c r="K478" s="70"/>
      <c r="L478" s="3"/>
      <c r="M478" s="70"/>
      <c r="N478" s="5"/>
      <c r="R478" s="70"/>
      <c r="S478" s="3"/>
    </row>
    <row r="479">
      <c r="A479" s="70"/>
      <c r="B479" s="3"/>
      <c r="C479" s="3"/>
      <c r="D479" s="3"/>
      <c r="E479" s="3"/>
      <c r="F479" s="3"/>
      <c r="G479" s="3"/>
      <c r="H479" s="3"/>
      <c r="I479" s="3"/>
      <c r="J479" s="3"/>
      <c r="K479" s="70"/>
      <c r="L479" s="3"/>
      <c r="M479" s="70"/>
      <c r="N479" s="5"/>
      <c r="R479" s="70"/>
      <c r="S479" s="3"/>
    </row>
    <row r="480">
      <c r="A480" s="70"/>
      <c r="B480" s="3"/>
      <c r="C480" s="3"/>
      <c r="D480" s="3"/>
      <c r="E480" s="3"/>
      <c r="F480" s="3"/>
      <c r="G480" s="3"/>
      <c r="H480" s="3"/>
      <c r="I480" s="3"/>
      <c r="J480" s="3"/>
      <c r="K480" s="70"/>
      <c r="L480" s="3"/>
      <c r="M480" s="70"/>
      <c r="N480" s="5"/>
      <c r="R480" s="70"/>
      <c r="S480" s="3"/>
    </row>
    <row r="481">
      <c r="A481" s="70"/>
      <c r="B481" s="3"/>
      <c r="C481" s="3"/>
      <c r="D481" s="3"/>
      <c r="E481" s="3"/>
      <c r="F481" s="3"/>
      <c r="G481" s="3"/>
      <c r="H481" s="3"/>
      <c r="I481" s="3"/>
      <c r="J481" s="3"/>
      <c r="K481" s="70"/>
      <c r="L481" s="3"/>
      <c r="M481" s="70"/>
      <c r="N481" s="5"/>
      <c r="R481" s="70"/>
      <c r="S481" s="3"/>
    </row>
    <row r="482">
      <c r="A482" s="70"/>
      <c r="B482" s="3"/>
      <c r="C482" s="3"/>
      <c r="D482" s="3"/>
      <c r="E482" s="3"/>
      <c r="F482" s="3"/>
      <c r="G482" s="3"/>
      <c r="H482" s="3"/>
      <c r="I482" s="3"/>
      <c r="J482" s="3"/>
      <c r="K482" s="70"/>
      <c r="L482" s="3"/>
      <c r="M482" s="70"/>
      <c r="N482" s="5"/>
      <c r="R482" s="70"/>
      <c r="S482" s="3"/>
    </row>
    <row r="483">
      <c r="A483" s="70"/>
      <c r="B483" s="3"/>
      <c r="C483" s="3"/>
      <c r="D483" s="3"/>
      <c r="E483" s="3"/>
      <c r="F483" s="3"/>
      <c r="G483" s="3"/>
      <c r="H483" s="3"/>
      <c r="I483" s="3"/>
      <c r="J483" s="3"/>
      <c r="K483" s="70"/>
      <c r="L483" s="3"/>
      <c r="M483" s="70"/>
      <c r="N483" s="5"/>
      <c r="R483" s="70"/>
      <c r="S483" s="3"/>
    </row>
    <row r="484">
      <c r="A484" s="70"/>
      <c r="B484" s="3"/>
      <c r="C484" s="3"/>
      <c r="D484" s="3"/>
      <c r="E484" s="3"/>
      <c r="F484" s="3"/>
      <c r="G484" s="3"/>
      <c r="H484" s="3"/>
      <c r="I484" s="3"/>
      <c r="J484" s="3"/>
      <c r="K484" s="70"/>
      <c r="L484" s="3"/>
      <c r="M484" s="70"/>
      <c r="N484" s="5"/>
      <c r="R484" s="70"/>
      <c r="S484" s="3"/>
    </row>
    <row r="485">
      <c r="A485" s="70"/>
      <c r="B485" s="3"/>
      <c r="C485" s="3"/>
      <c r="D485" s="3"/>
      <c r="E485" s="3"/>
      <c r="F485" s="3"/>
      <c r="G485" s="3"/>
      <c r="H485" s="3"/>
      <c r="I485" s="3"/>
      <c r="J485" s="3"/>
      <c r="K485" s="70"/>
      <c r="L485" s="3"/>
      <c r="M485" s="70"/>
      <c r="N485" s="5"/>
      <c r="R485" s="70"/>
      <c r="S485" s="3"/>
    </row>
    <row r="486">
      <c r="A486" s="70"/>
      <c r="B486" s="3"/>
      <c r="C486" s="3"/>
      <c r="D486" s="3"/>
      <c r="E486" s="3"/>
      <c r="F486" s="3"/>
      <c r="G486" s="3"/>
      <c r="H486" s="3"/>
      <c r="I486" s="3"/>
      <c r="J486" s="3"/>
      <c r="K486" s="70"/>
      <c r="L486" s="3"/>
      <c r="M486" s="70"/>
      <c r="N486" s="5"/>
      <c r="R486" s="70"/>
      <c r="S486" s="3"/>
    </row>
    <row r="487">
      <c r="A487" s="70"/>
      <c r="B487" s="3"/>
      <c r="C487" s="3"/>
      <c r="D487" s="3"/>
      <c r="E487" s="3"/>
      <c r="F487" s="3"/>
      <c r="G487" s="3"/>
      <c r="H487" s="3"/>
      <c r="I487" s="3"/>
      <c r="J487" s="3"/>
      <c r="K487" s="70"/>
      <c r="L487" s="3"/>
      <c r="M487" s="70"/>
      <c r="N487" s="5"/>
      <c r="R487" s="70"/>
      <c r="S487" s="3"/>
    </row>
    <row r="488">
      <c r="A488" s="70"/>
      <c r="B488" s="3"/>
      <c r="C488" s="3"/>
      <c r="D488" s="3"/>
      <c r="E488" s="3"/>
      <c r="F488" s="3"/>
      <c r="G488" s="3"/>
      <c r="H488" s="3"/>
      <c r="I488" s="3"/>
      <c r="J488" s="3"/>
      <c r="K488" s="70"/>
      <c r="L488" s="3"/>
      <c r="M488" s="70"/>
      <c r="N488" s="5"/>
      <c r="R488" s="70"/>
      <c r="S488" s="3"/>
    </row>
    <row r="489">
      <c r="A489" s="70"/>
      <c r="B489" s="3"/>
      <c r="C489" s="3"/>
      <c r="D489" s="3"/>
      <c r="E489" s="3"/>
      <c r="F489" s="3"/>
      <c r="G489" s="3"/>
      <c r="H489" s="3"/>
      <c r="I489" s="3"/>
      <c r="J489" s="3"/>
      <c r="K489" s="70"/>
      <c r="L489" s="3"/>
      <c r="M489" s="70"/>
      <c r="N489" s="5"/>
      <c r="R489" s="70"/>
      <c r="S489" s="3"/>
    </row>
    <row r="490">
      <c r="A490" s="70"/>
      <c r="B490" s="3"/>
      <c r="C490" s="3"/>
      <c r="D490" s="3"/>
      <c r="E490" s="3"/>
      <c r="F490" s="3"/>
      <c r="G490" s="3"/>
      <c r="H490" s="3"/>
      <c r="I490" s="3"/>
      <c r="J490" s="3"/>
      <c r="K490" s="70"/>
      <c r="L490" s="3"/>
      <c r="M490" s="70"/>
      <c r="N490" s="5"/>
      <c r="R490" s="70"/>
      <c r="S490" s="3"/>
    </row>
    <row r="491">
      <c r="A491" s="70"/>
      <c r="B491" s="3"/>
      <c r="C491" s="3"/>
      <c r="D491" s="3"/>
      <c r="E491" s="3"/>
      <c r="F491" s="3"/>
      <c r="G491" s="3"/>
      <c r="H491" s="3"/>
      <c r="I491" s="3"/>
      <c r="J491" s="3"/>
      <c r="K491" s="70"/>
      <c r="L491" s="3"/>
      <c r="M491" s="70"/>
      <c r="N491" s="5"/>
      <c r="R491" s="70"/>
      <c r="S491" s="3"/>
    </row>
    <row r="492">
      <c r="A492" s="70"/>
      <c r="B492" s="3"/>
      <c r="C492" s="3"/>
      <c r="D492" s="3"/>
      <c r="E492" s="3"/>
      <c r="F492" s="3"/>
      <c r="G492" s="3"/>
      <c r="H492" s="3"/>
      <c r="I492" s="3"/>
      <c r="J492" s="3"/>
      <c r="K492" s="70"/>
      <c r="L492" s="3"/>
      <c r="M492" s="70"/>
      <c r="N492" s="5"/>
      <c r="R492" s="70"/>
      <c r="S492" s="3"/>
    </row>
    <row r="493">
      <c r="A493" s="70"/>
      <c r="B493" s="3"/>
      <c r="C493" s="3"/>
      <c r="D493" s="3"/>
      <c r="E493" s="3"/>
      <c r="F493" s="3"/>
      <c r="G493" s="3"/>
      <c r="H493" s="3"/>
      <c r="I493" s="3"/>
      <c r="J493" s="3"/>
      <c r="K493" s="70"/>
      <c r="L493" s="3"/>
      <c r="M493" s="70"/>
      <c r="N493" s="5"/>
      <c r="R493" s="70"/>
      <c r="S493" s="3"/>
    </row>
    <row r="494">
      <c r="A494" s="70"/>
      <c r="B494" s="3"/>
      <c r="C494" s="3"/>
      <c r="D494" s="3"/>
      <c r="E494" s="3"/>
      <c r="F494" s="3"/>
      <c r="G494" s="3"/>
      <c r="H494" s="3"/>
      <c r="I494" s="3"/>
      <c r="J494" s="3"/>
      <c r="K494" s="70"/>
      <c r="L494" s="3"/>
      <c r="M494" s="70"/>
      <c r="N494" s="5"/>
      <c r="R494" s="70"/>
      <c r="S494" s="3"/>
    </row>
    <row r="495">
      <c r="A495" s="70"/>
      <c r="B495" s="3"/>
      <c r="C495" s="3"/>
      <c r="D495" s="3"/>
      <c r="E495" s="3"/>
      <c r="F495" s="3"/>
      <c r="G495" s="3"/>
      <c r="H495" s="3"/>
      <c r="I495" s="3"/>
      <c r="J495" s="3"/>
      <c r="K495" s="70"/>
      <c r="L495" s="3"/>
      <c r="M495" s="70"/>
      <c r="N495" s="5"/>
      <c r="R495" s="70"/>
      <c r="S495" s="3"/>
    </row>
    <row r="496">
      <c r="A496" s="70"/>
      <c r="B496" s="3"/>
      <c r="C496" s="3"/>
      <c r="D496" s="3"/>
      <c r="E496" s="3"/>
      <c r="F496" s="3"/>
      <c r="G496" s="3"/>
      <c r="H496" s="3"/>
      <c r="I496" s="3"/>
      <c r="J496" s="3"/>
      <c r="K496" s="70"/>
      <c r="L496" s="3"/>
      <c r="M496" s="70"/>
      <c r="N496" s="5"/>
      <c r="R496" s="70"/>
      <c r="S496" s="3"/>
    </row>
    <row r="497">
      <c r="A497" s="70"/>
      <c r="B497" s="3"/>
      <c r="C497" s="3"/>
      <c r="D497" s="3"/>
      <c r="E497" s="3"/>
      <c r="F497" s="3"/>
      <c r="G497" s="3"/>
      <c r="H497" s="3"/>
      <c r="I497" s="3"/>
      <c r="J497" s="3"/>
      <c r="K497" s="70"/>
      <c r="L497" s="3"/>
      <c r="M497" s="70"/>
      <c r="N497" s="5"/>
      <c r="R497" s="70"/>
      <c r="S497" s="3"/>
    </row>
    <row r="498">
      <c r="A498" s="70"/>
      <c r="B498" s="3"/>
      <c r="C498" s="3"/>
      <c r="D498" s="3"/>
      <c r="E498" s="3"/>
      <c r="F498" s="3"/>
      <c r="G498" s="3"/>
      <c r="H498" s="3"/>
      <c r="I498" s="3"/>
      <c r="J498" s="3"/>
      <c r="K498" s="70"/>
      <c r="L498" s="3"/>
      <c r="M498" s="70"/>
      <c r="N498" s="5"/>
      <c r="R498" s="70"/>
      <c r="S498" s="3"/>
    </row>
    <row r="499">
      <c r="A499" s="70"/>
      <c r="B499" s="3"/>
      <c r="C499" s="3"/>
      <c r="D499" s="3"/>
      <c r="E499" s="3"/>
      <c r="F499" s="3"/>
      <c r="G499" s="3"/>
      <c r="H499" s="3"/>
      <c r="I499" s="3"/>
      <c r="J499" s="3"/>
      <c r="K499" s="70"/>
      <c r="L499" s="3"/>
      <c r="M499" s="70"/>
      <c r="N499" s="5"/>
      <c r="R499" s="70"/>
      <c r="S499" s="3"/>
    </row>
    <row r="500">
      <c r="A500" s="70"/>
      <c r="B500" s="3"/>
      <c r="C500" s="3"/>
      <c r="D500" s="3"/>
      <c r="E500" s="3"/>
      <c r="F500" s="3"/>
      <c r="G500" s="3"/>
      <c r="H500" s="3"/>
      <c r="I500" s="3"/>
      <c r="J500" s="3"/>
      <c r="K500" s="70"/>
      <c r="L500" s="3"/>
      <c r="M500" s="70"/>
      <c r="N500" s="5"/>
      <c r="R500" s="70"/>
      <c r="S500" s="3"/>
    </row>
    <row r="501">
      <c r="A501" s="70"/>
      <c r="B501" s="3"/>
      <c r="C501" s="3"/>
      <c r="D501" s="3"/>
      <c r="E501" s="3"/>
      <c r="F501" s="3"/>
      <c r="G501" s="3"/>
      <c r="H501" s="3"/>
      <c r="I501" s="3"/>
      <c r="J501" s="3"/>
      <c r="K501" s="70"/>
      <c r="L501" s="3"/>
      <c r="M501" s="70"/>
      <c r="N501" s="5"/>
      <c r="R501" s="70"/>
      <c r="S501" s="3"/>
    </row>
    <row r="502">
      <c r="A502" s="70"/>
      <c r="B502" s="3"/>
      <c r="C502" s="3"/>
      <c r="D502" s="3"/>
      <c r="E502" s="3"/>
      <c r="F502" s="3"/>
      <c r="G502" s="3"/>
      <c r="H502" s="3"/>
      <c r="I502" s="3"/>
      <c r="J502" s="3"/>
      <c r="K502" s="70"/>
      <c r="L502" s="3"/>
      <c r="M502" s="70"/>
      <c r="N502" s="5"/>
      <c r="R502" s="70"/>
      <c r="S502" s="3"/>
    </row>
    <row r="503">
      <c r="A503" s="70"/>
      <c r="B503" s="3"/>
      <c r="C503" s="3"/>
      <c r="D503" s="3"/>
      <c r="E503" s="3"/>
      <c r="F503" s="3"/>
      <c r="G503" s="3"/>
      <c r="H503" s="3"/>
      <c r="I503" s="3"/>
      <c r="J503" s="3"/>
      <c r="K503" s="70"/>
      <c r="L503" s="3"/>
      <c r="M503" s="70"/>
      <c r="N503" s="5"/>
      <c r="R503" s="70"/>
      <c r="S503" s="3"/>
    </row>
    <row r="504">
      <c r="A504" s="70"/>
      <c r="B504" s="3"/>
      <c r="C504" s="3"/>
      <c r="D504" s="3"/>
      <c r="E504" s="3"/>
      <c r="F504" s="3"/>
      <c r="G504" s="3"/>
      <c r="H504" s="3"/>
      <c r="I504" s="3"/>
      <c r="J504" s="3"/>
      <c r="K504" s="70"/>
      <c r="L504" s="3"/>
      <c r="M504" s="70"/>
      <c r="N504" s="5"/>
      <c r="R504" s="70"/>
      <c r="S504" s="3"/>
    </row>
    <row r="505">
      <c r="A505" s="70"/>
      <c r="B505" s="3"/>
      <c r="C505" s="3"/>
      <c r="D505" s="3"/>
      <c r="E505" s="3"/>
      <c r="F505" s="3"/>
      <c r="G505" s="3"/>
      <c r="H505" s="3"/>
      <c r="I505" s="3"/>
      <c r="J505" s="3"/>
      <c r="K505" s="70"/>
      <c r="L505" s="3"/>
      <c r="M505" s="70"/>
      <c r="N505" s="5"/>
      <c r="R505" s="70"/>
      <c r="S505" s="3"/>
    </row>
    <row r="506">
      <c r="A506" s="70"/>
      <c r="B506" s="3"/>
      <c r="C506" s="3"/>
      <c r="D506" s="3"/>
      <c r="E506" s="3"/>
      <c r="F506" s="3"/>
      <c r="G506" s="3"/>
      <c r="H506" s="3"/>
      <c r="I506" s="3"/>
      <c r="J506" s="3"/>
      <c r="K506" s="70"/>
      <c r="L506" s="3"/>
      <c r="M506" s="70"/>
      <c r="N506" s="5"/>
      <c r="R506" s="70"/>
      <c r="S506" s="3"/>
    </row>
    <row r="507">
      <c r="A507" s="70"/>
      <c r="B507" s="3"/>
      <c r="C507" s="3"/>
      <c r="D507" s="3"/>
      <c r="E507" s="3"/>
      <c r="F507" s="3"/>
      <c r="G507" s="3"/>
      <c r="H507" s="3"/>
      <c r="I507" s="3"/>
      <c r="J507" s="3"/>
      <c r="K507" s="70"/>
      <c r="L507" s="3"/>
      <c r="M507" s="70"/>
      <c r="N507" s="5"/>
      <c r="R507" s="70"/>
      <c r="S507" s="3"/>
    </row>
    <row r="508">
      <c r="A508" s="70"/>
      <c r="B508" s="3"/>
      <c r="C508" s="3"/>
      <c r="D508" s="3"/>
      <c r="E508" s="3"/>
      <c r="F508" s="3"/>
      <c r="G508" s="3"/>
      <c r="H508" s="3"/>
      <c r="I508" s="3"/>
      <c r="J508" s="3"/>
      <c r="K508" s="70"/>
      <c r="L508" s="3"/>
      <c r="M508" s="70"/>
      <c r="N508" s="5"/>
      <c r="R508" s="70"/>
      <c r="S508" s="3"/>
    </row>
    <row r="509">
      <c r="A509" s="70"/>
      <c r="B509" s="3"/>
      <c r="C509" s="3"/>
      <c r="D509" s="3"/>
      <c r="E509" s="3"/>
      <c r="F509" s="3"/>
      <c r="G509" s="3"/>
      <c r="H509" s="3"/>
      <c r="I509" s="3"/>
      <c r="J509" s="3"/>
      <c r="K509" s="70"/>
      <c r="L509" s="3"/>
      <c r="M509" s="70"/>
      <c r="N509" s="5"/>
      <c r="R509" s="70"/>
      <c r="S509" s="3"/>
    </row>
    <row r="510">
      <c r="A510" s="70"/>
      <c r="B510" s="3"/>
      <c r="C510" s="3"/>
      <c r="D510" s="3"/>
      <c r="E510" s="3"/>
      <c r="F510" s="3"/>
      <c r="G510" s="3"/>
      <c r="H510" s="3"/>
      <c r="I510" s="3"/>
      <c r="J510" s="3"/>
      <c r="K510" s="70"/>
      <c r="L510" s="3"/>
      <c r="M510" s="70"/>
      <c r="N510" s="5"/>
      <c r="R510" s="70"/>
      <c r="S510" s="3"/>
    </row>
    <row r="511">
      <c r="A511" s="70"/>
      <c r="B511" s="3"/>
      <c r="C511" s="3"/>
      <c r="D511" s="3"/>
      <c r="E511" s="3"/>
      <c r="F511" s="3"/>
      <c r="G511" s="3"/>
      <c r="H511" s="3"/>
      <c r="I511" s="3"/>
      <c r="J511" s="3"/>
      <c r="K511" s="70"/>
      <c r="L511" s="3"/>
      <c r="M511" s="70"/>
      <c r="N511" s="5"/>
      <c r="R511" s="70"/>
      <c r="S511" s="3"/>
    </row>
    <row r="512">
      <c r="A512" s="70"/>
      <c r="B512" s="3"/>
      <c r="C512" s="3"/>
      <c r="D512" s="3"/>
      <c r="E512" s="3"/>
      <c r="F512" s="3"/>
      <c r="G512" s="3"/>
      <c r="H512" s="3"/>
      <c r="I512" s="3"/>
      <c r="J512" s="3"/>
      <c r="K512" s="70"/>
      <c r="L512" s="3"/>
      <c r="M512" s="70"/>
      <c r="N512" s="5"/>
      <c r="R512" s="70"/>
      <c r="S512" s="3"/>
    </row>
    <row r="513">
      <c r="A513" s="70"/>
      <c r="B513" s="3"/>
      <c r="C513" s="3"/>
      <c r="D513" s="3"/>
      <c r="E513" s="3"/>
      <c r="F513" s="3"/>
      <c r="G513" s="3"/>
      <c r="H513" s="3"/>
      <c r="I513" s="3"/>
      <c r="J513" s="3"/>
      <c r="K513" s="70"/>
      <c r="L513" s="3"/>
      <c r="M513" s="70"/>
      <c r="N513" s="5"/>
      <c r="R513" s="70"/>
      <c r="S513" s="3"/>
    </row>
    <row r="514">
      <c r="A514" s="70"/>
      <c r="B514" s="3"/>
      <c r="C514" s="3"/>
      <c r="D514" s="3"/>
      <c r="E514" s="3"/>
      <c r="F514" s="3"/>
      <c r="G514" s="3"/>
      <c r="H514" s="3"/>
      <c r="I514" s="3"/>
      <c r="J514" s="3"/>
      <c r="K514" s="70"/>
      <c r="L514" s="3"/>
      <c r="M514" s="70"/>
      <c r="N514" s="5"/>
      <c r="R514" s="70"/>
      <c r="S514" s="3"/>
    </row>
    <row r="515">
      <c r="A515" s="70"/>
      <c r="B515" s="3"/>
      <c r="C515" s="3"/>
      <c r="D515" s="3"/>
      <c r="E515" s="3"/>
      <c r="F515" s="3"/>
      <c r="G515" s="3"/>
      <c r="H515" s="3"/>
      <c r="I515" s="3"/>
      <c r="J515" s="3"/>
      <c r="K515" s="70"/>
      <c r="L515" s="3"/>
      <c r="M515" s="70"/>
      <c r="N515" s="5"/>
      <c r="R515" s="70"/>
      <c r="S515" s="3"/>
    </row>
    <row r="516">
      <c r="A516" s="70"/>
      <c r="B516" s="3"/>
      <c r="C516" s="3"/>
      <c r="D516" s="3"/>
      <c r="E516" s="3"/>
      <c r="F516" s="3"/>
      <c r="G516" s="3"/>
      <c r="H516" s="3"/>
      <c r="I516" s="3"/>
      <c r="J516" s="3"/>
      <c r="K516" s="70"/>
      <c r="L516" s="3"/>
      <c r="M516" s="70"/>
      <c r="N516" s="5"/>
      <c r="R516" s="70"/>
      <c r="S516" s="3"/>
    </row>
    <row r="517">
      <c r="A517" s="70"/>
      <c r="B517" s="3"/>
      <c r="C517" s="3"/>
      <c r="D517" s="3"/>
      <c r="E517" s="3"/>
      <c r="F517" s="3"/>
      <c r="G517" s="3"/>
      <c r="H517" s="3"/>
      <c r="I517" s="3"/>
      <c r="J517" s="3"/>
      <c r="K517" s="70"/>
      <c r="L517" s="3"/>
      <c r="M517" s="70"/>
      <c r="N517" s="5"/>
      <c r="R517" s="70"/>
      <c r="S517" s="3"/>
    </row>
    <row r="518">
      <c r="A518" s="70"/>
      <c r="B518" s="3"/>
      <c r="C518" s="3"/>
      <c r="D518" s="3"/>
      <c r="E518" s="3"/>
      <c r="F518" s="3"/>
      <c r="G518" s="3"/>
      <c r="H518" s="3"/>
      <c r="I518" s="3"/>
      <c r="J518" s="3"/>
      <c r="K518" s="70"/>
      <c r="L518" s="3"/>
      <c r="M518" s="70"/>
      <c r="N518" s="5"/>
      <c r="R518" s="70"/>
      <c r="S518" s="3"/>
    </row>
    <row r="519">
      <c r="A519" s="70"/>
      <c r="B519" s="3"/>
      <c r="C519" s="3"/>
      <c r="D519" s="3"/>
      <c r="E519" s="3"/>
      <c r="F519" s="3"/>
      <c r="G519" s="3"/>
      <c r="H519" s="3"/>
      <c r="I519" s="3"/>
      <c r="J519" s="3"/>
      <c r="K519" s="70"/>
      <c r="L519" s="3"/>
      <c r="M519" s="70"/>
      <c r="N519" s="5"/>
      <c r="R519" s="70"/>
      <c r="S519" s="3"/>
    </row>
    <row r="520">
      <c r="A520" s="70"/>
      <c r="B520" s="3"/>
      <c r="C520" s="3"/>
      <c r="D520" s="3"/>
      <c r="E520" s="3"/>
      <c r="F520" s="3"/>
      <c r="G520" s="3"/>
      <c r="H520" s="3"/>
      <c r="I520" s="3"/>
      <c r="J520" s="3"/>
      <c r="K520" s="70"/>
      <c r="L520" s="3"/>
      <c r="M520" s="70"/>
      <c r="N520" s="5"/>
      <c r="R520" s="70"/>
      <c r="S520" s="3"/>
    </row>
    <row r="521">
      <c r="A521" s="70"/>
      <c r="B521" s="3"/>
      <c r="C521" s="3"/>
      <c r="D521" s="3"/>
      <c r="E521" s="3"/>
      <c r="F521" s="3"/>
      <c r="G521" s="3"/>
      <c r="H521" s="3"/>
      <c r="I521" s="3"/>
      <c r="J521" s="3"/>
      <c r="K521" s="70"/>
      <c r="L521" s="3"/>
      <c r="M521" s="70"/>
      <c r="N521" s="5"/>
      <c r="R521" s="70"/>
      <c r="S521" s="3"/>
    </row>
    <row r="522">
      <c r="A522" s="70"/>
      <c r="B522" s="3"/>
      <c r="C522" s="3"/>
      <c r="D522" s="3"/>
      <c r="E522" s="3"/>
      <c r="F522" s="3"/>
      <c r="G522" s="3"/>
      <c r="H522" s="3"/>
      <c r="I522" s="3"/>
      <c r="J522" s="3"/>
      <c r="K522" s="70"/>
      <c r="L522" s="3"/>
      <c r="M522" s="70"/>
      <c r="N522" s="5"/>
      <c r="R522" s="70"/>
      <c r="S522" s="3"/>
    </row>
    <row r="523">
      <c r="A523" s="70"/>
      <c r="B523" s="3"/>
      <c r="C523" s="3"/>
      <c r="D523" s="3"/>
      <c r="E523" s="3"/>
      <c r="F523" s="3"/>
      <c r="G523" s="3"/>
      <c r="H523" s="3"/>
      <c r="I523" s="3"/>
      <c r="J523" s="3"/>
      <c r="K523" s="70"/>
      <c r="L523" s="3"/>
      <c r="M523" s="70"/>
      <c r="N523" s="5"/>
      <c r="R523" s="70"/>
      <c r="S523" s="3"/>
    </row>
    <row r="524">
      <c r="A524" s="70"/>
      <c r="B524" s="3"/>
      <c r="C524" s="3"/>
      <c r="D524" s="3"/>
      <c r="E524" s="3"/>
      <c r="F524" s="3"/>
      <c r="G524" s="3"/>
      <c r="H524" s="3"/>
      <c r="I524" s="3"/>
      <c r="J524" s="3"/>
      <c r="K524" s="70"/>
      <c r="L524" s="3"/>
      <c r="M524" s="70"/>
      <c r="N524" s="5"/>
      <c r="R524" s="70"/>
      <c r="S524" s="3"/>
    </row>
    <row r="525">
      <c r="A525" s="70"/>
      <c r="B525" s="3"/>
      <c r="C525" s="3"/>
      <c r="D525" s="3"/>
      <c r="E525" s="3"/>
      <c r="F525" s="3"/>
      <c r="G525" s="3"/>
      <c r="H525" s="3"/>
      <c r="I525" s="3"/>
      <c r="J525" s="3"/>
      <c r="K525" s="70"/>
      <c r="L525" s="3"/>
      <c r="M525" s="70"/>
      <c r="N525" s="5"/>
      <c r="R525" s="70"/>
      <c r="S525" s="3"/>
    </row>
    <row r="526">
      <c r="A526" s="70"/>
      <c r="B526" s="3"/>
      <c r="C526" s="3"/>
      <c r="D526" s="3"/>
      <c r="E526" s="3"/>
      <c r="F526" s="3"/>
      <c r="G526" s="3"/>
      <c r="H526" s="3"/>
      <c r="I526" s="3"/>
      <c r="J526" s="3"/>
      <c r="K526" s="70"/>
      <c r="L526" s="3"/>
      <c r="M526" s="70"/>
      <c r="N526" s="5"/>
      <c r="R526" s="70"/>
      <c r="S526" s="3"/>
    </row>
    <row r="527">
      <c r="A527" s="70"/>
      <c r="B527" s="3"/>
      <c r="C527" s="3"/>
      <c r="D527" s="3"/>
      <c r="E527" s="3"/>
      <c r="F527" s="3"/>
      <c r="G527" s="3"/>
      <c r="H527" s="3"/>
      <c r="I527" s="3"/>
      <c r="J527" s="3"/>
      <c r="K527" s="70"/>
      <c r="L527" s="3"/>
      <c r="M527" s="70"/>
      <c r="N527" s="5"/>
      <c r="R527" s="70"/>
      <c r="S527" s="3"/>
    </row>
    <row r="528">
      <c r="A528" s="70"/>
      <c r="B528" s="3"/>
      <c r="C528" s="3"/>
      <c r="D528" s="3"/>
      <c r="E528" s="3"/>
      <c r="F528" s="3"/>
      <c r="G528" s="3"/>
      <c r="H528" s="3"/>
      <c r="I528" s="3"/>
      <c r="J528" s="3"/>
      <c r="K528" s="70"/>
      <c r="L528" s="3"/>
      <c r="M528" s="70"/>
      <c r="N528" s="5"/>
      <c r="R528" s="70"/>
      <c r="S528" s="3"/>
    </row>
    <row r="529">
      <c r="A529" s="70"/>
      <c r="B529" s="3"/>
      <c r="C529" s="3"/>
      <c r="D529" s="3"/>
      <c r="E529" s="3"/>
      <c r="F529" s="3"/>
      <c r="G529" s="3"/>
      <c r="H529" s="3"/>
      <c r="I529" s="3"/>
      <c r="J529" s="3"/>
      <c r="K529" s="70"/>
      <c r="L529" s="3"/>
      <c r="M529" s="70"/>
      <c r="N529" s="5"/>
      <c r="R529" s="70"/>
      <c r="S529" s="3"/>
    </row>
    <row r="530">
      <c r="A530" s="70"/>
      <c r="B530" s="3"/>
      <c r="C530" s="3"/>
      <c r="D530" s="3"/>
      <c r="E530" s="3"/>
      <c r="F530" s="3"/>
      <c r="G530" s="3"/>
      <c r="H530" s="3"/>
      <c r="I530" s="3"/>
      <c r="J530" s="3"/>
      <c r="K530" s="70"/>
      <c r="L530" s="3"/>
      <c r="M530" s="70"/>
      <c r="N530" s="5"/>
      <c r="R530" s="70"/>
      <c r="S530" s="3"/>
    </row>
    <row r="531">
      <c r="A531" s="70"/>
      <c r="B531" s="3"/>
      <c r="C531" s="3"/>
      <c r="D531" s="3"/>
      <c r="E531" s="3"/>
      <c r="F531" s="3"/>
      <c r="G531" s="3"/>
      <c r="H531" s="3"/>
      <c r="I531" s="3"/>
      <c r="J531" s="3"/>
      <c r="K531" s="70"/>
      <c r="L531" s="3"/>
      <c r="M531" s="70"/>
      <c r="N531" s="5"/>
      <c r="R531" s="70"/>
      <c r="S531" s="3"/>
    </row>
    <row r="532">
      <c r="A532" s="70"/>
      <c r="B532" s="3"/>
      <c r="C532" s="3"/>
      <c r="D532" s="3"/>
      <c r="E532" s="3"/>
      <c r="F532" s="3"/>
      <c r="G532" s="3"/>
      <c r="H532" s="3"/>
      <c r="I532" s="3"/>
      <c r="J532" s="3"/>
      <c r="K532" s="70"/>
      <c r="L532" s="3"/>
      <c r="M532" s="70"/>
      <c r="N532" s="5"/>
      <c r="R532" s="70"/>
      <c r="S532" s="3"/>
    </row>
    <row r="533">
      <c r="A533" s="70"/>
      <c r="B533" s="3"/>
      <c r="C533" s="3"/>
      <c r="D533" s="3"/>
      <c r="E533" s="3"/>
      <c r="F533" s="3"/>
      <c r="G533" s="3"/>
      <c r="H533" s="3"/>
      <c r="I533" s="3"/>
      <c r="J533" s="3"/>
      <c r="K533" s="70"/>
      <c r="L533" s="3"/>
      <c r="M533" s="70"/>
      <c r="N533" s="5"/>
      <c r="R533" s="70"/>
      <c r="S533" s="3"/>
    </row>
    <row r="534">
      <c r="A534" s="70"/>
      <c r="B534" s="3"/>
      <c r="C534" s="3"/>
      <c r="D534" s="3"/>
      <c r="E534" s="3"/>
      <c r="F534" s="3"/>
      <c r="G534" s="3"/>
      <c r="H534" s="3"/>
      <c r="I534" s="3"/>
      <c r="J534" s="3"/>
      <c r="K534" s="70"/>
      <c r="L534" s="3"/>
      <c r="M534" s="70"/>
      <c r="N534" s="5"/>
      <c r="R534" s="70"/>
      <c r="S534" s="3"/>
    </row>
    <row r="535">
      <c r="A535" s="70"/>
      <c r="B535" s="3"/>
      <c r="C535" s="3"/>
      <c r="D535" s="3"/>
      <c r="E535" s="3"/>
      <c r="F535" s="3"/>
      <c r="G535" s="3"/>
      <c r="H535" s="3"/>
      <c r="I535" s="3"/>
      <c r="J535" s="3"/>
      <c r="K535" s="70"/>
      <c r="L535" s="3"/>
      <c r="M535" s="70"/>
      <c r="N535" s="5"/>
      <c r="R535" s="70"/>
      <c r="S535" s="3"/>
    </row>
    <row r="536">
      <c r="A536" s="70"/>
      <c r="B536" s="3"/>
      <c r="C536" s="3"/>
      <c r="D536" s="3"/>
      <c r="E536" s="3"/>
      <c r="F536" s="3"/>
      <c r="G536" s="3"/>
      <c r="H536" s="3"/>
      <c r="I536" s="3"/>
      <c r="J536" s="3"/>
      <c r="K536" s="70"/>
      <c r="L536" s="3"/>
      <c r="M536" s="70"/>
      <c r="N536" s="5"/>
      <c r="R536" s="70"/>
      <c r="S536" s="3"/>
    </row>
    <row r="537">
      <c r="A537" s="70"/>
      <c r="B537" s="3"/>
      <c r="C537" s="3"/>
      <c r="D537" s="3"/>
      <c r="E537" s="3"/>
      <c r="F537" s="3"/>
      <c r="G537" s="3"/>
      <c r="H537" s="3"/>
      <c r="I537" s="3"/>
      <c r="J537" s="3"/>
      <c r="K537" s="70"/>
      <c r="L537" s="3"/>
      <c r="M537" s="70"/>
      <c r="N537" s="5"/>
      <c r="R537" s="70"/>
      <c r="S537" s="3"/>
    </row>
    <row r="538">
      <c r="A538" s="70"/>
      <c r="B538" s="3"/>
      <c r="C538" s="3"/>
      <c r="D538" s="3"/>
      <c r="E538" s="3"/>
      <c r="F538" s="3"/>
      <c r="G538" s="3"/>
      <c r="H538" s="3"/>
      <c r="I538" s="3"/>
      <c r="J538" s="3"/>
      <c r="K538" s="70"/>
      <c r="L538" s="3"/>
      <c r="M538" s="70"/>
      <c r="N538" s="5"/>
      <c r="R538" s="70"/>
      <c r="S538" s="3"/>
    </row>
    <row r="539">
      <c r="A539" s="70"/>
      <c r="B539" s="3"/>
      <c r="C539" s="3"/>
      <c r="D539" s="3"/>
      <c r="E539" s="3"/>
      <c r="F539" s="3"/>
      <c r="G539" s="3"/>
      <c r="H539" s="3"/>
      <c r="I539" s="3"/>
      <c r="J539" s="3"/>
      <c r="K539" s="70"/>
      <c r="L539" s="3"/>
      <c r="M539" s="70"/>
      <c r="N539" s="5"/>
      <c r="R539" s="70"/>
      <c r="S539" s="3"/>
    </row>
    <row r="540">
      <c r="A540" s="70"/>
      <c r="B540" s="3"/>
      <c r="C540" s="3"/>
      <c r="D540" s="3"/>
      <c r="E540" s="3"/>
      <c r="F540" s="3"/>
      <c r="G540" s="3"/>
      <c r="H540" s="3"/>
      <c r="I540" s="3"/>
      <c r="J540" s="3"/>
      <c r="K540" s="70"/>
      <c r="L540" s="3"/>
      <c r="M540" s="70"/>
      <c r="N540" s="5"/>
      <c r="R540" s="70"/>
      <c r="S540" s="3"/>
    </row>
    <row r="541">
      <c r="A541" s="70"/>
      <c r="B541" s="3"/>
      <c r="C541" s="3"/>
      <c r="D541" s="3"/>
      <c r="E541" s="3"/>
      <c r="F541" s="3"/>
      <c r="G541" s="3"/>
      <c r="H541" s="3"/>
      <c r="I541" s="3"/>
      <c r="J541" s="3"/>
      <c r="K541" s="70"/>
      <c r="L541" s="3"/>
      <c r="M541" s="70"/>
      <c r="N541" s="5"/>
      <c r="R541" s="70"/>
      <c r="S541" s="3"/>
    </row>
    <row r="542">
      <c r="A542" s="70"/>
      <c r="B542" s="3"/>
      <c r="C542" s="3"/>
      <c r="D542" s="3"/>
      <c r="E542" s="3"/>
      <c r="F542" s="3"/>
      <c r="G542" s="3"/>
      <c r="H542" s="3"/>
      <c r="I542" s="3"/>
      <c r="J542" s="3"/>
      <c r="K542" s="70"/>
      <c r="L542" s="3"/>
      <c r="M542" s="70"/>
      <c r="N542" s="5"/>
      <c r="R542" s="70"/>
      <c r="S542" s="3"/>
    </row>
    <row r="543">
      <c r="A543" s="70"/>
      <c r="B543" s="3"/>
      <c r="C543" s="3"/>
      <c r="D543" s="3"/>
      <c r="E543" s="3"/>
      <c r="F543" s="3"/>
      <c r="G543" s="3"/>
      <c r="H543" s="3"/>
      <c r="I543" s="3"/>
      <c r="J543" s="3"/>
      <c r="K543" s="70"/>
      <c r="L543" s="3"/>
      <c r="M543" s="70"/>
      <c r="N543" s="5"/>
      <c r="R543" s="70"/>
      <c r="S543" s="3"/>
    </row>
    <row r="544">
      <c r="A544" s="70"/>
      <c r="B544" s="3"/>
      <c r="C544" s="3"/>
      <c r="D544" s="3"/>
      <c r="E544" s="3"/>
      <c r="F544" s="3"/>
      <c r="G544" s="3"/>
      <c r="H544" s="3"/>
      <c r="I544" s="3"/>
      <c r="J544" s="3"/>
      <c r="K544" s="70"/>
      <c r="L544" s="3"/>
      <c r="M544" s="70"/>
      <c r="N544" s="5"/>
      <c r="R544" s="70"/>
      <c r="S544" s="3"/>
    </row>
    <row r="545">
      <c r="A545" s="70"/>
      <c r="B545" s="3"/>
      <c r="C545" s="3"/>
      <c r="D545" s="3"/>
      <c r="E545" s="3"/>
      <c r="F545" s="3"/>
      <c r="G545" s="3"/>
      <c r="H545" s="3"/>
      <c r="I545" s="3"/>
      <c r="J545" s="3"/>
      <c r="K545" s="70"/>
      <c r="L545" s="3"/>
      <c r="M545" s="70"/>
      <c r="N545" s="5"/>
      <c r="R545" s="70"/>
      <c r="S545" s="3"/>
    </row>
    <row r="546">
      <c r="A546" s="70"/>
      <c r="B546" s="3"/>
      <c r="C546" s="3"/>
      <c r="D546" s="3"/>
      <c r="E546" s="3"/>
      <c r="F546" s="3"/>
      <c r="G546" s="3"/>
      <c r="H546" s="3"/>
      <c r="I546" s="3"/>
      <c r="J546" s="3"/>
      <c r="K546" s="70"/>
      <c r="L546" s="3"/>
      <c r="M546" s="70"/>
      <c r="N546" s="5"/>
      <c r="R546" s="70"/>
      <c r="S546" s="3"/>
    </row>
    <row r="547">
      <c r="A547" s="70"/>
      <c r="B547" s="3"/>
      <c r="C547" s="3"/>
      <c r="D547" s="3"/>
      <c r="E547" s="3"/>
      <c r="F547" s="3"/>
      <c r="G547" s="3"/>
      <c r="H547" s="3"/>
      <c r="I547" s="3"/>
      <c r="J547" s="3"/>
      <c r="K547" s="70"/>
      <c r="L547" s="3"/>
      <c r="M547" s="70"/>
      <c r="N547" s="5"/>
      <c r="R547" s="70"/>
      <c r="S547" s="3"/>
    </row>
    <row r="548">
      <c r="A548" s="70"/>
      <c r="B548" s="3"/>
      <c r="C548" s="3"/>
      <c r="D548" s="3"/>
      <c r="E548" s="3"/>
      <c r="F548" s="3"/>
      <c r="G548" s="3"/>
      <c r="H548" s="3"/>
      <c r="I548" s="3"/>
      <c r="J548" s="3"/>
      <c r="K548" s="70"/>
      <c r="L548" s="3"/>
      <c r="M548" s="70"/>
      <c r="N548" s="5"/>
      <c r="R548" s="70"/>
      <c r="S548" s="3"/>
    </row>
    <row r="549">
      <c r="A549" s="70"/>
      <c r="B549" s="3"/>
      <c r="C549" s="3"/>
      <c r="D549" s="3"/>
      <c r="E549" s="3"/>
      <c r="F549" s="3"/>
      <c r="G549" s="3"/>
      <c r="H549" s="3"/>
      <c r="I549" s="3"/>
      <c r="J549" s="3"/>
      <c r="K549" s="70"/>
      <c r="L549" s="3"/>
      <c r="M549" s="70"/>
      <c r="N549" s="5"/>
      <c r="R549" s="70"/>
      <c r="S549" s="3"/>
    </row>
    <row r="550">
      <c r="A550" s="70"/>
      <c r="B550" s="3"/>
      <c r="C550" s="3"/>
      <c r="D550" s="3"/>
      <c r="E550" s="3"/>
      <c r="F550" s="3"/>
      <c r="G550" s="3"/>
      <c r="H550" s="3"/>
      <c r="I550" s="3"/>
      <c r="J550" s="3"/>
      <c r="K550" s="70"/>
      <c r="L550" s="3"/>
      <c r="M550" s="70"/>
      <c r="N550" s="5"/>
      <c r="R550" s="70"/>
      <c r="S550" s="3"/>
    </row>
    <row r="551">
      <c r="A551" s="70"/>
      <c r="B551" s="3"/>
      <c r="C551" s="3"/>
      <c r="D551" s="3"/>
      <c r="E551" s="3"/>
      <c r="F551" s="3"/>
      <c r="G551" s="3"/>
      <c r="H551" s="3"/>
      <c r="I551" s="3"/>
      <c r="J551" s="3"/>
      <c r="K551" s="70"/>
      <c r="L551" s="3"/>
      <c r="M551" s="70"/>
      <c r="N551" s="5"/>
      <c r="R551" s="70"/>
      <c r="S551" s="3"/>
    </row>
    <row r="552">
      <c r="A552" s="70"/>
      <c r="B552" s="3"/>
      <c r="C552" s="3"/>
      <c r="D552" s="3"/>
      <c r="E552" s="3"/>
      <c r="F552" s="3"/>
      <c r="G552" s="3"/>
      <c r="H552" s="3"/>
      <c r="I552" s="3"/>
      <c r="J552" s="3"/>
      <c r="K552" s="70"/>
      <c r="L552" s="3"/>
      <c r="M552" s="70"/>
      <c r="N552" s="5"/>
      <c r="R552" s="70"/>
      <c r="S552" s="3"/>
    </row>
    <row r="553">
      <c r="A553" s="70"/>
      <c r="B553" s="3"/>
      <c r="C553" s="3"/>
      <c r="D553" s="3"/>
      <c r="E553" s="3"/>
      <c r="F553" s="3"/>
      <c r="G553" s="3"/>
      <c r="H553" s="3"/>
      <c r="I553" s="3"/>
      <c r="J553" s="3"/>
      <c r="K553" s="70"/>
      <c r="L553" s="3"/>
      <c r="M553" s="70"/>
      <c r="N553" s="5"/>
      <c r="R553" s="70"/>
      <c r="S553" s="3"/>
    </row>
    <row r="554">
      <c r="A554" s="70"/>
      <c r="B554" s="3"/>
      <c r="C554" s="3"/>
      <c r="D554" s="3"/>
      <c r="E554" s="3"/>
      <c r="F554" s="3"/>
      <c r="G554" s="3"/>
      <c r="H554" s="3"/>
      <c r="I554" s="3"/>
      <c r="J554" s="3"/>
      <c r="K554" s="70"/>
      <c r="L554" s="3"/>
      <c r="M554" s="70"/>
      <c r="N554" s="5"/>
      <c r="R554" s="70"/>
      <c r="S554" s="3"/>
    </row>
    <row r="555">
      <c r="A555" s="70"/>
      <c r="B555" s="3"/>
      <c r="C555" s="3"/>
      <c r="D555" s="3"/>
      <c r="E555" s="3"/>
      <c r="F555" s="3"/>
      <c r="G555" s="3"/>
      <c r="H555" s="3"/>
      <c r="I555" s="3"/>
      <c r="J555" s="3"/>
      <c r="K555" s="70"/>
      <c r="L555" s="3"/>
      <c r="M555" s="70"/>
      <c r="N555" s="5"/>
      <c r="R555" s="70"/>
      <c r="S555" s="3"/>
    </row>
    <row r="556">
      <c r="A556" s="70"/>
      <c r="B556" s="3"/>
      <c r="C556" s="3"/>
      <c r="D556" s="3"/>
      <c r="E556" s="3"/>
      <c r="F556" s="3"/>
      <c r="G556" s="3"/>
      <c r="H556" s="3"/>
      <c r="I556" s="3"/>
      <c r="J556" s="3"/>
      <c r="K556" s="70"/>
      <c r="L556" s="3"/>
      <c r="M556" s="70"/>
      <c r="N556" s="5"/>
      <c r="R556" s="70"/>
      <c r="S556" s="3"/>
    </row>
    <row r="557">
      <c r="A557" s="70"/>
      <c r="B557" s="3"/>
      <c r="C557" s="3"/>
      <c r="D557" s="3"/>
      <c r="E557" s="3"/>
      <c r="F557" s="3"/>
      <c r="G557" s="3"/>
      <c r="H557" s="3"/>
      <c r="I557" s="3"/>
      <c r="J557" s="3"/>
      <c r="K557" s="70"/>
      <c r="L557" s="3"/>
      <c r="M557" s="70"/>
      <c r="N557" s="5"/>
      <c r="R557" s="70"/>
      <c r="S557" s="3"/>
    </row>
    <row r="558">
      <c r="A558" s="70"/>
      <c r="B558" s="3"/>
      <c r="C558" s="3"/>
      <c r="D558" s="3"/>
      <c r="E558" s="3"/>
      <c r="F558" s="3"/>
      <c r="G558" s="3"/>
      <c r="H558" s="3"/>
      <c r="I558" s="3"/>
      <c r="J558" s="3"/>
      <c r="K558" s="70"/>
      <c r="L558" s="3"/>
      <c r="M558" s="70"/>
      <c r="N558" s="5"/>
      <c r="R558" s="70"/>
      <c r="S558" s="3"/>
    </row>
    <row r="559">
      <c r="A559" s="70"/>
      <c r="B559" s="3"/>
      <c r="C559" s="3"/>
      <c r="D559" s="3"/>
      <c r="E559" s="3"/>
      <c r="F559" s="3"/>
      <c r="G559" s="3"/>
      <c r="H559" s="3"/>
      <c r="I559" s="3"/>
      <c r="J559" s="3"/>
      <c r="K559" s="70"/>
      <c r="L559" s="3"/>
      <c r="M559" s="70"/>
      <c r="N559" s="5"/>
      <c r="R559" s="70"/>
      <c r="S559" s="3"/>
    </row>
    <row r="560">
      <c r="A560" s="70"/>
      <c r="B560" s="3"/>
      <c r="C560" s="3"/>
      <c r="D560" s="3"/>
      <c r="E560" s="3"/>
      <c r="F560" s="3"/>
      <c r="G560" s="3"/>
      <c r="H560" s="3"/>
      <c r="I560" s="3"/>
      <c r="J560" s="3"/>
      <c r="K560" s="70"/>
      <c r="L560" s="3"/>
      <c r="M560" s="70"/>
      <c r="N560" s="5"/>
      <c r="R560" s="70"/>
      <c r="S560" s="3"/>
    </row>
    <row r="561">
      <c r="A561" s="70"/>
      <c r="B561" s="3"/>
      <c r="C561" s="3"/>
      <c r="D561" s="3"/>
      <c r="E561" s="3"/>
      <c r="F561" s="3"/>
      <c r="G561" s="3"/>
      <c r="H561" s="3"/>
      <c r="I561" s="3"/>
      <c r="J561" s="3"/>
      <c r="K561" s="70"/>
      <c r="L561" s="3"/>
      <c r="M561" s="70"/>
      <c r="N561" s="5"/>
      <c r="R561" s="70"/>
      <c r="S561" s="3"/>
    </row>
    <row r="562">
      <c r="A562" s="70"/>
      <c r="B562" s="3"/>
      <c r="C562" s="3"/>
      <c r="D562" s="3"/>
      <c r="E562" s="3"/>
      <c r="F562" s="3"/>
      <c r="G562" s="3"/>
      <c r="H562" s="3"/>
      <c r="I562" s="3"/>
      <c r="J562" s="3"/>
      <c r="K562" s="70"/>
      <c r="L562" s="3"/>
      <c r="M562" s="70"/>
      <c r="N562" s="5"/>
      <c r="R562" s="70"/>
      <c r="S562" s="3"/>
    </row>
    <row r="563">
      <c r="A563" s="70"/>
      <c r="B563" s="3"/>
      <c r="C563" s="3"/>
      <c r="D563" s="3"/>
      <c r="E563" s="3"/>
      <c r="F563" s="3"/>
      <c r="G563" s="3"/>
      <c r="H563" s="3"/>
      <c r="I563" s="3"/>
      <c r="J563" s="3"/>
      <c r="K563" s="70"/>
      <c r="L563" s="3"/>
      <c r="M563" s="70"/>
      <c r="N563" s="5"/>
      <c r="R563" s="70"/>
      <c r="S563" s="3"/>
    </row>
    <row r="564">
      <c r="A564" s="70"/>
      <c r="B564" s="3"/>
      <c r="C564" s="3"/>
      <c r="D564" s="3"/>
      <c r="E564" s="3"/>
      <c r="F564" s="3"/>
      <c r="G564" s="3"/>
      <c r="H564" s="3"/>
      <c r="I564" s="3"/>
      <c r="J564" s="3"/>
      <c r="K564" s="70"/>
      <c r="L564" s="3"/>
      <c r="M564" s="70"/>
      <c r="N564" s="5"/>
      <c r="R564" s="70"/>
      <c r="S564" s="3"/>
    </row>
    <row r="565">
      <c r="A565" s="70"/>
      <c r="B565" s="3"/>
      <c r="C565" s="3"/>
      <c r="D565" s="3"/>
      <c r="E565" s="3"/>
      <c r="F565" s="3"/>
      <c r="G565" s="3"/>
      <c r="H565" s="3"/>
      <c r="I565" s="3"/>
      <c r="J565" s="3"/>
      <c r="K565" s="70"/>
      <c r="L565" s="3"/>
      <c r="M565" s="70"/>
      <c r="N565" s="5"/>
      <c r="R565" s="70"/>
      <c r="S565" s="3"/>
    </row>
    <row r="566">
      <c r="A566" s="70"/>
      <c r="B566" s="3"/>
      <c r="C566" s="3"/>
      <c r="D566" s="3"/>
      <c r="E566" s="3"/>
      <c r="F566" s="3"/>
      <c r="G566" s="3"/>
      <c r="H566" s="3"/>
      <c r="I566" s="3"/>
      <c r="J566" s="3"/>
      <c r="K566" s="70"/>
      <c r="L566" s="3"/>
      <c r="M566" s="70"/>
      <c r="N566" s="5"/>
      <c r="R566" s="70"/>
      <c r="S566" s="3"/>
    </row>
    <row r="567">
      <c r="A567" s="70"/>
      <c r="B567" s="3"/>
      <c r="C567" s="3"/>
      <c r="D567" s="3"/>
      <c r="E567" s="3"/>
      <c r="F567" s="3"/>
      <c r="G567" s="3"/>
      <c r="H567" s="3"/>
      <c r="I567" s="3"/>
      <c r="J567" s="3"/>
      <c r="K567" s="70"/>
      <c r="L567" s="3"/>
      <c r="M567" s="70"/>
      <c r="N567" s="5"/>
      <c r="R567" s="70"/>
      <c r="S567" s="3"/>
    </row>
    <row r="568">
      <c r="A568" s="70"/>
      <c r="B568" s="3"/>
      <c r="C568" s="3"/>
      <c r="D568" s="3"/>
      <c r="E568" s="3"/>
      <c r="F568" s="3"/>
      <c r="G568" s="3"/>
      <c r="H568" s="3"/>
      <c r="I568" s="3"/>
      <c r="J568" s="3"/>
      <c r="K568" s="70"/>
      <c r="L568" s="3"/>
      <c r="M568" s="70"/>
      <c r="N568" s="5"/>
      <c r="R568" s="70"/>
      <c r="S568" s="3"/>
    </row>
    <row r="569">
      <c r="A569" s="70"/>
      <c r="B569" s="3"/>
      <c r="C569" s="3"/>
      <c r="D569" s="3"/>
      <c r="E569" s="3"/>
      <c r="F569" s="3"/>
      <c r="G569" s="3"/>
      <c r="H569" s="3"/>
      <c r="I569" s="3"/>
      <c r="J569" s="3"/>
      <c r="K569" s="70"/>
      <c r="L569" s="3"/>
      <c r="M569" s="70"/>
      <c r="N569" s="5"/>
      <c r="R569" s="70"/>
      <c r="S569" s="3"/>
    </row>
    <row r="570">
      <c r="A570" s="70"/>
      <c r="B570" s="3"/>
      <c r="C570" s="3"/>
      <c r="D570" s="3"/>
      <c r="E570" s="3"/>
      <c r="F570" s="3"/>
      <c r="G570" s="3"/>
      <c r="H570" s="3"/>
      <c r="I570" s="3"/>
      <c r="J570" s="3"/>
      <c r="K570" s="70"/>
      <c r="L570" s="3"/>
      <c r="M570" s="70"/>
      <c r="N570" s="5"/>
      <c r="R570" s="70"/>
      <c r="S570" s="3"/>
    </row>
    <row r="571">
      <c r="A571" s="70"/>
      <c r="B571" s="3"/>
      <c r="C571" s="3"/>
      <c r="D571" s="3"/>
      <c r="E571" s="3"/>
      <c r="F571" s="3"/>
      <c r="G571" s="3"/>
      <c r="H571" s="3"/>
      <c r="I571" s="3"/>
      <c r="J571" s="3"/>
      <c r="K571" s="70"/>
      <c r="L571" s="3"/>
      <c r="M571" s="70"/>
      <c r="N571" s="5"/>
      <c r="R571" s="70"/>
      <c r="S571" s="3"/>
    </row>
    <row r="572">
      <c r="A572" s="70"/>
      <c r="B572" s="3"/>
      <c r="C572" s="3"/>
      <c r="D572" s="3"/>
      <c r="E572" s="3"/>
      <c r="F572" s="3"/>
      <c r="G572" s="3"/>
      <c r="H572" s="3"/>
      <c r="I572" s="3"/>
      <c r="J572" s="3"/>
      <c r="K572" s="70"/>
      <c r="L572" s="3"/>
      <c r="M572" s="70"/>
      <c r="N572" s="5"/>
      <c r="R572" s="70"/>
      <c r="S572" s="3"/>
    </row>
    <row r="573">
      <c r="A573" s="70"/>
      <c r="B573" s="3"/>
      <c r="C573" s="3"/>
      <c r="D573" s="3"/>
      <c r="E573" s="3"/>
      <c r="F573" s="3"/>
      <c r="G573" s="3"/>
      <c r="H573" s="3"/>
      <c r="I573" s="3"/>
      <c r="J573" s="3"/>
      <c r="K573" s="70"/>
      <c r="L573" s="3"/>
      <c r="M573" s="70"/>
      <c r="N573" s="5"/>
      <c r="R573" s="70"/>
      <c r="S573" s="3"/>
    </row>
    <row r="574">
      <c r="A574" s="70"/>
      <c r="B574" s="3"/>
      <c r="C574" s="3"/>
      <c r="D574" s="3"/>
      <c r="E574" s="3"/>
      <c r="F574" s="3"/>
      <c r="G574" s="3"/>
      <c r="H574" s="3"/>
      <c r="I574" s="3"/>
      <c r="J574" s="3"/>
      <c r="K574" s="70"/>
      <c r="L574" s="3"/>
      <c r="M574" s="70"/>
      <c r="N574" s="5"/>
      <c r="R574" s="70"/>
      <c r="S574" s="3"/>
    </row>
    <row r="575">
      <c r="A575" s="70"/>
      <c r="B575" s="3"/>
      <c r="C575" s="3"/>
      <c r="D575" s="3"/>
      <c r="E575" s="3"/>
      <c r="F575" s="3"/>
      <c r="G575" s="3"/>
      <c r="H575" s="3"/>
      <c r="I575" s="3"/>
      <c r="J575" s="3"/>
      <c r="K575" s="70"/>
      <c r="L575" s="3"/>
      <c r="M575" s="70"/>
      <c r="N575" s="5"/>
      <c r="R575" s="70"/>
      <c r="S575" s="3"/>
    </row>
    <row r="576">
      <c r="A576" s="70"/>
      <c r="B576" s="3"/>
      <c r="C576" s="3"/>
      <c r="D576" s="3"/>
      <c r="E576" s="3"/>
      <c r="F576" s="3"/>
      <c r="G576" s="3"/>
      <c r="H576" s="3"/>
      <c r="I576" s="3"/>
      <c r="J576" s="3"/>
      <c r="K576" s="70"/>
      <c r="L576" s="3"/>
      <c r="M576" s="70"/>
      <c r="N576" s="5"/>
      <c r="R576" s="70"/>
      <c r="S576" s="3"/>
    </row>
    <row r="577">
      <c r="A577" s="70"/>
      <c r="B577" s="3"/>
      <c r="C577" s="3"/>
      <c r="D577" s="3"/>
      <c r="E577" s="3"/>
      <c r="F577" s="3"/>
      <c r="G577" s="3"/>
      <c r="H577" s="3"/>
      <c r="I577" s="3"/>
      <c r="J577" s="3"/>
      <c r="K577" s="70"/>
      <c r="L577" s="3"/>
      <c r="M577" s="70"/>
      <c r="N577" s="5"/>
      <c r="R577" s="70"/>
      <c r="S577" s="3"/>
    </row>
    <row r="578">
      <c r="A578" s="70"/>
      <c r="B578" s="3"/>
      <c r="C578" s="3"/>
      <c r="D578" s="3"/>
      <c r="E578" s="3"/>
      <c r="F578" s="3"/>
      <c r="G578" s="3"/>
      <c r="H578" s="3"/>
      <c r="I578" s="3"/>
      <c r="J578" s="3"/>
      <c r="K578" s="70"/>
      <c r="L578" s="3"/>
      <c r="M578" s="70"/>
      <c r="N578" s="5"/>
      <c r="R578" s="70"/>
      <c r="S578" s="3"/>
    </row>
    <row r="579">
      <c r="A579" s="70"/>
      <c r="B579" s="3"/>
      <c r="C579" s="3"/>
      <c r="D579" s="3"/>
      <c r="E579" s="3"/>
      <c r="F579" s="3"/>
      <c r="G579" s="3"/>
      <c r="H579" s="3"/>
      <c r="I579" s="3"/>
      <c r="J579" s="3"/>
      <c r="K579" s="70"/>
      <c r="L579" s="3"/>
      <c r="M579" s="70"/>
      <c r="N579" s="5"/>
      <c r="R579" s="70"/>
      <c r="S579" s="3"/>
    </row>
    <row r="580">
      <c r="A580" s="70"/>
      <c r="B580" s="3"/>
      <c r="C580" s="3"/>
      <c r="D580" s="3"/>
      <c r="E580" s="3"/>
      <c r="F580" s="3"/>
      <c r="G580" s="3"/>
      <c r="H580" s="3"/>
      <c r="I580" s="3"/>
      <c r="J580" s="3"/>
      <c r="K580" s="70"/>
      <c r="L580" s="3"/>
      <c r="M580" s="70"/>
      <c r="N580" s="5"/>
      <c r="R580" s="70"/>
      <c r="S580" s="3"/>
    </row>
    <row r="581">
      <c r="A581" s="70"/>
      <c r="B581" s="3"/>
      <c r="C581" s="3"/>
      <c r="D581" s="3"/>
      <c r="E581" s="3"/>
      <c r="F581" s="3"/>
      <c r="G581" s="3"/>
      <c r="H581" s="3"/>
      <c r="I581" s="3"/>
      <c r="J581" s="3"/>
      <c r="K581" s="70"/>
      <c r="L581" s="3"/>
      <c r="M581" s="70"/>
      <c r="N581" s="5"/>
      <c r="R581" s="70"/>
      <c r="S581" s="3"/>
    </row>
    <row r="582">
      <c r="A582" s="70"/>
      <c r="B582" s="3"/>
      <c r="C582" s="3"/>
      <c r="D582" s="3"/>
      <c r="E582" s="3"/>
      <c r="F582" s="3"/>
      <c r="G582" s="3"/>
      <c r="H582" s="3"/>
      <c r="I582" s="3"/>
      <c r="J582" s="3"/>
      <c r="K582" s="70"/>
      <c r="L582" s="3"/>
      <c r="M582" s="70"/>
      <c r="N582" s="5"/>
      <c r="R582" s="70"/>
      <c r="S582" s="3"/>
    </row>
    <row r="583">
      <c r="A583" s="70"/>
      <c r="B583" s="3"/>
      <c r="C583" s="3"/>
      <c r="D583" s="3"/>
      <c r="E583" s="3"/>
      <c r="F583" s="3"/>
      <c r="G583" s="3"/>
      <c r="H583" s="3"/>
      <c r="I583" s="3"/>
      <c r="J583" s="3"/>
      <c r="K583" s="70"/>
      <c r="L583" s="3"/>
      <c r="M583" s="70"/>
      <c r="N583" s="5"/>
      <c r="R583" s="70"/>
      <c r="S583" s="3"/>
    </row>
    <row r="584">
      <c r="A584" s="70"/>
      <c r="B584" s="3"/>
      <c r="C584" s="3"/>
      <c r="D584" s="3"/>
      <c r="E584" s="3"/>
      <c r="F584" s="3"/>
      <c r="G584" s="3"/>
      <c r="H584" s="3"/>
      <c r="I584" s="3"/>
      <c r="J584" s="3"/>
      <c r="K584" s="70"/>
      <c r="L584" s="3"/>
      <c r="M584" s="70"/>
      <c r="N584" s="5"/>
      <c r="R584" s="70"/>
      <c r="S584" s="3"/>
    </row>
    <row r="585">
      <c r="A585" s="70"/>
      <c r="B585" s="3"/>
      <c r="C585" s="3"/>
      <c r="D585" s="3"/>
      <c r="E585" s="3"/>
      <c r="F585" s="3"/>
      <c r="G585" s="3"/>
      <c r="H585" s="3"/>
      <c r="I585" s="3"/>
      <c r="J585" s="3"/>
      <c r="K585" s="70"/>
      <c r="L585" s="3"/>
      <c r="M585" s="70"/>
      <c r="N585" s="5"/>
      <c r="R585" s="70"/>
      <c r="S585" s="3"/>
    </row>
    <row r="586">
      <c r="A586" s="70"/>
      <c r="B586" s="3"/>
      <c r="C586" s="3"/>
      <c r="D586" s="3"/>
      <c r="E586" s="3"/>
      <c r="F586" s="3"/>
      <c r="G586" s="3"/>
      <c r="H586" s="3"/>
      <c r="I586" s="3"/>
      <c r="J586" s="3"/>
      <c r="K586" s="70"/>
      <c r="L586" s="3"/>
      <c r="M586" s="70"/>
      <c r="N586" s="5"/>
      <c r="R586" s="70"/>
      <c r="S586" s="3"/>
    </row>
    <row r="587">
      <c r="A587" s="70"/>
      <c r="B587" s="3"/>
      <c r="C587" s="3"/>
      <c r="D587" s="3"/>
      <c r="E587" s="3"/>
      <c r="F587" s="3"/>
      <c r="G587" s="3"/>
      <c r="H587" s="3"/>
      <c r="I587" s="3"/>
      <c r="J587" s="3"/>
      <c r="K587" s="70"/>
      <c r="L587" s="3"/>
      <c r="M587" s="70"/>
      <c r="N587" s="5"/>
      <c r="R587" s="70"/>
      <c r="S587" s="3"/>
    </row>
    <row r="588">
      <c r="A588" s="70"/>
      <c r="B588" s="3"/>
      <c r="C588" s="3"/>
      <c r="D588" s="3"/>
      <c r="E588" s="3"/>
      <c r="F588" s="3"/>
      <c r="G588" s="3"/>
      <c r="H588" s="3"/>
      <c r="I588" s="3"/>
      <c r="J588" s="3"/>
      <c r="K588" s="70"/>
      <c r="L588" s="3"/>
      <c r="M588" s="70"/>
      <c r="N588" s="5"/>
      <c r="R588" s="70"/>
      <c r="S588" s="3"/>
    </row>
    <row r="589">
      <c r="A589" s="70"/>
      <c r="B589" s="3"/>
      <c r="C589" s="3"/>
      <c r="D589" s="3"/>
      <c r="E589" s="3"/>
      <c r="F589" s="3"/>
      <c r="G589" s="3"/>
      <c r="H589" s="3"/>
      <c r="I589" s="3"/>
      <c r="J589" s="3"/>
      <c r="K589" s="70"/>
      <c r="L589" s="3"/>
      <c r="M589" s="70"/>
      <c r="N589" s="5"/>
      <c r="R589" s="70"/>
      <c r="S589" s="3"/>
    </row>
    <row r="590">
      <c r="A590" s="70"/>
      <c r="B590" s="3"/>
      <c r="C590" s="3"/>
      <c r="D590" s="3"/>
      <c r="E590" s="3"/>
      <c r="F590" s="3"/>
      <c r="G590" s="3"/>
      <c r="H590" s="3"/>
      <c r="I590" s="3"/>
      <c r="J590" s="3"/>
      <c r="K590" s="70"/>
      <c r="L590" s="3"/>
      <c r="M590" s="70"/>
      <c r="N590" s="5"/>
      <c r="R590" s="70"/>
      <c r="S590" s="3"/>
    </row>
    <row r="591">
      <c r="A591" s="70"/>
      <c r="B591" s="3"/>
      <c r="C591" s="3"/>
      <c r="D591" s="3"/>
      <c r="E591" s="3"/>
      <c r="F591" s="3"/>
      <c r="G591" s="3"/>
      <c r="H591" s="3"/>
      <c r="I591" s="3"/>
      <c r="J591" s="3"/>
      <c r="K591" s="70"/>
      <c r="L591" s="3"/>
      <c r="M591" s="70"/>
      <c r="N591" s="5"/>
      <c r="R591" s="70"/>
      <c r="S591" s="3"/>
    </row>
    <row r="592">
      <c r="A592" s="70"/>
      <c r="B592" s="3"/>
      <c r="C592" s="3"/>
      <c r="D592" s="3"/>
      <c r="E592" s="3"/>
      <c r="F592" s="3"/>
      <c r="G592" s="3"/>
      <c r="H592" s="3"/>
      <c r="I592" s="3"/>
      <c r="J592" s="3"/>
      <c r="K592" s="70"/>
      <c r="L592" s="3"/>
      <c r="M592" s="70"/>
      <c r="N592" s="5"/>
      <c r="R592" s="70"/>
      <c r="S592" s="3"/>
    </row>
    <row r="593">
      <c r="A593" s="70"/>
      <c r="B593" s="3"/>
      <c r="C593" s="3"/>
      <c r="D593" s="3"/>
      <c r="E593" s="3"/>
      <c r="F593" s="3"/>
      <c r="G593" s="3"/>
      <c r="H593" s="3"/>
      <c r="I593" s="3"/>
      <c r="J593" s="3"/>
      <c r="K593" s="70"/>
      <c r="L593" s="3"/>
      <c r="M593" s="70"/>
      <c r="N593" s="5"/>
      <c r="R593" s="70"/>
      <c r="S593" s="3"/>
    </row>
    <row r="594">
      <c r="A594" s="70"/>
      <c r="B594" s="3"/>
      <c r="C594" s="3"/>
      <c r="D594" s="3"/>
      <c r="E594" s="3"/>
      <c r="F594" s="3"/>
      <c r="G594" s="3"/>
      <c r="H594" s="3"/>
      <c r="I594" s="3"/>
      <c r="J594" s="3"/>
      <c r="K594" s="70"/>
      <c r="L594" s="3"/>
      <c r="M594" s="70"/>
      <c r="N594" s="5"/>
      <c r="R594" s="70"/>
      <c r="S594" s="3"/>
    </row>
    <row r="595">
      <c r="A595" s="70"/>
      <c r="B595" s="3"/>
      <c r="C595" s="3"/>
      <c r="D595" s="3"/>
      <c r="E595" s="3"/>
      <c r="F595" s="3"/>
      <c r="G595" s="3"/>
      <c r="H595" s="3"/>
      <c r="I595" s="3"/>
      <c r="J595" s="3"/>
      <c r="K595" s="70"/>
      <c r="L595" s="3"/>
      <c r="M595" s="70"/>
      <c r="N595" s="5"/>
      <c r="R595" s="70"/>
      <c r="S595" s="3"/>
    </row>
    <row r="596">
      <c r="A596" s="70"/>
      <c r="B596" s="3"/>
      <c r="C596" s="3"/>
      <c r="D596" s="3"/>
      <c r="E596" s="3"/>
      <c r="F596" s="3"/>
      <c r="G596" s="3"/>
      <c r="H596" s="3"/>
      <c r="I596" s="3"/>
      <c r="J596" s="3"/>
      <c r="K596" s="70"/>
      <c r="L596" s="3"/>
      <c r="M596" s="70"/>
      <c r="N596" s="5"/>
      <c r="R596" s="70"/>
      <c r="S596" s="3"/>
    </row>
    <row r="597">
      <c r="A597" s="70"/>
      <c r="B597" s="3"/>
      <c r="C597" s="3"/>
      <c r="D597" s="3"/>
      <c r="E597" s="3"/>
      <c r="F597" s="3"/>
      <c r="G597" s="3"/>
      <c r="H597" s="3"/>
      <c r="I597" s="3"/>
      <c r="J597" s="3"/>
      <c r="K597" s="70"/>
      <c r="L597" s="3"/>
      <c r="M597" s="70"/>
      <c r="N597" s="5"/>
      <c r="R597" s="70"/>
      <c r="S597" s="3"/>
    </row>
    <row r="598">
      <c r="A598" s="70"/>
      <c r="B598" s="3"/>
      <c r="C598" s="3"/>
      <c r="D598" s="3"/>
      <c r="E598" s="3"/>
      <c r="F598" s="3"/>
      <c r="G598" s="3"/>
      <c r="H598" s="3"/>
      <c r="I598" s="3"/>
      <c r="J598" s="3"/>
      <c r="K598" s="70"/>
      <c r="L598" s="3"/>
      <c r="M598" s="70"/>
      <c r="N598" s="5"/>
      <c r="R598" s="70"/>
      <c r="S598" s="3"/>
    </row>
    <row r="599">
      <c r="A599" s="70"/>
      <c r="B599" s="3"/>
      <c r="C599" s="3"/>
      <c r="D599" s="3"/>
      <c r="E599" s="3"/>
      <c r="F599" s="3"/>
      <c r="G599" s="3"/>
      <c r="H599" s="3"/>
      <c r="I599" s="3"/>
      <c r="J599" s="3"/>
      <c r="K599" s="70"/>
      <c r="L599" s="3"/>
      <c r="M599" s="70"/>
      <c r="N599" s="5"/>
      <c r="R599" s="70"/>
      <c r="S599" s="3"/>
    </row>
    <row r="600">
      <c r="A600" s="70"/>
      <c r="B600" s="3"/>
      <c r="C600" s="3"/>
      <c r="D600" s="3"/>
      <c r="E600" s="3"/>
      <c r="F600" s="3"/>
      <c r="G600" s="3"/>
      <c r="H600" s="3"/>
      <c r="I600" s="3"/>
      <c r="J600" s="3"/>
      <c r="K600" s="70"/>
      <c r="L600" s="3"/>
      <c r="M600" s="70"/>
      <c r="N600" s="5"/>
      <c r="R600" s="70"/>
      <c r="S600" s="3"/>
    </row>
    <row r="601">
      <c r="A601" s="70"/>
      <c r="B601" s="3"/>
      <c r="C601" s="3"/>
      <c r="D601" s="3"/>
      <c r="E601" s="3"/>
      <c r="F601" s="3"/>
      <c r="G601" s="3"/>
      <c r="H601" s="3"/>
      <c r="I601" s="3"/>
      <c r="J601" s="3"/>
      <c r="K601" s="70"/>
      <c r="L601" s="3"/>
      <c r="M601" s="70"/>
      <c r="N601" s="5"/>
      <c r="R601" s="70"/>
      <c r="S601" s="3"/>
    </row>
    <row r="602">
      <c r="A602" s="70"/>
      <c r="B602" s="3"/>
      <c r="C602" s="3"/>
      <c r="D602" s="3"/>
      <c r="E602" s="3"/>
      <c r="F602" s="3"/>
      <c r="G602" s="3"/>
      <c r="H602" s="3"/>
      <c r="I602" s="3"/>
      <c r="J602" s="3"/>
      <c r="K602" s="70"/>
      <c r="L602" s="3"/>
      <c r="M602" s="70"/>
      <c r="N602" s="5"/>
      <c r="R602" s="70"/>
      <c r="S602" s="3"/>
    </row>
    <row r="603">
      <c r="A603" s="70"/>
      <c r="B603" s="3"/>
      <c r="C603" s="3"/>
      <c r="D603" s="3"/>
      <c r="E603" s="3"/>
      <c r="F603" s="3"/>
      <c r="G603" s="3"/>
      <c r="H603" s="3"/>
      <c r="I603" s="3"/>
      <c r="J603" s="3"/>
      <c r="K603" s="70"/>
      <c r="L603" s="3"/>
      <c r="M603" s="70"/>
      <c r="N603" s="5"/>
      <c r="R603" s="70"/>
      <c r="S603" s="3"/>
    </row>
    <row r="604">
      <c r="A604" s="70"/>
      <c r="B604" s="3"/>
      <c r="C604" s="3"/>
      <c r="D604" s="3"/>
      <c r="E604" s="3"/>
      <c r="F604" s="3"/>
      <c r="G604" s="3"/>
      <c r="H604" s="3"/>
      <c r="I604" s="3"/>
      <c r="J604" s="3"/>
      <c r="K604" s="70"/>
      <c r="L604" s="3"/>
      <c r="M604" s="70"/>
      <c r="N604" s="5"/>
      <c r="R604" s="70"/>
      <c r="S604" s="3"/>
    </row>
    <row r="605">
      <c r="A605" s="70"/>
      <c r="B605" s="3"/>
      <c r="C605" s="3"/>
      <c r="D605" s="3"/>
      <c r="E605" s="3"/>
      <c r="F605" s="3"/>
      <c r="G605" s="3"/>
      <c r="H605" s="3"/>
      <c r="I605" s="3"/>
      <c r="J605" s="3"/>
      <c r="K605" s="70"/>
      <c r="L605" s="3"/>
      <c r="M605" s="70"/>
      <c r="N605" s="5"/>
      <c r="R605" s="70"/>
      <c r="S605" s="3"/>
    </row>
    <row r="606">
      <c r="A606" s="70"/>
      <c r="B606" s="3"/>
      <c r="C606" s="3"/>
      <c r="D606" s="3"/>
      <c r="E606" s="3"/>
      <c r="F606" s="3"/>
      <c r="G606" s="3"/>
      <c r="H606" s="3"/>
      <c r="I606" s="3"/>
      <c r="J606" s="3"/>
      <c r="K606" s="70"/>
      <c r="L606" s="3"/>
      <c r="M606" s="70"/>
      <c r="N606" s="5"/>
      <c r="R606" s="70"/>
      <c r="S606" s="3"/>
    </row>
    <row r="607">
      <c r="A607" s="70"/>
      <c r="B607" s="3"/>
      <c r="C607" s="3"/>
      <c r="D607" s="3"/>
      <c r="E607" s="3"/>
      <c r="F607" s="3"/>
      <c r="G607" s="3"/>
      <c r="H607" s="3"/>
      <c r="I607" s="3"/>
      <c r="J607" s="3"/>
      <c r="K607" s="70"/>
      <c r="L607" s="3"/>
      <c r="M607" s="70"/>
      <c r="N607" s="5"/>
      <c r="R607" s="70"/>
      <c r="S607" s="3"/>
    </row>
    <row r="608">
      <c r="A608" s="70"/>
      <c r="B608" s="3"/>
      <c r="C608" s="3"/>
      <c r="D608" s="3"/>
      <c r="E608" s="3"/>
      <c r="F608" s="3"/>
      <c r="G608" s="3"/>
      <c r="H608" s="3"/>
      <c r="I608" s="3"/>
      <c r="J608" s="3"/>
      <c r="K608" s="70"/>
      <c r="L608" s="3"/>
      <c r="M608" s="70"/>
      <c r="N608" s="5"/>
      <c r="R608" s="70"/>
      <c r="S608" s="3"/>
    </row>
    <row r="609">
      <c r="A609" s="70"/>
      <c r="B609" s="3"/>
      <c r="C609" s="3"/>
      <c r="D609" s="3"/>
      <c r="E609" s="3"/>
      <c r="F609" s="3"/>
      <c r="G609" s="3"/>
      <c r="H609" s="3"/>
      <c r="I609" s="3"/>
      <c r="J609" s="3"/>
      <c r="K609" s="70"/>
      <c r="L609" s="3"/>
      <c r="M609" s="70"/>
      <c r="N609" s="5"/>
      <c r="R609" s="70"/>
      <c r="S609" s="3"/>
    </row>
    <row r="610">
      <c r="A610" s="70"/>
      <c r="B610" s="3"/>
      <c r="C610" s="3"/>
      <c r="D610" s="3"/>
      <c r="E610" s="3"/>
      <c r="F610" s="3"/>
      <c r="G610" s="3"/>
      <c r="H610" s="3"/>
      <c r="I610" s="3"/>
      <c r="J610" s="3"/>
      <c r="K610" s="70"/>
      <c r="L610" s="3"/>
      <c r="M610" s="70"/>
      <c r="N610" s="5"/>
      <c r="R610" s="70"/>
      <c r="S610" s="3"/>
    </row>
    <row r="611">
      <c r="A611" s="70"/>
      <c r="B611" s="3"/>
      <c r="C611" s="3"/>
      <c r="D611" s="3"/>
      <c r="E611" s="3"/>
      <c r="F611" s="3"/>
      <c r="G611" s="3"/>
      <c r="H611" s="3"/>
      <c r="I611" s="3"/>
      <c r="J611" s="3"/>
      <c r="K611" s="70"/>
      <c r="L611" s="3"/>
      <c r="M611" s="70"/>
      <c r="N611" s="5"/>
      <c r="R611" s="70"/>
      <c r="S611" s="3"/>
    </row>
    <row r="612">
      <c r="A612" s="70"/>
      <c r="B612" s="3"/>
      <c r="C612" s="3"/>
      <c r="D612" s="3"/>
      <c r="E612" s="3"/>
      <c r="F612" s="3"/>
      <c r="G612" s="3"/>
      <c r="H612" s="3"/>
      <c r="I612" s="3"/>
      <c r="J612" s="3"/>
      <c r="K612" s="70"/>
      <c r="L612" s="3"/>
      <c r="M612" s="70"/>
      <c r="N612" s="5"/>
      <c r="R612" s="70"/>
      <c r="S612" s="3"/>
    </row>
    <row r="613">
      <c r="A613" s="70"/>
      <c r="B613" s="3"/>
      <c r="C613" s="3"/>
      <c r="D613" s="3"/>
      <c r="E613" s="3"/>
      <c r="F613" s="3"/>
      <c r="G613" s="3"/>
      <c r="H613" s="3"/>
      <c r="I613" s="3"/>
      <c r="J613" s="3"/>
      <c r="K613" s="70"/>
      <c r="L613" s="3"/>
      <c r="M613" s="70"/>
      <c r="N613" s="5"/>
      <c r="R613" s="70"/>
      <c r="S613" s="3"/>
    </row>
    <row r="614">
      <c r="A614" s="70"/>
      <c r="B614" s="3"/>
      <c r="C614" s="3"/>
      <c r="D614" s="3"/>
      <c r="E614" s="3"/>
      <c r="F614" s="3"/>
      <c r="G614" s="3"/>
      <c r="H614" s="3"/>
      <c r="I614" s="3"/>
      <c r="J614" s="3"/>
      <c r="K614" s="70"/>
      <c r="L614" s="3"/>
      <c r="M614" s="70"/>
      <c r="N614" s="5"/>
      <c r="R614" s="70"/>
      <c r="S614" s="3"/>
    </row>
    <row r="615">
      <c r="A615" s="70"/>
      <c r="B615" s="3"/>
      <c r="C615" s="3"/>
      <c r="D615" s="3"/>
      <c r="E615" s="3"/>
      <c r="F615" s="3"/>
      <c r="G615" s="3"/>
      <c r="H615" s="3"/>
      <c r="I615" s="3"/>
      <c r="J615" s="3"/>
      <c r="K615" s="70"/>
      <c r="L615" s="3"/>
      <c r="M615" s="70"/>
      <c r="N615" s="5"/>
      <c r="R615" s="70"/>
      <c r="S615" s="3"/>
    </row>
    <row r="616">
      <c r="A616" s="70"/>
      <c r="B616" s="3"/>
      <c r="C616" s="3"/>
      <c r="D616" s="3"/>
      <c r="E616" s="3"/>
      <c r="F616" s="3"/>
      <c r="G616" s="3"/>
      <c r="H616" s="3"/>
      <c r="I616" s="3"/>
      <c r="J616" s="3"/>
      <c r="K616" s="70"/>
      <c r="L616" s="3"/>
      <c r="M616" s="70"/>
      <c r="N616" s="5"/>
      <c r="R616" s="70"/>
      <c r="S616" s="3"/>
    </row>
    <row r="617">
      <c r="A617" s="70"/>
      <c r="B617" s="3"/>
      <c r="C617" s="3"/>
      <c r="D617" s="3"/>
      <c r="E617" s="3"/>
      <c r="F617" s="3"/>
      <c r="G617" s="3"/>
      <c r="H617" s="3"/>
      <c r="I617" s="3"/>
      <c r="J617" s="3"/>
      <c r="K617" s="70"/>
      <c r="L617" s="3"/>
      <c r="M617" s="70"/>
      <c r="N617" s="5"/>
      <c r="R617" s="70"/>
      <c r="S617" s="3"/>
    </row>
    <row r="618">
      <c r="A618" s="70"/>
      <c r="B618" s="3"/>
      <c r="C618" s="3"/>
      <c r="D618" s="3"/>
      <c r="E618" s="3"/>
      <c r="F618" s="3"/>
      <c r="G618" s="3"/>
      <c r="H618" s="3"/>
      <c r="I618" s="3"/>
      <c r="J618" s="3"/>
      <c r="K618" s="70"/>
      <c r="L618" s="3"/>
      <c r="M618" s="70"/>
      <c r="N618" s="5"/>
      <c r="R618" s="70"/>
      <c r="S618" s="3"/>
    </row>
    <row r="619">
      <c r="A619" s="70"/>
      <c r="B619" s="3"/>
      <c r="C619" s="3"/>
      <c r="D619" s="3"/>
      <c r="E619" s="3"/>
      <c r="F619" s="3"/>
      <c r="G619" s="3"/>
      <c r="H619" s="3"/>
      <c r="I619" s="3"/>
      <c r="J619" s="3"/>
      <c r="K619" s="70"/>
      <c r="L619" s="3"/>
      <c r="M619" s="70"/>
      <c r="N619" s="5"/>
      <c r="R619" s="70"/>
      <c r="S619" s="3"/>
    </row>
    <row r="620">
      <c r="A620" s="70"/>
      <c r="B620" s="3"/>
      <c r="C620" s="3"/>
      <c r="D620" s="3"/>
      <c r="E620" s="3"/>
      <c r="F620" s="3"/>
      <c r="G620" s="3"/>
      <c r="H620" s="3"/>
      <c r="I620" s="3"/>
      <c r="J620" s="3"/>
      <c r="K620" s="70"/>
      <c r="L620" s="3"/>
      <c r="M620" s="70"/>
      <c r="N620" s="5"/>
      <c r="R620" s="70"/>
      <c r="S620" s="3"/>
    </row>
    <row r="621">
      <c r="A621" s="70"/>
      <c r="B621" s="3"/>
      <c r="C621" s="3"/>
      <c r="D621" s="3"/>
      <c r="E621" s="3"/>
      <c r="F621" s="3"/>
      <c r="G621" s="3"/>
      <c r="H621" s="3"/>
      <c r="I621" s="3"/>
      <c r="J621" s="3"/>
      <c r="K621" s="70"/>
      <c r="L621" s="3"/>
      <c r="M621" s="70"/>
      <c r="N621" s="5"/>
      <c r="R621" s="70"/>
      <c r="S621" s="3"/>
    </row>
    <row r="622">
      <c r="A622" s="70"/>
      <c r="B622" s="3"/>
      <c r="C622" s="3"/>
      <c r="D622" s="3"/>
      <c r="E622" s="3"/>
      <c r="F622" s="3"/>
      <c r="G622" s="3"/>
      <c r="H622" s="3"/>
      <c r="I622" s="3"/>
      <c r="J622" s="3"/>
      <c r="K622" s="70"/>
      <c r="L622" s="3"/>
      <c r="M622" s="70"/>
      <c r="N622" s="5"/>
      <c r="R622" s="70"/>
      <c r="S622" s="3"/>
    </row>
    <row r="623">
      <c r="A623" s="70"/>
      <c r="B623" s="3"/>
      <c r="C623" s="3"/>
      <c r="D623" s="3"/>
      <c r="E623" s="3"/>
      <c r="F623" s="3"/>
      <c r="G623" s="3"/>
      <c r="H623" s="3"/>
      <c r="I623" s="3"/>
      <c r="J623" s="3"/>
      <c r="K623" s="70"/>
      <c r="L623" s="3"/>
      <c r="M623" s="70"/>
      <c r="N623" s="5"/>
      <c r="R623" s="70"/>
      <c r="S623" s="3"/>
    </row>
    <row r="624">
      <c r="A624" s="70"/>
      <c r="B624" s="3"/>
      <c r="C624" s="3"/>
      <c r="D624" s="3"/>
      <c r="E624" s="3"/>
      <c r="F624" s="3"/>
      <c r="G624" s="3"/>
      <c r="H624" s="3"/>
      <c r="I624" s="3"/>
      <c r="J624" s="3"/>
      <c r="K624" s="70"/>
      <c r="L624" s="3"/>
      <c r="M624" s="70"/>
      <c r="N624" s="5"/>
      <c r="R624" s="70"/>
      <c r="S624" s="3"/>
    </row>
    <row r="625">
      <c r="A625" s="70"/>
      <c r="B625" s="3"/>
      <c r="C625" s="3"/>
      <c r="D625" s="3"/>
      <c r="E625" s="3"/>
      <c r="F625" s="3"/>
      <c r="G625" s="3"/>
      <c r="H625" s="3"/>
      <c r="I625" s="3"/>
      <c r="J625" s="3"/>
      <c r="K625" s="70"/>
      <c r="L625" s="3"/>
      <c r="M625" s="70"/>
      <c r="N625" s="5"/>
      <c r="R625" s="70"/>
      <c r="S625" s="3"/>
    </row>
    <row r="626">
      <c r="A626" s="70"/>
      <c r="B626" s="3"/>
      <c r="C626" s="3"/>
      <c r="D626" s="3"/>
      <c r="E626" s="3"/>
      <c r="F626" s="3"/>
      <c r="G626" s="3"/>
      <c r="H626" s="3"/>
      <c r="I626" s="3"/>
      <c r="J626" s="3"/>
      <c r="K626" s="70"/>
      <c r="L626" s="3"/>
      <c r="M626" s="70"/>
      <c r="N626" s="5"/>
      <c r="R626" s="70"/>
      <c r="S626" s="3"/>
    </row>
    <row r="627">
      <c r="A627" s="70"/>
      <c r="B627" s="3"/>
      <c r="C627" s="3"/>
      <c r="D627" s="3"/>
      <c r="E627" s="3"/>
      <c r="F627" s="3"/>
      <c r="G627" s="3"/>
      <c r="H627" s="3"/>
      <c r="I627" s="3"/>
      <c r="J627" s="3"/>
      <c r="K627" s="70"/>
      <c r="L627" s="3"/>
      <c r="M627" s="70"/>
      <c r="N627" s="5"/>
      <c r="R627" s="70"/>
      <c r="S627" s="3"/>
    </row>
    <row r="628">
      <c r="A628" s="70"/>
      <c r="B628" s="3"/>
      <c r="C628" s="3"/>
      <c r="D628" s="3"/>
      <c r="E628" s="3"/>
      <c r="F628" s="3"/>
      <c r="G628" s="3"/>
      <c r="H628" s="3"/>
      <c r="I628" s="3"/>
      <c r="J628" s="3"/>
      <c r="K628" s="70"/>
      <c r="L628" s="3"/>
      <c r="M628" s="70"/>
      <c r="N628" s="5"/>
      <c r="R628" s="70"/>
      <c r="S628" s="3"/>
    </row>
    <row r="629">
      <c r="A629" s="70"/>
      <c r="B629" s="3"/>
      <c r="C629" s="3"/>
      <c r="D629" s="3"/>
      <c r="E629" s="3"/>
      <c r="F629" s="3"/>
      <c r="G629" s="3"/>
      <c r="H629" s="3"/>
      <c r="I629" s="3"/>
      <c r="J629" s="3"/>
      <c r="K629" s="70"/>
      <c r="L629" s="3"/>
      <c r="M629" s="70"/>
      <c r="N629" s="5"/>
      <c r="R629" s="70"/>
      <c r="S629" s="3"/>
    </row>
    <row r="630">
      <c r="A630" s="70"/>
      <c r="B630" s="3"/>
      <c r="C630" s="3"/>
      <c r="D630" s="3"/>
      <c r="E630" s="3"/>
      <c r="F630" s="3"/>
      <c r="G630" s="3"/>
      <c r="H630" s="3"/>
      <c r="I630" s="3"/>
      <c r="J630" s="3"/>
      <c r="K630" s="70"/>
      <c r="L630" s="3"/>
      <c r="M630" s="70"/>
      <c r="N630" s="5"/>
      <c r="R630" s="70"/>
      <c r="S630" s="3"/>
    </row>
    <row r="631">
      <c r="A631" s="70"/>
      <c r="B631" s="3"/>
      <c r="C631" s="3"/>
      <c r="D631" s="3"/>
      <c r="E631" s="3"/>
      <c r="F631" s="3"/>
      <c r="G631" s="3"/>
      <c r="H631" s="3"/>
      <c r="I631" s="3"/>
      <c r="J631" s="3"/>
      <c r="K631" s="70"/>
      <c r="L631" s="3"/>
      <c r="M631" s="70"/>
      <c r="N631" s="5"/>
      <c r="R631" s="70"/>
      <c r="S631" s="3"/>
    </row>
    <row r="632">
      <c r="A632" s="70"/>
      <c r="B632" s="3"/>
      <c r="C632" s="3"/>
      <c r="D632" s="3"/>
      <c r="E632" s="3"/>
      <c r="F632" s="3"/>
      <c r="G632" s="3"/>
      <c r="H632" s="3"/>
      <c r="I632" s="3"/>
      <c r="J632" s="3"/>
      <c r="K632" s="70"/>
      <c r="L632" s="3"/>
      <c r="M632" s="70"/>
      <c r="N632" s="5"/>
      <c r="R632" s="70"/>
      <c r="S632" s="3"/>
    </row>
    <row r="633">
      <c r="A633" s="70"/>
      <c r="B633" s="3"/>
      <c r="C633" s="3"/>
      <c r="D633" s="3"/>
      <c r="E633" s="3"/>
      <c r="F633" s="3"/>
      <c r="G633" s="3"/>
      <c r="H633" s="3"/>
      <c r="I633" s="3"/>
      <c r="J633" s="3"/>
      <c r="K633" s="70"/>
      <c r="L633" s="3"/>
      <c r="M633" s="70"/>
      <c r="N633" s="5"/>
      <c r="R633" s="70"/>
      <c r="S633" s="3"/>
    </row>
    <row r="634">
      <c r="A634" s="70"/>
      <c r="B634" s="3"/>
      <c r="C634" s="3"/>
      <c r="D634" s="3"/>
      <c r="E634" s="3"/>
      <c r="F634" s="3"/>
      <c r="G634" s="3"/>
      <c r="H634" s="3"/>
      <c r="I634" s="3"/>
      <c r="J634" s="3"/>
      <c r="K634" s="70"/>
      <c r="L634" s="3"/>
      <c r="M634" s="70"/>
      <c r="N634" s="5"/>
      <c r="R634" s="70"/>
      <c r="S634" s="3"/>
    </row>
    <row r="635">
      <c r="A635" s="70"/>
      <c r="B635" s="3"/>
      <c r="C635" s="3"/>
      <c r="D635" s="3"/>
      <c r="E635" s="3"/>
      <c r="F635" s="3"/>
      <c r="G635" s="3"/>
      <c r="H635" s="3"/>
      <c r="I635" s="3"/>
      <c r="J635" s="3"/>
      <c r="K635" s="70"/>
      <c r="L635" s="3"/>
      <c r="M635" s="70"/>
      <c r="N635" s="5"/>
      <c r="R635" s="70"/>
      <c r="S635" s="3"/>
    </row>
    <row r="636">
      <c r="A636" s="70"/>
      <c r="B636" s="3"/>
      <c r="C636" s="3"/>
      <c r="D636" s="3"/>
      <c r="E636" s="3"/>
      <c r="F636" s="3"/>
      <c r="G636" s="3"/>
      <c r="H636" s="3"/>
      <c r="I636" s="3"/>
      <c r="J636" s="3"/>
      <c r="K636" s="70"/>
      <c r="L636" s="3"/>
      <c r="M636" s="70"/>
      <c r="N636" s="5"/>
      <c r="R636" s="70"/>
      <c r="S636" s="3"/>
    </row>
    <row r="637">
      <c r="A637" s="70"/>
      <c r="B637" s="3"/>
      <c r="C637" s="3"/>
      <c r="D637" s="3"/>
      <c r="E637" s="3"/>
      <c r="F637" s="3"/>
      <c r="G637" s="3"/>
      <c r="H637" s="3"/>
      <c r="I637" s="3"/>
      <c r="J637" s="3"/>
      <c r="K637" s="70"/>
      <c r="L637" s="3"/>
      <c r="M637" s="70"/>
      <c r="N637" s="5"/>
      <c r="R637" s="70"/>
      <c r="S637" s="3"/>
    </row>
    <row r="638">
      <c r="A638" s="70"/>
      <c r="B638" s="3"/>
      <c r="C638" s="3"/>
      <c r="D638" s="3"/>
      <c r="E638" s="3"/>
      <c r="F638" s="3"/>
      <c r="G638" s="3"/>
      <c r="H638" s="3"/>
      <c r="I638" s="3"/>
      <c r="J638" s="3"/>
      <c r="K638" s="70"/>
      <c r="L638" s="3"/>
      <c r="M638" s="70"/>
      <c r="N638" s="5"/>
      <c r="R638" s="70"/>
      <c r="S638" s="3"/>
    </row>
    <row r="639">
      <c r="A639" s="70"/>
      <c r="B639" s="3"/>
      <c r="C639" s="3"/>
      <c r="D639" s="3"/>
      <c r="E639" s="3"/>
      <c r="F639" s="3"/>
      <c r="G639" s="3"/>
      <c r="H639" s="3"/>
      <c r="I639" s="3"/>
      <c r="J639" s="3"/>
      <c r="K639" s="70"/>
      <c r="L639" s="3"/>
      <c r="M639" s="70"/>
      <c r="N639" s="5"/>
      <c r="R639" s="70"/>
      <c r="S639" s="3"/>
    </row>
    <row r="640">
      <c r="A640" s="70"/>
      <c r="B640" s="3"/>
      <c r="C640" s="3"/>
      <c r="D640" s="3"/>
      <c r="E640" s="3"/>
      <c r="F640" s="3"/>
      <c r="G640" s="3"/>
      <c r="H640" s="3"/>
      <c r="I640" s="3"/>
      <c r="J640" s="3"/>
      <c r="K640" s="70"/>
      <c r="L640" s="3"/>
      <c r="M640" s="70"/>
      <c r="N640" s="5"/>
      <c r="R640" s="70"/>
      <c r="S640" s="3"/>
    </row>
    <row r="641">
      <c r="A641" s="70"/>
      <c r="B641" s="3"/>
      <c r="C641" s="3"/>
      <c r="D641" s="3"/>
      <c r="E641" s="3"/>
      <c r="F641" s="3"/>
      <c r="G641" s="3"/>
      <c r="H641" s="3"/>
      <c r="I641" s="3"/>
      <c r="J641" s="3"/>
      <c r="K641" s="70"/>
      <c r="L641" s="3"/>
      <c r="M641" s="70"/>
      <c r="N641" s="5"/>
      <c r="R641" s="70"/>
      <c r="S641" s="3"/>
    </row>
    <row r="642">
      <c r="A642" s="70"/>
      <c r="B642" s="3"/>
      <c r="C642" s="3"/>
      <c r="D642" s="3"/>
      <c r="E642" s="3"/>
      <c r="F642" s="3"/>
      <c r="G642" s="3"/>
      <c r="H642" s="3"/>
      <c r="I642" s="3"/>
      <c r="J642" s="3"/>
      <c r="K642" s="70"/>
      <c r="L642" s="3"/>
      <c r="M642" s="70"/>
      <c r="N642" s="5"/>
      <c r="R642" s="70"/>
      <c r="S642" s="3"/>
    </row>
    <row r="643">
      <c r="A643" s="70"/>
      <c r="B643" s="3"/>
      <c r="C643" s="3"/>
      <c r="D643" s="3"/>
      <c r="E643" s="3"/>
      <c r="F643" s="3"/>
      <c r="G643" s="3"/>
      <c r="H643" s="3"/>
      <c r="I643" s="3"/>
      <c r="J643" s="3"/>
      <c r="K643" s="70"/>
      <c r="L643" s="3"/>
      <c r="M643" s="70"/>
      <c r="N643" s="5"/>
      <c r="R643" s="70"/>
      <c r="S643" s="3"/>
    </row>
    <row r="644">
      <c r="A644" s="70"/>
      <c r="B644" s="3"/>
      <c r="C644" s="3"/>
      <c r="D644" s="3"/>
      <c r="E644" s="3"/>
      <c r="F644" s="3"/>
      <c r="G644" s="3"/>
      <c r="H644" s="3"/>
      <c r="I644" s="3"/>
      <c r="J644" s="3"/>
      <c r="K644" s="70"/>
      <c r="L644" s="3"/>
      <c r="M644" s="70"/>
      <c r="N644" s="5"/>
      <c r="R644" s="70"/>
      <c r="S644" s="3"/>
    </row>
    <row r="645">
      <c r="A645" s="70"/>
      <c r="B645" s="3"/>
      <c r="C645" s="3"/>
      <c r="D645" s="3"/>
      <c r="E645" s="3"/>
      <c r="F645" s="3"/>
      <c r="G645" s="3"/>
      <c r="H645" s="3"/>
      <c r="I645" s="3"/>
      <c r="J645" s="3"/>
      <c r="K645" s="70"/>
      <c r="L645" s="3"/>
      <c r="M645" s="70"/>
      <c r="N645" s="5"/>
      <c r="R645" s="70"/>
      <c r="S645" s="3"/>
    </row>
    <row r="646">
      <c r="A646" s="70"/>
      <c r="B646" s="3"/>
      <c r="C646" s="3"/>
      <c r="D646" s="3"/>
      <c r="E646" s="3"/>
      <c r="F646" s="3"/>
      <c r="G646" s="3"/>
      <c r="H646" s="3"/>
      <c r="I646" s="3"/>
      <c r="J646" s="3"/>
      <c r="K646" s="70"/>
      <c r="L646" s="3"/>
      <c r="M646" s="70"/>
      <c r="N646" s="5"/>
      <c r="R646" s="70"/>
      <c r="S646" s="3"/>
    </row>
    <row r="647">
      <c r="A647" s="70"/>
      <c r="B647" s="3"/>
      <c r="C647" s="3"/>
      <c r="D647" s="3"/>
      <c r="E647" s="3"/>
      <c r="F647" s="3"/>
      <c r="G647" s="3"/>
      <c r="H647" s="3"/>
      <c r="I647" s="3"/>
      <c r="J647" s="3"/>
      <c r="K647" s="70"/>
      <c r="L647" s="3"/>
      <c r="M647" s="70"/>
      <c r="N647" s="5"/>
      <c r="R647" s="70"/>
      <c r="S647" s="3"/>
    </row>
    <row r="648">
      <c r="A648" s="70"/>
      <c r="B648" s="3"/>
      <c r="C648" s="3"/>
      <c r="D648" s="3"/>
      <c r="E648" s="3"/>
      <c r="F648" s="3"/>
      <c r="G648" s="3"/>
      <c r="H648" s="3"/>
      <c r="I648" s="3"/>
      <c r="J648" s="3"/>
      <c r="K648" s="70"/>
      <c r="L648" s="3"/>
      <c r="M648" s="70"/>
      <c r="N648" s="5"/>
      <c r="R648" s="70"/>
      <c r="S648" s="3"/>
    </row>
    <row r="649">
      <c r="A649" s="70"/>
      <c r="B649" s="3"/>
      <c r="C649" s="3"/>
      <c r="D649" s="3"/>
      <c r="E649" s="3"/>
      <c r="F649" s="3"/>
      <c r="G649" s="3"/>
      <c r="H649" s="3"/>
      <c r="I649" s="3"/>
      <c r="J649" s="3"/>
      <c r="K649" s="70"/>
      <c r="L649" s="3"/>
      <c r="M649" s="70"/>
      <c r="N649" s="5"/>
      <c r="R649" s="70"/>
      <c r="S649" s="3"/>
    </row>
    <row r="650">
      <c r="A650" s="70"/>
      <c r="B650" s="3"/>
      <c r="C650" s="3"/>
      <c r="D650" s="3"/>
      <c r="E650" s="3"/>
      <c r="F650" s="3"/>
      <c r="G650" s="3"/>
      <c r="H650" s="3"/>
      <c r="I650" s="3"/>
      <c r="J650" s="3"/>
      <c r="K650" s="70"/>
      <c r="L650" s="3"/>
      <c r="M650" s="70"/>
      <c r="N650" s="5"/>
      <c r="R650" s="70"/>
      <c r="S650" s="3"/>
    </row>
    <row r="651">
      <c r="A651" s="70"/>
      <c r="B651" s="3"/>
      <c r="C651" s="3"/>
      <c r="D651" s="3"/>
      <c r="E651" s="3"/>
      <c r="F651" s="3"/>
      <c r="G651" s="3"/>
      <c r="H651" s="3"/>
      <c r="I651" s="3"/>
      <c r="J651" s="3"/>
      <c r="K651" s="70"/>
      <c r="L651" s="3"/>
      <c r="M651" s="70"/>
      <c r="N651" s="5"/>
      <c r="R651" s="70"/>
      <c r="S651" s="3"/>
    </row>
    <row r="652">
      <c r="A652" s="70"/>
      <c r="B652" s="3"/>
      <c r="C652" s="3"/>
      <c r="D652" s="3"/>
      <c r="E652" s="3"/>
      <c r="F652" s="3"/>
      <c r="G652" s="3"/>
      <c r="H652" s="3"/>
      <c r="I652" s="3"/>
      <c r="J652" s="3"/>
      <c r="K652" s="70"/>
      <c r="L652" s="3"/>
      <c r="M652" s="70"/>
      <c r="N652" s="5"/>
      <c r="R652" s="70"/>
      <c r="S652" s="3"/>
    </row>
    <row r="653">
      <c r="A653" s="70"/>
      <c r="B653" s="3"/>
      <c r="C653" s="3"/>
      <c r="D653" s="3"/>
      <c r="E653" s="3"/>
      <c r="F653" s="3"/>
      <c r="G653" s="3"/>
      <c r="H653" s="3"/>
      <c r="I653" s="3"/>
      <c r="J653" s="3"/>
      <c r="K653" s="70"/>
      <c r="L653" s="3"/>
      <c r="M653" s="70"/>
      <c r="N653" s="5"/>
      <c r="R653" s="70"/>
      <c r="S653" s="3"/>
    </row>
    <row r="654">
      <c r="A654" s="70"/>
      <c r="B654" s="3"/>
      <c r="C654" s="3"/>
      <c r="D654" s="3"/>
      <c r="E654" s="3"/>
      <c r="F654" s="3"/>
      <c r="G654" s="3"/>
      <c r="H654" s="3"/>
      <c r="I654" s="3"/>
      <c r="J654" s="3"/>
      <c r="K654" s="70"/>
      <c r="L654" s="3"/>
      <c r="M654" s="70"/>
      <c r="N654" s="5"/>
      <c r="R654" s="70"/>
      <c r="S654" s="3"/>
    </row>
    <row r="655">
      <c r="A655" s="70"/>
      <c r="B655" s="3"/>
      <c r="C655" s="3"/>
      <c r="D655" s="3"/>
      <c r="E655" s="3"/>
      <c r="F655" s="3"/>
      <c r="G655" s="3"/>
      <c r="H655" s="3"/>
      <c r="I655" s="3"/>
      <c r="J655" s="3"/>
      <c r="K655" s="70"/>
      <c r="L655" s="3"/>
      <c r="M655" s="70"/>
      <c r="N655" s="5"/>
      <c r="R655" s="70"/>
      <c r="S655" s="3"/>
    </row>
    <row r="656">
      <c r="A656" s="70"/>
      <c r="B656" s="3"/>
      <c r="C656" s="3"/>
      <c r="D656" s="3"/>
      <c r="E656" s="3"/>
      <c r="F656" s="3"/>
      <c r="G656" s="3"/>
      <c r="H656" s="3"/>
      <c r="I656" s="3"/>
      <c r="J656" s="3"/>
      <c r="K656" s="70"/>
      <c r="L656" s="3"/>
      <c r="M656" s="70"/>
      <c r="N656" s="5"/>
      <c r="R656" s="70"/>
      <c r="S656" s="3"/>
    </row>
    <row r="657">
      <c r="A657" s="70"/>
      <c r="B657" s="3"/>
      <c r="C657" s="3"/>
      <c r="D657" s="3"/>
      <c r="E657" s="3"/>
      <c r="F657" s="3"/>
      <c r="G657" s="3"/>
      <c r="H657" s="3"/>
      <c r="I657" s="3"/>
      <c r="J657" s="3"/>
      <c r="K657" s="70"/>
      <c r="L657" s="3"/>
      <c r="M657" s="70"/>
      <c r="N657" s="5"/>
      <c r="R657" s="70"/>
      <c r="S657" s="3"/>
    </row>
    <row r="658">
      <c r="A658" s="70"/>
      <c r="B658" s="3"/>
      <c r="C658" s="3"/>
      <c r="D658" s="3"/>
      <c r="E658" s="3"/>
      <c r="F658" s="3"/>
      <c r="G658" s="3"/>
      <c r="H658" s="3"/>
      <c r="I658" s="3"/>
      <c r="J658" s="3"/>
      <c r="K658" s="70"/>
      <c r="L658" s="3"/>
      <c r="M658" s="70"/>
      <c r="N658" s="5"/>
      <c r="R658" s="70"/>
      <c r="S658" s="3"/>
    </row>
    <row r="659">
      <c r="A659" s="70"/>
      <c r="B659" s="3"/>
      <c r="C659" s="3"/>
      <c r="D659" s="3"/>
      <c r="E659" s="3"/>
      <c r="F659" s="3"/>
      <c r="G659" s="3"/>
      <c r="H659" s="3"/>
      <c r="I659" s="3"/>
      <c r="J659" s="3"/>
      <c r="K659" s="70"/>
      <c r="L659" s="3"/>
      <c r="M659" s="70"/>
      <c r="N659" s="5"/>
      <c r="R659" s="70"/>
      <c r="S659" s="3"/>
    </row>
    <row r="660">
      <c r="A660" s="70"/>
      <c r="B660" s="3"/>
      <c r="C660" s="3"/>
      <c r="D660" s="3"/>
      <c r="E660" s="3"/>
      <c r="F660" s="3"/>
      <c r="G660" s="3"/>
      <c r="H660" s="3"/>
      <c r="I660" s="3"/>
      <c r="J660" s="3"/>
      <c r="K660" s="70"/>
      <c r="L660" s="3"/>
      <c r="M660" s="70"/>
      <c r="N660" s="5"/>
      <c r="R660" s="70"/>
      <c r="S660" s="3"/>
    </row>
    <row r="661">
      <c r="A661" s="70"/>
      <c r="B661" s="3"/>
      <c r="C661" s="3"/>
      <c r="D661" s="3"/>
      <c r="E661" s="3"/>
      <c r="F661" s="3"/>
      <c r="G661" s="3"/>
      <c r="H661" s="3"/>
      <c r="I661" s="3"/>
      <c r="J661" s="3"/>
      <c r="K661" s="70"/>
      <c r="L661" s="3"/>
      <c r="M661" s="70"/>
      <c r="N661" s="5"/>
      <c r="R661" s="70"/>
      <c r="S661" s="3"/>
    </row>
    <row r="662">
      <c r="A662" s="70"/>
      <c r="B662" s="3"/>
      <c r="C662" s="3"/>
      <c r="D662" s="3"/>
      <c r="E662" s="3"/>
      <c r="F662" s="3"/>
      <c r="G662" s="3"/>
      <c r="H662" s="3"/>
      <c r="I662" s="3"/>
      <c r="J662" s="3"/>
      <c r="K662" s="70"/>
      <c r="L662" s="3"/>
      <c r="M662" s="70"/>
      <c r="N662" s="5"/>
      <c r="R662" s="70"/>
      <c r="S662" s="3"/>
    </row>
    <row r="663">
      <c r="A663" s="70"/>
      <c r="B663" s="3"/>
      <c r="C663" s="3"/>
      <c r="D663" s="3"/>
      <c r="E663" s="3"/>
      <c r="F663" s="3"/>
      <c r="G663" s="3"/>
      <c r="H663" s="3"/>
      <c r="I663" s="3"/>
      <c r="J663" s="3"/>
      <c r="K663" s="70"/>
      <c r="L663" s="3"/>
      <c r="M663" s="70"/>
      <c r="N663" s="5"/>
      <c r="R663" s="70"/>
      <c r="S663" s="3"/>
    </row>
    <row r="664">
      <c r="A664" s="70"/>
      <c r="B664" s="3"/>
      <c r="C664" s="3"/>
      <c r="D664" s="3"/>
      <c r="E664" s="3"/>
      <c r="F664" s="3"/>
      <c r="G664" s="3"/>
      <c r="H664" s="3"/>
      <c r="I664" s="3"/>
      <c r="J664" s="3"/>
      <c r="K664" s="70"/>
      <c r="L664" s="3"/>
      <c r="M664" s="70"/>
      <c r="N664" s="5"/>
      <c r="R664" s="70"/>
      <c r="S664" s="3"/>
    </row>
    <row r="665">
      <c r="A665" s="70"/>
      <c r="B665" s="3"/>
      <c r="C665" s="3"/>
      <c r="D665" s="3"/>
      <c r="E665" s="3"/>
      <c r="F665" s="3"/>
      <c r="G665" s="3"/>
      <c r="H665" s="3"/>
      <c r="I665" s="3"/>
      <c r="J665" s="3"/>
      <c r="K665" s="70"/>
      <c r="L665" s="3"/>
      <c r="M665" s="70"/>
      <c r="N665" s="5"/>
      <c r="R665" s="70"/>
      <c r="S665" s="3"/>
    </row>
    <row r="666">
      <c r="A666" s="70"/>
      <c r="B666" s="3"/>
      <c r="C666" s="3"/>
      <c r="D666" s="3"/>
      <c r="E666" s="3"/>
      <c r="F666" s="3"/>
      <c r="G666" s="3"/>
      <c r="H666" s="3"/>
      <c r="I666" s="3"/>
      <c r="J666" s="3"/>
      <c r="K666" s="70"/>
      <c r="L666" s="3"/>
      <c r="M666" s="70"/>
      <c r="N666" s="5"/>
      <c r="R666" s="70"/>
      <c r="S666" s="3"/>
    </row>
    <row r="667">
      <c r="A667" s="70"/>
      <c r="B667" s="3"/>
      <c r="C667" s="3"/>
      <c r="D667" s="3"/>
      <c r="E667" s="3"/>
      <c r="F667" s="3"/>
      <c r="G667" s="3"/>
      <c r="H667" s="3"/>
      <c r="I667" s="3"/>
      <c r="J667" s="3"/>
      <c r="K667" s="70"/>
      <c r="L667" s="3"/>
      <c r="M667" s="70"/>
      <c r="N667" s="5"/>
      <c r="R667" s="70"/>
      <c r="S667" s="3"/>
    </row>
    <row r="668">
      <c r="A668" s="70"/>
      <c r="B668" s="3"/>
      <c r="C668" s="3"/>
      <c r="D668" s="3"/>
      <c r="E668" s="3"/>
      <c r="F668" s="3"/>
      <c r="G668" s="3"/>
      <c r="H668" s="3"/>
      <c r="I668" s="3"/>
      <c r="J668" s="3"/>
      <c r="K668" s="70"/>
      <c r="L668" s="3"/>
      <c r="M668" s="70"/>
      <c r="N668" s="5"/>
      <c r="R668" s="70"/>
      <c r="S668" s="3"/>
    </row>
    <row r="669">
      <c r="A669" s="70"/>
      <c r="B669" s="3"/>
      <c r="C669" s="3"/>
      <c r="D669" s="3"/>
      <c r="E669" s="3"/>
      <c r="F669" s="3"/>
      <c r="G669" s="3"/>
      <c r="H669" s="3"/>
      <c r="I669" s="3"/>
      <c r="J669" s="3"/>
      <c r="K669" s="70"/>
      <c r="L669" s="3"/>
      <c r="M669" s="70"/>
      <c r="N669" s="5"/>
      <c r="R669" s="70"/>
      <c r="S669" s="3"/>
    </row>
    <row r="670">
      <c r="A670" s="70"/>
      <c r="B670" s="3"/>
      <c r="C670" s="3"/>
      <c r="D670" s="3"/>
      <c r="E670" s="3"/>
      <c r="F670" s="3"/>
      <c r="G670" s="3"/>
      <c r="H670" s="3"/>
      <c r="I670" s="3"/>
      <c r="J670" s="3"/>
      <c r="K670" s="70"/>
      <c r="L670" s="3"/>
      <c r="M670" s="70"/>
      <c r="N670" s="5"/>
      <c r="R670" s="70"/>
      <c r="S670" s="3"/>
    </row>
    <row r="671">
      <c r="A671" s="70"/>
      <c r="B671" s="3"/>
      <c r="C671" s="3"/>
      <c r="D671" s="3"/>
      <c r="E671" s="3"/>
      <c r="F671" s="3"/>
      <c r="G671" s="3"/>
      <c r="H671" s="3"/>
      <c r="I671" s="3"/>
      <c r="J671" s="3"/>
      <c r="K671" s="70"/>
      <c r="L671" s="3"/>
      <c r="M671" s="70"/>
      <c r="N671" s="5"/>
      <c r="R671" s="70"/>
      <c r="S671" s="3"/>
    </row>
    <row r="672">
      <c r="A672" s="70"/>
      <c r="B672" s="3"/>
      <c r="C672" s="3"/>
      <c r="D672" s="3"/>
      <c r="E672" s="3"/>
      <c r="F672" s="3"/>
      <c r="G672" s="3"/>
      <c r="H672" s="3"/>
      <c r="I672" s="3"/>
      <c r="J672" s="3"/>
      <c r="K672" s="70"/>
      <c r="L672" s="3"/>
      <c r="M672" s="70"/>
      <c r="N672" s="5"/>
      <c r="R672" s="70"/>
      <c r="S672" s="3"/>
    </row>
    <row r="673">
      <c r="A673" s="70"/>
      <c r="B673" s="3"/>
      <c r="C673" s="3"/>
      <c r="D673" s="3"/>
      <c r="E673" s="3"/>
      <c r="F673" s="3"/>
      <c r="G673" s="3"/>
      <c r="H673" s="3"/>
      <c r="I673" s="3"/>
      <c r="J673" s="3"/>
      <c r="K673" s="70"/>
      <c r="L673" s="3"/>
      <c r="M673" s="70"/>
      <c r="N673" s="5"/>
      <c r="R673" s="70"/>
      <c r="S673" s="3"/>
    </row>
    <row r="674">
      <c r="A674" s="70"/>
      <c r="B674" s="3"/>
      <c r="C674" s="3"/>
      <c r="D674" s="3"/>
      <c r="E674" s="3"/>
      <c r="F674" s="3"/>
      <c r="G674" s="3"/>
      <c r="H674" s="3"/>
      <c r="I674" s="3"/>
      <c r="J674" s="3"/>
      <c r="K674" s="70"/>
      <c r="L674" s="3"/>
      <c r="M674" s="70"/>
      <c r="N674" s="5"/>
      <c r="R674" s="70"/>
      <c r="S674" s="3"/>
    </row>
    <row r="675">
      <c r="A675" s="70"/>
      <c r="B675" s="3"/>
      <c r="C675" s="3"/>
      <c r="D675" s="3"/>
      <c r="E675" s="3"/>
      <c r="F675" s="3"/>
      <c r="G675" s="3"/>
      <c r="H675" s="3"/>
      <c r="I675" s="3"/>
      <c r="J675" s="3"/>
      <c r="K675" s="70"/>
      <c r="L675" s="3"/>
      <c r="M675" s="70"/>
      <c r="N675" s="5"/>
      <c r="R675" s="70"/>
      <c r="S675" s="3"/>
    </row>
    <row r="676">
      <c r="A676" s="70"/>
      <c r="B676" s="3"/>
      <c r="C676" s="3"/>
      <c r="D676" s="3"/>
      <c r="E676" s="3"/>
      <c r="F676" s="3"/>
      <c r="G676" s="3"/>
      <c r="H676" s="3"/>
      <c r="I676" s="3"/>
      <c r="J676" s="3"/>
      <c r="K676" s="70"/>
      <c r="L676" s="3"/>
      <c r="M676" s="70"/>
      <c r="N676" s="5"/>
      <c r="R676" s="70"/>
      <c r="S676" s="3"/>
    </row>
    <row r="677">
      <c r="A677" s="70"/>
      <c r="B677" s="3"/>
      <c r="C677" s="3"/>
      <c r="D677" s="3"/>
      <c r="E677" s="3"/>
      <c r="F677" s="3"/>
      <c r="G677" s="3"/>
      <c r="H677" s="3"/>
      <c r="I677" s="3"/>
      <c r="J677" s="3"/>
      <c r="K677" s="70"/>
      <c r="L677" s="3"/>
      <c r="M677" s="70"/>
      <c r="N677" s="5"/>
      <c r="R677" s="70"/>
      <c r="S677" s="3"/>
    </row>
    <row r="678">
      <c r="A678" s="70"/>
      <c r="B678" s="3"/>
      <c r="C678" s="3"/>
      <c r="D678" s="3"/>
      <c r="E678" s="3"/>
      <c r="F678" s="3"/>
      <c r="G678" s="3"/>
      <c r="H678" s="3"/>
      <c r="I678" s="3"/>
      <c r="J678" s="3"/>
      <c r="K678" s="70"/>
      <c r="L678" s="3"/>
      <c r="M678" s="70"/>
      <c r="N678" s="5"/>
      <c r="R678" s="70"/>
      <c r="S678" s="3"/>
    </row>
    <row r="679">
      <c r="A679" s="70"/>
      <c r="B679" s="3"/>
      <c r="C679" s="3"/>
      <c r="D679" s="3"/>
      <c r="E679" s="3"/>
      <c r="F679" s="3"/>
      <c r="G679" s="3"/>
      <c r="H679" s="3"/>
      <c r="I679" s="3"/>
      <c r="J679" s="3"/>
      <c r="K679" s="70"/>
      <c r="L679" s="3"/>
      <c r="M679" s="70"/>
      <c r="N679" s="5"/>
      <c r="R679" s="70"/>
      <c r="S679" s="3"/>
    </row>
    <row r="680">
      <c r="A680" s="70"/>
      <c r="B680" s="3"/>
      <c r="C680" s="3"/>
      <c r="D680" s="3"/>
      <c r="E680" s="3"/>
      <c r="F680" s="3"/>
      <c r="G680" s="3"/>
      <c r="H680" s="3"/>
      <c r="I680" s="3"/>
      <c r="J680" s="3"/>
      <c r="K680" s="70"/>
      <c r="L680" s="3"/>
      <c r="M680" s="70"/>
      <c r="N680" s="5"/>
      <c r="R680" s="70"/>
      <c r="S680" s="3"/>
    </row>
    <row r="681">
      <c r="A681" s="70"/>
      <c r="B681" s="3"/>
      <c r="C681" s="3"/>
      <c r="D681" s="3"/>
      <c r="E681" s="3"/>
      <c r="F681" s="3"/>
      <c r="G681" s="3"/>
      <c r="H681" s="3"/>
      <c r="I681" s="3"/>
      <c r="J681" s="3"/>
      <c r="K681" s="70"/>
      <c r="L681" s="3"/>
      <c r="M681" s="70"/>
      <c r="N681" s="5"/>
      <c r="R681" s="70"/>
      <c r="S681" s="3"/>
    </row>
    <row r="682">
      <c r="A682" s="70"/>
      <c r="B682" s="3"/>
      <c r="C682" s="3"/>
      <c r="D682" s="3"/>
      <c r="E682" s="3"/>
      <c r="F682" s="3"/>
      <c r="G682" s="3"/>
      <c r="H682" s="3"/>
      <c r="I682" s="3"/>
      <c r="J682" s="3"/>
      <c r="K682" s="70"/>
      <c r="L682" s="3"/>
      <c r="M682" s="70"/>
      <c r="N682" s="5"/>
      <c r="R682" s="70"/>
      <c r="S682" s="3"/>
    </row>
    <row r="683">
      <c r="A683" s="70"/>
      <c r="B683" s="3"/>
      <c r="C683" s="3"/>
      <c r="D683" s="3"/>
      <c r="E683" s="3"/>
      <c r="F683" s="3"/>
      <c r="G683" s="3"/>
      <c r="H683" s="3"/>
      <c r="I683" s="3"/>
      <c r="J683" s="3"/>
      <c r="K683" s="70"/>
      <c r="L683" s="3"/>
      <c r="M683" s="70"/>
      <c r="N683" s="5"/>
      <c r="R683" s="70"/>
      <c r="S683" s="3"/>
    </row>
    <row r="684">
      <c r="A684" s="70"/>
      <c r="B684" s="3"/>
      <c r="C684" s="3"/>
      <c r="D684" s="3"/>
      <c r="E684" s="3"/>
      <c r="F684" s="3"/>
      <c r="G684" s="3"/>
      <c r="H684" s="3"/>
      <c r="I684" s="3"/>
      <c r="J684" s="3"/>
      <c r="K684" s="70"/>
      <c r="L684" s="3"/>
      <c r="M684" s="70"/>
      <c r="N684" s="5"/>
      <c r="R684" s="70"/>
      <c r="S684" s="3"/>
    </row>
    <row r="685">
      <c r="A685" s="70"/>
      <c r="B685" s="3"/>
      <c r="C685" s="3"/>
      <c r="D685" s="3"/>
      <c r="E685" s="3"/>
      <c r="F685" s="3"/>
      <c r="G685" s="3"/>
      <c r="H685" s="3"/>
      <c r="I685" s="3"/>
      <c r="J685" s="3"/>
      <c r="K685" s="70"/>
      <c r="L685" s="3"/>
      <c r="M685" s="70"/>
      <c r="N685" s="5"/>
      <c r="R685" s="70"/>
      <c r="S685" s="3"/>
    </row>
    <row r="686">
      <c r="A686" s="70"/>
      <c r="B686" s="3"/>
      <c r="C686" s="3"/>
      <c r="D686" s="3"/>
      <c r="E686" s="3"/>
      <c r="F686" s="3"/>
      <c r="G686" s="3"/>
      <c r="H686" s="3"/>
      <c r="I686" s="3"/>
      <c r="J686" s="3"/>
      <c r="K686" s="70"/>
      <c r="L686" s="3"/>
      <c r="M686" s="70"/>
      <c r="N686" s="5"/>
      <c r="R686" s="70"/>
      <c r="S686" s="3"/>
    </row>
    <row r="687">
      <c r="A687" s="70"/>
      <c r="B687" s="3"/>
      <c r="C687" s="3"/>
      <c r="D687" s="3"/>
      <c r="E687" s="3"/>
      <c r="F687" s="3"/>
      <c r="G687" s="3"/>
      <c r="H687" s="3"/>
      <c r="I687" s="3"/>
      <c r="J687" s="3"/>
      <c r="K687" s="70"/>
      <c r="L687" s="3"/>
      <c r="M687" s="70"/>
      <c r="N687" s="5"/>
      <c r="R687" s="70"/>
      <c r="S687" s="3"/>
    </row>
    <row r="688">
      <c r="A688" s="70"/>
      <c r="B688" s="3"/>
      <c r="C688" s="3"/>
      <c r="D688" s="3"/>
      <c r="E688" s="3"/>
      <c r="F688" s="3"/>
      <c r="G688" s="3"/>
      <c r="H688" s="3"/>
      <c r="I688" s="3"/>
      <c r="J688" s="3"/>
      <c r="K688" s="70"/>
      <c r="L688" s="3"/>
      <c r="M688" s="70"/>
      <c r="N688" s="5"/>
      <c r="R688" s="70"/>
      <c r="S688" s="3"/>
    </row>
    <row r="689">
      <c r="A689" s="70"/>
      <c r="B689" s="3"/>
      <c r="C689" s="3"/>
      <c r="D689" s="3"/>
      <c r="E689" s="3"/>
      <c r="F689" s="3"/>
      <c r="G689" s="3"/>
      <c r="H689" s="3"/>
      <c r="I689" s="3"/>
      <c r="J689" s="3"/>
      <c r="K689" s="70"/>
      <c r="L689" s="3"/>
      <c r="M689" s="70"/>
      <c r="N689" s="5"/>
      <c r="R689" s="70"/>
      <c r="S689" s="3"/>
    </row>
    <row r="690">
      <c r="A690" s="70"/>
      <c r="B690" s="3"/>
      <c r="C690" s="3"/>
      <c r="D690" s="3"/>
      <c r="E690" s="3"/>
      <c r="F690" s="3"/>
      <c r="G690" s="3"/>
      <c r="H690" s="3"/>
      <c r="I690" s="3"/>
      <c r="J690" s="3"/>
      <c r="K690" s="70"/>
      <c r="L690" s="3"/>
      <c r="M690" s="70"/>
      <c r="N690" s="5"/>
      <c r="R690" s="70"/>
      <c r="S690" s="3"/>
    </row>
    <row r="691">
      <c r="A691" s="70"/>
      <c r="B691" s="3"/>
      <c r="C691" s="3"/>
      <c r="D691" s="3"/>
      <c r="E691" s="3"/>
      <c r="F691" s="3"/>
      <c r="G691" s="3"/>
      <c r="H691" s="3"/>
      <c r="I691" s="3"/>
      <c r="J691" s="3"/>
      <c r="K691" s="70"/>
      <c r="L691" s="3"/>
      <c r="M691" s="70"/>
      <c r="N691" s="5"/>
      <c r="R691" s="70"/>
      <c r="S691" s="3"/>
    </row>
    <row r="692">
      <c r="A692" s="70"/>
      <c r="B692" s="3"/>
      <c r="C692" s="3"/>
      <c r="D692" s="3"/>
      <c r="E692" s="3"/>
      <c r="F692" s="3"/>
      <c r="G692" s="3"/>
      <c r="H692" s="3"/>
      <c r="I692" s="3"/>
      <c r="J692" s="3"/>
      <c r="K692" s="70"/>
      <c r="L692" s="3"/>
      <c r="M692" s="70"/>
      <c r="N692" s="5"/>
      <c r="R692" s="70"/>
      <c r="S692" s="3"/>
    </row>
    <row r="693">
      <c r="A693" s="70"/>
      <c r="B693" s="3"/>
      <c r="C693" s="3"/>
      <c r="D693" s="3"/>
      <c r="E693" s="3"/>
      <c r="F693" s="3"/>
      <c r="G693" s="3"/>
      <c r="H693" s="3"/>
      <c r="I693" s="3"/>
      <c r="J693" s="3"/>
      <c r="K693" s="70"/>
      <c r="L693" s="3"/>
      <c r="M693" s="70"/>
      <c r="N693" s="5"/>
      <c r="R693" s="70"/>
      <c r="S693" s="3"/>
    </row>
    <row r="694">
      <c r="A694" s="70"/>
      <c r="B694" s="3"/>
      <c r="C694" s="3"/>
      <c r="D694" s="3"/>
      <c r="E694" s="3"/>
      <c r="F694" s="3"/>
      <c r="G694" s="3"/>
      <c r="H694" s="3"/>
      <c r="I694" s="3"/>
      <c r="J694" s="3"/>
      <c r="K694" s="70"/>
      <c r="L694" s="3"/>
      <c r="M694" s="70"/>
      <c r="N694" s="5"/>
      <c r="R694" s="70"/>
      <c r="S694" s="3"/>
    </row>
    <row r="695">
      <c r="A695" s="70"/>
      <c r="B695" s="3"/>
      <c r="C695" s="3"/>
      <c r="D695" s="3"/>
      <c r="E695" s="3"/>
      <c r="F695" s="3"/>
      <c r="G695" s="3"/>
      <c r="H695" s="3"/>
      <c r="I695" s="3"/>
      <c r="J695" s="3"/>
      <c r="K695" s="70"/>
      <c r="L695" s="3"/>
      <c r="M695" s="70"/>
      <c r="N695" s="5"/>
      <c r="R695" s="70"/>
      <c r="S695" s="3"/>
    </row>
    <row r="696">
      <c r="A696" s="70"/>
      <c r="B696" s="3"/>
      <c r="C696" s="3"/>
      <c r="D696" s="3"/>
      <c r="E696" s="3"/>
      <c r="F696" s="3"/>
      <c r="G696" s="3"/>
      <c r="H696" s="3"/>
      <c r="I696" s="3"/>
      <c r="J696" s="3"/>
      <c r="K696" s="70"/>
      <c r="L696" s="3"/>
      <c r="M696" s="70"/>
      <c r="N696" s="5"/>
      <c r="R696" s="70"/>
      <c r="S696" s="3"/>
    </row>
    <row r="697">
      <c r="A697" s="70"/>
      <c r="B697" s="3"/>
      <c r="C697" s="3"/>
      <c r="D697" s="3"/>
      <c r="E697" s="3"/>
      <c r="F697" s="3"/>
      <c r="G697" s="3"/>
      <c r="H697" s="3"/>
      <c r="I697" s="3"/>
      <c r="J697" s="3"/>
      <c r="K697" s="70"/>
      <c r="L697" s="3"/>
      <c r="M697" s="70"/>
      <c r="N697" s="5"/>
      <c r="R697" s="70"/>
      <c r="S697" s="3"/>
    </row>
    <row r="698">
      <c r="A698" s="70"/>
      <c r="B698" s="3"/>
      <c r="C698" s="3"/>
      <c r="D698" s="3"/>
      <c r="E698" s="3"/>
      <c r="F698" s="3"/>
      <c r="G698" s="3"/>
      <c r="H698" s="3"/>
      <c r="I698" s="3"/>
      <c r="J698" s="3"/>
      <c r="K698" s="70"/>
      <c r="L698" s="3"/>
      <c r="M698" s="70"/>
      <c r="N698" s="5"/>
      <c r="R698" s="70"/>
      <c r="S698" s="3"/>
    </row>
    <row r="699">
      <c r="A699" s="70"/>
      <c r="B699" s="3"/>
      <c r="C699" s="3"/>
      <c r="D699" s="3"/>
      <c r="E699" s="3"/>
      <c r="F699" s="3"/>
      <c r="G699" s="3"/>
      <c r="H699" s="3"/>
      <c r="I699" s="3"/>
      <c r="J699" s="3"/>
      <c r="K699" s="70"/>
      <c r="L699" s="3"/>
      <c r="M699" s="70"/>
      <c r="N699" s="5"/>
      <c r="R699" s="70"/>
      <c r="S699" s="3"/>
    </row>
    <row r="700">
      <c r="A700" s="70"/>
      <c r="B700" s="3"/>
      <c r="C700" s="3"/>
      <c r="D700" s="3"/>
      <c r="E700" s="3"/>
      <c r="F700" s="3"/>
      <c r="G700" s="3"/>
      <c r="H700" s="3"/>
      <c r="I700" s="3"/>
      <c r="J700" s="3"/>
      <c r="K700" s="70"/>
      <c r="L700" s="3"/>
      <c r="M700" s="70"/>
      <c r="N700" s="5"/>
      <c r="R700" s="70"/>
      <c r="S700" s="3"/>
    </row>
    <row r="701">
      <c r="A701" s="70"/>
      <c r="B701" s="3"/>
      <c r="C701" s="3"/>
      <c r="D701" s="3"/>
      <c r="E701" s="3"/>
      <c r="F701" s="3"/>
      <c r="G701" s="3"/>
      <c r="H701" s="3"/>
      <c r="I701" s="3"/>
      <c r="J701" s="3"/>
      <c r="K701" s="70"/>
      <c r="L701" s="3"/>
      <c r="M701" s="70"/>
      <c r="N701" s="5"/>
      <c r="R701" s="70"/>
      <c r="S701" s="3"/>
    </row>
    <row r="702">
      <c r="A702" s="70"/>
      <c r="B702" s="3"/>
      <c r="C702" s="3"/>
      <c r="D702" s="3"/>
      <c r="E702" s="3"/>
      <c r="F702" s="3"/>
      <c r="G702" s="3"/>
      <c r="H702" s="3"/>
      <c r="I702" s="3"/>
      <c r="J702" s="3"/>
      <c r="K702" s="70"/>
      <c r="L702" s="3"/>
      <c r="M702" s="70"/>
      <c r="N702" s="5"/>
      <c r="R702" s="70"/>
      <c r="S702" s="3"/>
    </row>
    <row r="703">
      <c r="A703" s="70"/>
      <c r="B703" s="3"/>
      <c r="C703" s="3"/>
      <c r="D703" s="3"/>
      <c r="E703" s="3"/>
      <c r="F703" s="3"/>
      <c r="G703" s="3"/>
      <c r="H703" s="3"/>
      <c r="I703" s="3"/>
      <c r="J703" s="3"/>
      <c r="K703" s="70"/>
      <c r="L703" s="3"/>
      <c r="M703" s="70"/>
      <c r="N703" s="5"/>
      <c r="R703" s="70"/>
      <c r="S703" s="3"/>
    </row>
    <row r="704">
      <c r="A704" s="70"/>
      <c r="B704" s="3"/>
      <c r="C704" s="3"/>
      <c r="D704" s="3"/>
      <c r="E704" s="3"/>
      <c r="F704" s="3"/>
      <c r="G704" s="3"/>
      <c r="H704" s="3"/>
      <c r="I704" s="3"/>
      <c r="J704" s="3"/>
      <c r="K704" s="70"/>
      <c r="L704" s="3"/>
      <c r="M704" s="70"/>
      <c r="N704" s="5"/>
      <c r="R704" s="70"/>
      <c r="S704" s="3"/>
    </row>
    <row r="705">
      <c r="A705" s="70"/>
      <c r="B705" s="3"/>
      <c r="C705" s="3"/>
      <c r="D705" s="3"/>
      <c r="E705" s="3"/>
      <c r="F705" s="3"/>
      <c r="G705" s="3"/>
      <c r="H705" s="3"/>
      <c r="I705" s="3"/>
      <c r="J705" s="3"/>
      <c r="K705" s="70"/>
      <c r="L705" s="3"/>
      <c r="M705" s="70"/>
      <c r="N705" s="5"/>
      <c r="R705" s="70"/>
      <c r="S705" s="3"/>
    </row>
    <row r="706">
      <c r="A706" s="70"/>
      <c r="B706" s="3"/>
      <c r="C706" s="3"/>
      <c r="D706" s="3"/>
      <c r="E706" s="3"/>
      <c r="F706" s="3"/>
      <c r="G706" s="3"/>
      <c r="H706" s="3"/>
      <c r="I706" s="3"/>
      <c r="J706" s="3"/>
      <c r="K706" s="70"/>
      <c r="L706" s="3"/>
      <c r="M706" s="70"/>
      <c r="N706" s="5"/>
      <c r="R706" s="70"/>
      <c r="S706" s="3"/>
    </row>
    <row r="707">
      <c r="A707" s="70"/>
      <c r="B707" s="3"/>
      <c r="C707" s="3"/>
      <c r="D707" s="3"/>
      <c r="E707" s="3"/>
      <c r="F707" s="3"/>
      <c r="G707" s="3"/>
      <c r="H707" s="3"/>
      <c r="I707" s="3"/>
      <c r="J707" s="3"/>
      <c r="K707" s="70"/>
      <c r="L707" s="3"/>
      <c r="M707" s="70"/>
      <c r="N707" s="5"/>
      <c r="R707" s="70"/>
      <c r="S707" s="3"/>
    </row>
    <row r="708">
      <c r="A708" s="70"/>
      <c r="B708" s="3"/>
      <c r="C708" s="3"/>
      <c r="D708" s="3"/>
      <c r="E708" s="3"/>
      <c r="F708" s="3"/>
      <c r="G708" s="3"/>
      <c r="H708" s="3"/>
      <c r="I708" s="3"/>
      <c r="J708" s="3"/>
      <c r="K708" s="70"/>
      <c r="L708" s="3"/>
      <c r="M708" s="70"/>
      <c r="N708" s="5"/>
      <c r="R708" s="70"/>
      <c r="S708" s="3"/>
    </row>
    <row r="709">
      <c r="A709" s="70"/>
      <c r="B709" s="3"/>
      <c r="C709" s="3"/>
      <c r="D709" s="3"/>
      <c r="E709" s="3"/>
      <c r="F709" s="3"/>
      <c r="G709" s="3"/>
      <c r="H709" s="3"/>
      <c r="I709" s="3"/>
      <c r="J709" s="3"/>
      <c r="K709" s="70"/>
      <c r="L709" s="3"/>
      <c r="M709" s="70"/>
      <c r="N709" s="5"/>
      <c r="R709" s="70"/>
      <c r="S709" s="3"/>
    </row>
    <row r="710">
      <c r="A710" s="70"/>
      <c r="B710" s="3"/>
      <c r="C710" s="3"/>
      <c r="D710" s="3"/>
      <c r="E710" s="3"/>
      <c r="F710" s="3"/>
      <c r="G710" s="3"/>
      <c r="H710" s="3"/>
      <c r="I710" s="3"/>
      <c r="J710" s="3"/>
      <c r="K710" s="70"/>
      <c r="L710" s="3"/>
      <c r="M710" s="70"/>
      <c r="N710" s="5"/>
      <c r="R710" s="70"/>
      <c r="S710" s="3"/>
    </row>
    <row r="711">
      <c r="A711" s="70"/>
      <c r="B711" s="3"/>
      <c r="C711" s="3"/>
      <c r="D711" s="3"/>
      <c r="E711" s="3"/>
      <c r="F711" s="3"/>
      <c r="G711" s="3"/>
      <c r="H711" s="3"/>
      <c r="I711" s="3"/>
      <c r="J711" s="3"/>
      <c r="K711" s="70"/>
      <c r="L711" s="3"/>
      <c r="M711" s="70"/>
      <c r="N711" s="5"/>
      <c r="R711" s="70"/>
      <c r="S711" s="3"/>
    </row>
    <row r="712">
      <c r="A712" s="70"/>
      <c r="B712" s="3"/>
      <c r="C712" s="3"/>
      <c r="D712" s="3"/>
      <c r="E712" s="3"/>
      <c r="F712" s="3"/>
      <c r="G712" s="3"/>
      <c r="H712" s="3"/>
      <c r="I712" s="3"/>
      <c r="J712" s="3"/>
      <c r="K712" s="70"/>
      <c r="L712" s="3"/>
      <c r="M712" s="70"/>
      <c r="N712" s="5"/>
      <c r="R712" s="70"/>
      <c r="S712" s="3"/>
    </row>
    <row r="713">
      <c r="A713" s="70"/>
      <c r="B713" s="3"/>
      <c r="C713" s="3"/>
      <c r="D713" s="3"/>
      <c r="E713" s="3"/>
      <c r="F713" s="3"/>
      <c r="G713" s="3"/>
      <c r="H713" s="3"/>
      <c r="I713" s="3"/>
      <c r="J713" s="3"/>
      <c r="K713" s="70"/>
      <c r="L713" s="3"/>
      <c r="M713" s="70"/>
      <c r="N713" s="5"/>
      <c r="R713" s="70"/>
      <c r="S713" s="3"/>
    </row>
    <row r="714">
      <c r="A714" s="70"/>
      <c r="B714" s="3"/>
      <c r="C714" s="3"/>
      <c r="D714" s="3"/>
      <c r="E714" s="3"/>
      <c r="F714" s="3"/>
      <c r="G714" s="3"/>
      <c r="H714" s="3"/>
      <c r="I714" s="3"/>
      <c r="J714" s="3"/>
      <c r="K714" s="70"/>
      <c r="L714" s="3"/>
      <c r="M714" s="70"/>
      <c r="N714" s="5"/>
      <c r="R714" s="70"/>
      <c r="S714" s="3"/>
    </row>
    <row r="715">
      <c r="A715" s="70"/>
      <c r="B715" s="3"/>
      <c r="C715" s="3"/>
      <c r="D715" s="3"/>
      <c r="E715" s="3"/>
      <c r="F715" s="3"/>
      <c r="G715" s="3"/>
      <c r="H715" s="3"/>
      <c r="I715" s="3"/>
      <c r="J715" s="3"/>
      <c r="K715" s="70"/>
      <c r="L715" s="3"/>
      <c r="M715" s="70"/>
      <c r="N715" s="5"/>
      <c r="R715" s="70"/>
      <c r="S715" s="3"/>
    </row>
    <row r="716">
      <c r="A716" s="70"/>
      <c r="B716" s="3"/>
      <c r="C716" s="3"/>
      <c r="D716" s="3"/>
      <c r="E716" s="3"/>
      <c r="F716" s="3"/>
      <c r="G716" s="3"/>
      <c r="H716" s="3"/>
      <c r="I716" s="3"/>
      <c r="J716" s="3"/>
      <c r="K716" s="70"/>
      <c r="L716" s="3"/>
      <c r="M716" s="70"/>
      <c r="N716" s="5"/>
      <c r="R716" s="70"/>
      <c r="S716" s="3"/>
    </row>
    <row r="717">
      <c r="A717" s="70"/>
      <c r="B717" s="3"/>
      <c r="C717" s="3"/>
      <c r="D717" s="3"/>
      <c r="E717" s="3"/>
      <c r="F717" s="3"/>
      <c r="G717" s="3"/>
      <c r="H717" s="3"/>
      <c r="I717" s="3"/>
      <c r="J717" s="3"/>
      <c r="K717" s="70"/>
      <c r="L717" s="3"/>
      <c r="M717" s="70"/>
      <c r="N717" s="5"/>
      <c r="R717" s="70"/>
      <c r="S717" s="3"/>
    </row>
    <row r="718">
      <c r="A718" s="70"/>
      <c r="B718" s="3"/>
      <c r="C718" s="3"/>
      <c r="D718" s="3"/>
      <c r="E718" s="3"/>
      <c r="F718" s="3"/>
      <c r="G718" s="3"/>
      <c r="H718" s="3"/>
      <c r="I718" s="3"/>
      <c r="J718" s="3"/>
      <c r="K718" s="70"/>
      <c r="L718" s="3"/>
      <c r="M718" s="70"/>
      <c r="N718" s="5"/>
      <c r="R718" s="70"/>
      <c r="S718" s="3"/>
    </row>
    <row r="719">
      <c r="A719" s="70"/>
      <c r="B719" s="3"/>
      <c r="C719" s="3"/>
      <c r="D719" s="3"/>
      <c r="E719" s="3"/>
      <c r="F719" s="3"/>
      <c r="G719" s="3"/>
      <c r="H719" s="3"/>
      <c r="I719" s="3"/>
      <c r="J719" s="3"/>
      <c r="K719" s="70"/>
      <c r="L719" s="3"/>
      <c r="M719" s="70"/>
      <c r="N719" s="5"/>
      <c r="R719" s="70"/>
      <c r="S719" s="3"/>
    </row>
    <row r="720">
      <c r="A720" s="70"/>
      <c r="B720" s="3"/>
      <c r="C720" s="3"/>
      <c r="D720" s="3"/>
      <c r="E720" s="3"/>
      <c r="F720" s="3"/>
      <c r="G720" s="3"/>
      <c r="H720" s="3"/>
      <c r="I720" s="3"/>
      <c r="J720" s="3"/>
      <c r="K720" s="70"/>
      <c r="L720" s="3"/>
      <c r="M720" s="70"/>
      <c r="N720" s="5"/>
      <c r="R720" s="70"/>
      <c r="S720" s="3"/>
    </row>
    <row r="721">
      <c r="A721" s="70"/>
      <c r="B721" s="3"/>
      <c r="C721" s="3"/>
      <c r="D721" s="3"/>
      <c r="E721" s="3"/>
      <c r="F721" s="3"/>
      <c r="G721" s="3"/>
      <c r="H721" s="3"/>
      <c r="I721" s="3"/>
      <c r="J721" s="3"/>
      <c r="K721" s="70"/>
      <c r="L721" s="3"/>
      <c r="M721" s="70"/>
      <c r="N721" s="5"/>
      <c r="R721" s="70"/>
      <c r="S721" s="3"/>
    </row>
    <row r="722">
      <c r="A722" s="70"/>
      <c r="B722" s="3"/>
      <c r="C722" s="3"/>
      <c r="D722" s="3"/>
      <c r="E722" s="3"/>
      <c r="F722" s="3"/>
      <c r="G722" s="3"/>
      <c r="H722" s="3"/>
      <c r="I722" s="3"/>
      <c r="J722" s="3"/>
      <c r="K722" s="70"/>
      <c r="L722" s="3"/>
      <c r="M722" s="70"/>
      <c r="N722" s="5"/>
      <c r="R722" s="70"/>
      <c r="S722" s="3"/>
    </row>
    <row r="723">
      <c r="A723" s="70"/>
      <c r="B723" s="3"/>
      <c r="C723" s="3"/>
      <c r="D723" s="3"/>
      <c r="E723" s="3"/>
      <c r="F723" s="3"/>
      <c r="G723" s="3"/>
      <c r="H723" s="3"/>
      <c r="I723" s="3"/>
      <c r="J723" s="3"/>
      <c r="K723" s="70"/>
      <c r="L723" s="3"/>
      <c r="M723" s="70"/>
      <c r="N723" s="5"/>
      <c r="R723" s="70"/>
      <c r="S723" s="3"/>
    </row>
    <row r="724">
      <c r="A724" s="70"/>
      <c r="B724" s="3"/>
      <c r="C724" s="3"/>
      <c r="D724" s="3"/>
      <c r="E724" s="3"/>
      <c r="F724" s="3"/>
      <c r="G724" s="3"/>
      <c r="H724" s="3"/>
      <c r="I724" s="3"/>
      <c r="J724" s="3"/>
      <c r="K724" s="70"/>
      <c r="L724" s="3"/>
      <c r="M724" s="70"/>
      <c r="N724" s="5"/>
      <c r="R724" s="70"/>
      <c r="S724" s="3"/>
    </row>
    <row r="725">
      <c r="A725" s="70"/>
      <c r="B725" s="3"/>
      <c r="C725" s="3"/>
      <c r="D725" s="3"/>
      <c r="E725" s="3"/>
      <c r="F725" s="3"/>
      <c r="G725" s="3"/>
      <c r="H725" s="3"/>
      <c r="I725" s="3"/>
      <c r="J725" s="3"/>
      <c r="K725" s="70"/>
      <c r="L725" s="3"/>
      <c r="M725" s="70"/>
      <c r="N725" s="5"/>
      <c r="R725" s="70"/>
      <c r="S725" s="3"/>
    </row>
    <row r="726">
      <c r="A726" s="70"/>
      <c r="B726" s="3"/>
      <c r="C726" s="3"/>
      <c r="D726" s="3"/>
      <c r="E726" s="3"/>
      <c r="F726" s="3"/>
      <c r="G726" s="3"/>
      <c r="H726" s="3"/>
      <c r="I726" s="3"/>
      <c r="J726" s="3"/>
      <c r="K726" s="70"/>
      <c r="L726" s="3"/>
      <c r="M726" s="70"/>
      <c r="N726" s="5"/>
      <c r="R726" s="70"/>
      <c r="S726" s="3"/>
    </row>
    <row r="727">
      <c r="A727" s="70"/>
      <c r="B727" s="3"/>
      <c r="C727" s="3"/>
      <c r="D727" s="3"/>
      <c r="E727" s="3"/>
      <c r="F727" s="3"/>
      <c r="G727" s="3"/>
      <c r="H727" s="3"/>
      <c r="I727" s="3"/>
      <c r="J727" s="3"/>
      <c r="K727" s="70"/>
      <c r="L727" s="3"/>
      <c r="M727" s="70"/>
      <c r="N727" s="5"/>
      <c r="R727" s="70"/>
      <c r="S727" s="3"/>
    </row>
    <row r="728">
      <c r="A728" s="70"/>
      <c r="B728" s="3"/>
      <c r="C728" s="3"/>
      <c r="D728" s="3"/>
      <c r="E728" s="3"/>
      <c r="F728" s="3"/>
      <c r="G728" s="3"/>
      <c r="H728" s="3"/>
      <c r="I728" s="3"/>
      <c r="J728" s="3"/>
      <c r="K728" s="70"/>
      <c r="L728" s="3"/>
      <c r="M728" s="70"/>
      <c r="N728" s="5"/>
      <c r="R728" s="70"/>
      <c r="S728" s="3"/>
    </row>
    <row r="729">
      <c r="A729" s="70"/>
      <c r="B729" s="3"/>
      <c r="C729" s="3"/>
      <c r="D729" s="3"/>
      <c r="E729" s="3"/>
      <c r="F729" s="3"/>
      <c r="G729" s="3"/>
      <c r="H729" s="3"/>
      <c r="I729" s="3"/>
      <c r="J729" s="3"/>
      <c r="K729" s="70"/>
      <c r="L729" s="3"/>
      <c r="M729" s="70"/>
      <c r="N729" s="5"/>
      <c r="R729" s="70"/>
      <c r="S729" s="3"/>
    </row>
    <row r="730">
      <c r="A730" s="70"/>
      <c r="B730" s="3"/>
      <c r="C730" s="3"/>
      <c r="D730" s="3"/>
      <c r="E730" s="3"/>
      <c r="F730" s="3"/>
      <c r="G730" s="3"/>
      <c r="H730" s="3"/>
      <c r="I730" s="3"/>
      <c r="J730" s="3"/>
      <c r="K730" s="70"/>
      <c r="L730" s="3"/>
      <c r="M730" s="70"/>
      <c r="N730" s="5"/>
      <c r="R730" s="70"/>
      <c r="S730" s="3"/>
    </row>
    <row r="731">
      <c r="A731" s="70"/>
      <c r="B731" s="3"/>
      <c r="C731" s="3"/>
      <c r="D731" s="3"/>
      <c r="E731" s="3"/>
      <c r="F731" s="3"/>
      <c r="G731" s="3"/>
      <c r="H731" s="3"/>
      <c r="I731" s="3"/>
      <c r="J731" s="3"/>
      <c r="K731" s="70"/>
      <c r="L731" s="3"/>
      <c r="M731" s="70"/>
      <c r="N731" s="5"/>
      <c r="R731" s="70"/>
      <c r="S731" s="3"/>
    </row>
    <row r="732">
      <c r="A732" s="70"/>
      <c r="B732" s="3"/>
      <c r="C732" s="3"/>
      <c r="D732" s="3"/>
      <c r="E732" s="3"/>
      <c r="F732" s="3"/>
      <c r="G732" s="3"/>
      <c r="H732" s="3"/>
      <c r="I732" s="3"/>
      <c r="J732" s="3"/>
      <c r="K732" s="70"/>
      <c r="L732" s="3"/>
      <c r="M732" s="70"/>
      <c r="N732" s="5"/>
      <c r="R732" s="70"/>
      <c r="S732" s="3"/>
    </row>
    <row r="733">
      <c r="A733" s="70"/>
      <c r="B733" s="3"/>
      <c r="C733" s="3"/>
      <c r="D733" s="3"/>
      <c r="E733" s="3"/>
      <c r="F733" s="3"/>
      <c r="G733" s="3"/>
      <c r="H733" s="3"/>
      <c r="I733" s="3"/>
      <c r="J733" s="3"/>
      <c r="K733" s="70"/>
      <c r="L733" s="3"/>
      <c r="M733" s="70"/>
      <c r="N733" s="5"/>
      <c r="R733" s="70"/>
      <c r="S733" s="3"/>
    </row>
    <row r="734">
      <c r="A734" s="70"/>
      <c r="B734" s="3"/>
      <c r="C734" s="3"/>
      <c r="D734" s="3"/>
      <c r="E734" s="3"/>
      <c r="F734" s="3"/>
      <c r="G734" s="3"/>
      <c r="H734" s="3"/>
      <c r="I734" s="3"/>
      <c r="J734" s="3"/>
      <c r="K734" s="70"/>
      <c r="L734" s="3"/>
      <c r="M734" s="70"/>
      <c r="N734" s="5"/>
      <c r="R734" s="70"/>
      <c r="S734" s="3"/>
    </row>
    <row r="735">
      <c r="A735" s="70"/>
      <c r="B735" s="3"/>
      <c r="C735" s="3"/>
      <c r="D735" s="3"/>
      <c r="E735" s="3"/>
      <c r="F735" s="3"/>
      <c r="G735" s="3"/>
      <c r="H735" s="3"/>
      <c r="I735" s="3"/>
      <c r="J735" s="3"/>
      <c r="K735" s="70"/>
      <c r="L735" s="3"/>
      <c r="M735" s="70"/>
      <c r="N735" s="5"/>
      <c r="R735" s="70"/>
      <c r="S735" s="3"/>
    </row>
    <row r="736">
      <c r="A736" s="70"/>
      <c r="B736" s="3"/>
      <c r="C736" s="3"/>
      <c r="D736" s="3"/>
      <c r="E736" s="3"/>
      <c r="F736" s="3"/>
      <c r="G736" s="3"/>
      <c r="H736" s="3"/>
      <c r="I736" s="3"/>
      <c r="J736" s="3"/>
      <c r="K736" s="70"/>
      <c r="L736" s="3"/>
      <c r="M736" s="70"/>
      <c r="N736" s="5"/>
      <c r="R736" s="70"/>
      <c r="S736" s="3"/>
    </row>
    <row r="737">
      <c r="A737" s="70"/>
      <c r="B737" s="3"/>
      <c r="C737" s="3"/>
      <c r="D737" s="3"/>
      <c r="E737" s="3"/>
      <c r="F737" s="3"/>
      <c r="G737" s="3"/>
      <c r="H737" s="3"/>
      <c r="I737" s="3"/>
      <c r="J737" s="3"/>
      <c r="K737" s="70"/>
      <c r="L737" s="3"/>
      <c r="M737" s="70"/>
      <c r="N737" s="5"/>
      <c r="R737" s="70"/>
      <c r="S737" s="3"/>
    </row>
    <row r="738">
      <c r="A738" s="70"/>
      <c r="B738" s="3"/>
      <c r="C738" s="3"/>
      <c r="D738" s="3"/>
      <c r="E738" s="3"/>
      <c r="F738" s="3"/>
      <c r="G738" s="3"/>
      <c r="H738" s="3"/>
      <c r="I738" s="3"/>
      <c r="J738" s="3"/>
      <c r="K738" s="70"/>
      <c r="L738" s="3"/>
      <c r="M738" s="70"/>
      <c r="N738" s="5"/>
      <c r="R738" s="70"/>
      <c r="S738" s="3"/>
    </row>
    <row r="739">
      <c r="A739" s="70"/>
      <c r="B739" s="3"/>
      <c r="C739" s="3"/>
      <c r="D739" s="3"/>
      <c r="E739" s="3"/>
      <c r="F739" s="3"/>
      <c r="G739" s="3"/>
      <c r="H739" s="3"/>
      <c r="I739" s="3"/>
      <c r="J739" s="3"/>
      <c r="K739" s="70"/>
      <c r="L739" s="3"/>
      <c r="M739" s="70"/>
      <c r="N739" s="5"/>
      <c r="R739" s="70"/>
      <c r="S739" s="3"/>
    </row>
    <row r="740">
      <c r="A740" s="70"/>
      <c r="B740" s="3"/>
      <c r="C740" s="3"/>
      <c r="D740" s="3"/>
      <c r="E740" s="3"/>
      <c r="F740" s="3"/>
      <c r="G740" s="3"/>
      <c r="H740" s="3"/>
      <c r="I740" s="3"/>
      <c r="J740" s="3"/>
      <c r="K740" s="70"/>
      <c r="L740" s="3"/>
      <c r="M740" s="70"/>
      <c r="N740" s="5"/>
      <c r="R740" s="70"/>
      <c r="S740" s="3"/>
    </row>
    <row r="741">
      <c r="A741" s="70"/>
      <c r="B741" s="3"/>
      <c r="C741" s="3"/>
      <c r="D741" s="3"/>
      <c r="E741" s="3"/>
      <c r="F741" s="3"/>
      <c r="G741" s="3"/>
      <c r="H741" s="3"/>
      <c r="I741" s="3"/>
      <c r="J741" s="3"/>
      <c r="K741" s="70"/>
      <c r="L741" s="3"/>
      <c r="M741" s="70"/>
      <c r="N741" s="5"/>
      <c r="R741" s="70"/>
      <c r="S741" s="3"/>
    </row>
    <row r="742">
      <c r="A742" s="70"/>
      <c r="B742" s="3"/>
      <c r="C742" s="3"/>
      <c r="D742" s="3"/>
      <c r="E742" s="3"/>
      <c r="F742" s="3"/>
      <c r="G742" s="3"/>
      <c r="H742" s="3"/>
      <c r="I742" s="3"/>
      <c r="J742" s="3"/>
      <c r="K742" s="70"/>
      <c r="L742" s="3"/>
      <c r="M742" s="70"/>
      <c r="N742" s="5"/>
      <c r="R742" s="70"/>
      <c r="S742" s="3"/>
    </row>
    <row r="743">
      <c r="A743" s="70"/>
      <c r="B743" s="3"/>
      <c r="C743" s="3"/>
      <c r="D743" s="3"/>
      <c r="E743" s="3"/>
      <c r="F743" s="3"/>
      <c r="G743" s="3"/>
      <c r="H743" s="3"/>
      <c r="I743" s="3"/>
      <c r="J743" s="3"/>
      <c r="K743" s="70"/>
      <c r="L743" s="3"/>
      <c r="M743" s="70"/>
      <c r="N743" s="5"/>
      <c r="R743" s="70"/>
      <c r="S743" s="3"/>
    </row>
    <row r="744">
      <c r="A744" s="70"/>
      <c r="B744" s="3"/>
      <c r="C744" s="3"/>
      <c r="D744" s="3"/>
      <c r="E744" s="3"/>
      <c r="F744" s="3"/>
      <c r="G744" s="3"/>
      <c r="H744" s="3"/>
      <c r="I744" s="3"/>
      <c r="J744" s="3"/>
      <c r="K744" s="70"/>
      <c r="L744" s="3"/>
      <c r="M744" s="70"/>
      <c r="N744" s="5"/>
      <c r="R744" s="70"/>
      <c r="S744" s="3"/>
    </row>
    <row r="745">
      <c r="A745" s="70"/>
      <c r="B745" s="3"/>
      <c r="C745" s="3"/>
      <c r="D745" s="3"/>
      <c r="E745" s="3"/>
      <c r="F745" s="3"/>
      <c r="G745" s="3"/>
      <c r="H745" s="3"/>
      <c r="I745" s="3"/>
      <c r="J745" s="3"/>
      <c r="K745" s="70"/>
      <c r="L745" s="3"/>
      <c r="M745" s="70"/>
      <c r="N745" s="5"/>
      <c r="R745" s="70"/>
      <c r="S745" s="3"/>
    </row>
    <row r="746">
      <c r="A746" s="70"/>
      <c r="B746" s="3"/>
      <c r="C746" s="3"/>
      <c r="D746" s="3"/>
      <c r="E746" s="3"/>
      <c r="F746" s="3"/>
      <c r="G746" s="3"/>
      <c r="H746" s="3"/>
      <c r="I746" s="3"/>
      <c r="J746" s="3"/>
      <c r="K746" s="70"/>
      <c r="L746" s="3"/>
      <c r="M746" s="70"/>
      <c r="N746" s="5"/>
      <c r="R746" s="70"/>
      <c r="S746" s="3"/>
    </row>
    <row r="747">
      <c r="A747" s="70"/>
      <c r="B747" s="3"/>
      <c r="C747" s="3"/>
      <c r="D747" s="3"/>
      <c r="E747" s="3"/>
      <c r="F747" s="3"/>
      <c r="G747" s="3"/>
      <c r="H747" s="3"/>
      <c r="I747" s="3"/>
      <c r="J747" s="3"/>
      <c r="K747" s="70"/>
      <c r="L747" s="3"/>
      <c r="M747" s="70"/>
      <c r="N747" s="5"/>
      <c r="R747" s="70"/>
      <c r="S747" s="3"/>
    </row>
    <row r="748">
      <c r="A748" s="70"/>
      <c r="B748" s="3"/>
      <c r="C748" s="3"/>
      <c r="D748" s="3"/>
      <c r="E748" s="3"/>
      <c r="F748" s="3"/>
      <c r="G748" s="3"/>
      <c r="H748" s="3"/>
      <c r="I748" s="3"/>
      <c r="J748" s="3"/>
      <c r="K748" s="70"/>
      <c r="L748" s="3"/>
      <c r="M748" s="70"/>
      <c r="N748" s="5"/>
      <c r="R748" s="70"/>
      <c r="S748" s="3"/>
    </row>
    <row r="749">
      <c r="A749" s="70"/>
      <c r="B749" s="3"/>
      <c r="C749" s="3"/>
      <c r="D749" s="3"/>
      <c r="E749" s="3"/>
      <c r="F749" s="3"/>
      <c r="G749" s="3"/>
      <c r="H749" s="3"/>
      <c r="I749" s="3"/>
      <c r="J749" s="3"/>
      <c r="K749" s="70"/>
      <c r="L749" s="3"/>
      <c r="M749" s="70"/>
      <c r="N749" s="5"/>
      <c r="R749" s="70"/>
      <c r="S749" s="3"/>
    </row>
    <row r="750">
      <c r="A750" s="70"/>
      <c r="B750" s="3"/>
      <c r="C750" s="3"/>
      <c r="D750" s="3"/>
      <c r="E750" s="3"/>
      <c r="F750" s="3"/>
      <c r="G750" s="3"/>
      <c r="H750" s="3"/>
      <c r="I750" s="3"/>
      <c r="J750" s="3"/>
      <c r="K750" s="70"/>
      <c r="L750" s="3"/>
      <c r="M750" s="70"/>
      <c r="N750" s="5"/>
      <c r="R750" s="70"/>
      <c r="S750" s="3"/>
    </row>
    <row r="751">
      <c r="A751" s="70"/>
      <c r="B751" s="3"/>
      <c r="C751" s="3"/>
      <c r="D751" s="3"/>
      <c r="E751" s="3"/>
      <c r="F751" s="3"/>
      <c r="G751" s="3"/>
      <c r="H751" s="3"/>
      <c r="I751" s="3"/>
      <c r="J751" s="3"/>
      <c r="K751" s="70"/>
      <c r="L751" s="3"/>
      <c r="M751" s="70"/>
      <c r="N751" s="5"/>
      <c r="R751" s="70"/>
      <c r="S751" s="3"/>
    </row>
    <row r="752">
      <c r="A752" s="70"/>
      <c r="B752" s="3"/>
      <c r="C752" s="3"/>
      <c r="D752" s="3"/>
      <c r="E752" s="3"/>
      <c r="F752" s="3"/>
      <c r="G752" s="3"/>
      <c r="H752" s="3"/>
      <c r="I752" s="3"/>
      <c r="J752" s="3"/>
      <c r="K752" s="70"/>
      <c r="L752" s="3"/>
      <c r="M752" s="70"/>
      <c r="N752" s="5"/>
      <c r="R752" s="70"/>
      <c r="S752" s="3"/>
    </row>
    <row r="753">
      <c r="A753" s="70"/>
      <c r="B753" s="3"/>
      <c r="C753" s="3"/>
      <c r="D753" s="3"/>
      <c r="E753" s="3"/>
      <c r="F753" s="3"/>
      <c r="G753" s="3"/>
      <c r="H753" s="3"/>
      <c r="I753" s="3"/>
      <c r="J753" s="3"/>
      <c r="K753" s="70"/>
      <c r="L753" s="3"/>
      <c r="M753" s="70"/>
      <c r="N753" s="5"/>
      <c r="R753" s="70"/>
      <c r="S753" s="3"/>
    </row>
    <row r="754">
      <c r="A754" s="70"/>
      <c r="B754" s="3"/>
      <c r="C754" s="3"/>
      <c r="D754" s="3"/>
      <c r="E754" s="3"/>
      <c r="F754" s="3"/>
      <c r="G754" s="3"/>
      <c r="H754" s="3"/>
      <c r="I754" s="3"/>
      <c r="J754" s="3"/>
      <c r="K754" s="70"/>
      <c r="L754" s="3"/>
      <c r="M754" s="70"/>
      <c r="N754" s="5"/>
      <c r="R754" s="70"/>
      <c r="S754" s="3"/>
    </row>
    <row r="755">
      <c r="A755" s="70"/>
      <c r="B755" s="3"/>
      <c r="C755" s="3"/>
      <c r="D755" s="3"/>
      <c r="E755" s="3"/>
      <c r="F755" s="3"/>
      <c r="G755" s="3"/>
      <c r="H755" s="3"/>
      <c r="I755" s="3"/>
      <c r="J755" s="3"/>
      <c r="K755" s="70"/>
      <c r="L755" s="3"/>
      <c r="M755" s="70"/>
      <c r="N755" s="5"/>
      <c r="R755" s="70"/>
      <c r="S755" s="3"/>
    </row>
    <row r="756">
      <c r="A756" s="70"/>
      <c r="B756" s="3"/>
      <c r="C756" s="3"/>
      <c r="D756" s="3"/>
      <c r="E756" s="3"/>
      <c r="F756" s="3"/>
      <c r="G756" s="3"/>
      <c r="H756" s="3"/>
      <c r="I756" s="3"/>
      <c r="J756" s="3"/>
      <c r="K756" s="70"/>
      <c r="L756" s="3"/>
      <c r="M756" s="70"/>
      <c r="N756" s="5"/>
      <c r="R756" s="70"/>
      <c r="S756" s="3"/>
    </row>
    <row r="757">
      <c r="A757" s="70"/>
      <c r="B757" s="3"/>
      <c r="C757" s="3"/>
      <c r="D757" s="3"/>
      <c r="E757" s="3"/>
      <c r="F757" s="3"/>
      <c r="G757" s="3"/>
      <c r="H757" s="3"/>
      <c r="I757" s="3"/>
      <c r="J757" s="3"/>
      <c r="K757" s="70"/>
      <c r="L757" s="3"/>
      <c r="M757" s="70"/>
      <c r="N757" s="5"/>
      <c r="R757" s="70"/>
      <c r="S757" s="3"/>
    </row>
    <row r="758">
      <c r="A758" s="70"/>
      <c r="B758" s="3"/>
      <c r="C758" s="3"/>
      <c r="D758" s="3"/>
      <c r="E758" s="3"/>
      <c r="F758" s="3"/>
      <c r="G758" s="3"/>
      <c r="H758" s="3"/>
      <c r="I758" s="3"/>
      <c r="J758" s="3"/>
      <c r="K758" s="70"/>
      <c r="L758" s="3"/>
      <c r="M758" s="70"/>
      <c r="N758" s="5"/>
      <c r="R758" s="70"/>
      <c r="S758" s="3"/>
    </row>
    <row r="759">
      <c r="A759" s="70"/>
      <c r="B759" s="3"/>
      <c r="C759" s="3"/>
      <c r="D759" s="3"/>
      <c r="E759" s="3"/>
      <c r="F759" s="3"/>
      <c r="G759" s="3"/>
      <c r="H759" s="3"/>
      <c r="I759" s="3"/>
      <c r="J759" s="3"/>
      <c r="K759" s="70"/>
      <c r="L759" s="3"/>
      <c r="M759" s="70"/>
      <c r="N759" s="5"/>
      <c r="R759" s="70"/>
      <c r="S759" s="3"/>
    </row>
    <row r="760">
      <c r="A760" s="70"/>
      <c r="B760" s="3"/>
      <c r="C760" s="3"/>
      <c r="D760" s="3"/>
      <c r="E760" s="3"/>
      <c r="F760" s="3"/>
      <c r="G760" s="3"/>
      <c r="H760" s="3"/>
      <c r="I760" s="3"/>
      <c r="J760" s="3"/>
      <c r="K760" s="70"/>
      <c r="L760" s="3"/>
      <c r="M760" s="70"/>
      <c r="N760" s="5"/>
      <c r="R760" s="70"/>
      <c r="S760" s="3"/>
    </row>
    <row r="761">
      <c r="A761" s="70"/>
      <c r="B761" s="3"/>
      <c r="C761" s="3"/>
      <c r="D761" s="3"/>
      <c r="E761" s="3"/>
      <c r="F761" s="3"/>
      <c r="G761" s="3"/>
      <c r="H761" s="3"/>
      <c r="I761" s="3"/>
      <c r="J761" s="3"/>
      <c r="K761" s="70"/>
      <c r="L761" s="3"/>
      <c r="M761" s="70"/>
      <c r="N761" s="5"/>
      <c r="R761" s="70"/>
      <c r="S761" s="3"/>
    </row>
    <row r="762">
      <c r="A762" s="70"/>
      <c r="B762" s="3"/>
      <c r="C762" s="3"/>
      <c r="D762" s="3"/>
      <c r="E762" s="3"/>
      <c r="F762" s="3"/>
      <c r="G762" s="3"/>
      <c r="H762" s="3"/>
      <c r="I762" s="3"/>
      <c r="J762" s="3"/>
      <c r="K762" s="70"/>
      <c r="L762" s="3"/>
      <c r="M762" s="70"/>
      <c r="N762" s="5"/>
      <c r="R762" s="70"/>
      <c r="S762" s="3"/>
    </row>
    <row r="763">
      <c r="A763" s="70"/>
      <c r="B763" s="3"/>
      <c r="C763" s="3"/>
      <c r="D763" s="3"/>
      <c r="E763" s="3"/>
      <c r="F763" s="3"/>
      <c r="G763" s="3"/>
      <c r="H763" s="3"/>
      <c r="I763" s="3"/>
      <c r="J763" s="3"/>
      <c r="K763" s="70"/>
      <c r="L763" s="3"/>
      <c r="M763" s="70"/>
      <c r="N763" s="5"/>
      <c r="R763" s="70"/>
      <c r="S763" s="3"/>
    </row>
    <row r="764">
      <c r="A764" s="70"/>
      <c r="B764" s="3"/>
      <c r="C764" s="3"/>
      <c r="D764" s="3"/>
      <c r="E764" s="3"/>
      <c r="F764" s="3"/>
      <c r="G764" s="3"/>
      <c r="H764" s="3"/>
      <c r="I764" s="3"/>
      <c r="J764" s="3"/>
      <c r="K764" s="70"/>
      <c r="L764" s="3"/>
      <c r="M764" s="70"/>
      <c r="N764" s="5"/>
      <c r="R764" s="70"/>
      <c r="S764" s="3"/>
    </row>
    <row r="765">
      <c r="A765" s="70"/>
      <c r="B765" s="3"/>
      <c r="C765" s="3"/>
      <c r="D765" s="3"/>
      <c r="E765" s="3"/>
      <c r="F765" s="3"/>
      <c r="G765" s="3"/>
      <c r="H765" s="3"/>
      <c r="I765" s="3"/>
      <c r="J765" s="3"/>
      <c r="K765" s="70"/>
      <c r="L765" s="3"/>
      <c r="M765" s="70"/>
      <c r="N765" s="5"/>
      <c r="R765" s="70"/>
      <c r="S765" s="3"/>
    </row>
    <row r="766">
      <c r="A766" s="70"/>
      <c r="B766" s="3"/>
      <c r="C766" s="3"/>
      <c r="D766" s="3"/>
      <c r="E766" s="3"/>
      <c r="F766" s="3"/>
      <c r="G766" s="3"/>
      <c r="H766" s="3"/>
      <c r="I766" s="3"/>
      <c r="J766" s="3"/>
      <c r="K766" s="70"/>
      <c r="L766" s="3"/>
      <c r="M766" s="70"/>
      <c r="N766" s="5"/>
      <c r="R766" s="70"/>
      <c r="S766" s="3"/>
    </row>
    <row r="767">
      <c r="A767" s="70"/>
      <c r="B767" s="3"/>
      <c r="C767" s="3"/>
      <c r="D767" s="3"/>
      <c r="E767" s="3"/>
      <c r="F767" s="3"/>
      <c r="G767" s="3"/>
      <c r="H767" s="3"/>
      <c r="I767" s="3"/>
      <c r="J767" s="3"/>
      <c r="K767" s="70"/>
      <c r="L767" s="3"/>
      <c r="M767" s="70"/>
      <c r="N767" s="5"/>
      <c r="R767" s="70"/>
      <c r="S767" s="3"/>
    </row>
    <row r="768">
      <c r="A768" s="70"/>
      <c r="B768" s="3"/>
      <c r="C768" s="3"/>
      <c r="D768" s="3"/>
      <c r="E768" s="3"/>
      <c r="F768" s="3"/>
      <c r="G768" s="3"/>
      <c r="H768" s="3"/>
      <c r="I768" s="3"/>
      <c r="J768" s="3"/>
      <c r="K768" s="70"/>
      <c r="L768" s="3"/>
      <c r="M768" s="70"/>
      <c r="N768" s="5"/>
      <c r="R768" s="70"/>
      <c r="S768" s="3"/>
    </row>
    <row r="769">
      <c r="A769" s="70"/>
      <c r="B769" s="3"/>
      <c r="C769" s="3"/>
      <c r="D769" s="3"/>
      <c r="E769" s="3"/>
      <c r="F769" s="3"/>
      <c r="G769" s="3"/>
      <c r="H769" s="3"/>
      <c r="I769" s="3"/>
      <c r="J769" s="3"/>
      <c r="K769" s="70"/>
      <c r="L769" s="3"/>
      <c r="M769" s="70"/>
      <c r="N769" s="5"/>
      <c r="R769" s="70"/>
      <c r="S769" s="3"/>
    </row>
    <row r="770">
      <c r="A770" s="70"/>
      <c r="B770" s="3"/>
      <c r="C770" s="3"/>
      <c r="D770" s="3"/>
      <c r="E770" s="3"/>
      <c r="F770" s="3"/>
      <c r="G770" s="3"/>
      <c r="H770" s="3"/>
      <c r="I770" s="3"/>
      <c r="J770" s="3"/>
      <c r="K770" s="70"/>
      <c r="L770" s="3"/>
      <c r="M770" s="70"/>
      <c r="N770" s="5"/>
      <c r="R770" s="70"/>
      <c r="S770" s="3"/>
    </row>
    <row r="771">
      <c r="A771" s="70"/>
      <c r="B771" s="3"/>
      <c r="C771" s="3"/>
      <c r="D771" s="3"/>
      <c r="E771" s="3"/>
      <c r="F771" s="3"/>
      <c r="G771" s="3"/>
      <c r="H771" s="3"/>
      <c r="I771" s="3"/>
      <c r="J771" s="3"/>
      <c r="K771" s="70"/>
      <c r="L771" s="3"/>
      <c r="M771" s="70"/>
      <c r="N771" s="5"/>
      <c r="R771" s="70"/>
      <c r="S771" s="3"/>
    </row>
    <row r="772">
      <c r="A772" s="70"/>
      <c r="B772" s="3"/>
      <c r="C772" s="3"/>
      <c r="D772" s="3"/>
      <c r="E772" s="3"/>
      <c r="F772" s="3"/>
      <c r="G772" s="3"/>
      <c r="H772" s="3"/>
      <c r="I772" s="3"/>
      <c r="J772" s="3"/>
      <c r="K772" s="70"/>
      <c r="L772" s="3"/>
      <c r="M772" s="70"/>
      <c r="N772" s="5"/>
      <c r="R772" s="70"/>
      <c r="S772" s="3"/>
    </row>
    <row r="773">
      <c r="A773" s="70"/>
      <c r="B773" s="3"/>
      <c r="C773" s="3"/>
      <c r="D773" s="3"/>
      <c r="E773" s="3"/>
      <c r="F773" s="3"/>
      <c r="G773" s="3"/>
      <c r="H773" s="3"/>
      <c r="I773" s="3"/>
      <c r="J773" s="3"/>
      <c r="K773" s="70"/>
      <c r="L773" s="3"/>
      <c r="M773" s="70"/>
      <c r="N773" s="5"/>
      <c r="R773" s="70"/>
      <c r="S773" s="3"/>
    </row>
    <row r="774">
      <c r="A774" s="70"/>
      <c r="B774" s="3"/>
      <c r="C774" s="3"/>
      <c r="D774" s="3"/>
      <c r="E774" s="3"/>
      <c r="F774" s="3"/>
      <c r="G774" s="3"/>
      <c r="H774" s="3"/>
      <c r="I774" s="3"/>
      <c r="J774" s="3"/>
      <c r="K774" s="70"/>
      <c r="L774" s="3"/>
      <c r="M774" s="70"/>
      <c r="N774" s="5"/>
      <c r="R774" s="70"/>
      <c r="S774" s="3"/>
    </row>
    <row r="775">
      <c r="A775" s="70"/>
      <c r="B775" s="3"/>
      <c r="C775" s="3"/>
      <c r="D775" s="3"/>
      <c r="E775" s="3"/>
      <c r="F775" s="3"/>
      <c r="G775" s="3"/>
      <c r="H775" s="3"/>
      <c r="I775" s="3"/>
      <c r="J775" s="3"/>
      <c r="K775" s="70"/>
      <c r="L775" s="3"/>
      <c r="M775" s="70"/>
      <c r="N775" s="5"/>
      <c r="R775" s="70"/>
      <c r="S775" s="3"/>
    </row>
    <row r="776">
      <c r="A776" s="70"/>
      <c r="B776" s="3"/>
      <c r="C776" s="3"/>
      <c r="D776" s="3"/>
      <c r="E776" s="3"/>
      <c r="F776" s="3"/>
      <c r="G776" s="3"/>
      <c r="H776" s="3"/>
      <c r="I776" s="3"/>
      <c r="J776" s="3"/>
      <c r="K776" s="70"/>
      <c r="L776" s="3"/>
      <c r="M776" s="70"/>
      <c r="N776" s="5"/>
      <c r="R776" s="70"/>
      <c r="S776" s="3"/>
    </row>
    <row r="777">
      <c r="A777" s="70"/>
      <c r="B777" s="3"/>
      <c r="C777" s="3"/>
      <c r="D777" s="3"/>
      <c r="E777" s="3"/>
      <c r="F777" s="3"/>
      <c r="G777" s="3"/>
      <c r="H777" s="3"/>
      <c r="I777" s="3"/>
      <c r="J777" s="3"/>
      <c r="K777" s="70"/>
      <c r="L777" s="3"/>
      <c r="M777" s="70"/>
      <c r="N777" s="5"/>
      <c r="R777" s="70"/>
      <c r="S777" s="3"/>
    </row>
    <row r="778">
      <c r="A778" s="70"/>
      <c r="B778" s="3"/>
      <c r="C778" s="3"/>
      <c r="D778" s="3"/>
      <c r="E778" s="3"/>
      <c r="F778" s="3"/>
      <c r="G778" s="3"/>
      <c r="H778" s="3"/>
      <c r="I778" s="3"/>
      <c r="J778" s="3"/>
      <c r="K778" s="70"/>
      <c r="L778" s="3"/>
      <c r="M778" s="70"/>
      <c r="N778" s="5"/>
      <c r="R778" s="70"/>
      <c r="S778" s="3"/>
    </row>
    <row r="779">
      <c r="A779" s="70"/>
      <c r="B779" s="3"/>
      <c r="C779" s="3"/>
      <c r="D779" s="3"/>
      <c r="E779" s="3"/>
      <c r="F779" s="3"/>
      <c r="G779" s="3"/>
      <c r="H779" s="3"/>
      <c r="I779" s="3"/>
      <c r="J779" s="3"/>
      <c r="K779" s="70"/>
      <c r="L779" s="3"/>
      <c r="M779" s="70"/>
      <c r="N779" s="5"/>
      <c r="R779" s="70"/>
      <c r="S779" s="3"/>
    </row>
    <row r="780">
      <c r="A780" s="70"/>
      <c r="B780" s="3"/>
      <c r="C780" s="3"/>
      <c r="D780" s="3"/>
      <c r="E780" s="3"/>
      <c r="F780" s="3"/>
      <c r="G780" s="3"/>
      <c r="H780" s="3"/>
      <c r="I780" s="3"/>
      <c r="J780" s="3"/>
      <c r="K780" s="70"/>
      <c r="L780" s="3"/>
      <c r="M780" s="70"/>
      <c r="N780" s="5"/>
      <c r="R780" s="70"/>
      <c r="S780" s="3"/>
    </row>
    <row r="781">
      <c r="A781" s="70"/>
      <c r="B781" s="3"/>
      <c r="C781" s="3"/>
      <c r="D781" s="3"/>
      <c r="E781" s="3"/>
      <c r="F781" s="3"/>
      <c r="G781" s="3"/>
      <c r="H781" s="3"/>
      <c r="I781" s="3"/>
      <c r="J781" s="3"/>
      <c r="K781" s="70"/>
      <c r="L781" s="3"/>
      <c r="M781" s="70"/>
      <c r="N781" s="5"/>
      <c r="R781" s="70"/>
      <c r="S781" s="3"/>
    </row>
    <row r="782">
      <c r="A782" s="70"/>
      <c r="B782" s="3"/>
      <c r="C782" s="3"/>
      <c r="D782" s="3"/>
      <c r="E782" s="3"/>
      <c r="F782" s="3"/>
      <c r="G782" s="3"/>
      <c r="H782" s="3"/>
      <c r="I782" s="3"/>
      <c r="J782" s="3"/>
      <c r="K782" s="70"/>
      <c r="L782" s="3"/>
      <c r="M782" s="70"/>
      <c r="N782" s="5"/>
      <c r="R782" s="70"/>
      <c r="S782" s="3"/>
    </row>
    <row r="783">
      <c r="A783" s="70"/>
      <c r="B783" s="3"/>
      <c r="C783" s="3"/>
      <c r="D783" s="3"/>
      <c r="E783" s="3"/>
      <c r="F783" s="3"/>
      <c r="G783" s="3"/>
      <c r="H783" s="3"/>
      <c r="I783" s="3"/>
      <c r="J783" s="3"/>
      <c r="K783" s="70"/>
      <c r="L783" s="3"/>
      <c r="M783" s="70"/>
      <c r="N783" s="5"/>
      <c r="R783" s="70"/>
      <c r="S783" s="3"/>
    </row>
    <row r="784">
      <c r="A784" s="70"/>
      <c r="B784" s="3"/>
      <c r="C784" s="3"/>
      <c r="D784" s="3"/>
      <c r="E784" s="3"/>
      <c r="F784" s="3"/>
      <c r="G784" s="3"/>
      <c r="H784" s="3"/>
      <c r="I784" s="3"/>
      <c r="J784" s="3"/>
      <c r="K784" s="70"/>
      <c r="L784" s="3"/>
      <c r="M784" s="70"/>
      <c r="N784" s="5"/>
      <c r="R784" s="70"/>
      <c r="S784" s="3"/>
    </row>
    <row r="785">
      <c r="A785" s="70"/>
      <c r="B785" s="3"/>
      <c r="C785" s="3"/>
      <c r="D785" s="3"/>
      <c r="E785" s="3"/>
      <c r="F785" s="3"/>
      <c r="G785" s="3"/>
      <c r="H785" s="3"/>
      <c r="I785" s="3"/>
      <c r="J785" s="3"/>
      <c r="K785" s="70"/>
      <c r="L785" s="3"/>
      <c r="M785" s="70"/>
      <c r="N785" s="5"/>
      <c r="R785" s="70"/>
      <c r="S785" s="3"/>
    </row>
    <row r="786">
      <c r="A786" s="70"/>
      <c r="B786" s="3"/>
      <c r="C786" s="3"/>
      <c r="D786" s="3"/>
      <c r="E786" s="3"/>
      <c r="F786" s="3"/>
      <c r="G786" s="3"/>
      <c r="H786" s="3"/>
      <c r="I786" s="3"/>
      <c r="J786" s="3"/>
      <c r="K786" s="70"/>
      <c r="L786" s="3"/>
      <c r="M786" s="70"/>
      <c r="N786" s="5"/>
      <c r="R786" s="70"/>
      <c r="S786" s="3"/>
    </row>
    <row r="787">
      <c r="A787" s="70"/>
      <c r="B787" s="3"/>
      <c r="C787" s="3"/>
      <c r="D787" s="3"/>
      <c r="E787" s="3"/>
      <c r="F787" s="3"/>
      <c r="G787" s="3"/>
      <c r="H787" s="3"/>
      <c r="I787" s="3"/>
      <c r="J787" s="3"/>
      <c r="K787" s="70"/>
      <c r="L787" s="3"/>
      <c r="M787" s="70"/>
      <c r="N787" s="5"/>
      <c r="R787" s="70"/>
      <c r="S787" s="3"/>
    </row>
    <row r="788">
      <c r="A788" s="70"/>
      <c r="B788" s="3"/>
      <c r="C788" s="3"/>
      <c r="D788" s="3"/>
      <c r="E788" s="3"/>
      <c r="F788" s="3"/>
      <c r="G788" s="3"/>
      <c r="H788" s="3"/>
      <c r="I788" s="3"/>
      <c r="J788" s="3"/>
      <c r="K788" s="70"/>
      <c r="L788" s="3"/>
      <c r="M788" s="70"/>
      <c r="N788" s="5"/>
      <c r="R788" s="70"/>
      <c r="S788" s="3"/>
    </row>
    <row r="789">
      <c r="A789" s="70"/>
      <c r="B789" s="3"/>
      <c r="C789" s="3"/>
      <c r="D789" s="3"/>
      <c r="E789" s="3"/>
      <c r="F789" s="3"/>
      <c r="G789" s="3"/>
      <c r="H789" s="3"/>
      <c r="I789" s="3"/>
      <c r="J789" s="3"/>
      <c r="K789" s="70"/>
      <c r="L789" s="3"/>
      <c r="M789" s="70"/>
      <c r="N789" s="5"/>
      <c r="R789" s="70"/>
      <c r="S789" s="3"/>
    </row>
    <row r="790">
      <c r="A790" s="70"/>
      <c r="B790" s="3"/>
      <c r="C790" s="3"/>
      <c r="D790" s="3"/>
      <c r="E790" s="3"/>
      <c r="F790" s="3"/>
      <c r="G790" s="3"/>
      <c r="H790" s="3"/>
      <c r="I790" s="3"/>
      <c r="J790" s="3"/>
      <c r="K790" s="70"/>
      <c r="L790" s="3"/>
      <c r="M790" s="70"/>
      <c r="N790" s="5"/>
      <c r="R790" s="70"/>
      <c r="S790" s="3"/>
    </row>
    <row r="791">
      <c r="A791" s="70"/>
      <c r="B791" s="3"/>
      <c r="C791" s="3"/>
      <c r="D791" s="3"/>
      <c r="E791" s="3"/>
      <c r="F791" s="3"/>
      <c r="G791" s="3"/>
      <c r="H791" s="3"/>
      <c r="I791" s="3"/>
      <c r="J791" s="3"/>
      <c r="K791" s="70"/>
      <c r="L791" s="3"/>
      <c r="M791" s="70"/>
      <c r="N791" s="5"/>
      <c r="R791" s="70"/>
      <c r="S791" s="3"/>
    </row>
    <row r="792">
      <c r="A792" s="70"/>
      <c r="B792" s="3"/>
      <c r="C792" s="3"/>
      <c r="D792" s="3"/>
      <c r="E792" s="3"/>
      <c r="F792" s="3"/>
      <c r="G792" s="3"/>
      <c r="H792" s="3"/>
      <c r="I792" s="3"/>
      <c r="J792" s="3"/>
      <c r="K792" s="70"/>
      <c r="L792" s="3"/>
      <c r="M792" s="70"/>
      <c r="N792" s="5"/>
      <c r="R792" s="70"/>
      <c r="S792" s="3"/>
    </row>
    <row r="793">
      <c r="A793" s="70"/>
      <c r="B793" s="3"/>
      <c r="C793" s="3"/>
      <c r="D793" s="3"/>
      <c r="E793" s="3"/>
      <c r="F793" s="3"/>
      <c r="G793" s="3"/>
      <c r="H793" s="3"/>
      <c r="I793" s="3"/>
      <c r="J793" s="3"/>
      <c r="K793" s="70"/>
      <c r="L793" s="3"/>
      <c r="M793" s="70"/>
      <c r="N793" s="5"/>
      <c r="R793" s="70"/>
      <c r="S793" s="3"/>
    </row>
    <row r="794">
      <c r="A794" s="70"/>
      <c r="B794" s="3"/>
      <c r="C794" s="3"/>
      <c r="D794" s="3"/>
      <c r="E794" s="3"/>
      <c r="F794" s="3"/>
      <c r="G794" s="3"/>
      <c r="H794" s="3"/>
      <c r="I794" s="3"/>
      <c r="J794" s="3"/>
      <c r="K794" s="70"/>
      <c r="L794" s="3"/>
      <c r="M794" s="70"/>
      <c r="N794" s="5"/>
      <c r="R794" s="70"/>
      <c r="S794" s="3"/>
    </row>
    <row r="795">
      <c r="A795" s="70"/>
      <c r="B795" s="3"/>
      <c r="C795" s="3"/>
      <c r="D795" s="3"/>
      <c r="E795" s="3"/>
      <c r="F795" s="3"/>
      <c r="G795" s="3"/>
      <c r="H795" s="3"/>
      <c r="I795" s="3"/>
      <c r="J795" s="3"/>
      <c r="K795" s="70"/>
      <c r="L795" s="3"/>
      <c r="M795" s="70"/>
      <c r="N795" s="5"/>
      <c r="R795" s="70"/>
      <c r="S795" s="3"/>
    </row>
    <row r="796">
      <c r="A796" s="70"/>
      <c r="B796" s="3"/>
      <c r="C796" s="3"/>
      <c r="D796" s="3"/>
      <c r="E796" s="3"/>
      <c r="F796" s="3"/>
      <c r="G796" s="3"/>
      <c r="H796" s="3"/>
      <c r="I796" s="3"/>
      <c r="J796" s="3"/>
      <c r="K796" s="70"/>
      <c r="L796" s="3"/>
      <c r="M796" s="70"/>
      <c r="N796" s="5"/>
      <c r="R796" s="70"/>
      <c r="S796" s="3"/>
    </row>
    <row r="797">
      <c r="A797" s="70"/>
      <c r="B797" s="3"/>
      <c r="C797" s="3"/>
      <c r="D797" s="3"/>
      <c r="E797" s="3"/>
      <c r="F797" s="3"/>
      <c r="G797" s="3"/>
      <c r="H797" s="3"/>
      <c r="I797" s="3"/>
      <c r="J797" s="3"/>
      <c r="K797" s="70"/>
      <c r="L797" s="3"/>
      <c r="M797" s="70"/>
      <c r="N797" s="5"/>
      <c r="R797" s="70"/>
      <c r="S797" s="3"/>
    </row>
    <row r="798">
      <c r="A798" s="70"/>
      <c r="B798" s="3"/>
      <c r="C798" s="3"/>
      <c r="D798" s="3"/>
      <c r="E798" s="3"/>
      <c r="F798" s="3"/>
      <c r="G798" s="3"/>
      <c r="H798" s="3"/>
      <c r="I798" s="3"/>
      <c r="J798" s="3"/>
      <c r="K798" s="70"/>
      <c r="L798" s="3"/>
      <c r="M798" s="70"/>
      <c r="N798" s="5"/>
      <c r="R798" s="70"/>
      <c r="S798" s="3"/>
    </row>
    <row r="799">
      <c r="A799" s="70"/>
      <c r="B799" s="3"/>
      <c r="C799" s="3"/>
      <c r="D799" s="3"/>
      <c r="E799" s="3"/>
      <c r="F799" s="3"/>
      <c r="G799" s="3"/>
      <c r="H799" s="3"/>
      <c r="I799" s="3"/>
      <c r="J799" s="3"/>
      <c r="K799" s="70"/>
      <c r="L799" s="3"/>
      <c r="M799" s="70"/>
      <c r="N799" s="5"/>
      <c r="R799" s="70"/>
      <c r="S799" s="3"/>
    </row>
    <row r="800">
      <c r="A800" s="70"/>
      <c r="B800" s="3"/>
      <c r="C800" s="3"/>
      <c r="D800" s="3"/>
      <c r="E800" s="3"/>
      <c r="F800" s="3"/>
      <c r="G800" s="3"/>
      <c r="H800" s="3"/>
      <c r="I800" s="3"/>
      <c r="J800" s="3"/>
      <c r="K800" s="70"/>
      <c r="L800" s="3"/>
      <c r="M800" s="70"/>
      <c r="N800" s="5"/>
      <c r="R800" s="70"/>
      <c r="S800" s="3"/>
    </row>
    <row r="801">
      <c r="A801" s="70"/>
      <c r="B801" s="3"/>
      <c r="C801" s="3"/>
      <c r="D801" s="3"/>
      <c r="E801" s="3"/>
      <c r="F801" s="3"/>
      <c r="G801" s="3"/>
      <c r="H801" s="3"/>
      <c r="I801" s="3"/>
      <c r="J801" s="3"/>
      <c r="K801" s="70"/>
      <c r="L801" s="3"/>
      <c r="M801" s="70"/>
      <c r="N801" s="5"/>
      <c r="R801" s="70"/>
      <c r="S801" s="3"/>
    </row>
    <row r="802">
      <c r="A802" s="70"/>
      <c r="B802" s="3"/>
      <c r="C802" s="3"/>
      <c r="D802" s="3"/>
      <c r="E802" s="3"/>
      <c r="F802" s="3"/>
      <c r="G802" s="3"/>
      <c r="H802" s="3"/>
      <c r="I802" s="3"/>
      <c r="J802" s="3"/>
      <c r="K802" s="70"/>
      <c r="L802" s="3"/>
      <c r="M802" s="70"/>
      <c r="N802" s="5"/>
      <c r="R802" s="70"/>
      <c r="S802" s="3"/>
    </row>
    <row r="803">
      <c r="A803" s="70"/>
      <c r="B803" s="3"/>
      <c r="C803" s="3"/>
      <c r="D803" s="3"/>
      <c r="E803" s="3"/>
      <c r="F803" s="3"/>
      <c r="G803" s="3"/>
      <c r="H803" s="3"/>
      <c r="I803" s="3"/>
      <c r="J803" s="3"/>
      <c r="K803" s="70"/>
      <c r="L803" s="3"/>
      <c r="M803" s="70"/>
      <c r="N803" s="5"/>
      <c r="R803" s="70"/>
      <c r="S803" s="3"/>
    </row>
    <row r="804">
      <c r="A804" s="70"/>
      <c r="B804" s="3"/>
      <c r="C804" s="3"/>
      <c r="D804" s="3"/>
      <c r="E804" s="3"/>
      <c r="F804" s="3"/>
      <c r="G804" s="3"/>
      <c r="H804" s="3"/>
      <c r="I804" s="3"/>
      <c r="J804" s="3"/>
      <c r="K804" s="70"/>
      <c r="L804" s="3"/>
      <c r="M804" s="70"/>
      <c r="N804" s="5"/>
      <c r="R804" s="70"/>
      <c r="S804" s="3"/>
    </row>
    <row r="805">
      <c r="A805" s="70"/>
      <c r="B805" s="3"/>
      <c r="C805" s="3"/>
      <c r="D805" s="3"/>
      <c r="E805" s="3"/>
      <c r="F805" s="3"/>
      <c r="G805" s="3"/>
      <c r="H805" s="3"/>
      <c r="I805" s="3"/>
      <c r="J805" s="3"/>
      <c r="K805" s="70"/>
      <c r="L805" s="3"/>
      <c r="M805" s="70"/>
      <c r="N805" s="5"/>
      <c r="R805" s="70"/>
      <c r="S805" s="3"/>
    </row>
    <row r="806">
      <c r="A806" s="70"/>
      <c r="B806" s="3"/>
      <c r="C806" s="3"/>
      <c r="D806" s="3"/>
      <c r="E806" s="3"/>
      <c r="F806" s="3"/>
      <c r="G806" s="3"/>
      <c r="H806" s="3"/>
      <c r="I806" s="3"/>
      <c r="J806" s="3"/>
      <c r="K806" s="70"/>
      <c r="L806" s="3"/>
      <c r="M806" s="70"/>
      <c r="N806" s="5"/>
      <c r="R806" s="70"/>
      <c r="S806" s="3"/>
    </row>
    <row r="807">
      <c r="A807" s="70"/>
      <c r="B807" s="3"/>
      <c r="C807" s="3"/>
      <c r="D807" s="3"/>
      <c r="E807" s="3"/>
      <c r="F807" s="3"/>
      <c r="G807" s="3"/>
      <c r="H807" s="3"/>
      <c r="I807" s="3"/>
      <c r="J807" s="3"/>
      <c r="K807" s="70"/>
      <c r="L807" s="3"/>
      <c r="M807" s="70"/>
      <c r="N807" s="5"/>
      <c r="R807" s="70"/>
      <c r="S807" s="3"/>
    </row>
    <row r="808">
      <c r="A808" s="70"/>
      <c r="B808" s="3"/>
      <c r="C808" s="3"/>
      <c r="D808" s="3"/>
      <c r="E808" s="3"/>
      <c r="F808" s="3"/>
      <c r="G808" s="3"/>
      <c r="H808" s="3"/>
      <c r="I808" s="3"/>
      <c r="J808" s="3"/>
      <c r="K808" s="70"/>
      <c r="L808" s="3"/>
      <c r="M808" s="70"/>
      <c r="N808" s="5"/>
      <c r="R808" s="70"/>
      <c r="S808" s="3"/>
    </row>
    <row r="809">
      <c r="A809" s="70"/>
      <c r="B809" s="3"/>
      <c r="C809" s="3"/>
      <c r="D809" s="3"/>
      <c r="E809" s="3"/>
      <c r="F809" s="3"/>
      <c r="G809" s="3"/>
      <c r="H809" s="3"/>
      <c r="I809" s="3"/>
      <c r="J809" s="3"/>
      <c r="K809" s="70"/>
      <c r="L809" s="3"/>
      <c r="M809" s="70"/>
      <c r="N809" s="5"/>
      <c r="R809" s="70"/>
      <c r="S809" s="3"/>
    </row>
    <row r="810">
      <c r="A810" s="70"/>
      <c r="B810" s="3"/>
      <c r="C810" s="3"/>
      <c r="D810" s="3"/>
      <c r="E810" s="3"/>
      <c r="F810" s="3"/>
      <c r="G810" s="3"/>
      <c r="H810" s="3"/>
      <c r="I810" s="3"/>
      <c r="J810" s="3"/>
      <c r="K810" s="70"/>
      <c r="L810" s="3"/>
      <c r="M810" s="70"/>
      <c r="N810" s="5"/>
      <c r="R810" s="70"/>
      <c r="S810" s="3"/>
    </row>
    <row r="811">
      <c r="A811" s="70"/>
      <c r="B811" s="3"/>
      <c r="C811" s="3"/>
      <c r="D811" s="3"/>
      <c r="E811" s="3"/>
      <c r="F811" s="3"/>
      <c r="G811" s="3"/>
      <c r="H811" s="3"/>
      <c r="I811" s="3"/>
      <c r="J811" s="3"/>
      <c r="K811" s="70"/>
      <c r="L811" s="3"/>
      <c r="M811" s="70"/>
      <c r="N811" s="5"/>
      <c r="R811" s="70"/>
      <c r="S811" s="3"/>
    </row>
    <row r="812">
      <c r="A812" s="70"/>
      <c r="B812" s="3"/>
      <c r="C812" s="3"/>
      <c r="D812" s="3"/>
      <c r="E812" s="3"/>
      <c r="F812" s="3"/>
      <c r="G812" s="3"/>
      <c r="H812" s="3"/>
      <c r="I812" s="3"/>
      <c r="J812" s="3"/>
      <c r="K812" s="70"/>
      <c r="L812" s="3"/>
      <c r="M812" s="70"/>
      <c r="N812" s="5"/>
      <c r="R812" s="70"/>
      <c r="S812" s="3"/>
    </row>
    <row r="813">
      <c r="A813" s="70"/>
      <c r="B813" s="3"/>
      <c r="C813" s="3"/>
      <c r="D813" s="3"/>
      <c r="E813" s="3"/>
      <c r="F813" s="3"/>
      <c r="G813" s="3"/>
      <c r="H813" s="3"/>
      <c r="I813" s="3"/>
      <c r="J813" s="3"/>
      <c r="K813" s="70"/>
      <c r="L813" s="3"/>
      <c r="M813" s="70"/>
      <c r="N813" s="5"/>
      <c r="R813" s="70"/>
      <c r="S813" s="3"/>
    </row>
    <row r="814">
      <c r="A814" s="70"/>
      <c r="B814" s="3"/>
      <c r="C814" s="3"/>
      <c r="D814" s="3"/>
      <c r="E814" s="3"/>
      <c r="F814" s="3"/>
      <c r="G814" s="3"/>
      <c r="H814" s="3"/>
      <c r="I814" s="3"/>
      <c r="J814" s="3"/>
      <c r="K814" s="70"/>
      <c r="L814" s="3"/>
      <c r="M814" s="70"/>
      <c r="N814" s="5"/>
      <c r="R814" s="70"/>
      <c r="S814" s="3"/>
    </row>
    <row r="815">
      <c r="A815" s="70"/>
      <c r="B815" s="3"/>
      <c r="C815" s="3"/>
      <c r="D815" s="3"/>
      <c r="E815" s="3"/>
      <c r="F815" s="3"/>
      <c r="G815" s="3"/>
      <c r="H815" s="3"/>
      <c r="I815" s="3"/>
      <c r="J815" s="3"/>
      <c r="K815" s="70"/>
      <c r="L815" s="3"/>
      <c r="M815" s="70"/>
      <c r="N815" s="5"/>
      <c r="R815" s="70"/>
      <c r="S815" s="3"/>
    </row>
    <row r="816">
      <c r="A816" s="70"/>
      <c r="B816" s="3"/>
      <c r="C816" s="3"/>
      <c r="D816" s="3"/>
      <c r="E816" s="3"/>
      <c r="F816" s="3"/>
      <c r="G816" s="3"/>
      <c r="H816" s="3"/>
      <c r="I816" s="3"/>
      <c r="J816" s="3"/>
      <c r="K816" s="70"/>
      <c r="L816" s="3"/>
      <c r="M816" s="70"/>
      <c r="N816" s="5"/>
      <c r="R816" s="70"/>
      <c r="S816" s="3"/>
    </row>
    <row r="817">
      <c r="A817" s="70"/>
      <c r="B817" s="3"/>
      <c r="C817" s="3"/>
      <c r="D817" s="3"/>
      <c r="E817" s="3"/>
      <c r="F817" s="3"/>
      <c r="G817" s="3"/>
      <c r="H817" s="3"/>
      <c r="I817" s="3"/>
      <c r="J817" s="3"/>
      <c r="K817" s="70"/>
      <c r="L817" s="3"/>
      <c r="M817" s="70"/>
      <c r="N817" s="5"/>
      <c r="R817" s="70"/>
      <c r="S817" s="3"/>
    </row>
    <row r="818">
      <c r="A818" s="70"/>
      <c r="B818" s="3"/>
      <c r="C818" s="3"/>
      <c r="D818" s="3"/>
      <c r="E818" s="3"/>
      <c r="F818" s="3"/>
      <c r="G818" s="3"/>
      <c r="H818" s="3"/>
      <c r="I818" s="3"/>
      <c r="J818" s="3"/>
      <c r="K818" s="70"/>
      <c r="L818" s="3"/>
      <c r="M818" s="70"/>
      <c r="N818" s="5"/>
      <c r="R818" s="70"/>
      <c r="S818" s="3"/>
    </row>
    <row r="819">
      <c r="A819" s="70"/>
      <c r="B819" s="3"/>
      <c r="C819" s="3"/>
      <c r="D819" s="3"/>
      <c r="E819" s="3"/>
      <c r="F819" s="3"/>
      <c r="G819" s="3"/>
      <c r="H819" s="3"/>
      <c r="I819" s="3"/>
      <c r="J819" s="3"/>
      <c r="K819" s="70"/>
      <c r="L819" s="3"/>
      <c r="M819" s="70"/>
      <c r="N819" s="5"/>
      <c r="R819" s="70"/>
      <c r="S819" s="3"/>
    </row>
    <row r="820">
      <c r="A820" s="70"/>
      <c r="B820" s="3"/>
      <c r="C820" s="3"/>
      <c r="D820" s="3"/>
      <c r="E820" s="3"/>
      <c r="F820" s="3"/>
      <c r="G820" s="3"/>
      <c r="H820" s="3"/>
      <c r="I820" s="3"/>
      <c r="J820" s="3"/>
      <c r="K820" s="70"/>
      <c r="L820" s="3"/>
      <c r="M820" s="70"/>
      <c r="N820" s="5"/>
      <c r="R820" s="70"/>
      <c r="S820" s="3"/>
    </row>
    <row r="821">
      <c r="A821" s="70"/>
      <c r="B821" s="3"/>
      <c r="C821" s="3"/>
      <c r="D821" s="3"/>
      <c r="E821" s="3"/>
      <c r="F821" s="3"/>
      <c r="G821" s="3"/>
      <c r="H821" s="3"/>
      <c r="I821" s="3"/>
      <c r="J821" s="3"/>
      <c r="K821" s="70"/>
      <c r="L821" s="3"/>
      <c r="M821" s="70"/>
      <c r="N821" s="5"/>
      <c r="R821" s="70"/>
      <c r="S821" s="3"/>
    </row>
    <row r="822">
      <c r="A822" s="70"/>
      <c r="B822" s="3"/>
      <c r="C822" s="3"/>
      <c r="D822" s="3"/>
      <c r="E822" s="3"/>
      <c r="F822" s="3"/>
      <c r="G822" s="3"/>
      <c r="H822" s="3"/>
      <c r="I822" s="3"/>
      <c r="J822" s="3"/>
      <c r="K822" s="70"/>
      <c r="L822" s="3"/>
      <c r="M822" s="70"/>
      <c r="N822" s="5"/>
      <c r="R822" s="70"/>
      <c r="S822" s="3"/>
    </row>
    <row r="823">
      <c r="A823" s="70"/>
      <c r="B823" s="3"/>
      <c r="C823" s="3"/>
      <c r="D823" s="3"/>
      <c r="E823" s="3"/>
      <c r="F823" s="3"/>
      <c r="G823" s="3"/>
      <c r="H823" s="3"/>
      <c r="I823" s="3"/>
      <c r="J823" s="3"/>
      <c r="K823" s="70"/>
      <c r="L823" s="3"/>
      <c r="M823" s="70"/>
      <c r="N823" s="5"/>
      <c r="R823" s="70"/>
      <c r="S823" s="3"/>
    </row>
    <row r="824">
      <c r="A824" s="70"/>
      <c r="B824" s="3"/>
      <c r="C824" s="3"/>
      <c r="D824" s="3"/>
      <c r="E824" s="3"/>
      <c r="F824" s="3"/>
      <c r="G824" s="3"/>
      <c r="H824" s="3"/>
      <c r="I824" s="3"/>
      <c r="J824" s="3"/>
      <c r="K824" s="70"/>
      <c r="L824" s="3"/>
      <c r="M824" s="70"/>
      <c r="N824" s="5"/>
      <c r="R824" s="70"/>
      <c r="S824" s="3"/>
    </row>
    <row r="825">
      <c r="A825" s="70"/>
      <c r="B825" s="3"/>
      <c r="C825" s="3"/>
      <c r="D825" s="3"/>
      <c r="E825" s="3"/>
      <c r="F825" s="3"/>
      <c r="G825" s="3"/>
      <c r="H825" s="3"/>
      <c r="I825" s="3"/>
      <c r="J825" s="3"/>
      <c r="K825" s="70"/>
      <c r="L825" s="3"/>
      <c r="M825" s="70"/>
      <c r="N825" s="5"/>
      <c r="R825" s="70"/>
      <c r="S825" s="3"/>
    </row>
    <row r="826">
      <c r="A826" s="70"/>
      <c r="B826" s="3"/>
      <c r="C826" s="3"/>
      <c r="D826" s="3"/>
      <c r="E826" s="3"/>
      <c r="F826" s="3"/>
      <c r="G826" s="3"/>
      <c r="H826" s="3"/>
      <c r="I826" s="3"/>
      <c r="J826" s="3"/>
      <c r="K826" s="70"/>
      <c r="L826" s="3"/>
      <c r="M826" s="70"/>
      <c r="N826" s="5"/>
      <c r="R826" s="70"/>
      <c r="S826" s="3"/>
    </row>
    <row r="827">
      <c r="A827" s="70"/>
      <c r="B827" s="3"/>
      <c r="C827" s="3"/>
      <c r="D827" s="3"/>
      <c r="E827" s="3"/>
      <c r="F827" s="3"/>
      <c r="G827" s="3"/>
      <c r="H827" s="3"/>
      <c r="I827" s="3"/>
      <c r="J827" s="3"/>
      <c r="K827" s="70"/>
      <c r="L827" s="3"/>
      <c r="M827" s="70"/>
      <c r="N827" s="5"/>
      <c r="R827" s="70"/>
      <c r="S827" s="3"/>
    </row>
    <row r="828">
      <c r="A828" s="70"/>
      <c r="B828" s="3"/>
      <c r="C828" s="3"/>
      <c r="D828" s="3"/>
      <c r="E828" s="3"/>
      <c r="F828" s="3"/>
      <c r="G828" s="3"/>
      <c r="H828" s="3"/>
      <c r="I828" s="3"/>
      <c r="J828" s="3"/>
      <c r="K828" s="70"/>
      <c r="L828" s="3"/>
      <c r="M828" s="70"/>
      <c r="N828" s="5"/>
      <c r="R828" s="70"/>
      <c r="S828" s="3"/>
    </row>
    <row r="829">
      <c r="A829" s="70"/>
      <c r="B829" s="3"/>
      <c r="C829" s="3"/>
      <c r="D829" s="3"/>
      <c r="E829" s="3"/>
      <c r="F829" s="3"/>
      <c r="G829" s="3"/>
      <c r="H829" s="3"/>
      <c r="I829" s="3"/>
      <c r="J829" s="3"/>
      <c r="K829" s="70"/>
      <c r="L829" s="3"/>
      <c r="M829" s="70"/>
      <c r="N829" s="5"/>
      <c r="R829" s="70"/>
      <c r="S829" s="3"/>
    </row>
    <row r="830">
      <c r="A830" s="70"/>
      <c r="B830" s="3"/>
      <c r="C830" s="3"/>
      <c r="D830" s="3"/>
      <c r="E830" s="3"/>
      <c r="F830" s="3"/>
      <c r="G830" s="3"/>
      <c r="H830" s="3"/>
      <c r="I830" s="3"/>
      <c r="J830" s="3"/>
      <c r="K830" s="70"/>
      <c r="L830" s="3"/>
      <c r="M830" s="70"/>
      <c r="N830" s="5"/>
      <c r="R830" s="70"/>
      <c r="S830" s="3"/>
    </row>
    <row r="831">
      <c r="A831" s="70"/>
      <c r="B831" s="3"/>
      <c r="C831" s="3"/>
      <c r="D831" s="3"/>
      <c r="E831" s="3"/>
      <c r="F831" s="3"/>
      <c r="G831" s="3"/>
      <c r="H831" s="3"/>
      <c r="I831" s="3"/>
      <c r="J831" s="3"/>
      <c r="K831" s="70"/>
      <c r="L831" s="3"/>
      <c r="M831" s="70"/>
      <c r="N831" s="5"/>
      <c r="R831" s="70"/>
      <c r="S831" s="3"/>
    </row>
    <row r="832">
      <c r="A832" s="70"/>
      <c r="B832" s="3"/>
      <c r="C832" s="3"/>
      <c r="D832" s="3"/>
      <c r="E832" s="3"/>
      <c r="F832" s="3"/>
      <c r="G832" s="3"/>
      <c r="H832" s="3"/>
      <c r="I832" s="3"/>
      <c r="J832" s="3"/>
      <c r="K832" s="70"/>
      <c r="L832" s="3"/>
      <c r="M832" s="70"/>
      <c r="N832" s="5"/>
      <c r="R832" s="70"/>
      <c r="S832" s="3"/>
    </row>
    <row r="833">
      <c r="A833" s="70"/>
      <c r="B833" s="3"/>
      <c r="C833" s="3"/>
      <c r="D833" s="3"/>
      <c r="E833" s="3"/>
      <c r="F833" s="3"/>
      <c r="G833" s="3"/>
      <c r="H833" s="3"/>
      <c r="I833" s="3"/>
      <c r="J833" s="3"/>
      <c r="K833" s="70"/>
      <c r="L833" s="3"/>
      <c r="M833" s="70"/>
      <c r="N833" s="5"/>
      <c r="R833" s="70"/>
      <c r="S833" s="3"/>
    </row>
    <row r="834">
      <c r="A834" s="70"/>
      <c r="B834" s="3"/>
      <c r="C834" s="3"/>
      <c r="D834" s="3"/>
      <c r="E834" s="3"/>
      <c r="F834" s="3"/>
      <c r="G834" s="3"/>
      <c r="H834" s="3"/>
      <c r="I834" s="3"/>
      <c r="J834" s="3"/>
      <c r="K834" s="70"/>
      <c r="L834" s="3"/>
      <c r="M834" s="70"/>
      <c r="N834" s="5"/>
      <c r="R834" s="70"/>
      <c r="S834" s="3"/>
    </row>
    <row r="835">
      <c r="A835" s="70"/>
      <c r="B835" s="3"/>
      <c r="C835" s="3"/>
      <c r="D835" s="3"/>
      <c r="E835" s="3"/>
      <c r="F835" s="3"/>
      <c r="G835" s="3"/>
      <c r="H835" s="3"/>
      <c r="I835" s="3"/>
      <c r="J835" s="3"/>
      <c r="K835" s="70"/>
      <c r="L835" s="3"/>
      <c r="M835" s="70"/>
      <c r="N835" s="5"/>
      <c r="R835" s="70"/>
      <c r="S835" s="3"/>
    </row>
    <row r="836">
      <c r="A836" s="70"/>
      <c r="B836" s="3"/>
      <c r="C836" s="3"/>
      <c r="D836" s="3"/>
      <c r="E836" s="3"/>
      <c r="F836" s="3"/>
      <c r="G836" s="3"/>
      <c r="H836" s="3"/>
      <c r="I836" s="3"/>
      <c r="J836" s="3"/>
      <c r="K836" s="70"/>
      <c r="L836" s="3"/>
      <c r="M836" s="70"/>
      <c r="N836" s="5"/>
      <c r="R836" s="70"/>
      <c r="S836" s="3"/>
    </row>
    <row r="837">
      <c r="A837" s="70"/>
      <c r="B837" s="3"/>
      <c r="C837" s="3"/>
      <c r="D837" s="3"/>
      <c r="E837" s="3"/>
      <c r="F837" s="3"/>
      <c r="G837" s="3"/>
      <c r="H837" s="3"/>
      <c r="I837" s="3"/>
      <c r="J837" s="3"/>
      <c r="K837" s="70"/>
      <c r="L837" s="3"/>
      <c r="M837" s="70"/>
      <c r="N837" s="5"/>
      <c r="R837" s="70"/>
      <c r="S837" s="3"/>
    </row>
    <row r="838">
      <c r="A838" s="70"/>
      <c r="B838" s="3"/>
      <c r="C838" s="3"/>
      <c r="D838" s="3"/>
      <c r="E838" s="3"/>
      <c r="F838" s="3"/>
      <c r="G838" s="3"/>
      <c r="H838" s="3"/>
      <c r="I838" s="3"/>
      <c r="J838" s="3"/>
      <c r="K838" s="70"/>
      <c r="L838" s="3"/>
      <c r="M838" s="70"/>
      <c r="N838" s="5"/>
      <c r="R838" s="70"/>
      <c r="S838" s="3"/>
    </row>
    <row r="839">
      <c r="A839" s="70"/>
      <c r="B839" s="3"/>
      <c r="C839" s="3"/>
      <c r="D839" s="3"/>
      <c r="E839" s="3"/>
      <c r="F839" s="3"/>
      <c r="G839" s="3"/>
      <c r="H839" s="3"/>
      <c r="I839" s="3"/>
      <c r="J839" s="3"/>
      <c r="K839" s="70"/>
      <c r="L839" s="3"/>
      <c r="M839" s="70"/>
      <c r="N839" s="5"/>
      <c r="R839" s="70"/>
      <c r="S839" s="3"/>
    </row>
    <row r="840">
      <c r="A840" s="70"/>
      <c r="B840" s="3"/>
      <c r="C840" s="3"/>
      <c r="D840" s="3"/>
      <c r="E840" s="3"/>
      <c r="F840" s="3"/>
      <c r="G840" s="3"/>
      <c r="H840" s="3"/>
      <c r="I840" s="3"/>
      <c r="J840" s="3"/>
      <c r="K840" s="70"/>
      <c r="L840" s="3"/>
      <c r="M840" s="70"/>
      <c r="N840" s="5"/>
      <c r="R840" s="70"/>
      <c r="S840" s="3"/>
    </row>
    <row r="841">
      <c r="A841" s="70"/>
      <c r="B841" s="3"/>
      <c r="C841" s="3"/>
      <c r="D841" s="3"/>
      <c r="E841" s="3"/>
      <c r="F841" s="3"/>
      <c r="G841" s="3"/>
      <c r="H841" s="3"/>
      <c r="I841" s="3"/>
      <c r="J841" s="3"/>
      <c r="K841" s="70"/>
      <c r="L841" s="3"/>
      <c r="M841" s="70"/>
      <c r="N841" s="5"/>
      <c r="R841" s="70"/>
      <c r="S841" s="3"/>
    </row>
    <row r="842">
      <c r="A842" s="70"/>
      <c r="B842" s="3"/>
      <c r="C842" s="3"/>
      <c r="D842" s="3"/>
      <c r="E842" s="3"/>
      <c r="F842" s="3"/>
      <c r="G842" s="3"/>
      <c r="H842" s="3"/>
      <c r="I842" s="3"/>
      <c r="J842" s="3"/>
      <c r="K842" s="70"/>
      <c r="L842" s="3"/>
      <c r="M842" s="70"/>
      <c r="N842" s="5"/>
      <c r="R842" s="70"/>
      <c r="S842" s="3"/>
    </row>
    <row r="843">
      <c r="A843" s="70"/>
      <c r="B843" s="3"/>
      <c r="C843" s="3"/>
      <c r="D843" s="3"/>
      <c r="E843" s="3"/>
      <c r="F843" s="3"/>
      <c r="G843" s="3"/>
      <c r="H843" s="3"/>
      <c r="I843" s="3"/>
      <c r="J843" s="3"/>
      <c r="K843" s="70"/>
      <c r="L843" s="3"/>
      <c r="M843" s="70"/>
      <c r="N843" s="5"/>
      <c r="R843" s="70"/>
      <c r="S843" s="3"/>
    </row>
    <row r="844">
      <c r="A844" s="70"/>
      <c r="B844" s="3"/>
      <c r="C844" s="3"/>
      <c r="D844" s="3"/>
      <c r="E844" s="3"/>
      <c r="F844" s="3"/>
      <c r="G844" s="3"/>
      <c r="H844" s="3"/>
      <c r="I844" s="3"/>
      <c r="J844" s="3"/>
      <c r="K844" s="70"/>
      <c r="L844" s="3"/>
      <c r="M844" s="70"/>
      <c r="N844" s="5"/>
      <c r="R844" s="70"/>
      <c r="S844" s="3"/>
    </row>
    <row r="845">
      <c r="A845" s="70"/>
      <c r="B845" s="3"/>
      <c r="C845" s="3"/>
      <c r="D845" s="3"/>
      <c r="E845" s="3"/>
      <c r="F845" s="3"/>
      <c r="G845" s="3"/>
      <c r="H845" s="3"/>
      <c r="I845" s="3"/>
      <c r="J845" s="3"/>
      <c r="K845" s="70"/>
      <c r="L845" s="3"/>
      <c r="M845" s="70"/>
      <c r="N845" s="5"/>
      <c r="R845" s="70"/>
      <c r="S845" s="3"/>
    </row>
    <row r="846">
      <c r="A846" s="70"/>
      <c r="B846" s="3"/>
      <c r="C846" s="3"/>
      <c r="D846" s="3"/>
      <c r="E846" s="3"/>
      <c r="F846" s="3"/>
      <c r="G846" s="3"/>
      <c r="H846" s="3"/>
      <c r="I846" s="3"/>
      <c r="J846" s="3"/>
      <c r="K846" s="70"/>
      <c r="L846" s="3"/>
      <c r="M846" s="70"/>
      <c r="N846" s="5"/>
      <c r="R846" s="70"/>
      <c r="S846" s="3"/>
    </row>
    <row r="847">
      <c r="A847" s="70"/>
      <c r="B847" s="3"/>
      <c r="C847" s="3"/>
      <c r="D847" s="3"/>
      <c r="E847" s="3"/>
      <c r="F847" s="3"/>
      <c r="G847" s="3"/>
      <c r="H847" s="3"/>
      <c r="I847" s="3"/>
      <c r="J847" s="3"/>
      <c r="K847" s="70"/>
      <c r="L847" s="3"/>
      <c r="M847" s="70"/>
      <c r="N847" s="5"/>
      <c r="R847" s="70"/>
      <c r="S847" s="3"/>
    </row>
    <row r="848">
      <c r="A848" s="70"/>
      <c r="B848" s="3"/>
      <c r="C848" s="3"/>
      <c r="D848" s="3"/>
      <c r="E848" s="3"/>
      <c r="F848" s="3"/>
      <c r="G848" s="3"/>
      <c r="H848" s="3"/>
      <c r="I848" s="3"/>
      <c r="J848" s="3"/>
      <c r="K848" s="70"/>
      <c r="L848" s="3"/>
      <c r="M848" s="70"/>
      <c r="N848" s="5"/>
      <c r="R848" s="70"/>
      <c r="S848" s="3"/>
    </row>
    <row r="849">
      <c r="A849" s="70"/>
      <c r="B849" s="3"/>
      <c r="C849" s="3"/>
      <c r="D849" s="3"/>
      <c r="E849" s="3"/>
      <c r="F849" s="3"/>
      <c r="G849" s="3"/>
      <c r="H849" s="3"/>
      <c r="I849" s="3"/>
      <c r="J849" s="3"/>
      <c r="K849" s="70"/>
      <c r="L849" s="3"/>
      <c r="M849" s="70"/>
      <c r="N849" s="5"/>
      <c r="R849" s="70"/>
      <c r="S849" s="3"/>
    </row>
    <row r="850">
      <c r="A850" s="70"/>
      <c r="B850" s="3"/>
      <c r="C850" s="3"/>
      <c r="D850" s="3"/>
      <c r="E850" s="3"/>
      <c r="F850" s="3"/>
      <c r="G850" s="3"/>
      <c r="H850" s="3"/>
      <c r="I850" s="3"/>
      <c r="J850" s="3"/>
      <c r="K850" s="70"/>
      <c r="L850" s="3"/>
      <c r="M850" s="70"/>
      <c r="N850" s="5"/>
      <c r="R850" s="70"/>
      <c r="S850" s="3"/>
    </row>
    <row r="851">
      <c r="A851" s="70"/>
      <c r="B851" s="3"/>
      <c r="C851" s="3"/>
      <c r="D851" s="3"/>
      <c r="E851" s="3"/>
      <c r="F851" s="3"/>
      <c r="G851" s="3"/>
      <c r="H851" s="3"/>
      <c r="I851" s="3"/>
      <c r="J851" s="3"/>
      <c r="K851" s="70"/>
      <c r="L851" s="3"/>
      <c r="M851" s="70"/>
      <c r="N851" s="5"/>
      <c r="R851" s="70"/>
      <c r="S851" s="3"/>
    </row>
    <row r="852">
      <c r="A852" s="70"/>
      <c r="B852" s="3"/>
      <c r="C852" s="3"/>
      <c r="D852" s="3"/>
      <c r="E852" s="3"/>
      <c r="F852" s="3"/>
      <c r="G852" s="3"/>
      <c r="H852" s="3"/>
      <c r="I852" s="3"/>
      <c r="J852" s="3"/>
      <c r="K852" s="70"/>
      <c r="L852" s="3"/>
      <c r="M852" s="70"/>
      <c r="N852" s="5"/>
      <c r="R852" s="70"/>
      <c r="S852" s="3"/>
    </row>
    <row r="853">
      <c r="A853" s="70"/>
      <c r="B853" s="3"/>
      <c r="C853" s="3"/>
      <c r="D853" s="3"/>
      <c r="E853" s="3"/>
      <c r="F853" s="3"/>
      <c r="G853" s="3"/>
      <c r="H853" s="3"/>
      <c r="I853" s="3"/>
      <c r="J853" s="3"/>
      <c r="K853" s="70"/>
      <c r="L853" s="3"/>
      <c r="M853" s="70"/>
      <c r="N853" s="5"/>
      <c r="R853" s="70"/>
      <c r="S853" s="3"/>
    </row>
    <row r="854">
      <c r="A854" s="70"/>
      <c r="B854" s="3"/>
      <c r="C854" s="3"/>
      <c r="D854" s="3"/>
      <c r="E854" s="3"/>
      <c r="F854" s="3"/>
      <c r="G854" s="3"/>
      <c r="H854" s="3"/>
      <c r="I854" s="3"/>
      <c r="J854" s="3"/>
      <c r="K854" s="70"/>
      <c r="L854" s="3"/>
      <c r="M854" s="70"/>
      <c r="N854" s="5"/>
      <c r="R854" s="70"/>
      <c r="S854" s="3"/>
    </row>
    <row r="855">
      <c r="A855" s="70"/>
      <c r="B855" s="3"/>
      <c r="C855" s="3"/>
      <c r="D855" s="3"/>
      <c r="E855" s="3"/>
      <c r="F855" s="3"/>
      <c r="G855" s="3"/>
      <c r="H855" s="3"/>
      <c r="I855" s="3"/>
      <c r="J855" s="3"/>
      <c r="K855" s="70"/>
      <c r="L855" s="3"/>
      <c r="M855" s="70"/>
      <c r="N855" s="5"/>
      <c r="R855" s="70"/>
      <c r="S855" s="3"/>
    </row>
    <row r="856">
      <c r="A856" s="70"/>
      <c r="B856" s="3"/>
      <c r="C856" s="3"/>
      <c r="D856" s="3"/>
      <c r="E856" s="3"/>
      <c r="F856" s="3"/>
      <c r="G856" s="3"/>
      <c r="H856" s="3"/>
      <c r="I856" s="3"/>
      <c r="J856" s="3"/>
      <c r="K856" s="70"/>
      <c r="L856" s="3"/>
      <c r="M856" s="70"/>
      <c r="N856" s="5"/>
      <c r="R856" s="70"/>
      <c r="S856" s="3"/>
    </row>
    <row r="857">
      <c r="A857" s="70"/>
      <c r="B857" s="3"/>
      <c r="C857" s="3"/>
      <c r="D857" s="3"/>
      <c r="E857" s="3"/>
      <c r="F857" s="3"/>
      <c r="G857" s="3"/>
      <c r="H857" s="3"/>
      <c r="I857" s="3"/>
      <c r="J857" s="3"/>
      <c r="K857" s="70"/>
      <c r="L857" s="3"/>
      <c r="M857" s="70"/>
      <c r="N857" s="5"/>
      <c r="R857" s="70"/>
      <c r="S857" s="3"/>
    </row>
    <row r="858">
      <c r="A858" s="70"/>
      <c r="B858" s="3"/>
      <c r="C858" s="3"/>
      <c r="D858" s="3"/>
      <c r="E858" s="3"/>
      <c r="F858" s="3"/>
      <c r="G858" s="3"/>
      <c r="H858" s="3"/>
      <c r="I858" s="3"/>
      <c r="J858" s="3"/>
      <c r="K858" s="70"/>
      <c r="L858" s="3"/>
      <c r="M858" s="70"/>
      <c r="N858" s="5"/>
      <c r="R858" s="70"/>
      <c r="S858" s="3"/>
    </row>
    <row r="859">
      <c r="A859" s="70"/>
      <c r="B859" s="3"/>
      <c r="C859" s="3"/>
      <c r="D859" s="3"/>
      <c r="E859" s="3"/>
      <c r="F859" s="3"/>
      <c r="G859" s="3"/>
      <c r="H859" s="3"/>
      <c r="I859" s="3"/>
      <c r="J859" s="3"/>
      <c r="K859" s="70"/>
      <c r="L859" s="3"/>
      <c r="M859" s="70"/>
      <c r="N859" s="5"/>
      <c r="R859" s="70"/>
      <c r="S859" s="3"/>
    </row>
    <row r="860">
      <c r="A860" s="70"/>
      <c r="B860" s="3"/>
      <c r="C860" s="3"/>
      <c r="D860" s="3"/>
      <c r="E860" s="3"/>
      <c r="F860" s="3"/>
      <c r="G860" s="3"/>
      <c r="H860" s="3"/>
      <c r="I860" s="3"/>
      <c r="J860" s="3"/>
      <c r="K860" s="70"/>
      <c r="L860" s="3"/>
      <c r="M860" s="70"/>
      <c r="N860" s="5"/>
      <c r="R860" s="70"/>
      <c r="S860" s="3"/>
    </row>
    <row r="861">
      <c r="A861" s="70"/>
      <c r="B861" s="3"/>
      <c r="C861" s="3"/>
      <c r="D861" s="3"/>
      <c r="E861" s="3"/>
      <c r="F861" s="3"/>
      <c r="G861" s="3"/>
      <c r="H861" s="3"/>
      <c r="I861" s="3"/>
      <c r="J861" s="3"/>
      <c r="K861" s="70"/>
      <c r="L861" s="3"/>
      <c r="M861" s="70"/>
      <c r="N861" s="5"/>
      <c r="R861" s="70"/>
      <c r="S861" s="3"/>
    </row>
    <row r="862">
      <c r="A862" s="70"/>
      <c r="B862" s="3"/>
      <c r="C862" s="3"/>
      <c r="D862" s="3"/>
      <c r="E862" s="3"/>
      <c r="F862" s="3"/>
      <c r="G862" s="3"/>
      <c r="H862" s="3"/>
      <c r="I862" s="3"/>
      <c r="J862" s="3"/>
      <c r="K862" s="70"/>
      <c r="L862" s="3"/>
      <c r="M862" s="70"/>
      <c r="N862" s="5"/>
      <c r="R862" s="70"/>
      <c r="S862" s="3"/>
    </row>
    <row r="863">
      <c r="A863" s="70"/>
      <c r="B863" s="3"/>
      <c r="C863" s="3"/>
      <c r="D863" s="3"/>
      <c r="E863" s="3"/>
      <c r="F863" s="3"/>
      <c r="G863" s="3"/>
      <c r="H863" s="3"/>
      <c r="I863" s="3"/>
      <c r="J863" s="3"/>
      <c r="K863" s="70"/>
      <c r="L863" s="3"/>
      <c r="M863" s="70"/>
      <c r="N863" s="5"/>
      <c r="R863" s="70"/>
      <c r="S863" s="3"/>
    </row>
    <row r="864">
      <c r="A864" s="70"/>
      <c r="B864" s="3"/>
      <c r="C864" s="3"/>
      <c r="D864" s="3"/>
      <c r="E864" s="3"/>
      <c r="F864" s="3"/>
      <c r="G864" s="3"/>
      <c r="H864" s="3"/>
      <c r="I864" s="3"/>
      <c r="J864" s="3"/>
      <c r="K864" s="70"/>
      <c r="L864" s="3"/>
      <c r="M864" s="70"/>
      <c r="N864" s="5"/>
      <c r="R864" s="70"/>
      <c r="S864" s="3"/>
    </row>
    <row r="865">
      <c r="A865" s="70"/>
      <c r="B865" s="3"/>
      <c r="C865" s="3"/>
      <c r="D865" s="3"/>
      <c r="E865" s="3"/>
      <c r="F865" s="3"/>
      <c r="G865" s="3"/>
      <c r="H865" s="3"/>
      <c r="I865" s="3"/>
      <c r="J865" s="3"/>
      <c r="K865" s="70"/>
      <c r="L865" s="3"/>
      <c r="M865" s="70"/>
      <c r="N865" s="5"/>
      <c r="R865" s="70"/>
      <c r="S865" s="3"/>
    </row>
    <row r="866">
      <c r="A866" s="70"/>
      <c r="B866" s="3"/>
      <c r="C866" s="3"/>
      <c r="D866" s="3"/>
      <c r="E866" s="3"/>
      <c r="F866" s="3"/>
      <c r="G866" s="3"/>
      <c r="H866" s="3"/>
      <c r="I866" s="3"/>
      <c r="J866" s="3"/>
      <c r="K866" s="70"/>
      <c r="L866" s="3"/>
      <c r="M866" s="70"/>
      <c r="N866" s="5"/>
      <c r="R866" s="70"/>
      <c r="S866" s="3"/>
    </row>
    <row r="867">
      <c r="A867" s="70"/>
      <c r="B867" s="3"/>
      <c r="C867" s="3"/>
      <c r="D867" s="3"/>
      <c r="E867" s="3"/>
      <c r="F867" s="3"/>
      <c r="G867" s="3"/>
      <c r="H867" s="3"/>
      <c r="I867" s="3"/>
      <c r="J867" s="3"/>
      <c r="K867" s="70"/>
      <c r="L867" s="3"/>
      <c r="M867" s="70"/>
      <c r="N867" s="5"/>
      <c r="R867" s="70"/>
      <c r="S867" s="3"/>
    </row>
    <row r="868">
      <c r="A868" s="70"/>
      <c r="B868" s="3"/>
      <c r="C868" s="3"/>
      <c r="D868" s="3"/>
      <c r="E868" s="3"/>
      <c r="F868" s="3"/>
      <c r="G868" s="3"/>
      <c r="H868" s="3"/>
      <c r="I868" s="3"/>
      <c r="J868" s="3"/>
      <c r="K868" s="70"/>
      <c r="L868" s="3"/>
      <c r="M868" s="70"/>
      <c r="N868" s="5"/>
      <c r="R868" s="70"/>
      <c r="S868" s="3"/>
    </row>
    <row r="869">
      <c r="A869" s="70"/>
      <c r="B869" s="3"/>
      <c r="C869" s="3"/>
      <c r="D869" s="3"/>
      <c r="E869" s="3"/>
      <c r="F869" s="3"/>
      <c r="G869" s="3"/>
      <c r="H869" s="3"/>
      <c r="I869" s="3"/>
      <c r="J869" s="3"/>
      <c r="K869" s="70"/>
      <c r="L869" s="3"/>
      <c r="M869" s="70"/>
      <c r="N869" s="5"/>
      <c r="R869" s="70"/>
      <c r="S869" s="3"/>
    </row>
    <row r="870">
      <c r="A870" s="70"/>
      <c r="B870" s="3"/>
      <c r="C870" s="3"/>
      <c r="D870" s="3"/>
      <c r="E870" s="3"/>
      <c r="F870" s="3"/>
      <c r="G870" s="3"/>
      <c r="H870" s="3"/>
      <c r="I870" s="3"/>
      <c r="J870" s="3"/>
      <c r="K870" s="70"/>
      <c r="L870" s="3"/>
      <c r="M870" s="70"/>
      <c r="N870" s="5"/>
      <c r="R870" s="70"/>
      <c r="S870" s="3"/>
    </row>
    <row r="871">
      <c r="A871" s="70"/>
      <c r="B871" s="3"/>
      <c r="C871" s="3"/>
      <c r="D871" s="3"/>
      <c r="E871" s="3"/>
      <c r="F871" s="3"/>
      <c r="G871" s="3"/>
      <c r="H871" s="3"/>
      <c r="I871" s="3"/>
      <c r="J871" s="3"/>
      <c r="K871" s="70"/>
      <c r="L871" s="3"/>
      <c r="M871" s="70"/>
      <c r="N871" s="5"/>
      <c r="R871" s="70"/>
      <c r="S871" s="3"/>
    </row>
    <row r="872">
      <c r="A872" s="70"/>
      <c r="B872" s="3"/>
      <c r="C872" s="3"/>
      <c r="D872" s="3"/>
      <c r="E872" s="3"/>
      <c r="F872" s="3"/>
      <c r="G872" s="3"/>
      <c r="H872" s="3"/>
      <c r="I872" s="3"/>
      <c r="J872" s="3"/>
      <c r="K872" s="70"/>
      <c r="L872" s="3"/>
      <c r="M872" s="70"/>
      <c r="N872" s="5"/>
      <c r="R872" s="70"/>
      <c r="S872" s="3"/>
    </row>
    <row r="873">
      <c r="A873" s="70"/>
      <c r="B873" s="3"/>
      <c r="C873" s="3"/>
      <c r="D873" s="3"/>
      <c r="E873" s="3"/>
      <c r="F873" s="3"/>
      <c r="G873" s="3"/>
      <c r="H873" s="3"/>
      <c r="I873" s="3"/>
      <c r="J873" s="3"/>
      <c r="K873" s="70"/>
      <c r="L873" s="3"/>
      <c r="M873" s="70"/>
      <c r="N873" s="5"/>
      <c r="R873" s="70"/>
      <c r="S873" s="3"/>
    </row>
    <row r="874">
      <c r="A874" s="70"/>
      <c r="B874" s="3"/>
      <c r="C874" s="3"/>
      <c r="D874" s="3"/>
      <c r="E874" s="3"/>
      <c r="F874" s="3"/>
      <c r="G874" s="3"/>
      <c r="H874" s="3"/>
      <c r="I874" s="3"/>
      <c r="J874" s="3"/>
      <c r="K874" s="70"/>
      <c r="L874" s="3"/>
      <c r="M874" s="70"/>
      <c r="N874" s="5"/>
      <c r="R874" s="70"/>
      <c r="S874" s="3"/>
    </row>
    <row r="875">
      <c r="A875" s="70"/>
      <c r="B875" s="3"/>
      <c r="C875" s="3"/>
      <c r="D875" s="3"/>
      <c r="E875" s="3"/>
      <c r="F875" s="3"/>
      <c r="G875" s="3"/>
      <c r="H875" s="3"/>
      <c r="I875" s="3"/>
      <c r="J875" s="3"/>
      <c r="K875" s="70"/>
      <c r="L875" s="3"/>
      <c r="M875" s="70"/>
      <c r="N875" s="5"/>
      <c r="R875" s="70"/>
      <c r="S875" s="3"/>
    </row>
    <row r="876">
      <c r="A876" s="70"/>
      <c r="B876" s="3"/>
      <c r="C876" s="3"/>
      <c r="D876" s="3"/>
      <c r="E876" s="3"/>
      <c r="F876" s="3"/>
      <c r="G876" s="3"/>
      <c r="H876" s="3"/>
      <c r="I876" s="3"/>
      <c r="J876" s="3"/>
      <c r="K876" s="70"/>
      <c r="L876" s="3"/>
      <c r="M876" s="70"/>
      <c r="N876" s="5"/>
      <c r="R876" s="70"/>
      <c r="S876" s="3"/>
    </row>
    <row r="877">
      <c r="A877" s="70"/>
      <c r="B877" s="3"/>
      <c r="C877" s="3"/>
      <c r="D877" s="3"/>
      <c r="E877" s="3"/>
      <c r="F877" s="3"/>
      <c r="G877" s="3"/>
      <c r="H877" s="3"/>
      <c r="I877" s="3"/>
      <c r="J877" s="3"/>
      <c r="K877" s="70"/>
      <c r="L877" s="3"/>
      <c r="M877" s="70"/>
      <c r="N877" s="5"/>
      <c r="R877" s="70"/>
      <c r="S877" s="3"/>
    </row>
    <row r="878">
      <c r="A878" s="70"/>
      <c r="B878" s="3"/>
      <c r="C878" s="3"/>
      <c r="D878" s="3"/>
      <c r="E878" s="3"/>
      <c r="F878" s="3"/>
      <c r="G878" s="3"/>
      <c r="H878" s="3"/>
      <c r="I878" s="3"/>
      <c r="J878" s="3"/>
      <c r="K878" s="70"/>
      <c r="L878" s="3"/>
      <c r="M878" s="70"/>
      <c r="N878" s="5"/>
      <c r="R878" s="70"/>
      <c r="S878" s="3"/>
    </row>
    <row r="879">
      <c r="A879" s="70"/>
      <c r="B879" s="3"/>
      <c r="C879" s="3"/>
      <c r="D879" s="3"/>
      <c r="E879" s="3"/>
      <c r="F879" s="3"/>
      <c r="G879" s="3"/>
      <c r="H879" s="3"/>
      <c r="I879" s="3"/>
      <c r="J879" s="3"/>
      <c r="K879" s="70"/>
      <c r="L879" s="3"/>
      <c r="M879" s="70"/>
      <c r="N879" s="5"/>
      <c r="R879" s="70"/>
      <c r="S879" s="3"/>
    </row>
    <row r="880">
      <c r="A880" s="70"/>
      <c r="B880" s="3"/>
      <c r="C880" s="3"/>
      <c r="D880" s="3"/>
      <c r="E880" s="3"/>
      <c r="F880" s="3"/>
      <c r="G880" s="3"/>
      <c r="H880" s="3"/>
      <c r="I880" s="3"/>
      <c r="J880" s="3"/>
      <c r="K880" s="70"/>
      <c r="L880" s="3"/>
      <c r="M880" s="70"/>
      <c r="N880" s="5"/>
      <c r="R880" s="70"/>
      <c r="S880" s="3"/>
    </row>
    <row r="881">
      <c r="A881" s="70"/>
      <c r="B881" s="3"/>
      <c r="C881" s="3"/>
      <c r="D881" s="3"/>
      <c r="E881" s="3"/>
      <c r="F881" s="3"/>
      <c r="G881" s="3"/>
      <c r="H881" s="3"/>
      <c r="I881" s="3"/>
      <c r="J881" s="3"/>
      <c r="K881" s="70"/>
      <c r="L881" s="3"/>
      <c r="M881" s="70"/>
      <c r="N881" s="5"/>
      <c r="R881" s="70"/>
      <c r="S881" s="3"/>
    </row>
    <row r="882">
      <c r="A882" s="70"/>
      <c r="B882" s="3"/>
      <c r="C882" s="3"/>
      <c r="D882" s="3"/>
      <c r="E882" s="3"/>
      <c r="F882" s="3"/>
      <c r="G882" s="3"/>
      <c r="H882" s="3"/>
      <c r="I882" s="3"/>
      <c r="J882" s="3"/>
      <c r="K882" s="70"/>
      <c r="L882" s="3"/>
      <c r="M882" s="70"/>
      <c r="N882" s="5"/>
      <c r="R882" s="70"/>
      <c r="S882" s="3"/>
    </row>
    <row r="883">
      <c r="A883" s="70"/>
      <c r="B883" s="3"/>
      <c r="C883" s="3"/>
      <c r="D883" s="3"/>
      <c r="E883" s="3"/>
      <c r="F883" s="3"/>
      <c r="G883" s="3"/>
      <c r="H883" s="3"/>
      <c r="I883" s="3"/>
      <c r="J883" s="3"/>
      <c r="K883" s="70"/>
      <c r="L883" s="3"/>
      <c r="M883" s="70"/>
      <c r="N883" s="5"/>
      <c r="R883" s="70"/>
      <c r="S883" s="3"/>
    </row>
    <row r="884">
      <c r="A884" s="70"/>
      <c r="B884" s="3"/>
      <c r="C884" s="3"/>
      <c r="D884" s="3"/>
      <c r="E884" s="3"/>
      <c r="F884" s="3"/>
      <c r="G884" s="3"/>
      <c r="H884" s="3"/>
      <c r="I884" s="3"/>
      <c r="J884" s="3"/>
      <c r="K884" s="70"/>
      <c r="L884" s="3"/>
      <c r="M884" s="70"/>
      <c r="N884" s="5"/>
      <c r="R884" s="70"/>
      <c r="S884" s="3"/>
    </row>
    <row r="885">
      <c r="A885" s="70"/>
      <c r="B885" s="3"/>
      <c r="C885" s="3"/>
      <c r="D885" s="3"/>
      <c r="E885" s="3"/>
      <c r="F885" s="3"/>
      <c r="G885" s="3"/>
      <c r="H885" s="3"/>
      <c r="I885" s="3"/>
      <c r="J885" s="3"/>
      <c r="K885" s="70"/>
      <c r="L885" s="3"/>
      <c r="M885" s="70"/>
      <c r="N885" s="5"/>
      <c r="R885" s="70"/>
      <c r="S885" s="3"/>
    </row>
    <row r="886">
      <c r="A886" s="70"/>
      <c r="B886" s="3"/>
      <c r="C886" s="3"/>
      <c r="D886" s="3"/>
      <c r="E886" s="3"/>
      <c r="F886" s="3"/>
      <c r="G886" s="3"/>
      <c r="H886" s="3"/>
      <c r="I886" s="3"/>
      <c r="J886" s="3"/>
      <c r="K886" s="70"/>
      <c r="L886" s="3"/>
      <c r="M886" s="70"/>
      <c r="N886" s="5"/>
      <c r="R886" s="70"/>
      <c r="S886" s="3"/>
    </row>
    <row r="887">
      <c r="A887" s="70"/>
      <c r="B887" s="3"/>
      <c r="C887" s="3"/>
      <c r="D887" s="3"/>
      <c r="E887" s="3"/>
      <c r="F887" s="3"/>
      <c r="G887" s="3"/>
      <c r="H887" s="3"/>
      <c r="I887" s="3"/>
      <c r="J887" s="3"/>
      <c r="K887" s="70"/>
      <c r="L887" s="3"/>
      <c r="M887" s="70"/>
      <c r="N887" s="5"/>
      <c r="R887" s="70"/>
      <c r="S887" s="3"/>
    </row>
    <row r="888">
      <c r="A888" s="70"/>
      <c r="B888" s="3"/>
      <c r="C888" s="3"/>
      <c r="D888" s="3"/>
      <c r="E888" s="3"/>
      <c r="F888" s="3"/>
      <c r="G888" s="3"/>
      <c r="H888" s="3"/>
      <c r="I888" s="3"/>
      <c r="J888" s="3"/>
      <c r="K888" s="70"/>
      <c r="L888" s="3"/>
      <c r="M888" s="70"/>
      <c r="N888" s="5"/>
      <c r="R888" s="70"/>
      <c r="S888" s="3"/>
    </row>
    <row r="889">
      <c r="A889" s="70"/>
      <c r="B889" s="3"/>
      <c r="C889" s="3"/>
      <c r="D889" s="3"/>
      <c r="E889" s="3"/>
      <c r="F889" s="3"/>
      <c r="G889" s="3"/>
      <c r="H889" s="3"/>
      <c r="I889" s="3"/>
      <c r="J889" s="3"/>
      <c r="K889" s="70"/>
      <c r="L889" s="3"/>
      <c r="M889" s="70"/>
      <c r="N889" s="5"/>
      <c r="R889" s="70"/>
      <c r="S889" s="3"/>
    </row>
    <row r="890">
      <c r="A890" s="70"/>
      <c r="B890" s="3"/>
      <c r="C890" s="3"/>
      <c r="D890" s="3"/>
      <c r="E890" s="3"/>
      <c r="F890" s="3"/>
      <c r="G890" s="3"/>
      <c r="H890" s="3"/>
      <c r="I890" s="3"/>
      <c r="J890" s="3"/>
      <c r="K890" s="70"/>
      <c r="L890" s="3"/>
      <c r="M890" s="70"/>
      <c r="N890" s="5"/>
      <c r="R890" s="70"/>
      <c r="S890" s="3"/>
    </row>
    <row r="891">
      <c r="A891" s="70"/>
      <c r="B891" s="3"/>
      <c r="C891" s="3"/>
      <c r="D891" s="3"/>
      <c r="E891" s="3"/>
      <c r="F891" s="3"/>
      <c r="G891" s="3"/>
      <c r="H891" s="3"/>
      <c r="I891" s="3"/>
      <c r="J891" s="3"/>
      <c r="K891" s="70"/>
      <c r="L891" s="3"/>
      <c r="M891" s="70"/>
      <c r="N891" s="5"/>
      <c r="R891" s="70"/>
      <c r="S891" s="3"/>
    </row>
    <row r="892">
      <c r="A892" s="70"/>
      <c r="B892" s="3"/>
      <c r="C892" s="3"/>
      <c r="D892" s="3"/>
      <c r="E892" s="3"/>
      <c r="F892" s="3"/>
      <c r="G892" s="3"/>
      <c r="H892" s="3"/>
      <c r="I892" s="3"/>
      <c r="J892" s="3"/>
      <c r="K892" s="70"/>
      <c r="L892" s="3"/>
      <c r="M892" s="70"/>
      <c r="N892" s="5"/>
      <c r="R892" s="70"/>
      <c r="S892" s="3"/>
    </row>
    <row r="893">
      <c r="A893" s="70"/>
      <c r="B893" s="3"/>
      <c r="C893" s="3"/>
      <c r="D893" s="3"/>
      <c r="E893" s="3"/>
      <c r="F893" s="3"/>
      <c r="G893" s="3"/>
      <c r="H893" s="3"/>
      <c r="I893" s="3"/>
      <c r="J893" s="3"/>
      <c r="K893" s="70"/>
      <c r="L893" s="3"/>
      <c r="M893" s="70"/>
      <c r="N893" s="5"/>
      <c r="R893" s="70"/>
      <c r="S893" s="3"/>
    </row>
    <row r="894">
      <c r="A894" s="70"/>
      <c r="B894" s="3"/>
      <c r="C894" s="3"/>
      <c r="D894" s="3"/>
      <c r="E894" s="3"/>
      <c r="F894" s="3"/>
      <c r="G894" s="3"/>
      <c r="H894" s="3"/>
      <c r="I894" s="3"/>
      <c r="J894" s="3"/>
      <c r="K894" s="70"/>
      <c r="L894" s="3"/>
      <c r="M894" s="70"/>
      <c r="N894" s="5"/>
      <c r="R894" s="70"/>
      <c r="S894" s="3"/>
    </row>
    <row r="895">
      <c r="A895" s="70"/>
      <c r="B895" s="3"/>
      <c r="C895" s="3"/>
      <c r="D895" s="3"/>
      <c r="E895" s="3"/>
      <c r="F895" s="3"/>
      <c r="G895" s="3"/>
      <c r="H895" s="3"/>
      <c r="I895" s="3"/>
      <c r="J895" s="3"/>
      <c r="K895" s="70"/>
      <c r="L895" s="3"/>
      <c r="M895" s="70"/>
      <c r="N895" s="5"/>
      <c r="R895" s="70"/>
      <c r="S895" s="3"/>
    </row>
    <row r="896">
      <c r="A896" s="70"/>
      <c r="B896" s="3"/>
      <c r="C896" s="3"/>
      <c r="D896" s="3"/>
      <c r="E896" s="3"/>
      <c r="F896" s="3"/>
      <c r="G896" s="3"/>
      <c r="H896" s="3"/>
      <c r="I896" s="3"/>
      <c r="J896" s="3"/>
      <c r="K896" s="70"/>
      <c r="L896" s="3"/>
      <c r="M896" s="70"/>
      <c r="N896" s="5"/>
      <c r="R896" s="70"/>
      <c r="S896" s="3"/>
    </row>
    <row r="897">
      <c r="A897" s="70"/>
      <c r="B897" s="3"/>
      <c r="C897" s="3"/>
      <c r="D897" s="3"/>
      <c r="E897" s="3"/>
      <c r="F897" s="3"/>
      <c r="G897" s="3"/>
      <c r="H897" s="3"/>
      <c r="I897" s="3"/>
      <c r="J897" s="3"/>
      <c r="K897" s="70"/>
      <c r="L897" s="3"/>
      <c r="M897" s="70"/>
      <c r="N897" s="5"/>
      <c r="R897" s="70"/>
      <c r="S897" s="3"/>
    </row>
    <row r="898">
      <c r="A898" s="70"/>
      <c r="B898" s="3"/>
      <c r="C898" s="3"/>
      <c r="D898" s="3"/>
      <c r="E898" s="3"/>
      <c r="F898" s="3"/>
      <c r="G898" s="3"/>
      <c r="H898" s="3"/>
      <c r="I898" s="3"/>
      <c r="J898" s="3"/>
      <c r="K898" s="70"/>
      <c r="L898" s="3"/>
      <c r="M898" s="70"/>
      <c r="N898" s="5"/>
      <c r="R898" s="70"/>
      <c r="S898" s="3"/>
    </row>
    <row r="899">
      <c r="A899" s="70"/>
      <c r="B899" s="3"/>
      <c r="C899" s="3"/>
      <c r="D899" s="3"/>
      <c r="E899" s="3"/>
      <c r="F899" s="3"/>
      <c r="G899" s="3"/>
      <c r="H899" s="3"/>
      <c r="I899" s="3"/>
      <c r="J899" s="3"/>
      <c r="K899" s="70"/>
      <c r="L899" s="3"/>
      <c r="M899" s="70"/>
      <c r="N899" s="5"/>
      <c r="R899" s="70"/>
      <c r="S899" s="3"/>
    </row>
    <row r="900">
      <c r="A900" s="70"/>
      <c r="B900" s="3"/>
      <c r="C900" s="3"/>
      <c r="D900" s="3"/>
      <c r="E900" s="3"/>
      <c r="F900" s="3"/>
      <c r="G900" s="3"/>
      <c r="H900" s="3"/>
      <c r="I900" s="3"/>
      <c r="J900" s="3"/>
      <c r="K900" s="70"/>
      <c r="L900" s="3"/>
      <c r="M900" s="70"/>
      <c r="N900" s="5"/>
      <c r="R900" s="70"/>
      <c r="S900" s="3"/>
    </row>
    <row r="901">
      <c r="A901" s="70"/>
      <c r="B901" s="3"/>
      <c r="C901" s="3"/>
      <c r="D901" s="3"/>
      <c r="E901" s="3"/>
      <c r="F901" s="3"/>
      <c r="G901" s="3"/>
      <c r="H901" s="3"/>
      <c r="I901" s="3"/>
      <c r="J901" s="3"/>
      <c r="K901" s="70"/>
      <c r="L901" s="3"/>
      <c r="M901" s="70"/>
      <c r="N901" s="5"/>
      <c r="R901" s="70"/>
      <c r="S901" s="3"/>
    </row>
    <row r="902">
      <c r="A902" s="70"/>
      <c r="B902" s="3"/>
      <c r="C902" s="3"/>
      <c r="D902" s="3"/>
      <c r="E902" s="3"/>
      <c r="F902" s="3"/>
      <c r="G902" s="3"/>
      <c r="H902" s="3"/>
      <c r="I902" s="3"/>
      <c r="J902" s="3"/>
      <c r="K902" s="70"/>
      <c r="L902" s="3"/>
      <c r="M902" s="70"/>
      <c r="N902" s="5"/>
      <c r="R902" s="70"/>
      <c r="S902" s="3"/>
    </row>
    <row r="903">
      <c r="A903" s="70"/>
      <c r="B903" s="3"/>
      <c r="C903" s="3"/>
      <c r="D903" s="3"/>
      <c r="E903" s="3"/>
      <c r="F903" s="3"/>
      <c r="G903" s="3"/>
      <c r="H903" s="3"/>
      <c r="I903" s="3"/>
      <c r="J903" s="3"/>
      <c r="K903" s="70"/>
      <c r="L903" s="3"/>
      <c r="M903" s="70"/>
      <c r="N903" s="5"/>
      <c r="R903" s="70"/>
      <c r="S903" s="3"/>
    </row>
    <row r="904">
      <c r="A904" s="70"/>
      <c r="B904" s="3"/>
      <c r="C904" s="3"/>
      <c r="D904" s="3"/>
      <c r="E904" s="3"/>
      <c r="F904" s="3"/>
      <c r="G904" s="3"/>
      <c r="H904" s="3"/>
      <c r="I904" s="3"/>
      <c r="J904" s="3"/>
      <c r="K904" s="70"/>
      <c r="L904" s="3"/>
      <c r="M904" s="70"/>
      <c r="N904" s="5"/>
      <c r="R904" s="70"/>
      <c r="S904" s="3"/>
    </row>
    <row r="905">
      <c r="A905" s="70"/>
      <c r="B905" s="3"/>
      <c r="C905" s="3"/>
      <c r="D905" s="3"/>
      <c r="E905" s="3"/>
      <c r="F905" s="3"/>
      <c r="G905" s="3"/>
      <c r="H905" s="3"/>
      <c r="I905" s="3"/>
      <c r="J905" s="3"/>
      <c r="K905" s="70"/>
      <c r="L905" s="3"/>
      <c r="M905" s="70"/>
      <c r="N905" s="5"/>
      <c r="R905" s="70"/>
      <c r="S905" s="3"/>
    </row>
    <row r="906">
      <c r="A906" s="70"/>
      <c r="B906" s="3"/>
      <c r="C906" s="3"/>
      <c r="D906" s="3"/>
      <c r="E906" s="3"/>
      <c r="F906" s="3"/>
      <c r="G906" s="3"/>
      <c r="H906" s="3"/>
      <c r="I906" s="3"/>
      <c r="J906" s="3"/>
      <c r="K906" s="70"/>
      <c r="L906" s="3"/>
      <c r="M906" s="70"/>
      <c r="N906" s="5"/>
      <c r="R906" s="70"/>
      <c r="S906" s="3"/>
    </row>
    <row r="907">
      <c r="A907" s="70"/>
      <c r="B907" s="3"/>
      <c r="C907" s="3"/>
      <c r="D907" s="3"/>
      <c r="E907" s="3"/>
      <c r="F907" s="3"/>
      <c r="G907" s="3"/>
      <c r="H907" s="3"/>
      <c r="I907" s="3"/>
      <c r="J907" s="3"/>
      <c r="K907" s="70"/>
      <c r="L907" s="3"/>
      <c r="M907" s="70"/>
      <c r="N907" s="5"/>
      <c r="R907" s="70"/>
      <c r="S907" s="3"/>
    </row>
    <row r="908">
      <c r="A908" s="70"/>
      <c r="B908" s="3"/>
      <c r="C908" s="3"/>
      <c r="D908" s="3"/>
      <c r="E908" s="3"/>
      <c r="F908" s="3"/>
      <c r="G908" s="3"/>
      <c r="H908" s="3"/>
      <c r="I908" s="3"/>
      <c r="J908" s="3"/>
      <c r="K908" s="70"/>
      <c r="L908" s="3"/>
      <c r="M908" s="70"/>
      <c r="N908" s="5"/>
      <c r="R908" s="70"/>
      <c r="S908" s="3"/>
    </row>
    <row r="909">
      <c r="A909" s="70"/>
      <c r="B909" s="3"/>
      <c r="C909" s="3"/>
      <c r="D909" s="3"/>
      <c r="E909" s="3"/>
      <c r="F909" s="3"/>
      <c r="G909" s="3"/>
      <c r="H909" s="3"/>
      <c r="I909" s="3"/>
      <c r="J909" s="3"/>
      <c r="K909" s="70"/>
      <c r="L909" s="3"/>
      <c r="M909" s="70"/>
      <c r="N909" s="5"/>
      <c r="R909" s="70"/>
      <c r="S909" s="3"/>
    </row>
    <row r="910">
      <c r="A910" s="70"/>
      <c r="B910" s="3"/>
      <c r="C910" s="3"/>
      <c r="D910" s="3"/>
      <c r="E910" s="3"/>
      <c r="F910" s="3"/>
      <c r="G910" s="3"/>
      <c r="H910" s="3"/>
      <c r="I910" s="3"/>
      <c r="J910" s="3"/>
      <c r="K910" s="70"/>
      <c r="L910" s="3"/>
      <c r="M910" s="70"/>
      <c r="N910" s="5"/>
      <c r="R910" s="70"/>
      <c r="S910" s="3"/>
    </row>
    <row r="911">
      <c r="A911" s="70"/>
      <c r="B911" s="3"/>
      <c r="C911" s="3"/>
      <c r="D911" s="3"/>
      <c r="E911" s="3"/>
      <c r="F911" s="3"/>
      <c r="G911" s="3"/>
      <c r="H911" s="3"/>
      <c r="I911" s="3"/>
      <c r="J911" s="3"/>
      <c r="K911" s="70"/>
      <c r="L911" s="3"/>
      <c r="M911" s="70"/>
      <c r="N911" s="5"/>
      <c r="R911" s="70"/>
      <c r="S911" s="3"/>
    </row>
    <row r="912">
      <c r="A912" s="70"/>
      <c r="B912" s="3"/>
      <c r="C912" s="3"/>
      <c r="D912" s="3"/>
      <c r="E912" s="3"/>
      <c r="F912" s="3"/>
      <c r="G912" s="3"/>
      <c r="H912" s="3"/>
      <c r="I912" s="3"/>
      <c r="J912" s="3"/>
      <c r="K912" s="70"/>
      <c r="L912" s="3"/>
      <c r="M912" s="70"/>
      <c r="N912" s="5"/>
      <c r="R912" s="70"/>
      <c r="S912" s="3"/>
    </row>
    <row r="913">
      <c r="A913" s="70"/>
      <c r="B913" s="3"/>
      <c r="C913" s="3"/>
      <c r="D913" s="3"/>
      <c r="E913" s="3"/>
      <c r="F913" s="3"/>
      <c r="G913" s="3"/>
      <c r="H913" s="3"/>
      <c r="I913" s="3"/>
      <c r="J913" s="3"/>
      <c r="K913" s="70"/>
      <c r="L913" s="3"/>
      <c r="M913" s="70"/>
      <c r="N913" s="5"/>
      <c r="R913" s="70"/>
      <c r="S913" s="3"/>
    </row>
    <row r="914">
      <c r="A914" s="70"/>
      <c r="B914" s="3"/>
      <c r="C914" s="3"/>
      <c r="D914" s="3"/>
      <c r="E914" s="3"/>
      <c r="F914" s="3"/>
      <c r="G914" s="3"/>
      <c r="H914" s="3"/>
      <c r="I914" s="3"/>
      <c r="J914" s="3"/>
      <c r="K914" s="70"/>
      <c r="L914" s="3"/>
      <c r="M914" s="70"/>
      <c r="N914" s="5"/>
      <c r="R914" s="70"/>
      <c r="S914" s="3"/>
    </row>
    <row r="915">
      <c r="A915" s="70"/>
      <c r="B915" s="3"/>
      <c r="C915" s="3"/>
      <c r="D915" s="3"/>
      <c r="E915" s="3"/>
      <c r="F915" s="3"/>
      <c r="G915" s="3"/>
      <c r="H915" s="3"/>
      <c r="I915" s="3"/>
      <c r="J915" s="3"/>
      <c r="K915" s="70"/>
      <c r="L915" s="3"/>
      <c r="M915" s="70"/>
      <c r="N915" s="5"/>
      <c r="R915" s="70"/>
      <c r="S915" s="3"/>
    </row>
    <row r="916">
      <c r="A916" s="70"/>
      <c r="B916" s="3"/>
      <c r="C916" s="3"/>
      <c r="D916" s="3"/>
      <c r="E916" s="3"/>
      <c r="F916" s="3"/>
      <c r="G916" s="3"/>
      <c r="H916" s="3"/>
      <c r="I916" s="3"/>
      <c r="J916" s="3"/>
      <c r="K916" s="70"/>
      <c r="L916" s="3"/>
      <c r="M916" s="70"/>
      <c r="N916" s="5"/>
      <c r="R916" s="70"/>
      <c r="S916" s="3"/>
    </row>
    <row r="917">
      <c r="A917" s="70"/>
      <c r="B917" s="3"/>
      <c r="C917" s="3"/>
      <c r="D917" s="3"/>
      <c r="E917" s="3"/>
      <c r="F917" s="3"/>
      <c r="G917" s="3"/>
      <c r="H917" s="3"/>
      <c r="I917" s="3"/>
      <c r="J917" s="3"/>
      <c r="K917" s="70"/>
      <c r="L917" s="3"/>
      <c r="M917" s="70"/>
      <c r="N917" s="5"/>
      <c r="R917" s="70"/>
      <c r="S917" s="3"/>
    </row>
    <row r="918">
      <c r="A918" s="70"/>
      <c r="B918" s="3"/>
      <c r="C918" s="3"/>
      <c r="D918" s="3"/>
      <c r="E918" s="3"/>
      <c r="F918" s="3"/>
      <c r="G918" s="3"/>
      <c r="H918" s="3"/>
      <c r="I918" s="3"/>
      <c r="J918" s="3"/>
      <c r="K918" s="70"/>
      <c r="L918" s="3"/>
      <c r="M918" s="70"/>
      <c r="N918" s="5"/>
      <c r="R918" s="70"/>
      <c r="S918" s="3"/>
    </row>
    <row r="919">
      <c r="A919" s="70"/>
      <c r="B919" s="3"/>
      <c r="C919" s="3"/>
      <c r="D919" s="3"/>
      <c r="E919" s="3"/>
      <c r="F919" s="3"/>
      <c r="G919" s="3"/>
      <c r="H919" s="3"/>
      <c r="I919" s="3"/>
      <c r="J919" s="3"/>
      <c r="K919" s="70"/>
      <c r="L919" s="3"/>
      <c r="M919" s="70"/>
      <c r="N919" s="5"/>
      <c r="R919" s="70"/>
      <c r="S919" s="3"/>
    </row>
    <row r="920">
      <c r="A920" s="70"/>
      <c r="B920" s="3"/>
      <c r="C920" s="3"/>
      <c r="D920" s="3"/>
      <c r="E920" s="3"/>
      <c r="F920" s="3"/>
      <c r="G920" s="3"/>
      <c r="H920" s="3"/>
      <c r="I920" s="3"/>
      <c r="J920" s="3"/>
      <c r="K920" s="70"/>
      <c r="L920" s="3"/>
      <c r="M920" s="70"/>
      <c r="N920" s="5"/>
      <c r="R920" s="70"/>
      <c r="S920" s="3"/>
    </row>
    <row r="921">
      <c r="A921" s="70"/>
      <c r="B921" s="3"/>
      <c r="C921" s="3"/>
      <c r="D921" s="3"/>
      <c r="E921" s="3"/>
      <c r="F921" s="3"/>
      <c r="G921" s="3"/>
      <c r="H921" s="3"/>
      <c r="I921" s="3"/>
      <c r="J921" s="3"/>
      <c r="K921" s="70"/>
      <c r="L921" s="3"/>
      <c r="M921" s="70"/>
      <c r="N921" s="5"/>
      <c r="R921" s="70"/>
      <c r="S921" s="3"/>
    </row>
    <row r="922">
      <c r="A922" s="70"/>
      <c r="B922" s="3"/>
      <c r="C922" s="3"/>
      <c r="D922" s="3"/>
      <c r="E922" s="3"/>
      <c r="F922" s="3"/>
      <c r="G922" s="3"/>
      <c r="H922" s="3"/>
      <c r="I922" s="3"/>
      <c r="J922" s="3"/>
      <c r="K922" s="70"/>
      <c r="L922" s="3"/>
      <c r="M922" s="70"/>
      <c r="N922" s="5"/>
      <c r="R922" s="70"/>
      <c r="S922" s="3"/>
    </row>
    <row r="923">
      <c r="A923" s="70"/>
      <c r="B923" s="3"/>
      <c r="C923" s="3"/>
      <c r="D923" s="3"/>
      <c r="E923" s="3"/>
      <c r="F923" s="3"/>
      <c r="G923" s="3"/>
      <c r="H923" s="3"/>
      <c r="I923" s="3"/>
      <c r="J923" s="3"/>
      <c r="K923" s="70"/>
      <c r="L923" s="3"/>
      <c r="M923" s="70"/>
      <c r="N923" s="5"/>
      <c r="R923" s="70"/>
      <c r="S923" s="3"/>
    </row>
    <row r="924">
      <c r="A924" s="70"/>
      <c r="B924" s="3"/>
      <c r="C924" s="3"/>
      <c r="D924" s="3"/>
      <c r="E924" s="3"/>
      <c r="F924" s="3"/>
      <c r="G924" s="3"/>
      <c r="H924" s="3"/>
      <c r="I924" s="3"/>
      <c r="J924" s="3"/>
      <c r="K924" s="70"/>
      <c r="L924" s="3"/>
      <c r="M924" s="70"/>
      <c r="N924" s="5"/>
      <c r="R924" s="70"/>
      <c r="S924" s="3"/>
    </row>
    <row r="925">
      <c r="A925" s="70"/>
      <c r="B925" s="3"/>
      <c r="C925" s="3"/>
      <c r="D925" s="3"/>
      <c r="E925" s="3"/>
      <c r="F925" s="3"/>
      <c r="G925" s="3"/>
      <c r="H925" s="3"/>
      <c r="I925" s="3"/>
      <c r="J925" s="3"/>
      <c r="K925" s="70"/>
      <c r="L925" s="3"/>
      <c r="M925" s="70"/>
      <c r="N925" s="5"/>
      <c r="R925" s="70"/>
      <c r="S925" s="3"/>
    </row>
    <row r="926">
      <c r="A926" s="70"/>
      <c r="B926" s="3"/>
      <c r="C926" s="3"/>
      <c r="D926" s="3"/>
      <c r="E926" s="3"/>
      <c r="F926" s="3"/>
      <c r="G926" s="3"/>
      <c r="H926" s="3"/>
      <c r="I926" s="3"/>
      <c r="J926" s="3"/>
      <c r="K926" s="70"/>
      <c r="L926" s="3"/>
      <c r="M926" s="70"/>
      <c r="N926" s="5"/>
      <c r="R926" s="70"/>
      <c r="S926" s="3"/>
    </row>
    <row r="927">
      <c r="A927" s="70"/>
      <c r="B927" s="3"/>
      <c r="C927" s="3"/>
      <c r="D927" s="3"/>
      <c r="E927" s="3"/>
      <c r="F927" s="3"/>
      <c r="G927" s="3"/>
      <c r="H927" s="3"/>
      <c r="I927" s="3"/>
      <c r="J927" s="3"/>
      <c r="K927" s="70"/>
      <c r="L927" s="3"/>
      <c r="M927" s="70"/>
      <c r="N927" s="5"/>
      <c r="R927" s="70"/>
      <c r="S927" s="3"/>
    </row>
    <row r="928">
      <c r="A928" s="70"/>
      <c r="B928" s="3"/>
      <c r="C928" s="3"/>
      <c r="D928" s="3"/>
      <c r="E928" s="3"/>
      <c r="F928" s="3"/>
      <c r="G928" s="3"/>
      <c r="H928" s="3"/>
      <c r="I928" s="3"/>
      <c r="J928" s="3"/>
      <c r="K928" s="70"/>
      <c r="L928" s="3"/>
      <c r="M928" s="70"/>
      <c r="N928" s="5"/>
      <c r="R928" s="70"/>
      <c r="S928" s="3"/>
    </row>
    <row r="929">
      <c r="A929" s="70"/>
      <c r="B929" s="3"/>
      <c r="C929" s="3"/>
      <c r="D929" s="3"/>
      <c r="E929" s="3"/>
      <c r="F929" s="3"/>
      <c r="G929" s="3"/>
      <c r="H929" s="3"/>
      <c r="I929" s="3"/>
      <c r="J929" s="3"/>
      <c r="K929" s="70"/>
      <c r="L929" s="3"/>
      <c r="M929" s="70"/>
      <c r="N929" s="5"/>
      <c r="R929" s="70"/>
      <c r="S929" s="3"/>
    </row>
    <row r="930">
      <c r="A930" s="70"/>
      <c r="B930" s="3"/>
      <c r="C930" s="3"/>
      <c r="D930" s="3"/>
      <c r="E930" s="3"/>
      <c r="F930" s="3"/>
      <c r="G930" s="3"/>
      <c r="H930" s="3"/>
      <c r="I930" s="3"/>
      <c r="J930" s="3"/>
      <c r="K930" s="70"/>
      <c r="L930" s="3"/>
      <c r="M930" s="70"/>
      <c r="N930" s="5"/>
      <c r="R930" s="70"/>
      <c r="S930" s="3"/>
    </row>
    <row r="931">
      <c r="A931" s="70"/>
      <c r="B931" s="3"/>
      <c r="C931" s="3"/>
      <c r="D931" s="3"/>
      <c r="E931" s="3"/>
      <c r="F931" s="3"/>
      <c r="G931" s="3"/>
      <c r="H931" s="3"/>
      <c r="I931" s="3"/>
      <c r="J931" s="3"/>
      <c r="K931" s="70"/>
      <c r="L931" s="3"/>
      <c r="M931" s="70"/>
      <c r="N931" s="5"/>
      <c r="R931" s="70"/>
      <c r="S931" s="3"/>
    </row>
    <row r="932">
      <c r="A932" s="70"/>
      <c r="B932" s="3"/>
      <c r="C932" s="3"/>
      <c r="D932" s="3"/>
      <c r="E932" s="3"/>
      <c r="F932" s="3"/>
      <c r="G932" s="3"/>
      <c r="H932" s="3"/>
      <c r="I932" s="3"/>
      <c r="J932" s="3"/>
      <c r="K932" s="70"/>
      <c r="L932" s="3"/>
      <c r="M932" s="70"/>
      <c r="N932" s="5"/>
      <c r="R932" s="70"/>
      <c r="S932" s="3"/>
    </row>
    <row r="933">
      <c r="A933" s="70"/>
      <c r="B933" s="3"/>
      <c r="C933" s="3"/>
      <c r="D933" s="3"/>
      <c r="E933" s="3"/>
      <c r="F933" s="3"/>
      <c r="G933" s="3"/>
      <c r="H933" s="3"/>
      <c r="I933" s="3"/>
      <c r="J933" s="3"/>
      <c r="K933" s="70"/>
      <c r="L933" s="3"/>
      <c r="M933" s="70"/>
      <c r="N933" s="5"/>
      <c r="R933" s="70"/>
      <c r="S933" s="3"/>
    </row>
    <row r="934">
      <c r="A934" s="70"/>
      <c r="B934" s="3"/>
      <c r="C934" s="3"/>
      <c r="D934" s="3"/>
      <c r="E934" s="3"/>
      <c r="F934" s="3"/>
      <c r="G934" s="3"/>
      <c r="H934" s="3"/>
      <c r="I934" s="3"/>
      <c r="J934" s="3"/>
      <c r="K934" s="70"/>
      <c r="L934" s="3"/>
      <c r="M934" s="70"/>
      <c r="N934" s="5"/>
      <c r="R934" s="70"/>
      <c r="S934" s="3"/>
    </row>
    <row r="935">
      <c r="A935" s="70"/>
      <c r="B935" s="3"/>
      <c r="C935" s="3"/>
      <c r="D935" s="3"/>
      <c r="E935" s="3"/>
      <c r="F935" s="3"/>
      <c r="G935" s="3"/>
      <c r="H935" s="3"/>
      <c r="I935" s="3"/>
      <c r="J935" s="3"/>
      <c r="K935" s="70"/>
      <c r="L935" s="3"/>
      <c r="M935" s="70"/>
      <c r="N935" s="5"/>
      <c r="R935" s="70"/>
      <c r="S935" s="3"/>
    </row>
    <row r="936">
      <c r="A936" s="70"/>
      <c r="B936" s="3"/>
      <c r="C936" s="3"/>
      <c r="D936" s="3"/>
      <c r="E936" s="3"/>
      <c r="F936" s="3"/>
      <c r="G936" s="3"/>
      <c r="H936" s="3"/>
      <c r="I936" s="3"/>
      <c r="J936" s="3"/>
      <c r="K936" s="70"/>
      <c r="L936" s="3"/>
      <c r="M936" s="70"/>
      <c r="N936" s="5"/>
      <c r="R936" s="70"/>
      <c r="S936" s="3"/>
    </row>
    <row r="937">
      <c r="A937" s="70"/>
      <c r="B937" s="3"/>
      <c r="C937" s="3"/>
      <c r="D937" s="3"/>
      <c r="E937" s="3"/>
      <c r="F937" s="3"/>
      <c r="G937" s="3"/>
      <c r="H937" s="3"/>
      <c r="I937" s="3"/>
      <c r="J937" s="3"/>
      <c r="K937" s="70"/>
      <c r="L937" s="3"/>
      <c r="M937" s="70"/>
      <c r="N937" s="5"/>
      <c r="R937" s="70"/>
      <c r="S937" s="3"/>
    </row>
    <row r="938">
      <c r="A938" s="70"/>
      <c r="B938" s="3"/>
      <c r="C938" s="3"/>
      <c r="D938" s="3"/>
      <c r="E938" s="3"/>
      <c r="F938" s="3"/>
      <c r="G938" s="3"/>
      <c r="H938" s="3"/>
      <c r="I938" s="3"/>
      <c r="J938" s="3"/>
      <c r="K938" s="70"/>
      <c r="L938" s="3"/>
      <c r="M938" s="70"/>
      <c r="N938" s="5"/>
      <c r="R938" s="70"/>
      <c r="S938" s="3"/>
    </row>
    <row r="939">
      <c r="A939" s="70"/>
      <c r="B939" s="3"/>
      <c r="C939" s="3"/>
      <c r="D939" s="3"/>
      <c r="E939" s="3"/>
      <c r="F939" s="3"/>
      <c r="G939" s="3"/>
      <c r="H939" s="3"/>
      <c r="I939" s="3"/>
      <c r="J939" s="3"/>
      <c r="K939" s="70"/>
      <c r="L939" s="3"/>
      <c r="M939" s="70"/>
      <c r="N939" s="5"/>
      <c r="R939" s="70"/>
      <c r="S939" s="3"/>
    </row>
    <row r="940">
      <c r="A940" s="70"/>
      <c r="B940" s="3"/>
      <c r="C940" s="3"/>
      <c r="D940" s="3"/>
      <c r="E940" s="3"/>
      <c r="F940" s="3"/>
      <c r="G940" s="3"/>
      <c r="H940" s="3"/>
      <c r="I940" s="3"/>
      <c r="J940" s="3"/>
      <c r="K940" s="70"/>
      <c r="L940" s="3"/>
      <c r="M940" s="70"/>
      <c r="N940" s="5"/>
      <c r="R940" s="70"/>
      <c r="S940" s="3"/>
    </row>
    <row r="941">
      <c r="A941" s="70"/>
      <c r="B941" s="3"/>
      <c r="C941" s="3"/>
      <c r="D941" s="3"/>
      <c r="E941" s="3"/>
      <c r="F941" s="3"/>
      <c r="G941" s="3"/>
      <c r="H941" s="3"/>
      <c r="I941" s="3"/>
      <c r="J941" s="3"/>
      <c r="K941" s="70"/>
      <c r="L941" s="3"/>
      <c r="M941" s="70"/>
      <c r="N941" s="5"/>
      <c r="R941" s="70"/>
      <c r="S941" s="3"/>
    </row>
    <row r="942">
      <c r="A942" s="70"/>
      <c r="B942" s="3"/>
      <c r="C942" s="3"/>
      <c r="D942" s="3"/>
      <c r="E942" s="3"/>
      <c r="F942" s="3"/>
      <c r="G942" s="3"/>
      <c r="H942" s="3"/>
      <c r="I942" s="3"/>
      <c r="J942" s="3"/>
      <c r="K942" s="70"/>
      <c r="L942" s="3"/>
      <c r="M942" s="70"/>
      <c r="N942" s="5"/>
      <c r="R942" s="70"/>
      <c r="S942" s="3"/>
    </row>
    <row r="943">
      <c r="A943" s="70"/>
      <c r="B943" s="3"/>
      <c r="C943" s="3"/>
      <c r="D943" s="3"/>
      <c r="E943" s="3"/>
      <c r="F943" s="3"/>
      <c r="G943" s="3"/>
      <c r="H943" s="3"/>
      <c r="I943" s="3"/>
      <c r="J943" s="3"/>
      <c r="K943" s="70"/>
      <c r="L943" s="3"/>
      <c r="M943" s="70"/>
      <c r="N943" s="5"/>
      <c r="R943" s="70"/>
      <c r="S943" s="3"/>
    </row>
    <row r="944">
      <c r="A944" s="70"/>
      <c r="B944" s="3"/>
      <c r="C944" s="3"/>
      <c r="D944" s="3"/>
      <c r="E944" s="3"/>
      <c r="F944" s="3"/>
      <c r="G944" s="3"/>
      <c r="H944" s="3"/>
      <c r="I944" s="3"/>
      <c r="J944" s="3"/>
      <c r="K944" s="70"/>
      <c r="L944" s="3"/>
      <c r="M944" s="70"/>
      <c r="N944" s="5"/>
      <c r="R944" s="70"/>
      <c r="S944" s="3"/>
    </row>
    <row r="945">
      <c r="A945" s="70"/>
      <c r="B945" s="3"/>
      <c r="C945" s="3"/>
      <c r="D945" s="3"/>
      <c r="E945" s="3"/>
      <c r="F945" s="3"/>
      <c r="G945" s="3"/>
      <c r="H945" s="3"/>
      <c r="I945" s="3"/>
      <c r="J945" s="3"/>
      <c r="K945" s="70"/>
      <c r="L945" s="3"/>
      <c r="M945" s="70"/>
      <c r="N945" s="5"/>
      <c r="R945" s="70"/>
      <c r="S945" s="3"/>
    </row>
    <row r="946">
      <c r="A946" s="70"/>
      <c r="B946" s="3"/>
      <c r="C946" s="3"/>
      <c r="D946" s="3"/>
      <c r="E946" s="3"/>
      <c r="F946" s="3"/>
      <c r="G946" s="3"/>
      <c r="H946" s="3"/>
      <c r="I946" s="3"/>
      <c r="J946" s="3"/>
      <c r="K946" s="70"/>
      <c r="L946" s="3"/>
      <c r="M946" s="70"/>
      <c r="N946" s="5"/>
      <c r="R946" s="70"/>
      <c r="S946" s="3"/>
    </row>
    <row r="947">
      <c r="A947" s="70"/>
      <c r="B947" s="3"/>
      <c r="C947" s="3"/>
      <c r="D947" s="3"/>
      <c r="E947" s="3"/>
      <c r="F947" s="3"/>
      <c r="G947" s="3"/>
      <c r="H947" s="3"/>
      <c r="I947" s="3"/>
      <c r="J947" s="3"/>
      <c r="K947" s="70"/>
      <c r="L947" s="3"/>
      <c r="M947" s="70"/>
      <c r="N947" s="5"/>
      <c r="R947" s="70"/>
      <c r="S947" s="3"/>
    </row>
    <row r="948">
      <c r="A948" s="70"/>
      <c r="B948" s="3"/>
      <c r="C948" s="3"/>
      <c r="D948" s="3"/>
      <c r="E948" s="3"/>
      <c r="F948" s="3"/>
      <c r="G948" s="3"/>
      <c r="H948" s="3"/>
      <c r="I948" s="3"/>
      <c r="J948" s="3"/>
      <c r="K948" s="70"/>
      <c r="L948" s="3"/>
      <c r="M948" s="70"/>
      <c r="N948" s="5"/>
      <c r="R948" s="70"/>
      <c r="S948" s="3"/>
    </row>
    <row r="949">
      <c r="A949" s="70"/>
      <c r="B949" s="3"/>
      <c r="C949" s="3"/>
      <c r="D949" s="3"/>
      <c r="E949" s="3"/>
      <c r="F949" s="3"/>
      <c r="G949" s="3"/>
      <c r="H949" s="3"/>
      <c r="I949" s="3"/>
      <c r="J949" s="3"/>
      <c r="K949" s="70"/>
      <c r="L949" s="3"/>
      <c r="M949" s="70"/>
      <c r="N949" s="5"/>
      <c r="R949" s="70"/>
      <c r="S949" s="3"/>
    </row>
    <row r="950">
      <c r="A950" s="70"/>
      <c r="B950" s="3"/>
      <c r="C950" s="3"/>
      <c r="D950" s="3"/>
      <c r="E950" s="3"/>
      <c r="F950" s="3"/>
      <c r="G950" s="3"/>
      <c r="H950" s="3"/>
      <c r="I950" s="3"/>
      <c r="J950" s="3"/>
      <c r="K950" s="70"/>
      <c r="L950" s="3"/>
      <c r="M950" s="70"/>
      <c r="N950" s="5"/>
      <c r="R950" s="70"/>
      <c r="S950" s="3"/>
    </row>
    <row r="951">
      <c r="A951" s="70"/>
      <c r="B951" s="3"/>
      <c r="C951" s="3"/>
      <c r="D951" s="3"/>
      <c r="E951" s="3"/>
      <c r="F951" s="3"/>
      <c r="G951" s="3"/>
      <c r="H951" s="3"/>
      <c r="I951" s="3"/>
      <c r="J951" s="3"/>
      <c r="K951" s="70"/>
      <c r="L951" s="3"/>
      <c r="M951" s="70"/>
      <c r="N951" s="5"/>
      <c r="R951" s="70"/>
      <c r="S951" s="3"/>
    </row>
    <row r="952">
      <c r="A952" s="70"/>
      <c r="B952" s="3"/>
      <c r="C952" s="3"/>
      <c r="D952" s="3"/>
      <c r="E952" s="3"/>
      <c r="F952" s="3"/>
      <c r="G952" s="3"/>
      <c r="H952" s="3"/>
      <c r="I952" s="3"/>
      <c r="J952" s="3"/>
      <c r="K952" s="70"/>
      <c r="L952" s="3"/>
      <c r="M952" s="70"/>
      <c r="N952" s="5"/>
      <c r="R952" s="70"/>
      <c r="S952" s="3"/>
    </row>
    <row r="953">
      <c r="A953" s="70"/>
      <c r="B953" s="3"/>
      <c r="C953" s="3"/>
      <c r="D953" s="3"/>
      <c r="E953" s="3"/>
      <c r="F953" s="3"/>
      <c r="G953" s="3"/>
      <c r="H953" s="3"/>
      <c r="I953" s="3"/>
      <c r="J953" s="3"/>
      <c r="K953" s="70"/>
      <c r="L953" s="3"/>
      <c r="M953" s="70"/>
      <c r="N953" s="5"/>
      <c r="R953" s="70"/>
      <c r="S953" s="3"/>
    </row>
    <row r="954">
      <c r="A954" s="70"/>
      <c r="B954" s="3"/>
      <c r="C954" s="3"/>
      <c r="D954" s="3"/>
      <c r="E954" s="3"/>
      <c r="F954" s="3"/>
      <c r="G954" s="3"/>
      <c r="H954" s="3"/>
      <c r="I954" s="3"/>
      <c r="J954" s="3"/>
      <c r="K954" s="70"/>
      <c r="L954" s="3"/>
      <c r="M954" s="70"/>
      <c r="N954" s="5"/>
      <c r="R954" s="70"/>
      <c r="S954" s="3"/>
    </row>
    <row r="955">
      <c r="A955" s="70"/>
      <c r="B955" s="3"/>
      <c r="C955" s="3"/>
      <c r="D955" s="3"/>
      <c r="E955" s="3"/>
      <c r="F955" s="3"/>
      <c r="G955" s="3"/>
      <c r="H955" s="3"/>
      <c r="I955" s="3"/>
      <c r="J955" s="3"/>
      <c r="K955" s="70"/>
      <c r="L955" s="3"/>
      <c r="M955" s="70"/>
      <c r="N955" s="5"/>
      <c r="R955" s="70"/>
      <c r="S955" s="3"/>
    </row>
    <row r="956">
      <c r="A956" s="70"/>
      <c r="B956" s="3"/>
      <c r="C956" s="3"/>
      <c r="D956" s="3"/>
      <c r="E956" s="3"/>
      <c r="F956" s="3"/>
      <c r="G956" s="3"/>
      <c r="H956" s="3"/>
      <c r="I956" s="3"/>
      <c r="J956" s="3"/>
      <c r="K956" s="70"/>
      <c r="L956" s="3"/>
      <c r="M956" s="70"/>
      <c r="N956" s="5"/>
      <c r="R956" s="70"/>
      <c r="S956" s="3"/>
    </row>
    <row r="957">
      <c r="A957" s="70"/>
      <c r="B957" s="3"/>
      <c r="C957" s="3"/>
      <c r="D957" s="3"/>
      <c r="E957" s="3"/>
      <c r="F957" s="3"/>
      <c r="G957" s="3"/>
      <c r="H957" s="3"/>
      <c r="I957" s="3"/>
      <c r="J957" s="3"/>
      <c r="K957" s="70"/>
      <c r="L957" s="3"/>
      <c r="M957" s="70"/>
      <c r="N957" s="5"/>
      <c r="R957" s="70"/>
      <c r="S957" s="3"/>
    </row>
    <row r="958">
      <c r="A958" s="70"/>
      <c r="B958" s="3"/>
      <c r="C958" s="3"/>
      <c r="D958" s="3"/>
      <c r="E958" s="3"/>
      <c r="F958" s="3"/>
      <c r="G958" s="3"/>
      <c r="H958" s="3"/>
      <c r="I958" s="3"/>
      <c r="J958" s="3"/>
      <c r="K958" s="70"/>
      <c r="L958" s="3"/>
      <c r="M958" s="70"/>
      <c r="N958" s="5"/>
      <c r="R958" s="70"/>
      <c r="S958" s="3"/>
    </row>
    <row r="959">
      <c r="A959" s="70"/>
      <c r="B959" s="3"/>
      <c r="C959" s="3"/>
      <c r="D959" s="3"/>
      <c r="E959" s="3"/>
      <c r="F959" s="3"/>
      <c r="G959" s="3"/>
      <c r="H959" s="3"/>
      <c r="I959" s="3"/>
      <c r="J959" s="3"/>
      <c r="K959" s="70"/>
      <c r="L959" s="3"/>
      <c r="M959" s="70"/>
      <c r="N959" s="5"/>
      <c r="R959" s="70"/>
      <c r="S959" s="3"/>
    </row>
    <row r="960">
      <c r="A960" s="70"/>
      <c r="B960" s="3"/>
      <c r="C960" s="3"/>
      <c r="D960" s="3"/>
      <c r="E960" s="3"/>
      <c r="F960" s="3"/>
      <c r="G960" s="3"/>
      <c r="H960" s="3"/>
      <c r="I960" s="3"/>
      <c r="J960" s="3"/>
      <c r="K960" s="70"/>
      <c r="L960" s="3"/>
      <c r="M960" s="70"/>
      <c r="N960" s="5"/>
      <c r="R960" s="70"/>
      <c r="S960" s="3"/>
    </row>
    <row r="961">
      <c r="A961" s="70"/>
      <c r="B961" s="3"/>
      <c r="C961" s="3"/>
      <c r="D961" s="3"/>
      <c r="E961" s="3"/>
      <c r="F961" s="3"/>
      <c r="G961" s="3"/>
      <c r="H961" s="3"/>
      <c r="I961" s="3"/>
      <c r="J961" s="3"/>
      <c r="K961" s="70"/>
      <c r="L961" s="3"/>
      <c r="M961" s="70"/>
      <c r="N961" s="5"/>
      <c r="R961" s="70"/>
      <c r="S961" s="3"/>
    </row>
    <row r="962">
      <c r="A962" s="70"/>
      <c r="B962" s="3"/>
      <c r="C962" s="3"/>
      <c r="D962" s="3"/>
      <c r="E962" s="3"/>
      <c r="F962" s="3"/>
      <c r="G962" s="3"/>
      <c r="H962" s="3"/>
      <c r="I962" s="3"/>
      <c r="J962" s="3"/>
      <c r="K962" s="70"/>
      <c r="L962" s="3"/>
      <c r="M962" s="70"/>
      <c r="N962" s="5"/>
      <c r="R962" s="70"/>
      <c r="S962" s="3"/>
    </row>
    <row r="963">
      <c r="A963" s="70"/>
      <c r="B963" s="3"/>
      <c r="C963" s="3"/>
      <c r="D963" s="3"/>
      <c r="E963" s="3"/>
      <c r="F963" s="3"/>
      <c r="G963" s="3"/>
      <c r="H963" s="3"/>
      <c r="I963" s="3"/>
      <c r="J963" s="3"/>
      <c r="K963" s="70"/>
      <c r="L963" s="3"/>
      <c r="M963" s="70"/>
      <c r="N963" s="5"/>
      <c r="R963" s="70"/>
      <c r="S963" s="3"/>
    </row>
    <row r="964">
      <c r="A964" s="70"/>
      <c r="B964" s="3"/>
      <c r="C964" s="3"/>
      <c r="D964" s="3"/>
      <c r="E964" s="3"/>
      <c r="F964" s="3"/>
      <c r="G964" s="3"/>
      <c r="H964" s="3"/>
      <c r="I964" s="3"/>
      <c r="J964" s="3"/>
      <c r="K964" s="70"/>
      <c r="L964" s="3"/>
      <c r="M964" s="70"/>
      <c r="N964" s="5"/>
      <c r="R964" s="70"/>
      <c r="S964" s="3"/>
    </row>
    <row r="965">
      <c r="A965" s="70"/>
      <c r="B965" s="3"/>
      <c r="C965" s="3"/>
      <c r="D965" s="3"/>
      <c r="E965" s="3"/>
      <c r="F965" s="3"/>
      <c r="G965" s="3"/>
      <c r="H965" s="3"/>
      <c r="I965" s="3"/>
      <c r="J965" s="3"/>
      <c r="K965" s="70"/>
      <c r="L965" s="3"/>
      <c r="M965" s="70"/>
      <c r="N965" s="5"/>
      <c r="R965" s="70"/>
      <c r="S965" s="3"/>
    </row>
    <row r="966">
      <c r="A966" s="70"/>
      <c r="B966" s="3"/>
      <c r="C966" s="3"/>
      <c r="D966" s="3"/>
      <c r="E966" s="3"/>
      <c r="F966" s="3"/>
      <c r="G966" s="3"/>
      <c r="H966" s="3"/>
      <c r="I966" s="3"/>
      <c r="J966" s="3"/>
      <c r="K966" s="70"/>
      <c r="L966" s="3"/>
      <c r="M966" s="70"/>
      <c r="N966" s="5"/>
      <c r="R966" s="70"/>
      <c r="S966" s="3"/>
    </row>
    <row r="967">
      <c r="A967" s="70"/>
      <c r="B967" s="3"/>
      <c r="C967" s="3"/>
      <c r="D967" s="3"/>
      <c r="E967" s="3"/>
      <c r="F967" s="3"/>
      <c r="G967" s="3"/>
      <c r="H967" s="3"/>
      <c r="I967" s="3"/>
      <c r="J967" s="3"/>
      <c r="K967" s="70"/>
      <c r="L967" s="3"/>
      <c r="M967" s="70"/>
      <c r="N967" s="5"/>
      <c r="R967" s="70"/>
      <c r="S967" s="3"/>
    </row>
    <row r="968">
      <c r="A968" s="70"/>
      <c r="B968" s="3"/>
      <c r="C968" s="3"/>
      <c r="D968" s="3"/>
      <c r="E968" s="3"/>
      <c r="F968" s="3"/>
      <c r="G968" s="3"/>
      <c r="H968" s="3"/>
      <c r="I968" s="3"/>
      <c r="J968" s="3"/>
      <c r="K968" s="70"/>
      <c r="L968" s="3"/>
      <c r="M968" s="70"/>
      <c r="N968" s="5"/>
      <c r="R968" s="70"/>
      <c r="S968" s="3"/>
    </row>
    <row r="969">
      <c r="A969" s="70"/>
      <c r="B969" s="3"/>
      <c r="C969" s="3"/>
      <c r="D969" s="3"/>
      <c r="E969" s="3"/>
      <c r="F969" s="3"/>
      <c r="G969" s="3"/>
      <c r="H969" s="3"/>
      <c r="I969" s="3"/>
      <c r="J969" s="3"/>
      <c r="K969" s="70"/>
      <c r="L969" s="3"/>
      <c r="M969" s="70"/>
      <c r="N969" s="5"/>
      <c r="R969" s="70"/>
      <c r="S969" s="3"/>
    </row>
    <row r="970">
      <c r="A970" s="70"/>
      <c r="B970" s="3"/>
      <c r="C970" s="3"/>
      <c r="D970" s="3"/>
      <c r="E970" s="3"/>
      <c r="F970" s="3"/>
      <c r="G970" s="3"/>
      <c r="H970" s="3"/>
      <c r="I970" s="3"/>
      <c r="J970" s="3"/>
      <c r="K970" s="70"/>
      <c r="L970" s="3"/>
      <c r="M970" s="70"/>
      <c r="N970" s="5"/>
      <c r="R970" s="70"/>
      <c r="S970" s="3"/>
    </row>
    <row r="971">
      <c r="A971" s="70"/>
      <c r="B971" s="3"/>
      <c r="C971" s="3"/>
      <c r="D971" s="3"/>
      <c r="E971" s="3"/>
      <c r="F971" s="3"/>
      <c r="G971" s="3"/>
      <c r="H971" s="3"/>
      <c r="I971" s="3"/>
      <c r="J971" s="3"/>
      <c r="K971" s="70"/>
      <c r="L971" s="3"/>
      <c r="M971" s="70"/>
      <c r="N971" s="5"/>
      <c r="R971" s="70"/>
      <c r="S971" s="3"/>
    </row>
    <row r="972">
      <c r="A972" s="70"/>
      <c r="B972" s="3"/>
      <c r="C972" s="3"/>
      <c r="D972" s="3"/>
      <c r="E972" s="3"/>
      <c r="F972" s="3"/>
      <c r="G972" s="3"/>
      <c r="H972" s="3"/>
      <c r="I972" s="3"/>
      <c r="J972" s="3"/>
      <c r="K972" s="70"/>
      <c r="L972" s="3"/>
      <c r="M972" s="70"/>
      <c r="N972" s="5"/>
      <c r="R972" s="70"/>
      <c r="S972" s="3"/>
    </row>
    <row r="973">
      <c r="A973" s="70"/>
      <c r="B973" s="3"/>
      <c r="C973" s="3"/>
      <c r="D973" s="3"/>
      <c r="E973" s="3"/>
      <c r="F973" s="3"/>
      <c r="G973" s="3"/>
      <c r="H973" s="3"/>
      <c r="I973" s="3"/>
      <c r="J973" s="3"/>
      <c r="K973" s="70"/>
      <c r="L973" s="3"/>
      <c r="M973" s="70"/>
      <c r="N973" s="5"/>
      <c r="R973" s="70"/>
      <c r="S973" s="3"/>
    </row>
    <row r="974">
      <c r="A974" s="70"/>
      <c r="B974" s="3"/>
      <c r="C974" s="3"/>
      <c r="D974" s="3"/>
      <c r="E974" s="3"/>
      <c r="F974" s="3"/>
      <c r="G974" s="3"/>
      <c r="H974" s="3"/>
      <c r="I974" s="3"/>
      <c r="J974" s="3"/>
      <c r="K974" s="70"/>
      <c r="L974" s="3"/>
      <c r="M974" s="70"/>
      <c r="N974" s="5"/>
      <c r="R974" s="70"/>
      <c r="S974" s="3"/>
    </row>
    <row r="975">
      <c r="A975" s="70"/>
      <c r="B975" s="3"/>
      <c r="C975" s="3"/>
      <c r="D975" s="3"/>
      <c r="E975" s="3"/>
      <c r="F975" s="3"/>
      <c r="G975" s="3"/>
      <c r="H975" s="3"/>
      <c r="I975" s="3"/>
      <c r="J975" s="3"/>
      <c r="K975" s="70"/>
      <c r="L975" s="3"/>
      <c r="M975" s="70"/>
      <c r="N975" s="5"/>
      <c r="R975" s="70"/>
      <c r="S975" s="3"/>
    </row>
    <row r="976">
      <c r="A976" s="70"/>
      <c r="B976" s="3"/>
      <c r="C976" s="3"/>
      <c r="D976" s="3"/>
      <c r="E976" s="3"/>
      <c r="F976" s="3"/>
      <c r="G976" s="3"/>
      <c r="H976" s="3"/>
      <c r="I976" s="3"/>
      <c r="J976" s="3"/>
      <c r="K976" s="70"/>
      <c r="L976" s="3"/>
      <c r="M976" s="70"/>
      <c r="N976" s="5"/>
      <c r="R976" s="70"/>
      <c r="S976" s="3"/>
    </row>
    <row r="977">
      <c r="A977" s="70"/>
      <c r="B977" s="3"/>
      <c r="C977" s="3"/>
      <c r="D977" s="3"/>
      <c r="E977" s="3"/>
      <c r="F977" s="3"/>
      <c r="G977" s="3"/>
      <c r="H977" s="3"/>
      <c r="I977" s="3"/>
      <c r="J977" s="3"/>
      <c r="K977" s="70"/>
      <c r="L977" s="3"/>
      <c r="M977" s="70"/>
      <c r="N977" s="5"/>
      <c r="R977" s="70"/>
      <c r="S977" s="3"/>
    </row>
    <row r="978">
      <c r="A978" s="70"/>
      <c r="B978" s="3"/>
      <c r="C978" s="3"/>
      <c r="D978" s="3"/>
      <c r="E978" s="3"/>
      <c r="F978" s="3"/>
      <c r="G978" s="3"/>
      <c r="H978" s="3"/>
      <c r="I978" s="3"/>
      <c r="J978" s="3"/>
      <c r="K978" s="70"/>
      <c r="L978" s="3"/>
      <c r="M978" s="70"/>
      <c r="N978" s="5"/>
      <c r="R978" s="70"/>
      <c r="S978" s="3"/>
    </row>
    <row r="979">
      <c r="A979" s="70"/>
      <c r="B979" s="3"/>
      <c r="C979" s="3"/>
      <c r="D979" s="3"/>
      <c r="E979" s="3"/>
      <c r="F979" s="3"/>
      <c r="G979" s="3"/>
      <c r="H979" s="3"/>
      <c r="I979" s="3"/>
      <c r="J979" s="3"/>
      <c r="K979" s="70"/>
      <c r="L979" s="3"/>
      <c r="M979" s="70"/>
      <c r="N979" s="5"/>
      <c r="R979" s="70"/>
      <c r="S979" s="3"/>
    </row>
    <row r="980">
      <c r="A980" s="70"/>
      <c r="B980" s="3"/>
      <c r="C980" s="3"/>
      <c r="D980" s="3"/>
      <c r="E980" s="3"/>
      <c r="F980" s="3"/>
      <c r="G980" s="3"/>
      <c r="H980" s="3"/>
      <c r="I980" s="3"/>
      <c r="J980" s="3"/>
      <c r="K980" s="70"/>
      <c r="L980" s="3"/>
      <c r="M980" s="70"/>
      <c r="N980" s="5"/>
      <c r="R980" s="70"/>
      <c r="S980" s="3"/>
    </row>
    <row r="981">
      <c r="A981" s="70"/>
      <c r="B981" s="3"/>
      <c r="C981" s="3"/>
      <c r="D981" s="3"/>
      <c r="E981" s="3"/>
      <c r="F981" s="3"/>
      <c r="G981" s="3"/>
      <c r="H981" s="3"/>
      <c r="I981" s="3"/>
      <c r="J981" s="3"/>
      <c r="K981" s="70"/>
      <c r="L981" s="3"/>
      <c r="M981" s="70"/>
      <c r="N981" s="5"/>
      <c r="R981" s="70"/>
      <c r="S981" s="3"/>
    </row>
    <row r="982">
      <c r="A982" s="70"/>
      <c r="B982" s="3"/>
      <c r="C982" s="3"/>
      <c r="D982" s="3"/>
      <c r="E982" s="3"/>
      <c r="F982" s="3"/>
      <c r="G982" s="3"/>
      <c r="H982" s="3"/>
      <c r="I982" s="3"/>
      <c r="J982" s="3"/>
      <c r="K982" s="70"/>
      <c r="L982" s="3"/>
      <c r="M982" s="70"/>
      <c r="N982" s="5"/>
      <c r="R982" s="70"/>
      <c r="S982" s="3"/>
    </row>
    <row r="983">
      <c r="A983" s="70"/>
      <c r="B983" s="3"/>
      <c r="C983" s="3"/>
      <c r="D983" s="3"/>
      <c r="E983" s="3"/>
      <c r="F983" s="3"/>
      <c r="G983" s="3"/>
      <c r="H983" s="3"/>
      <c r="I983" s="3"/>
      <c r="J983" s="3"/>
      <c r="K983" s="70"/>
      <c r="L983" s="3"/>
      <c r="M983" s="70"/>
      <c r="N983" s="5"/>
      <c r="R983" s="70"/>
      <c r="S983" s="3"/>
    </row>
    <row r="984">
      <c r="A984" s="70"/>
      <c r="B984" s="3"/>
      <c r="C984" s="3"/>
      <c r="D984" s="3"/>
      <c r="E984" s="3"/>
      <c r="F984" s="3"/>
      <c r="G984" s="3"/>
      <c r="H984" s="3"/>
      <c r="I984" s="3"/>
      <c r="J984" s="3"/>
      <c r="K984" s="70"/>
      <c r="L984" s="3"/>
      <c r="M984" s="70"/>
      <c r="N984" s="5"/>
      <c r="R984" s="70"/>
      <c r="S984" s="3"/>
    </row>
    <row r="985">
      <c r="A985" s="70"/>
      <c r="B985" s="3"/>
      <c r="C985" s="3"/>
      <c r="D985" s="3"/>
      <c r="E985" s="3"/>
      <c r="F985" s="3"/>
      <c r="G985" s="3"/>
      <c r="H985" s="3"/>
      <c r="I985" s="3"/>
      <c r="J985" s="3"/>
      <c r="K985" s="70"/>
      <c r="L985" s="3"/>
      <c r="M985" s="70"/>
      <c r="N985" s="5"/>
      <c r="R985" s="70"/>
      <c r="S985" s="3"/>
    </row>
    <row r="986">
      <c r="A986" s="70"/>
      <c r="B986" s="3"/>
      <c r="C986" s="3"/>
      <c r="D986" s="3"/>
      <c r="E986" s="3"/>
      <c r="F986" s="3"/>
      <c r="G986" s="3"/>
      <c r="H986" s="3"/>
      <c r="I986" s="3"/>
      <c r="J986" s="3"/>
      <c r="K986" s="70"/>
      <c r="L986" s="3"/>
      <c r="M986" s="70"/>
      <c r="N986" s="5"/>
      <c r="R986" s="70"/>
      <c r="S986" s="3"/>
    </row>
    <row r="987">
      <c r="A987" s="70"/>
      <c r="B987" s="3"/>
      <c r="C987" s="3"/>
      <c r="D987" s="3"/>
      <c r="E987" s="3"/>
      <c r="F987" s="3"/>
      <c r="G987" s="3"/>
      <c r="H987" s="3"/>
      <c r="I987" s="3"/>
      <c r="J987" s="3"/>
      <c r="K987" s="70"/>
      <c r="L987" s="3"/>
      <c r="M987" s="70"/>
      <c r="N987" s="5"/>
      <c r="R987" s="70"/>
      <c r="S987" s="3"/>
    </row>
    <row r="988">
      <c r="A988" s="70"/>
      <c r="B988" s="3"/>
      <c r="C988" s="3"/>
      <c r="D988" s="3"/>
      <c r="E988" s="3"/>
      <c r="F988" s="3"/>
      <c r="G988" s="3"/>
      <c r="H988" s="3"/>
      <c r="I988" s="3"/>
      <c r="J988" s="3"/>
      <c r="K988" s="70"/>
      <c r="L988" s="3"/>
      <c r="M988" s="70"/>
      <c r="N988" s="5"/>
      <c r="R988" s="70"/>
      <c r="S988" s="3"/>
    </row>
    <row r="989">
      <c r="A989" s="70"/>
      <c r="B989" s="3"/>
      <c r="C989" s="3"/>
      <c r="D989" s="3"/>
      <c r="E989" s="3"/>
      <c r="F989" s="3"/>
      <c r="G989" s="3"/>
      <c r="H989" s="3"/>
      <c r="I989" s="3"/>
      <c r="J989" s="3"/>
      <c r="K989" s="70"/>
      <c r="L989" s="3"/>
      <c r="M989" s="70"/>
      <c r="N989" s="5"/>
      <c r="R989" s="70"/>
      <c r="S989" s="3"/>
    </row>
    <row r="990">
      <c r="A990" s="70"/>
      <c r="B990" s="3"/>
      <c r="C990" s="3"/>
      <c r="D990" s="3"/>
      <c r="E990" s="3"/>
      <c r="F990" s="3"/>
      <c r="G990" s="3"/>
      <c r="H990" s="3"/>
      <c r="I990" s="3"/>
      <c r="J990" s="3"/>
      <c r="K990" s="70"/>
      <c r="L990" s="3"/>
      <c r="M990" s="70"/>
      <c r="N990" s="5"/>
      <c r="R990" s="70"/>
      <c r="S990" s="3"/>
    </row>
    <row r="991">
      <c r="A991" s="70"/>
      <c r="B991" s="3"/>
      <c r="C991" s="3"/>
      <c r="D991" s="3"/>
      <c r="E991" s="3"/>
      <c r="F991" s="3"/>
      <c r="G991" s="3"/>
      <c r="H991" s="3"/>
      <c r="I991" s="3"/>
      <c r="J991" s="3"/>
      <c r="K991" s="70"/>
      <c r="L991" s="3"/>
      <c r="M991" s="70"/>
      <c r="N991" s="5"/>
      <c r="R991" s="70"/>
      <c r="S991" s="3"/>
    </row>
    <row r="992">
      <c r="A992" s="70"/>
      <c r="B992" s="3"/>
      <c r="C992" s="3"/>
      <c r="D992" s="3"/>
      <c r="E992" s="3"/>
      <c r="F992" s="3"/>
      <c r="G992" s="3"/>
      <c r="H992" s="3"/>
      <c r="I992" s="3"/>
      <c r="J992" s="3"/>
      <c r="K992" s="70"/>
      <c r="L992" s="3"/>
      <c r="M992" s="70"/>
      <c r="N992" s="5"/>
      <c r="R992" s="70"/>
      <c r="S992" s="3"/>
    </row>
    <row r="993">
      <c r="A993" s="70"/>
      <c r="B993" s="3"/>
      <c r="C993" s="3"/>
      <c r="D993" s="3"/>
      <c r="E993" s="3"/>
      <c r="F993" s="3"/>
      <c r="G993" s="3"/>
      <c r="H993" s="3"/>
      <c r="I993" s="3"/>
      <c r="J993" s="3"/>
      <c r="K993" s="70"/>
      <c r="L993" s="3"/>
      <c r="M993" s="70"/>
      <c r="N993" s="5"/>
      <c r="R993" s="70"/>
      <c r="S993" s="3"/>
    </row>
    <row r="994">
      <c r="A994" s="70"/>
      <c r="B994" s="3"/>
      <c r="C994" s="3"/>
      <c r="D994" s="3"/>
      <c r="E994" s="3"/>
      <c r="F994" s="3"/>
      <c r="G994" s="3"/>
      <c r="H994" s="3"/>
      <c r="I994" s="3"/>
      <c r="J994" s="3"/>
      <c r="K994" s="70"/>
      <c r="L994" s="3"/>
      <c r="M994" s="70"/>
      <c r="N994" s="5"/>
      <c r="R994" s="70"/>
      <c r="S994" s="3"/>
    </row>
    <row r="995">
      <c r="A995" s="70"/>
      <c r="B995" s="3"/>
      <c r="C995" s="3"/>
      <c r="D995" s="3"/>
      <c r="E995" s="3"/>
      <c r="F995" s="3"/>
      <c r="G995" s="3"/>
      <c r="H995" s="3"/>
      <c r="I995" s="3"/>
      <c r="J995" s="3"/>
      <c r="K995" s="70"/>
      <c r="L995" s="3"/>
      <c r="M995" s="70"/>
      <c r="N995" s="5"/>
      <c r="R995" s="70"/>
      <c r="S995" s="3"/>
    </row>
    <row r="996">
      <c r="A996" s="70"/>
      <c r="B996" s="3"/>
      <c r="C996" s="3"/>
      <c r="D996" s="3"/>
      <c r="E996" s="3"/>
      <c r="F996" s="3"/>
      <c r="G996" s="3"/>
      <c r="H996" s="3"/>
      <c r="I996" s="3"/>
      <c r="J996" s="3"/>
      <c r="K996" s="70"/>
      <c r="L996" s="3"/>
      <c r="M996" s="70"/>
      <c r="N996" s="5"/>
      <c r="R996" s="70"/>
      <c r="S996" s="3"/>
    </row>
    <row r="997">
      <c r="A997" s="70"/>
      <c r="B997" s="3"/>
      <c r="C997" s="3"/>
      <c r="D997" s="3"/>
      <c r="E997" s="3"/>
      <c r="F997" s="3"/>
      <c r="G997" s="3"/>
      <c r="H997" s="3"/>
      <c r="I997" s="3"/>
      <c r="J997" s="3"/>
      <c r="K997" s="70"/>
      <c r="L997" s="3"/>
      <c r="M997" s="70"/>
      <c r="N997" s="5"/>
      <c r="R997" s="70"/>
      <c r="S997" s="3"/>
    </row>
    <row r="998">
      <c r="A998" s="70"/>
      <c r="B998" s="3"/>
      <c r="C998" s="3"/>
      <c r="D998" s="3"/>
      <c r="E998" s="3"/>
      <c r="F998" s="3"/>
      <c r="G998" s="3"/>
      <c r="H998" s="3"/>
      <c r="I998" s="3"/>
      <c r="J998" s="3"/>
      <c r="K998" s="70"/>
      <c r="L998" s="3"/>
      <c r="M998" s="70"/>
      <c r="N998" s="5"/>
      <c r="R998" s="70"/>
      <c r="S998" s="3"/>
    </row>
    <row r="999">
      <c r="A999" s="70"/>
      <c r="B999" s="3"/>
      <c r="C999" s="3"/>
      <c r="D999" s="3"/>
      <c r="E999" s="3"/>
      <c r="F999" s="3"/>
      <c r="G999" s="3"/>
      <c r="H999" s="3"/>
      <c r="I999" s="3"/>
      <c r="J999" s="3"/>
      <c r="K999" s="70"/>
      <c r="L999" s="3"/>
      <c r="M999" s="70"/>
      <c r="N999" s="5"/>
      <c r="R999" s="70"/>
      <c r="S999" s="3"/>
    </row>
    <row r="1000">
      <c r="A1000" s="70"/>
      <c r="B1000" s="3"/>
      <c r="C1000" s="3"/>
      <c r="D1000" s="3"/>
      <c r="E1000" s="3"/>
      <c r="F1000" s="3"/>
      <c r="G1000" s="3"/>
      <c r="H1000" s="3"/>
      <c r="I1000" s="3"/>
      <c r="J1000" s="3"/>
      <c r="K1000" s="70"/>
      <c r="L1000" s="3"/>
      <c r="M1000" s="70"/>
      <c r="N1000" s="5"/>
      <c r="R1000" s="70"/>
      <c r="S1000" s="3"/>
    </row>
  </sheetData>
  <autoFilter ref="$A$1:$T$46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outlinePr summaryBelow="0" summaryRight="0"/>
  </sheetPr>
  <sheetViews>
    <sheetView workbookViewId="0"/>
  </sheetViews>
  <sheetFormatPr customHeight="1" defaultColWidth="17.29" defaultRowHeight="15.0"/>
  <cols>
    <col customWidth="1" min="1" max="1" width="11.43"/>
    <col customWidth="1" min="2" max="2" width="32.43"/>
    <col customWidth="1" min="3" max="3" width="29.0"/>
    <col customWidth="1" min="4" max="4" width="11.43"/>
    <col customWidth="1" min="5" max="5" width="13.57"/>
    <col customWidth="1" min="6" max="6" width="18.14"/>
    <col customWidth="1" min="7" max="9" width="16.14"/>
    <col customWidth="1" min="10" max="11" width="21.29"/>
    <col customWidth="1" min="12" max="12" width="10.71"/>
    <col customWidth="1" min="13" max="13" width="30.57"/>
    <col customWidth="1" min="14" max="14" width="40.71"/>
    <col customWidth="1" min="15" max="15" width="12.86"/>
    <col customWidth="1" min="16" max="16" width="15.71"/>
    <col customWidth="1" min="17" max="17" width="10.71"/>
    <col customWidth="1" min="18" max="18" width="17.86"/>
    <col customWidth="1" min="19" max="19" width="30.29"/>
    <col customWidth="1" min="20" max="20" width="15.43"/>
    <col customWidth="1" min="21" max="21" width="28.43"/>
    <col customWidth="1" min="22" max="31" width="10.71"/>
  </cols>
  <sheetData>
    <row r="1" ht="40.5" customHeight="1">
      <c r="A1" s="72" t="s">
        <v>1587</v>
      </c>
      <c r="B1" s="72" t="s">
        <v>1685</v>
      </c>
      <c r="C1" s="72" t="s">
        <v>1588</v>
      </c>
      <c r="D1" s="72" t="s">
        <v>1589</v>
      </c>
      <c r="E1" s="72" t="s">
        <v>1551</v>
      </c>
      <c r="F1" s="72" t="s">
        <v>1552</v>
      </c>
      <c r="G1" s="72" t="s">
        <v>1553</v>
      </c>
      <c r="H1" s="72" t="s">
        <v>1554</v>
      </c>
      <c r="I1" s="72" t="s">
        <v>1559</v>
      </c>
      <c r="J1" s="72" t="s">
        <v>1555</v>
      </c>
      <c r="K1" s="72" t="s">
        <v>1781</v>
      </c>
      <c r="L1" s="72" t="s">
        <v>1560</v>
      </c>
      <c r="M1" s="72" t="s">
        <v>1782</v>
      </c>
      <c r="N1" s="72" t="s">
        <v>1783</v>
      </c>
      <c r="O1" s="72" t="s">
        <v>1567</v>
      </c>
      <c r="P1" s="72" t="s">
        <v>1568</v>
      </c>
      <c r="Q1" s="72" t="s">
        <v>1569</v>
      </c>
      <c r="R1" s="72" t="s">
        <v>1570</v>
      </c>
      <c r="S1" s="72" t="s">
        <v>1572</v>
      </c>
      <c r="T1" s="72" t="s">
        <v>1573</v>
      </c>
      <c r="U1" s="72"/>
      <c r="V1" s="73"/>
      <c r="W1" s="73"/>
      <c r="X1" s="73"/>
      <c r="Y1" s="73"/>
      <c r="Z1" s="73"/>
      <c r="AA1" s="74"/>
      <c r="AB1" s="74"/>
      <c r="AC1" s="74"/>
      <c r="AD1" s="74"/>
      <c r="AE1" s="74"/>
    </row>
    <row r="2" ht="25.5" customHeight="1">
      <c r="A2" s="75">
        <v>1.0</v>
      </c>
      <c r="B2" s="60" t="s">
        <v>15</v>
      </c>
      <c r="C2" s="60" t="s">
        <v>1625</v>
      </c>
      <c r="D2" s="61">
        <v>19.0</v>
      </c>
      <c r="E2" s="61" t="s">
        <v>112</v>
      </c>
      <c r="F2" s="61" t="s">
        <v>125</v>
      </c>
      <c r="G2" s="61" t="s">
        <v>117</v>
      </c>
      <c r="H2" s="64">
        <v>1.0</v>
      </c>
      <c r="I2" s="61" t="s">
        <v>1632</v>
      </c>
      <c r="J2" s="61" t="s">
        <v>116</v>
      </c>
      <c r="K2" s="64">
        <v>4.0</v>
      </c>
      <c r="L2" s="76">
        <v>40664.0</v>
      </c>
      <c r="M2" s="64" t="s">
        <v>1710</v>
      </c>
      <c r="N2" s="77" t="s">
        <v>1784</v>
      </c>
      <c r="O2" s="65">
        <v>40624.0</v>
      </c>
      <c r="P2" s="65">
        <v>40627.0</v>
      </c>
      <c r="Q2" s="64" t="s">
        <v>1592</v>
      </c>
      <c r="R2" s="64" t="s">
        <v>1592</v>
      </c>
      <c r="S2" s="64" t="s">
        <v>1592</v>
      </c>
      <c r="T2" s="60"/>
      <c r="U2" s="60"/>
      <c r="V2" s="78"/>
      <c r="W2" s="78"/>
      <c r="X2" s="79"/>
      <c r="Y2" s="79"/>
      <c r="Z2" s="80"/>
      <c r="AA2" s="78"/>
      <c r="AB2" s="78"/>
      <c r="AC2" s="78"/>
      <c r="AD2" s="78"/>
      <c r="AE2" s="78"/>
    </row>
    <row r="3" ht="25.5" customHeight="1">
      <c r="A3" s="75">
        <v>2.0</v>
      </c>
      <c r="B3" s="60" t="s">
        <v>1695</v>
      </c>
      <c r="C3" s="60" t="s">
        <v>1785</v>
      </c>
      <c r="D3" s="61">
        <v>10.0</v>
      </c>
      <c r="E3" s="61" t="s">
        <v>112</v>
      </c>
      <c r="F3" s="64" t="s">
        <v>114</v>
      </c>
      <c r="G3" s="64" t="s">
        <v>117</v>
      </c>
      <c r="H3" s="64">
        <v>3.0</v>
      </c>
      <c r="I3" s="81" t="s">
        <v>1710</v>
      </c>
      <c r="J3" s="61" t="s">
        <v>116</v>
      </c>
      <c r="K3" s="64">
        <v>5.0</v>
      </c>
      <c r="L3" s="76">
        <v>40658.0</v>
      </c>
      <c r="M3" s="64" t="s">
        <v>1592</v>
      </c>
      <c r="N3" s="77" t="s">
        <v>1786</v>
      </c>
      <c r="O3" s="65">
        <v>40618.0</v>
      </c>
      <c r="P3" s="59" t="s">
        <v>1592</v>
      </c>
      <c r="Q3" s="64" t="s">
        <v>1592</v>
      </c>
      <c r="R3" s="64" t="s">
        <v>1592</v>
      </c>
      <c r="S3" s="64" t="s">
        <v>1592</v>
      </c>
      <c r="T3" s="64" t="s">
        <v>1592</v>
      </c>
      <c r="U3" s="64" t="s">
        <v>1592</v>
      </c>
      <c r="V3" s="78"/>
      <c r="W3" s="78"/>
      <c r="X3" s="78"/>
      <c r="Y3" s="79"/>
      <c r="Z3" s="78"/>
      <c r="AA3" s="78"/>
      <c r="AB3" s="78"/>
      <c r="AC3" s="78"/>
      <c r="AD3" s="78"/>
      <c r="AE3" s="78"/>
    </row>
    <row r="4" ht="25.5" customHeight="1">
      <c r="A4" s="75">
        <v>3.0</v>
      </c>
      <c r="B4" s="60" t="s">
        <v>1699</v>
      </c>
      <c r="C4" s="60" t="s">
        <v>1787</v>
      </c>
      <c r="D4" s="61">
        <v>5.0</v>
      </c>
      <c r="E4" s="61" t="s">
        <v>112</v>
      </c>
      <c r="F4" s="64" t="s">
        <v>1788</v>
      </c>
      <c r="G4" s="64" t="s">
        <v>117</v>
      </c>
      <c r="H4" s="64">
        <v>1.0</v>
      </c>
      <c r="I4" s="81" t="s">
        <v>1632</v>
      </c>
      <c r="J4" s="61" t="s">
        <v>116</v>
      </c>
      <c r="K4" s="64">
        <v>5.0</v>
      </c>
      <c r="L4" s="76">
        <v>40763.0</v>
      </c>
      <c r="M4" s="64" t="s">
        <v>1592</v>
      </c>
      <c r="N4" s="77" t="s">
        <v>1789</v>
      </c>
      <c r="O4" s="82">
        <v>40695.0</v>
      </c>
      <c r="P4" s="82">
        <v>40695.0</v>
      </c>
      <c r="Q4" s="64" t="s">
        <v>1592</v>
      </c>
      <c r="R4" s="64" t="s">
        <v>1592</v>
      </c>
      <c r="S4" s="64" t="s">
        <v>1592</v>
      </c>
      <c r="T4" s="64" t="s">
        <v>1592</v>
      </c>
      <c r="U4" s="64" t="s">
        <v>1592</v>
      </c>
      <c r="V4" s="78"/>
      <c r="W4" s="78"/>
      <c r="X4" s="83"/>
      <c r="Y4" s="83"/>
      <c r="Z4" s="78"/>
      <c r="AA4" s="78"/>
      <c r="AB4" s="78"/>
      <c r="AC4" s="78"/>
      <c r="AD4" s="78"/>
      <c r="AE4" s="78"/>
    </row>
    <row r="5" ht="25.5" customHeight="1">
      <c r="A5" s="75">
        <v>4.0</v>
      </c>
      <c r="B5" s="60" t="s">
        <v>1790</v>
      </c>
      <c r="C5" s="60" t="s">
        <v>1791</v>
      </c>
      <c r="D5" s="61">
        <v>14.0</v>
      </c>
      <c r="E5" s="61" t="s">
        <v>112</v>
      </c>
      <c r="F5" s="64" t="s">
        <v>114</v>
      </c>
      <c r="G5" s="64" t="s">
        <v>116</v>
      </c>
      <c r="H5" s="64">
        <v>4.0</v>
      </c>
      <c r="I5" s="81" t="s">
        <v>115</v>
      </c>
      <c r="J5" s="61" t="s">
        <v>122</v>
      </c>
      <c r="K5" s="64">
        <v>0.0</v>
      </c>
      <c r="L5" s="76">
        <v>40723.0</v>
      </c>
      <c r="M5" s="64" t="s">
        <v>1592</v>
      </c>
      <c r="N5" s="77" t="s">
        <v>1792</v>
      </c>
      <c r="O5" s="82">
        <v>40664.0</v>
      </c>
      <c r="P5" s="82">
        <v>40664.0</v>
      </c>
      <c r="Q5" s="64" t="s">
        <v>1592</v>
      </c>
      <c r="R5" s="64" t="s">
        <v>1592</v>
      </c>
      <c r="S5" s="64" t="s">
        <v>1592</v>
      </c>
      <c r="T5" s="64" t="s">
        <v>1592</v>
      </c>
      <c r="U5" s="64" t="s">
        <v>1592</v>
      </c>
      <c r="V5" s="78"/>
      <c r="W5" s="78"/>
      <c r="X5" s="79"/>
      <c r="Y5" s="78"/>
      <c r="Z5" s="78"/>
      <c r="AA5" s="78"/>
      <c r="AB5" s="78"/>
      <c r="AC5" s="78"/>
      <c r="AD5" s="78"/>
      <c r="AE5" s="78"/>
    </row>
    <row r="6" ht="25.5" customHeight="1">
      <c r="A6" s="75">
        <v>5.0</v>
      </c>
      <c r="B6" s="60" t="s">
        <v>1774</v>
      </c>
      <c r="C6" s="77" t="s">
        <v>1729</v>
      </c>
      <c r="D6" s="61">
        <v>10.0</v>
      </c>
      <c r="E6" s="61" t="s">
        <v>112</v>
      </c>
      <c r="F6" s="64" t="s">
        <v>114</v>
      </c>
      <c r="G6" s="64" t="s">
        <v>117</v>
      </c>
      <c r="H6" s="64">
        <v>11.0</v>
      </c>
      <c r="I6" s="81" t="s">
        <v>115</v>
      </c>
      <c r="J6" s="61" t="s">
        <v>117</v>
      </c>
      <c r="K6" s="61" t="s">
        <v>122</v>
      </c>
      <c r="L6" s="76">
        <v>40695.0</v>
      </c>
      <c r="M6" s="84" t="s">
        <v>1793</v>
      </c>
      <c r="N6" s="61" t="s">
        <v>122</v>
      </c>
      <c r="O6" s="76">
        <v>40646.0</v>
      </c>
      <c r="P6" s="76">
        <v>40652.0</v>
      </c>
      <c r="Q6" s="61">
        <v>8.0</v>
      </c>
      <c r="R6" s="60" t="s">
        <v>114</v>
      </c>
      <c r="S6" s="60" t="s">
        <v>1794</v>
      </c>
      <c r="T6" s="60" t="s">
        <v>1795</v>
      </c>
      <c r="U6" s="64" t="s">
        <v>1592</v>
      </c>
      <c r="V6" s="78"/>
      <c r="W6" s="78"/>
      <c r="X6" s="79"/>
      <c r="Y6" s="78"/>
      <c r="Z6" s="78"/>
      <c r="AA6" s="78"/>
      <c r="AB6" s="78"/>
      <c r="AC6" s="78"/>
      <c r="AD6" s="78"/>
      <c r="AE6" s="78" t="s">
        <v>1796</v>
      </c>
    </row>
    <row r="7" ht="25.5" customHeight="1">
      <c r="A7" s="75">
        <v>6.0</v>
      </c>
      <c r="B7" s="60" t="s">
        <v>1668</v>
      </c>
      <c r="C7" s="60" t="s">
        <v>1669</v>
      </c>
      <c r="D7" s="61">
        <v>21.0</v>
      </c>
      <c r="E7" s="61" t="s">
        <v>112</v>
      </c>
      <c r="F7" s="64" t="s">
        <v>125</v>
      </c>
      <c r="G7" s="64" t="s">
        <v>116</v>
      </c>
      <c r="H7" s="64">
        <v>5.0</v>
      </c>
      <c r="I7" s="81" t="s">
        <v>115</v>
      </c>
      <c r="J7" s="61" t="s">
        <v>122</v>
      </c>
      <c r="K7" s="64">
        <v>0.0</v>
      </c>
      <c r="L7" s="76">
        <v>40702.0</v>
      </c>
      <c r="M7" s="64" t="s">
        <v>1592</v>
      </c>
      <c r="N7" s="77" t="s">
        <v>1797</v>
      </c>
      <c r="O7" s="82">
        <v>40664.0</v>
      </c>
      <c r="P7" s="82">
        <v>40664.0</v>
      </c>
      <c r="Q7" s="64" t="s">
        <v>1592</v>
      </c>
      <c r="R7" s="64" t="s">
        <v>1592</v>
      </c>
      <c r="S7" s="64" t="s">
        <v>1592</v>
      </c>
      <c r="T7" s="64" t="s">
        <v>1592</v>
      </c>
      <c r="U7" s="64" t="s">
        <v>1592</v>
      </c>
      <c r="V7" s="78"/>
      <c r="W7" s="78"/>
      <c r="X7" s="83"/>
      <c r="Y7" s="83"/>
      <c r="Z7" s="78"/>
      <c r="AA7" s="78"/>
      <c r="AB7" s="78"/>
      <c r="AC7" s="78"/>
      <c r="AD7" s="78"/>
      <c r="AE7" s="78"/>
    </row>
    <row r="8" ht="25.5" customHeight="1">
      <c r="A8" s="75">
        <v>7.0</v>
      </c>
      <c r="B8" s="60" t="s">
        <v>1798</v>
      </c>
      <c r="C8" s="77" t="s">
        <v>1799</v>
      </c>
      <c r="D8" s="61">
        <v>8.0</v>
      </c>
      <c r="E8" s="61" t="s">
        <v>112</v>
      </c>
      <c r="F8" s="64" t="s">
        <v>114</v>
      </c>
      <c r="G8" s="64" t="s">
        <v>117</v>
      </c>
      <c r="H8" s="64">
        <v>3.0</v>
      </c>
      <c r="I8" s="81" t="s">
        <v>1632</v>
      </c>
      <c r="J8" s="61" t="s">
        <v>122</v>
      </c>
      <c r="K8" s="61" t="s">
        <v>122</v>
      </c>
      <c r="L8" s="76" t="s">
        <v>1592</v>
      </c>
      <c r="M8" s="84" t="s">
        <v>1710</v>
      </c>
      <c r="N8" s="61" t="s">
        <v>122</v>
      </c>
      <c r="O8" s="76">
        <v>40708.0</v>
      </c>
      <c r="P8" s="76">
        <v>40711.0</v>
      </c>
      <c r="Q8" s="61" t="s">
        <v>1592</v>
      </c>
      <c r="R8" s="64" t="s">
        <v>1592</v>
      </c>
      <c r="S8" s="64" t="s">
        <v>1592</v>
      </c>
      <c r="T8" s="64" t="s">
        <v>1592</v>
      </c>
      <c r="U8" s="64" t="s">
        <v>1592</v>
      </c>
      <c r="V8" s="5"/>
      <c r="W8" s="5"/>
      <c r="X8" s="5"/>
      <c r="Y8" s="5"/>
      <c r="Z8" s="5"/>
      <c r="AA8" s="5"/>
      <c r="AB8" s="5"/>
      <c r="AC8" s="5"/>
      <c r="AD8" s="5"/>
      <c r="AE8" s="5"/>
    </row>
    <row r="9" ht="25.5" customHeight="1">
      <c r="A9" s="75">
        <v>8.0</v>
      </c>
      <c r="B9" s="60" t="s">
        <v>1618</v>
      </c>
      <c r="C9" s="60" t="s">
        <v>1625</v>
      </c>
      <c r="D9" s="61">
        <v>18.0</v>
      </c>
      <c r="E9" s="61" t="s">
        <v>112</v>
      </c>
      <c r="F9" s="64" t="s">
        <v>125</v>
      </c>
      <c r="G9" s="64" t="s">
        <v>117</v>
      </c>
      <c r="H9" s="64">
        <v>1.0</v>
      </c>
      <c r="I9" s="81" t="s">
        <v>1632</v>
      </c>
      <c r="J9" s="61" t="s">
        <v>116</v>
      </c>
      <c r="K9" s="64">
        <v>6.0</v>
      </c>
      <c r="L9" s="76">
        <v>40664.0</v>
      </c>
      <c r="M9" s="64" t="s">
        <v>1710</v>
      </c>
      <c r="N9" s="77" t="s">
        <v>1800</v>
      </c>
      <c r="O9" s="65">
        <v>40627.0</v>
      </c>
      <c r="P9" s="59" t="s">
        <v>1592</v>
      </c>
      <c r="Q9" s="64" t="s">
        <v>1592</v>
      </c>
      <c r="R9" s="64" t="s">
        <v>1592</v>
      </c>
      <c r="S9" s="64" t="s">
        <v>1592</v>
      </c>
      <c r="T9" s="64" t="s">
        <v>1592</v>
      </c>
      <c r="U9" s="64" t="s">
        <v>1592</v>
      </c>
      <c r="V9" s="78"/>
      <c r="W9" s="78"/>
      <c r="X9" s="79"/>
      <c r="Y9" s="85"/>
      <c r="Z9" s="78"/>
      <c r="AA9" s="78"/>
      <c r="AB9" s="78"/>
      <c r="AC9" s="78"/>
      <c r="AD9" s="78"/>
      <c r="AE9" s="78"/>
    </row>
    <row r="10" ht="25.5" customHeight="1">
      <c r="A10" s="75">
        <v>9.0</v>
      </c>
      <c r="B10" s="86" t="s">
        <v>1801</v>
      </c>
      <c r="C10" s="60" t="s">
        <v>1802</v>
      </c>
      <c r="D10" s="61">
        <v>10.0</v>
      </c>
      <c r="E10" s="61" t="s">
        <v>112</v>
      </c>
      <c r="F10" s="64" t="s">
        <v>114</v>
      </c>
      <c r="G10" s="64" t="s">
        <v>117</v>
      </c>
      <c r="H10" s="64">
        <v>4.0</v>
      </c>
      <c r="I10" s="81" t="s">
        <v>1632</v>
      </c>
      <c r="J10" s="61" t="s">
        <v>116</v>
      </c>
      <c r="K10" s="64">
        <v>2.0</v>
      </c>
      <c r="L10" s="76">
        <v>40603.0</v>
      </c>
      <c r="M10" s="64" t="s">
        <v>1592</v>
      </c>
      <c r="N10" s="77" t="s">
        <v>1803</v>
      </c>
      <c r="O10" s="82">
        <v>40544.0</v>
      </c>
      <c r="P10" s="82">
        <v>40544.0</v>
      </c>
      <c r="Q10" s="64" t="s">
        <v>1592</v>
      </c>
      <c r="R10" s="64" t="s">
        <v>1592</v>
      </c>
      <c r="S10" s="64" t="s">
        <v>1592</v>
      </c>
      <c r="T10" s="64" t="s">
        <v>1592</v>
      </c>
      <c r="U10" s="64" t="s">
        <v>1592</v>
      </c>
      <c r="V10" s="78"/>
      <c r="W10" s="78"/>
      <c r="X10" s="79"/>
      <c r="Y10" s="78"/>
      <c r="Z10" s="78"/>
      <c r="AA10" s="78"/>
      <c r="AB10" s="78"/>
      <c r="AC10" s="78"/>
      <c r="AD10" s="78"/>
      <c r="AE10" s="78"/>
    </row>
    <row r="11" ht="25.5" customHeight="1">
      <c r="A11" s="75">
        <v>10.0</v>
      </c>
      <c r="B11" s="60" t="s">
        <v>1804</v>
      </c>
      <c r="C11" s="60" t="s">
        <v>1805</v>
      </c>
      <c r="D11" s="61">
        <v>21.0</v>
      </c>
      <c r="E11" s="61" t="s">
        <v>112</v>
      </c>
      <c r="F11" s="64" t="s">
        <v>125</v>
      </c>
      <c r="G11" s="64" t="s">
        <v>117</v>
      </c>
      <c r="H11" s="64">
        <v>0.0</v>
      </c>
      <c r="I11" s="81" t="s">
        <v>1632</v>
      </c>
      <c r="J11" s="61" t="s">
        <v>116</v>
      </c>
      <c r="K11" s="64">
        <v>5.0</v>
      </c>
      <c r="L11" s="76">
        <v>40644.0</v>
      </c>
      <c r="M11" s="64" t="s">
        <v>1592</v>
      </c>
      <c r="N11" s="77" t="s">
        <v>1806</v>
      </c>
      <c r="O11" s="65">
        <v>40623.0</v>
      </c>
      <c r="P11" s="59" t="s">
        <v>1592</v>
      </c>
      <c r="Q11" s="64" t="s">
        <v>1592</v>
      </c>
      <c r="R11" s="64" t="s">
        <v>1592</v>
      </c>
      <c r="S11" s="64" t="s">
        <v>1592</v>
      </c>
      <c r="T11" s="64" t="s">
        <v>1592</v>
      </c>
      <c r="U11" s="64" t="s">
        <v>1592</v>
      </c>
      <c r="V11" s="78"/>
      <c r="W11" s="78"/>
      <c r="X11" s="79"/>
      <c r="Y11" s="79"/>
      <c r="Z11" s="78"/>
      <c r="AA11" s="78"/>
      <c r="AB11" s="78"/>
      <c r="AC11" s="78"/>
      <c r="AD11" s="78"/>
      <c r="AE11" s="78"/>
    </row>
    <row r="12" ht="25.5" customHeight="1">
      <c r="A12" s="75">
        <v>11.0</v>
      </c>
      <c r="B12" s="60" t="s">
        <v>1807</v>
      </c>
      <c r="C12" s="60" t="s">
        <v>1808</v>
      </c>
      <c r="D12" s="61">
        <v>14.0</v>
      </c>
      <c r="E12" s="61" t="s">
        <v>112</v>
      </c>
      <c r="F12" s="61" t="s">
        <v>120</v>
      </c>
      <c r="G12" s="61" t="s">
        <v>117</v>
      </c>
      <c r="H12" s="61">
        <v>7.0</v>
      </c>
      <c r="I12" s="61" t="s">
        <v>115</v>
      </c>
      <c r="J12" s="61" t="s">
        <v>122</v>
      </c>
      <c r="K12" s="61" t="s">
        <v>122</v>
      </c>
      <c r="L12" s="76">
        <v>40682.0</v>
      </c>
      <c r="M12" s="84" t="s">
        <v>1809</v>
      </c>
      <c r="N12" s="61" t="s">
        <v>122</v>
      </c>
      <c r="O12" s="76">
        <v>40668.0</v>
      </c>
      <c r="P12" s="76" t="s">
        <v>1592</v>
      </c>
      <c r="Q12" s="61">
        <v>21.0</v>
      </c>
      <c r="R12" s="60" t="s">
        <v>120</v>
      </c>
      <c r="S12" s="60" t="s">
        <v>1810</v>
      </c>
      <c r="T12" s="60" t="s">
        <v>1795</v>
      </c>
      <c r="U12" s="64" t="s">
        <v>1592</v>
      </c>
      <c r="V12" s="80"/>
      <c r="W12" s="80"/>
      <c r="X12" s="87"/>
      <c r="Y12" s="80"/>
      <c r="Z12" s="80"/>
      <c r="AA12" s="80"/>
      <c r="AB12" s="80"/>
      <c r="AC12" s="80"/>
      <c r="AD12" s="80"/>
      <c r="AE12" s="80"/>
    </row>
    <row r="13">
      <c r="A13" s="70"/>
      <c r="B13" s="5"/>
      <c r="C13" s="5"/>
      <c r="D13" s="70"/>
      <c r="E13" s="70"/>
      <c r="F13" s="70"/>
      <c r="G13" s="70"/>
      <c r="H13" s="70"/>
      <c r="I13" s="70"/>
      <c r="J13" s="70"/>
      <c r="K13" s="70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70"/>
      <c r="B14" s="5"/>
      <c r="C14" s="5"/>
      <c r="D14" s="70"/>
      <c r="E14" s="70"/>
      <c r="F14" s="70"/>
      <c r="G14" s="70"/>
      <c r="H14" s="70"/>
      <c r="I14" s="70"/>
      <c r="J14" s="70"/>
      <c r="K14" s="7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>
      <c r="A15" s="70"/>
      <c r="B15" s="5"/>
      <c r="C15" s="5"/>
      <c r="D15" s="70"/>
      <c r="E15" s="70"/>
      <c r="F15" s="70"/>
      <c r="G15" s="70"/>
      <c r="H15" s="70"/>
      <c r="I15" s="70"/>
      <c r="J15" s="70"/>
      <c r="K15" s="7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70"/>
      <c r="B16" s="5"/>
      <c r="C16" s="5"/>
      <c r="D16" s="70"/>
      <c r="E16" s="70"/>
      <c r="F16" s="70"/>
      <c r="G16" s="70"/>
      <c r="H16" s="70"/>
      <c r="I16" s="70"/>
      <c r="J16" s="70"/>
      <c r="K16" s="7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70"/>
      <c r="B17" s="5"/>
      <c r="C17" s="5"/>
      <c r="D17" s="70"/>
      <c r="E17" s="70"/>
      <c r="F17" s="70"/>
      <c r="G17" s="70"/>
      <c r="H17" s="70"/>
      <c r="I17" s="70"/>
      <c r="J17" s="70"/>
      <c r="K17" s="7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70"/>
      <c r="B18" s="5"/>
      <c r="C18" s="5"/>
      <c r="D18" s="70"/>
      <c r="E18" s="70"/>
      <c r="F18" s="70"/>
      <c r="G18" s="70"/>
      <c r="H18" s="70"/>
      <c r="I18" s="70"/>
      <c r="J18" s="70"/>
      <c r="K18" s="7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70"/>
      <c r="B19" s="5"/>
      <c r="C19" s="5"/>
      <c r="D19" s="70"/>
      <c r="E19" s="70"/>
      <c r="F19" s="70"/>
      <c r="G19" s="70"/>
      <c r="H19" s="70"/>
      <c r="I19" s="70"/>
      <c r="J19" s="70"/>
      <c r="K19" s="7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70"/>
      <c r="B20" s="5"/>
      <c r="C20" s="5"/>
      <c r="D20" s="70"/>
      <c r="E20" s="70"/>
      <c r="F20" s="70"/>
      <c r="G20" s="70"/>
      <c r="H20" s="70"/>
      <c r="I20" s="70"/>
      <c r="J20" s="70"/>
      <c r="K20" s="7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>
      <c r="A21" s="70"/>
      <c r="B21" s="5"/>
      <c r="C21" s="5"/>
      <c r="D21" s="70"/>
      <c r="E21" s="70"/>
      <c r="F21" s="70"/>
      <c r="G21" s="70"/>
      <c r="H21" s="70"/>
      <c r="I21" s="70"/>
      <c r="J21" s="70"/>
      <c r="K21" s="70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>
      <c r="A22" s="70"/>
      <c r="B22" s="5"/>
      <c r="C22" s="5"/>
      <c r="D22" s="70"/>
      <c r="E22" s="70"/>
      <c r="F22" s="70"/>
      <c r="G22" s="70"/>
      <c r="H22" s="70"/>
      <c r="I22" s="70"/>
      <c r="J22" s="70"/>
      <c r="K22" s="70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>
      <c r="A23" s="70"/>
      <c r="B23" s="5"/>
      <c r="C23" s="5"/>
      <c r="D23" s="70"/>
      <c r="E23" s="70"/>
      <c r="F23" s="70"/>
      <c r="G23" s="70"/>
      <c r="H23" s="70"/>
      <c r="I23" s="70"/>
      <c r="J23" s="70"/>
      <c r="K23" s="70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>
      <c r="A24" s="70"/>
      <c r="B24" s="5"/>
      <c r="C24" s="5"/>
      <c r="D24" s="70"/>
      <c r="E24" s="70"/>
      <c r="F24" s="70"/>
      <c r="G24" s="70"/>
      <c r="H24" s="70"/>
      <c r="I24" s="70"/>
      <c r="J24" s="70"/>
      <c r="K24" s="70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>
      <c r="A25" s="70"/>
      <c r="B25" s="5"/>
      <c r="C25" s="5"/>
      <c r="D25" s="70"/>
      <c r="E25" s="70"/>
      <c r="F25" s="70"/>
      <c r="G25" s="70"/>
      <c r="H25" s="70"/>
      <c r="I25" s="70"/>
      <c r="J25" s="70"/>
      <c r="K25" s="70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>
      <c r="A26" s="70"/>
      <c r="B26" s="5"/>
      <c r="C26" s="5"/>
      <c r="D26" s="70"/>
      <c r="E26" s="70"/>
      <c r="F26" s="70"/>
      <c r="G26" s="70"/>
      <c r="H26" s="70"/>
      <c r="I26" s="70"/>
      <c r="J26" s="70"/>
      <c r="K26" s="70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>
      <c r="A27" s="70"/>
      <c r="B27" s="5"/>
      <c r="C27" s="5"/>
      <c r="D27" s="70"/>
      <c r="E27" s="70"/>
      <c r="F27" s="70"/>
      <c r="G27" s="70"/>
      <c r="H27" s="70"/>
      <c r="I27" s="70"/>
      <c r="J27" s="70"/>
      <c r="K27" s="70"/>
      <c r="L27" s="5"/>
      <c r="M27" s="5"/>
      <c r="N27" s="5"/>
      <c r="O27" s="5"/>
      <c r="P27" s="5"/>
      <c r="Q27" s="5"/>
      <c r="R27" s="5"/>
      <c r="S27" s="5"/>
      <c r="T27" s="5"/>
      <c r="U27" s="5"/>
      <c r="V27" s="88"/>
      <c r="W27" s="88"/>
      <c r="X27" s="5"/>
      <c r="Y27" s="5"/>
      <c r="Z27" s="5"/>
      <c r="AA27" s="5"/>
      <c r="AB27" s="5"/>
      <c r="AC27" s="5"/>
      <c r="AD27" s="5"/>
      <c r="AE27" s="5"/>
    </row>
    <row r="28">
      <c r="A28" s="70"/>
      <c r="B28" s="5"/>
      <c r="C28" s="5"/>
      <c r="D28" s="70"/>
      <c r="E28" s="70"/>
      <c r="F28" s="70"/>
      <c r="G28" s="70"/>
      <c r="H28" s="70"/>
      <c r="I28" s="70"/>
      <c r="J28" s="70"/>
      <c r="K28" s="70"/>
      <c r="L28" s="5"/>
      <c r="M28" s="5"/>
      <c r="N28" s="5"/>
      <c r="O28" s="5"/>
      <c r="P28" s="5"/>
      <c r="Q28" s="5"/>
      <c r="R28" s="5"/>
      <c r="S28" s="5"/>
      <c r="T28" s="5"/>
      <c r="U28" s="5"/>
      <c r="V28" s="88"/>
      <c r="W28" s="88"/>
      <c r="X28" s="5"/>
      <c r="Y28" s="5"/>
      <c r="Z28" s="5"/>
      <c r="AA28" s="5"/>
      <c r="AB28" s="5"/>
      <c r="AC28" s="5"/>
      <c r="AD28" s="5"/>
      <c r="AE28" s="5"/>
    </row>
    <row r="29">
      <c r="A29" s="70"/>
      <c r="B29" s="5"/>
      <c r="C29" s="5"/>
      <c r="D29" s="70"/>
      <c r="E29" s="70"/>
      <c r="F29" s="70"/>
      <c r="G29" s="70"/>
      <c r="H29" s="70"/>
      <c r="I29" s="70"/>
      <c r="J29" s="70"/>
      <c r="K29" s="70"/>
      <c r="L29" s="5"/>
      <c r="M29" s="5"/>
      <c r="N29" s="5"/>
      <c r="O29" s="5"/>
      <c r="P29" s="5"/>
      <c r="Q29" s="5"/>
      <c r="R29" s="5"/>
      <c r="S29" s="5"/>
      <c r="T29" s="5"/>
      <c r="U29" s="5"/>
      <c r="V29" s="88"/>
      <c r="W29" s="88"/>
      <c r="X29" s="5"/>
      <c r="Y29" s="5"/>
      <c r="Z29" s="5"/>
      <c r="AA29" s="5"/>
      <c r="AB29" s="5"/>
      <c r="AC29" s="5"/>
      <c r="AD29" s="5"/>
      <c r="AE29" s="5"/>
    </row>
    <row r="30">
      <c r="A30" s="70"/>
      <c r="B30" s="5"/>
      <c r="C30" s="5"/>
      <c r="D30" s="70"/>
      <c r="E30" s="70"/>
      <c r="F30" s="70"/>
      <c r="G30" s="70"/>
      <c r="H30" s="70"/>
      <c r="I30" s="70"/>
      <c r="J30" s="70"/>
      <c r="K30" s="70"/>
      <c r="L30" s="5"/>
      <c r="M30" s="5"/>
      <c r="N30" s="5"/>
      <c r="O30" s="5"/>
      <c r="P30" s="5"/>
      <c r="Q30" s="5"/>
      <c r="R30" s="5"/>
      <c r="S30" s="5"/>
      <c r="T30" s="5"/>
      <c r="U30" s="5"/>
      <c r="V30" s="88"/>
      <c r="W30" s="88"/>
      <c r="X30" s="5"/>
      <c r="Y30" s="5"/>
      <c r="Z30" s="5"/>
      <c r="AA30" s="5"/>
      <c r="AB30" s="5"/>
      <c r="AC30" s="5"/>
      <c r="AD30" s="5"/>
      <c r="AE30" s="5"/>
    </row>
    <row r="31">
      <c r="A31" s="70"/>
      <c r="B31" s="5"/>
      <c r="C31" s="5"/>
      <c r="D31" s="70"/>
      <c r="E31" s="70"/>
      <c r="F31" s="70"/>
      <c r="G31" s="70"/>
      <c r="H31" s="70"/>
      <c r="I31" s="70"/>
      <c r="J31" s="70"/>
      <c r="K31" s="70"/>
      <c r="L31" s="5"/>
      <c r="M31" s="5"/>
      <c r="N31" s="5"/>
      <c r="O31" s="5"/>
      <c r="P31" s="5"/>
      <c r="Q31" s="5"/>
      <c r="R31" s="5"/>
      <c r="S31" s="5"/>
      <c r="T31" s="5"/>
      <c r="U31" s="5"/>
      <c r="V31" s="88"/>
      <c r="W31" s="88"/>
      <c r="X31" s="5"/>
      <c r="Y31" s="5"/>
      <c r="Z31" s="5"/>
      <c r="AA31" s="5"/>
      <c r="AB31" s="5"/>
      <c r="AC31" s="5"/>
      <c r="AD31" s="5"/>
      <c r="AE31" s="5"/>
    </row>
    <row r="32">
      <c r="A32" s="70"/>
      <c r="B32" s="5"/>
      <c r="C32" s="5"/>
      <c r="D32" s="70"/>
      <c r="E32" s="70"/>
      <c r="F32" s="70"/>
      <c r="G32" s="70"/>
      <c r="H32" s="70"/>
      <c r="I32" s="70"/>
      <c r="J32" s="70"/>
      <c r="K32" s="70"/>
      <c r="L32" s="5"/>
      <c r="M32" s="5"/>
      <c r="N32" s="5"/>
      <c r="O32" s="5"/>
      <c r="P32" s="5"/>
      <c r="Q32" s="5"/>
      <c r="R32" s="5"/>
      <c r="S32" s="5"/>
      <c r="T32" s="5"/>
      <c r="U32" s="5"/>
      <c r="V32" s="88"/>
      <c r="W32" s="88"/>
      <c r="X32" s="5"/>
      <c r="Y32" s="5"/>
      <c r="Z32" s="5"/>
      <c r="AA32" s="5"/>
      <c r="AB32" s="5"/>
      <c r="AC32" s="5"/>
      <c r="AD32" s="5"/>
      <c r="AE32" s="5"/>
    </row>
    <row r="33">
      <c r="A33" s="70"/>
      <c r="B33" s="5"/>
      <c r="C33" s="5"/>
      <c r="D33" s="70"/>
      <c r="E33" s="70"/>
      <c r="F33" s="70"/>
      <c r="G33" s="70"/>
      <c r="H33" s="70"/>
      <c r="I33" s="70"/>
      <c r="J33" s="70"/>
      <c r="K33" s="70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>
      <c r="A34" s="70"/>
      <c r="B34" s="5"/>
      <c r="C34" s="5"/>
      <c r="D34" s="70"/>
      <c r="E34" s="70"/>
      <c r="F34" s="70"/>
      <c r="G34" s="70"/>
      <c r="H34" s="70"/>
      <c r="I34" s="70"/>
      <c r="J34" s="70"/>
      <c r="K34" s="70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>
      <c r="A35" s="70"/>
      <c r="B35" s="5"/>
      <c r="C35" s="5"/>
      <c r="D35" s="70"/>
      <c r="E35" s="70"/>
      <c r="F35" s="70"/>
      <c r="G35" s="70"/>
      <c r="H35" s="70"/>
      <c r="I35" s="70"/>
      <c r="J35" s="70"/>
      <c r="K35" s="70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>
      <c r="A36" s="70"/>
      <c r="B36" s="5"/>
      <c r="C36" s="5"/>
      <c r="D36" s="70"/>
      <c r="E36" s="70"/>
      <c r="F36" s="70"/>
      <c r="G36" s="70"/>
      <c r="H36" s="70"/>
      <c r="I36" s="70"/>
      <c r="J36" s="70"/>
      <c r="K36" s="70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>
      <c r="A37" s="70"/>
      <c r="B37" s="5"/>
      <c r="C37" s="5"/>
      <c r="D37" s="70"/>
      <c r="E37" s="70"/>
      <c r="F37" s="70"/>
      <c r="G37" s="70"/>
      <c r="H37" s="70"/>
      <c r="I37" s="70"/>
      <c r="J37" s="70"/>
      <c r="K37" s="70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>
      <c r="A38" s="70"/>
      <c r="B38" s="5"/>
      <c r="C38" s="5"/>
      <c r="D38" s="70"/>
      <c r="E38" s="70"/>
      <c r="F38" s="70"/>
      <c r="G38" s="70"/>
      <c r="H38" s="70"/>
      <c r="I38" s="70"/>
      <c r="J38" s="70"/>
      <c r="K38" s="70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>
      <c r="A39" s="70"/>
      <c r="B39" s="3"/>
      <c r="C39" s="3"/>
      <c r="D39" s="70"/>
      <c r="E39" s="70"/>
      <c r="F39" s="70"/>
      <c r="G39" s="70"/>
      <c r="H39" s="70"/>
      <c r="I39" s="70"/>
      <c r="J39" s="70"/>
      <c r="K39" s="70"/>
      <c r="M39" s="3"/>
      <c r="N39" s="3"/>
      <c r="O39" s="3"/>
      <c r="P39" s="3"/>
      <c r="R39" s="3"/>
      <c r="S39" s="3"/>
      <c r="T39" s="3"/>
      <c r="U39" s="3"/>
    </row>
    <row r="40">
      <c r="A40" s="70"/>
      <c r="B40" s="3"/>
      <c r="C40" s="3"/>
      <c r="D40" s="70"/>
      <c r="E40" s="70"/>
      <c r="F40" s="70"/>
      <c r="G40" s="70"/>
      <c r="H40" s="70"/>
      <c r="I40" s="70"/>
      <c r="J40" s="70"/>
      <c r="K40" s="70"/>
      <c r="M40" s="3"/>
      <c r="N40" s="3"/>
      <c r="O40" s="3"/>
      <c r="P40" s="3"/>
      <c r="R40" s="3"/>
      <c r="S40" s="3"/>
      <c r="T40" s="3"/>
      <c r="U40" s="3"/>
    </row>
    <row r="41">
      <c r="A41" s="70"/>
      <c r="B41" s="3"/>
      <c r="C41" s="3"/>
      <c r="D41" s="70"/>
      <c r="E41" s="70"/>
      <c r="F41" s="70"/>
      <c r="G41" s="70"/>
      <c r="H41" s="70"/>
      <c r="I41" s="70"/>
      <c r="J41" s="70"/>
      <c r="K41" s="70"/>
      <c r="M41" s="3"/>
      <c r="N41" s="3"/>
      <c r="O41" s="3"/>
      <c r="P41" s="3"/>
      <c r="R41" s="3"/>
      <c r="S41" s="3"/>
      <c r="T41" s="3"/>
      <c r="U41" s="3"/>
    </row>
    <row r="42">
      <c r="A42" s="70"/>
      <c r="B42" s="3"/>
      <c r="C42" s="3"/>
      <c r="D42" s="70"/>
      <c r="E42" s="70"/>
      <c r="F42" s="70"/>
      <c r="G42" s="70"/>
      <c r="H42" s="70"/>
      <c r="I42" s="70"/>
      <c r="J42" s="70"/>
      <c r="K42" s="70"/>
      <c r="M42" s="3"/>
      <c r="N42" s="3"/>
      <c r="O42" s="3"/>
      <c r="P42" s="3"/>
      <c r="R42" s="3"/>
      <c r="S42" s="3"/>
      <c r="T42" s="3"/>
      <c r="U42" s="3"/>
    </row>
    <row r="43">
      <c r="A43" s="70"/>
      <c r="B43" s="3"/>
      <c r="C43" s="3"/>
      <c r="D43" s="70"/>
      <c r="E43" s="70"/>
      <c r="F43" s="70"/>
      <c r="G43" s="70"/>
      <c r="H43" s="70"/>
      <c r="I43" s="70"/>
      <c r="J43" s="70"/>
      <c r="K43" s="70"/>
      <c r="M43" s="3"/>
      <c r="N43" s="3"/>
      <c r="O43" s="3"/>
      <c r="P43" s="3"/>
      <c r="R43" s="3"/>
      <c r="S43" s="3"/>
      <c r="T43" s="3"/>
      <c r="U43" s="3"/>
    </row>
    <row r="44">
      <c r="A44" s="70"/>
      <c r="B44" s="3"/>
      <c r="C44" s="3"/>
      <c r="D44" s="70"/>
      <c r="E44" s="70"/>
      <c r="F44" s="70"/>
      <c r="G44" s="70"/>
      <c r="H44" s="70"/>
      <c r="I44" s="70"/>
      <c r="J44" s="70"/>
      <c r="K44" s="70"/>
      <c r="M44" s="3"/>
      <c r="N44" s="3"/>
      <c r="O44" s="3"/>
      <c r="P44" s="3"/>
      <c r="R44" s="3"/>
      <c r="S44" s="3"/>
      <c r="T44" s="3"/>
      <c r="U44" s="3"/>
    </row>
    <row r="45">
      <c r="A45" s="70"/>
      <c r="B45" s="3"/>
      <c r="C45" s="3"/>
      <c r="D45" s="70"/>
      <c r="E45" s="70"/>
      <c r="F45" s="70"/>
      <c r="G45" s="70"/>
      <c r="H45" s="70"/>
      <c r="I45" s="70"/>
      <c r="J45" s="70"/>
      <c r="K45" s="70"/>
      <c r="M45" s="3"/>
      <c r="N45" s="3"/>
      <c r="O45" s="3"/>
      <c r="P45" s="3"/>
      <c r="R45" s="3"/>
      <c r="S45" s="3"/>
      <c r="T45" s="3"/>
      <c r="U45" s="3"/>
    </row>
    <row r="46">
      <c r="A46" s="70"/>
      <c r="B46" s="3"/>
      <c r="C46" s="3"/>
      <c r="D46" s="70"/>
      <c r="E46" s="70"/>
      <c r="F46" s="70"/>
      <c r="G46" s="70"/>
      <c r="H46" s="70"/>
      <c r="I46" s="70"/>
      <c r="J46" s="70"/>
      <c r="K46" s="70"/>
      <c r="M46" s="3"/>
      <c r="N46" s="3"/>
      <c r="O46" s="3"/>
      <c r="P46" s="3"/>
      <c r="R46" s="3"/>
      <c r="S46" s="3"/>
      <c r="T46" s="3"/>
      <c r="U46" s="3"/>
    </row>
    <row r="47">
      <c r="A47" s="70"/>
      <c r="B47" s="3"/>
      <c r="C47" s="3"/>
      <c r="D47" s="70"/>
      <c r="E47" s="70"/>
      <c r="F47" s="70"/>
      <c r="G47" s="70"/>
      <c r="H47" s="70"/>
      <c r="I47" s="70"/>
      <c r="J47" s="70"/>
      <c r="K47" s="70"/>
      <c r="M47" s="3"/>
      <c r="N47" s="3"/>
      <c r="O47" s="3"/>
      <c r="P47" s="3"/>
      <c r="R47" s="3"/>
      <c r="S47" s="3"/>
      <c r="T47" s="3"/>
      <c r="U47" s="3"/>
    </row>
    <row r="48">
      <c r="A48" s="70"/>
      <c r="B48" s="3"/>
      <c r="C48" s="3"/>
      <c r="D48" s="70"/>
      <c r="E48" s="70"/>
      <c r="F48" s="70"/>
      <c r="G48" s="70"/>
      <c r="H48" s="70"/>
      <c r="I48" s="70"/>
      <c r="J48" s="70"/>
      <c r="K48" s="70"/>
      <c r="M48" s="3"/>
      <c r="N48" s="3"/>
      <c r="O48" s="3"/>
      <c r="P48" s="3"/>
      <c r="R48" s="3"/>
      <c r="S48" s="3"/>
      <c r="T48" s="3"/>
      <c r="U48" s="3"/>
    </row>
    <row r="49">
      <c r="A49" s="70"/>
      <c r="B49" s="3"/>
      <c r="C49" s="3"/>
      <c r="D49" s="70"/>
      <c r="E49" s="70"/>
      <c r="F49" s="70"/>
      <c r="G49" s="70"/>
      <c r="H49" s="70"/>
      <c r="I49" s="70"/>
      <c r="J49" s="70"/>
      <c r="K49" s="70"/>
      <c r="M49" s="3"/>
      <c r="N49" s="3"/>
      <c r="O49" s="3"/>
      <c r="P49" s="3"/>
      <c r="R49" s="3"/>
      <c r="S49" s="3"/>
      <c r="T49" s="3"/>
      <c r="U49" s="3"/>
    </row>
    <row r="50">
      <c r="A50" s="70"/>
      <c r="B50" s="3"/>
      <c r="C50" s="3"/>
      <c r="D50" s="70"/>
      <c r="E50" s="70"/>
      <c r="F50" s="70"/>
      <c r="G50" s="70"/>
      <c r="H50" s="70"/>
      <c r="I50" s="70"/>
      <c r="J50" s="70"/>
      <c r="K50" s="70"/>
      <c r="M50" s="3"/>
      <c r="N50" s="3"/>
      <c r="O50" s="3"/>
      <c r="P50" s="3"/>
      <c r="R50" s="3"/>
      <c r="S50" s="3"/>
      <c r="T50" s="3"/>
      <c r="U50" s="3"/>
    </row>
    <row r="51">
      <c r="A51" s="70"/>
      <c r="B51" s="3"/>
      <c r="C51" s="3"/>
      <c r="D51" s="70"/>
      <c r="E51" s="70"/>
      <c r="F51" s="70"/>
      <c r="G51" s="70"/>
      <c r="H51" s="70"/>
      <c r="I51" s="70"/>
      <c r="J51" s="70"/>
      <c r="K51" s="70"/>
      <c r="M51" s="3"/>
      <c r="N51" s="3"/>
      <c r="O51" s="3"/>
      <c r="P51" s="3"/>
      <c r="R51" s="3"/>
      <c r="S51" s="3"/>
      <c r="T51" s="3"/>
      <c r="U51" s="3"/>
    </row>
    <row r="52">
      <c r="A52" s="70"/>
      <c r="B52" s="3"/>
      <c r="C52" s="3"/>
      <c r="D52" s="70"/>
      <c r="E52" s="70"/>
      <c r="F52" s="70"/>
      <c r="G52" s="70"/>
      <c r="H52" s="70"/>
      <c r="I52" s="70"/>
      <c r="J52" s="70"/>
      <c r="K52" s="70"/>
      <c r="M52" s="3"/>
      <c r="N52" s="3"/>
      <c r="O52" s="3"/>
      <c r="P52" s="3"/>
      <c r="R52" s="3"/>
      <c r="S52" s="3"/>
      <c r="T52" s="3"/>
      <c r="U52" s="3"/>
    </row>
    <row r="53">
      <c r="A53" s="70"/>
      <c r="B53" s="3"/>
      <c r="C53" s="3"/>
      <c r="D53" s="70"/>
      <c r="E53" s="70"/>
      <c r="F53" s="70"/>
      <c r="G53" s="70"/>
      <c r="H53" s="70"/>
      <c r="I53" s="70"/>
      <c r="J53" s="70"/>
      <c r="K53" s="70"/>
      <c r="M53" s="3"/>
      <c r="N53" s="3"/>
      <c r="O53" s="3"/>
      <c r="P53" s="3"/>
      <c r="R53" s="3"/>
      <c r="S53" s="3"/>
      <c r="T53" s="3"/>
      <c r="U53" s="3"/>
    </row>
    <row r="54">
      <c r="A54" s="70"/>
      <c r="B54" s="3"/>
      <c r="C54" s="3"/>
      <c r="D54" s="70"/>
      <c r="E54" s="70"/>
      <c r="F54" s="70"/>
      <c r="G54" s="70"/>
      <c r="H54" s="70"/>
      <c r="I54" s="70"/>
      <c r="J54" s="70"/>
      <c r="K54" s="70"/>
      <c r="M54" s="3"/>
      <c r="N54" s="3"/>
      <c r="O54" s="3"/>
      <c r="P54" s="3"/>
      <c r="R54" s="3"/>
      <c r="S54" s="3"/>
      <c r="T54" s="3"/>
      <c r="U54" s="3"/>
    </row>
    <row r="55">
      <c r="A55" s="70"/>
      <c r="B55" s="3"/>
      <c r="C55" s="3"/>
      <c r="D55" s="70"/>
      <c r="E55" s="70"/>
      <c r="F55" s="70"/>
      <c r="G55" s="70"/>
      <c r="H55" s="70"/>
      <c r="I55" s="70"/>
      <c r="J55" s="70"/>
      <c r="K55" s="70"/>
      <c r="M55" s="3"/>
      <c r="N55" s="3"/>
      <c r="O55" s="3"/>
      <c r="P55" s="3"/>
      <c r="R55" s="3"/>
      <c r="S55" s="3"/>
      <c r="T55" s="3"/>
      <c r="U55" s="3"/>
    </row>
    <row r="56">
      <c r="A56" s="70"/>
      <c r="B56" s="3"/>
      <c r="C56" s="3"/>
      <c r="D56" s="70"/>
      <c r="E56" s="70"/>
      <c r="F56" s="70"/>
      <c r="G56" s="70"/>
      <c r="H56" s="70"/>
      <c r="I56" s="70"/>
      <c r="J56" s="70"/>
      <c r="K56" s="70"/>
      <c r="M56" s="3"/>
      <c r="N56" s="3"/>
      <c r="O56" s="3"/>
      <c r="P56" s="3"/>
      <c r="R56" s="3"/>
      <c r="S56" s="3"/>
      <c r="T56" s="3"/>
      <c r="U56" s="3"/>
    </row>
    <row r="57">
      <c r="A57" s="70"/>
      <c r="B57" s="3"/>
      <c r="C57" s="3"/>
      <c r="D57" s="70"/>
      <c r="E57" s="70"/>
      <c r="F57" s="70"/>
      <c r="G57" s="70"/>
      <c r="H57" s="70"/>
      <c r="I57" s="70"/>
      <c r="J57" s="70"/>
      <c r="K57" s="70"/>
      <c r="M57" s="3"/>
      <c r="N57" s="3"/>
      <c r="O57" s="3"/>
      <c r="P57" s="3"/>
      <c r="R57" s="3"/>
      <c r="S57" s="3"/>
      <c r="T57" s="3"/>
      <c r="U57" s="3"/>
    </row>
    <row r="58">
      <c r="A58" s="70"/>
      <c r="B58" s="3"/>
      <c r="C58" s="3"/>
      <c r="D58" s="70"/>
      <c r="E58" s="70"/>
      <c r="F58" s="70"/>
      <c r="G58" s="70"/>
      <c r="H58" s="70"/>
      <c r="I58" s="70"/>
      <c r="J58" s="70"/>
      <c r="K58" s="70"/>
      <c r="M58" s="3"/>
      <c r="N58" s="3"/>
      <c r="O58" s="3"/>
      <c r="P58" s="3"/>
      <c r="R58" s="3"/>
      <c r="S58" s="3"/>
      <c r="T58" s="3"/>
      <c r="U58" s="3"/>
    </row>
    <row r="59">
      <c r="A59" s="70"/>
      <c r="B59" s="3"/>
      <c r="C59" s="3"/>
      <c r="D59" s="70"/>
      <c r="E59" s="70"/>
      <c r="F59" s="70"/>
      <c r="G59" s="70"/>
      <c r="H59" s="70"/>
      <c r="I59" s="70"/>
      <c r="J59" s="70"/>
      <c r="K59" s="70"/>
      <c r="M59" s="3"/>
      <c r="N59" s="3"/>
      <c r="O59" s="3"/>
      <c r="P59" s="3"/>
      <c r="R59" s="3"/>
      <c r="S59" s="3"/>
      <c r="T59" s="3"/>
      <c r="U59" s="3"/>
    </row>
    <row r="60">
      <c r="A60" s="70"/>
      <c r="B60" s="3"/>
      <c r="C60" s="3"/>
      <c r="D60" s="70"/>
      <c r="E60" s="70"/>
      <c r="F60" s="70"/>
      <c r="G60" s="70"/>
      <c r="H60" s="70"/>
      <c r="I60" s="70"/>
      <c r="J60" s="70"/>
      <c r="K60" s="70"/>
      <c r="M60" s="3"/>
      <c r="N60" s="3"/>
      <c r="O60" s="3"/>
      <c r="P60" s="3"/>
      <c r="R60" s="3"/>
      <c r="S60" s="3"/>
      <c r="T60" s="3"/>
      <c r="U60" s="3"/>
    </row>
    <row r="61">
      <c r="A61" s="70"/>
      <c r="B61" s="3"/>
      <c r="C61" s="3"/>
      <c r="D61" s="70"/>
      <c r="E61" s="70"/>
      <c r="F61" s="70"/>
      <c r="G61" s="70"/>
      <c r="H61" s="70"/>
      <c r="I61" s="70"/>
      <c r="J61" s="70"/>
      <c r="K61" s="70"/>
      <c r="M61" s="3"/>
      <c r="N61" s="3"/>
      <c r="O61" s="3"/>
      <c r="P61" s="3"/>
      <c r="R61" s="3"/>
      <c r="S61" s="3"/>
      <c r="T61" s="3"/>
      <c r="U61" s="3"/>
    </row>
    <row r="62">
      <c r="A62" s="70"/>
      <c r="B62" s="3"/>
      <c r="C62" s="3"/>
      <c r="D62" s="70"/>
      <c r="E62" s="70"/>
      <c r="F62" s="70"/>
      <c r="G62" s="70"/>
      <c r="H62" s="70"/>
      <c r="I62" s="70"/>
      <c r="J62" s="70"/>
      <c r="K62" s="70"/>
      <c r="M62" s="3"/>
      <c r="N62" s="3"/>
      <c r="O62" s="3"/>
      <c r="P62" s="3"/>
      <c r="R62" s="3"/>
      <c r="S62" s="3"/>
      <c r="T62" s="3"/>
      <c r="U62" s="3"/>
    </row>
    <row r="63">
      <c r="A63" s="70"/>
      <c r="B63" s="3"/>
      <c r="C63" s="3"/>
      <c r="D63" s="70"/>
      <c r="E63" s="70"/>
      <c r="F63" s="70"/>
      <c r="G63" s="70"/>
      <c r="H63" s="70"/>
      <c r="I63" s="70"/>
      <c r="J63" s="70"/>
      <c r="K63" s="70"/>
      <c r="M63" s="3"/>
      <c r="N63" s="3"/>
      <c r="O63" s="3"/>
      <c r="P63" s="3"/>
      <c r="R63" s="3"/>
      <c r="S63" s="3"/>
      <c r="T63" s="3"/>
      <c r="U63" s="3"/>
    </row>
    <row r="64">
      <c r="A64" s="70"/>
      <c r="B64" s="3"/>
      <c r="C64" s="3"/>
      <c r="D64" s="70"/>
      <c r="E64" s="70"/>
      <c r="F64" s="70"/>
      <c r="G64" s="70"/>
      <c r="H64" s="70"/>
      <c r="I64" s="70"/>
      <c r="J64" s="70"/>
      <c r="K64" s="70"/>
      <c r="M64" s="3"/>
      <c r="N64" s="3"/>
      <c r="O64" s="3"/>
      <c r="P64" s="3"/>
      <c r="R64" s="3"/>
      <c r="S64" s="3"/>
      <c r="T64" s="3"/>
      <c r="U64" s="3"/>
    </row>
    <row r="65">
      <c r="A65" s="70"/>
      <c r="B65" s="3"/>
      <c r="C65" s="3"/>
      <c r="D65" s="70"/>
      <c r="E65" s="70"/>
      <c r="F65" s="70"/>
      <c r="G65" s="70"/>
      <c r="H65" s="70"/>
      <c r="I65" s="70"/>
      <c r="J65" s="70"/>
      <c r="K65" s="70"/>
      <c r="M65" s="3"/>
      <c r="N65" s="3"/>
      <c r="O65" s="3"/>
      <c r="P65" s="3"/>
      <c r="R65" s="3"/>
      <c r="S65" s="3"/>
      <c r="T65" s="3"/>
      <c r="U65" s="3"/>
    </row>
    <row r="66">
      <c r="A66" s="70"/>
      <c r="B66" s="3"/>
      <c r="C66" s="3"/>
      <c r="D66" s="70"/>
      <c r="E66" s="70"/>
      <c r="F66" s="70"/>
      <c r="G66" s="70"/>
      <c r="H66" s="70"/>
      <c r="I66" s="70"/>
      <c r="J66" s="70"/>
      <c r="K66" s="70"/>
      <c r="M66" s="3"/>
      <c r="N66" s="3"/>
      <c r="O66" s="3"/>
      <c r="P66" s="3"/>
      <c r="R66" s="3"/>
      <c r="S66" s="3"/>
      <c r="T66" s="3"/>
      <c r="U66" s="3"/>
    </row>
    <row r="67">
      <c r="A67" s="70"/>
      <c r="B67" s="3"/>
      <c r="C67" s="3"/>
      <c r="D67" s="70"/>
      <c r="E67" s="70"/>
      <c r="F67" s="70"/>
      <c r="G67" s="70"/>
      <c r="H67" s="70"/>
      <c r="I67" s="70"/>
      <c r="J67" s="70"/>
      <c r="K67" s="70"/>
      <c r="M67" s="3"/>
      <c r="N67" s="3"/>
      <c r="O67" s="3"/>
      <c r="P67" s="3"/>
      <c r="R67" s="3"/>
      <c r="S67" s="3"/>
      <c r="T67" s="3"/>
      <c r="U67" s="3"/>
    </row>
    <row r="68">
      <c r="A68" s="70"/>
      <c r="B68" s="3"/>
      <c r="C68" s="3"/>
      <c r="D68" s="70"/>
      <c r="E68" s="70"/>
      <c r="F68" s="70"/>
      <c r="G68" s="70"/>
      <c r="H68" s="70"/>
      <c r="I68" s="70"/>
      <c r="J68" s="70"/>
      <c r="K68" s="70"/>
      <c r="M68" s="3"/>
      <c r="N68" s="3"/>
      <c r="O68" s="3"/>
      <c r="P68" s="3"/>
      <c r="R68" s="3"/>
      <c r="S68" s="3"/>
      <c r="T68" s="3"/>
      <c r="U68" s="3"/>
    </row>
    <row r="69">
      <c r="A69" s="70"/>
      <c r="B69" s="3"/>
      <c r="C69" s="3"/>
      <c r="D69" s="70"/>
      <c r="E69" s="70"/>
      <c r="F69" s="70"/>
      <c r="G69" s="70"/>
      <c r="H69" s="70"/>
      <c r="I69" s="70"/>
      <c r="J69" s="70"/>
      <c r="K69" s="70"/>
      <c r="M69" s="3"/>
      <c r="N69" s="3"/>
      <c r="O69" s="3"/>
      <c r="P69" s="3"/>
      <c r="R69" s="3"/>
      <c r="S69" s="3"/>
      <c r="T69" s="3"/>
      <c r="U69" s="3"/>
    </row>
    <row r="70">
      <c r="A70" s="70"/>
      <c r="B70" s="3"/>
      <c r="C70" s="3"/>
      <c r="D70" s="70"/>
      <c r="E70" s="70"/>
      <c r="F70" s="70"/>
      <c r="G70" s="70"/>
      <c r="H70" s="70"/>
      <c r="I70" s="70"/>
      <c r="J70" s="70"/>
      <c r="K70" s="70"/>
      <c r="M70" s="3"/>
      <c r="N70" s="3"/>
      <c r="O70" s="3"/>
      <c r="P70" s="3"/>
      <c r="R70" s="3"/>
      <c r="S70" s="3"/>
      <c r="T70" s="3"/>
      <c r="U70" s="3"/>
    </row>
    <row r="71">
      <c r="A71" s="70"/>
      <c r="B71" s="3"/>
      <c r="C71" s="3"/>
      <c r="D71" s="70"/>
      <c r="E71" s="70"/>
      <c r="F71" s="70"/>
      <c r="G71" s="70"/>
      <c r="H71" s="70"/>
      <c r="I71" s="70"/>
      <c r="J71" s="70"/>
      <c r="K71" s="70"/>
      <c r="M71" s="3"/>
      <c r="N71" s="3"/>
      <c r="O71" s="3"/>
      <c r="P71" s="3"/>
      <c r="R71" s="3"/>
      <c r="S71" s="3"/>
      <c r="T71" s="3"/>
      <c r="U71" s="3"/>
    </row>
    <row r="72">
      <c r="A72" s="70"/>
      <c r="B72" s="3"/>
      <c r="C72" s="3"/>
      <c r="D72" s="70"/>
      <c r="E72" s="70"/>
      <c r="F72" s="70"/>
      <c r="G72" s="70"/>
      <c r="H72" s="70"/>
      <c r="I72" s="70"/>
      <c r="J72" s="70"/>
      <c r="K72" s="70"/>
      <c r="M72" s="3"/>
      <c r="N72" s="3"/>
      <c r="O72" s="3"/>
      <c r="P72" s="3"/>
      <c r="R72" s="3"/>
      <c r="S72" s="3"/>
      <c r="T72" s="3"/>
      <c r="U72" s="3"/>
    </row>
    <row r="73">
      <c r="A73" s="70"/>
      <c r="B73" s="3"/>
      <c r="C73" s="3"/>
      <c r="D73" s="70"/>
      <c r="E73" s="70"/>
      <c r="F73" s="70"/>
      <c r="G73" s="70"/>
      <c r="H73" s="70"/>
      <c r="I73" s="70"/>
      <c r="J73" s="70"/>
      <c r="K73" s="70"/>
      <c r="M73" s="3"/>
      <c r="N73" s="3"/>
      <c r="O73" s="3"/>
      <c r="P73" s="3"/>
      <c r="R73" s="3"/>
      <c r="S73" s="3"/>
      <c r="T73" s="3"/>
      <c r="U73" s="3"/>
    </row>
    <row r="74">
      <c r="A74" s="70"/>
      <c r="B74" s="3"/>
      <c r="C74" s="3"/>
      <c r="D74" s="70"/>
      <c r="E74" s="70"/>
      <c r="F74" s="70"/>
      <c r="G74" s="70"/>
      <c r="H74" s="70"/>
      <c r="I74" s="70"/>
      <c r="J74" s="70"/>
      <c r="K74" s="70"/>
      <c r="M74" s="3"/>
      <c r="N74" s="3"/>
      <c r="O74" s="3"/>
      <c r="P74" s="3"/>
      <c r="R74" s="3"/>
      <c r="S74" s="3"/>
      <c r="T74" s="3"/>
      <c r="U74" s="3"/>
    </row>
    <row r="75">
      <c r="A75" s="70"/>
      <c r="B75" s="3"/>
      <c r="C75" s="3"/>
      <c r="D75" s="70"/>
      <c r="E75" s="70"/>
      <c r="F75" s="70"/>
      <c r="G75" s="70"/>
      <c r="H75" s="70"/>
      <c r="I75" s="70"/>
      <c r="J75" s="70"/>
      <c r="K75" s="70"/>
      <c r="M75" s="3"/>
      <c r="N75" s="3"/>
      <c r="O75" s="3"/>
      <c r="P75" s="3"/>
      <c r="R75" s="3"/>
      <c r="S75" s="3"/>
      <c r="T75" s="3"/>
      <c r="U75" s="3"/>
    </row>
    <row r="76">
      <c r="A76" s="70"/>
      <c r="B76" s="3"/>
      <c r="C76" s="3"/>
      <c r="D76" s="70"/>
      <c r="E76" s="70"/>
      <c r="F76" s="70"/>
      <c r="G76" s="70"/>
      <c r="H76" s="70"/>
      <c r="I76" s="70"/>
      <c r="J76" s="70"/>
      <c r="K76" s="70"/>
      <c r="M76" s="3"/>
      <c r="N76" s="3"/>
      <c r="O76" s="3"/>
      <c r="P76" s="3"/>
      <c r="R76" s="3"/>
      <c r="S76" s="3"/>
      <c r="T76" s="3"/>
      <c r="U76" s="3"/>
    </row>
    <row r="77">
      <c r="A77" s="70"/>
      <c r="B77" s="3"/>
      <c r="C77" s="3"/>
      <c r="D77" s="70"/>
      <c r="E77" s="70"/>
      <c r="F77" s="70"/>
      <c r="G77" s="70"/>
      <c r="H77" s="70"/>
      <c r="I77" s="70"/>
      <c r="J77" s="70"/>
      <c r="K77" s="70"/>
      <c r="M77" s="3"/>
      <c r="N77" s="3"/>
      <c r="O77" s="3"/>
      <c r="P77" s="3"/>
      <c r="R77" s="3"/>
      <c r="S77" s="3"/>
      <c r="T77" s="3"/>
      <c r="U77" s="3"/>
    </row>
    <row r="78">
      <c r="A78" s="70"/>
      <c r="B78" s="3"/>
      <c r="C78" s="3"/>
      <c r="D78" s="70"/>
      <c r="E78" s="70"/>
      <c r="F78" s="70"/>
      <c r="G78" s="70"/>
      <c r="H78" s="70"/>
      <c r="I78" s="70"/>
      <c r="J78" s="70"/>
      <c r="K78" s="70"/>
      <c r="M78" s="3"/>
      <c r="N78" s="3"/>
      <c r="O78" s="3"/>
      <c r="P78" s="3"/>
      <c r="R78" s="3"/>
      <c r="S78" s="3"/>
      <c r="T78" s="3"/>
      <c r="U78" s="3"/>
    </row>
    <row r="79">
      <c r="A79" s="70"/>
      <c r="B79" s="3"/>
      <c r="C79" s="3"/>
      <c r="D79" s="70"/>
      <c r="E79" s="70"/>
      <c r="F79" s="70"/>
      <c r="G79" s="70"/>
      <c r="H79" s="70"/>
      <c r="I79" s="70"/>
      <c r="J79" s="70"/>
      <c r="K79" s="70"/>
      <c r="M79" s="3"/>
      <c r="N79" s="3"/>
      <c r="O79" s="3"/>
      <c r="P79" s="3"/>
      <c r="R79" s="3"/>
      <c r="S79" s="3"/>
      <c r="T79" s="3"/>
      <c r="U79" s="3"/>
    </row>
    <row r="80">
      <c r="A80" s="70"/>
      <c r="B80" s="3"/>
      <c r="C80" s="3"/>
      <c r="D80" s="70"/>
      <c r="E80" s="70"/>
      <c r="F80" s="70"/>
      <c r="G80" s="70"/>
      <c r="H80" s="70"/>
      <c r="I80" s="70"/>
      <c r="J80" s="70"/>
      <c r="K80" s="70"/>
      <c r="M80" s="3"/>
      <c r="N80" s="3"/>
      <c r="O80" s="3"/>
      <c r="P80" s="3"/>
      <c r="R80" s="3"/>
      <c r="S80" s="3"/>
      <c r="T80" s="3"/>
      <c r="U80" s="3"/>
    </row>
    <row r="81">
      <c r="A81" s="70"/>
      <c r="B81" s="3"/>
      <c r="C81" s="3"/>
      <c r="D81" s="70"/>
      <c r="E81" s="70"/>
      <c r="F81" s="70"/>
      <c r="G81" s="70"/>
      <c r="H81" s="70"/>
      <c r="I81" s="70"/>
      <c r="J81" s="70"/>
      <c r="K81" s="70"/>
      <c r="M81" s="3"/>
      <c r="N81" s="3"/>
      <c r="O81" s="3"/>
      <c r="P81" s="3"/>
      <c r="R81" s="3"/>
      <c r="S81" s="3"/>
      <c r="T81" s="3"/>
      <c r="U81" s="3"/>
    </row>
    <row r="82">
      <c r="A82" s="70"/>
      <c r="B82" s="3"/>
      <c r="C82" s="3"/>
      <c r="D82" s="70"/>
      <c r="E82" s="70"/>
      <c r="F82" s="70"/>
      <c r="G82" s="70"/>
      <c r="H82" s="70"/>
      <c r="I82" s="70"/>
      <c r="J82" s="70"/>
      <c r="K82" s="70"/>
      <c r="M82" s="3"/>
      <c r="N82" s="3"/>
      <c r="O82" s="3"/>
      <c r="P82" s="3"/>
      <c r="R82" s="3"/>
      <c r="S82" s="3"/>
      <c r="T82" s="3"/>
      <c r="U82" s="3"/>
    </row>
    <row r="83">
      <c r="A83" s="70"/>
      <c r="B83" s="3"/>
      <c r="C83" s="3"/>
      <c r="D83" s="70"/>
      <c r="E83" s="70"/>
      <c r="F83" s="70"/>
      <c r="G83" s="70"/>
      <c r="H83" s="70"/>
      <c r="I83" s="70"/>
      <c r="J83" s="70"/>
      <c r="K83" s="70"/>
      <c r="M83" s="3"/>
      <c r="N83" s="3"/>
      <c r="O83" s="3"/>
      <c r="P83" s="3"/>
      <c r="R83" s="3"/>
      <c r="S83" s="3"/>
      <c r="T83" s="3"/>
      <c r="U83" s="3"/>
    </row>
    <row r="84">
      <c r="A84" s="70"/>
      <c r="B84" s="3"/>
      <c r="C84" s="3"/>
      <c r="D84" s="70"/>
      <c r="E84" s="70"/>
      <c r="F84" s="70"/>
      <c r="G84" s="70"/>
      <c r="H84" s="70"/>
      <c r="I84" s="70"/>
      <c r="J84" s="70"/>
      <c r="K84" s="70"/>
      <c r="M84" s="3"/>
      <c r="N84" s="3"/>
      <c r="O84" s="3"/>
      <c r="P84" s="3"/>
      <c r="R84" s="3"/>
      <c r="S84" s="3"/>
      <c r="T84" s="3"/>
      <c r="U84" s="3"/>
    </row>
    <row r="85">
      <c r="A85" s="70"/>
      <c r="B85" s="3"/>
      <c r="C85" s="3"/>
      <c r="D85" s="70"/>
      <c r="E85" s="70"/>
      <c r="F85" s="70"/>
      <c r="G85" s="70"/>
      <c r="H85" s="70"/>
      <c r="I85" s="70"/>
      <c r="J85" s="70"/>
      <c r="K85" s="70"/>
      <c r="M85" s="3"/>
      <c r="N85" s="3"/>
      <c r="O85" s="3"/>
      <c r="P85" s="3"/>
      <c r="R85" s="3"/>
      <c r="S85" s="3"/>
      <c r="T85" s="3"/>
      <c r="U85" s="3"/>
    </row>
    <row r="86">
      <c r="A86" s="70"/>
      <c r="B86" s="3"/>
      <c r="C86" s="3"/>
      <c r="D86" s="70"/>
      <c r="E86" s="70"/>
      <c r="F86" s="70"/>
      <c r="G86" s="70"/>
      <c r="H86" s="70"/>
      <c r="I86" s="70"/>
      <c r="J86" s="70"/>
      <c r="K86" s="70"/>
      <c r="M86" s="3"/>
      <c r="N86" s="3"/>
      <c r="O86" s="3"/>
      <c r="P86" s="3"/>
      <c r="R86" s="3"/>
      <c r="S86" s="3"/>
      <c r="T86" s="3"/>
      <c r="U86" s="3"/>
    </row>
    <row r="87">
      <c r="A87" s="70"/>
      <c r="B87" s="3"/>
      <c r="C87" s="3"/>
      <c r="D87" s="70"/>
      <c r="E87" s="70"/>
      <c r="F87" s="70"/>
      <c r="G87" s="70"/>
      <c r="H87" s="70"/>
      <c r="I87" s="70"/>
      <c r="J87" s="70"/>
      <c r="K87" s="70"/>
      <c r="M87" s="3"/>
      <c r="N87" s="3"/>
      <c r="O87" s="3"/>
      <c r="P87" s="3"/>
      <c r="R87" s="3"/>
      <c r="S87" s="3"/>
      <c r="T87" s="3"/>
      <c r="U87" s="3"/>
    </row>
    <row r="88">
      <c r="A88" s="70"/>
      <c r="B88" s="3"/>
      <c r="C88" s="3"/>
      <c r="D88" s="70"/>
      <c r="E88" s="70"/>
      <c r="F88" s="70"/>
      <c r="G88" s="70"/>
      <c r="H88" s="70"/>
      <c r="I88" s="70"/>
      <c r="J88" s="70"/>
      <c r="K88" s="70"/>
      <c r="M88" s="3"/>
      <c r="N88" s="3"/>
      <c r="O88" s="3"/>
      <c r="P88" s="3"/>
      <c r="R88" s="3"/>
      <c r="S88" s="3"/>
      <c r="T88" s="3"/>
      <c r="U88" s="3"/>
    </row>
    <row r="89">
      <c r="A89" s="70"/>
      <c r="B89" s="3"/>
      <c r="C89" s="3"/>
      <c r="D89" s="70"/>
      <c r="E89" s="70"/>
      <c r="F89" s="70"/>
      <c r="G89" s="70"/>
      <c r="H89" s="70"/>
      <c r="I89" s="70"/>
      <c r="J89" s="70"/>
      <c r="K89" s="70"/>
      <c r="M89" s="3"/>
      <c r="N89" s="3"/>
      <c r="O89" s="3"/>
      <c r="P89" s="3"/>
      <c r="R89" s="3"/>
      <c r="S89" s="3"/>
      <c r="T89" s="3"/>
      <c r="U89" s="3"/>
    </row>
    <row r="90">
      <c r="A90" s="70"/>
      <c r="B90" s="3"/>
      <c r="C90" s="3"/>
      <c r="D90" s="70"/>
      <c r="E90" s="70"/>
      <c r="F90" s="70"/>
      <c r="G90" s="70"/>
      <c r="H90" s="70"/>
      <c r="I90" s="70"/>
      <c r="J90" s="70"/>
      <c r="K90" s="70"/>
      <c r="M90" s="3"/>
      <c r="N90" s="3"/>
      <c r="O90" s="3"/>
      <c r="P90" s="3"/>
      <c r="R90" s="3"/>
      <c r="S90" s="3"/>
      <c r="T90" s="3"/>
      <c r="U90" s="3"/>
    </row>
    <row r="91">
      <c r="A91" s="70"/>
      <c r="B91" s="3"/>
      <c r="C91" s="3"/>
      <c r="D91" s="70"/>
      <c r="E91" s="70"/>
      <c r="F91" s="70"/>
      <c r="G91" s="70"/>
      <c r="H91" s="70"/>
      <c r="I91" s="70"/>
      <c r="J91" s="70"/>
      <c r="K91" s="70"/>
      <c r="M91" s="3"/>
      <c r="N91" s="3"/>
      <c r="O91" s="3"/>
      <c r="P91" s="3"/>
      <c r="R91" s="3"/>
      <c r="S91" s="3"/>
      <c r="T91" s="3"/>
      <c r="U91" s="3"/>
    </row>
    <row r="92">
      <c r="A92" s="70"/>
      <c r="B92" s="3"/>
      <c r="C92" s="3"/>
      <c r="D92" s="70"/>
      <c r="E92" s="70"/>
      <c r="F92" s="70"/>
      <c r="G92" s="70"/>
      <c r="H92" s="70"/>
      <c r="I92" s="70"/>
      <c r="J92" s="70"/>
      <c r="K92" s="70"/>
      <c r="M92" s="3"/>
      <c r="N92" s="3"/>
      <c r="O92" s="3"/>
      <c r="P92" s="3"/>
      <c r="R92" s="3"/>
      <c r="S92" s="3"/>
      <c r="T92" s="3"/>
      <c r="U92" s="3"/>
    </row>
    <row r="93">
      <c r="A93" s="70"/>
      <c r="B93" s="3"/>
      <c r="C93" s="3"/>
      <c r="D93" s="70"/>
      <c r="E93" s="70"/>
      <c r="F93" s="70"/>
      <c r="G93" s="70"/>
      <c r="H93" s="70"/>
      <c r="I93" s="70"/>
      <c r="J93" s="70"/>
      <c r="K93" s="70"/>
      <c r="M93" s="3"/>
      <c r="N93" s="3"/>
      <c r="O93" s="3"/>
      <c r="P93" s="3"/>
      <c r="R93" s="3"/>
      <c r="S93" s="3"/>
      <c r="T93" s="3"/>
      <c r="U93" s="3"/>
    </row>
    <row r="94">
      <c r="A94" s="70"/>
      <c r="B94" s="3"/>
      <c r="C94" s="3"/>
      <c r="D94" s="70"/>
      <c r="E94" s="70"/>
      <c r="F94" s="70"/>
      <c r="G94" s="70"/>
      <c r="H94" s="70"/>
      <c r="I94" s="70"/>
      <c r="J94" s="70"/>
      <c r="K94" s="70"/>
      <c r="M94" s="3"/>
      <c r="N94" s="3"/>
      <c r="O94" s="3"/>
      <c r="P94" s="3"/>
      <c r="R94" s="3"/>
      <c r="S94" s="3"/>
      <c r="T94" s="3"/>
      <c r="U94" s="3"/>
    </row>
    <row r="95">
      <c r="A95" s="70"/>
      <c r="B95" s="3"/>
      <c r="C95" s="3"/>
      <c r="D95" s="70"/>
      <c r="E95" s="70"/>
      <c r="F95" s="70"/>
      <c r="G95" s="70"/>
      <c r="H95" s="70"/>
      <c r="I95" s="70"/>
      <c r="J95" s="70"/>
      <c r="K95" s="70"/>
      <c r="M95" s="3"/>
      <c r="N95" s="3"/>
      <c r="O95" s="3"/>
      <c r="P95" s="3"/>
      <c r="R95" s="3"/>
      <c r="S95" s="3"/>
      <c r="T95" s="3"/>
      <c r="U95" s="3"/>
    </row>
    <row r="96">
      <c r="A96" s="70"/>
      <c r="B96" s="3"/>
      <c r="C96" s="3"/>
      <c r="D96" s="70"/>
      <c r="E96" s="70"/>
      <c r="F96" s="70"/>
      <c r="G96" s="70"/>
      <c r="H96" s="70"/>
      <c r="I96" s="70"/>
      <c r="J96" s="70"/>
      <c r="K96" s="70"/>
      <c r="M96" s="3"/>
      <c r="N96" s="3"/>
      <c r="O96" s="3"/>
      <c r="P96" s="3"/>
      <c r="R96" s="3"/>
      <c r="S96" s="3"/>
      <c r="T96" s="3"/>
      <c r="U96" s="3"/>
    </row>
    <row r="97">
      <c r="A97" s="70"/>
      <c r="B97" s="3"/>
      <c r="C97" s="3"/>
      <c r="D97" s="70"/>
      <c r="E97" s="70"/>
      <c r="F97" s="70"/>
      <c r="G97" s="70"/>
      <c r="H97" s="70"/>
      <c r="I97" s="70"/>
      <c r="J97" s="70"/>
      <c r="K97" s="70"/>
      <c r="M97" s="3"/>
      <c r="N97" s="3"/>
      <c r="O97" s="3"/>
      <c r="P97" s="3"/>
      <c r="R97" s="3"/>
      <c r="S97" s="3"/>
      <c r="T97" s="3"/>
      <c r="U97" s="3"/>
    </row>
    <row r="98">
      <c r="A98" s="70"/>
      <c r="B98" s="3"/>
      <c r="C98" s="3"/>
      <c r="D98" s="70"/>
      <c r="E98" s="70"/>
      <c r="F98" s="70"/>
      <c r="G98" s="70"/>
      <c r="H98" s="70"/>
      <c r="I98" s="70"/>
      <c r="J98" s="70"/>
      <c r="K98" s="70"/>
      <c r="M98" s="3"/>
      <c r="N98" s="3"/>
      <c r="O98" s="3"/>
      <c r="P98" s="3"/>
      <c r="R98" s="3"/>
      <c r="S98" s="3"/>
      <c r="T98" s="3"/>
      <c r="U98" s="3"/>
    </row>
    <row r="99">
      <c r="A99" s="70"/>
      <c r="B99" s="3"/>
      <c r="C99" s="3"/>
      <c r="D99" s="70"/>
      <c r="E99" s="70"/>
      <c r="F99" s="70"/>
      <c r="G99" s="70"/>
      <c r="H99" s="70"/>
      <c r="I99" s="70"/>
      <c r="J99" s="70"/>
      <c r="K99" s="70"/>
      <c r="M99" s="3"/>
      <c r="N99" s="3"/>
      <c r="O99" s="3"/>
      <c r="P99" s="3"/>
      <c r="R99" s="3"/>
      <c r="S99" s="3"/>
      <c r="T99" s="3"/>
      <c r="U99" s="3"/>
    </row>
    <row r="100">
      <c r="A100" s="70"/>
      <c r="B100" s="3"/>
      <c r="C100" s="3"/>
      <c r="D100" s="70"/>
      <c r="E100" s="70"/>
      <c r="F100" s="70"/>
      <c r="G100" s="70"/>
      <c r="H100" s="70"/>
      <c r="I100" s="70"/>
      <c r="J100" s="70"/>
      <c r="K100" s="70"/>
      <c r="M100" s="3"/>
      <c r="N100" s="3"/>
      <c r="O100" s="3"/>
      <c r="P100" s="3"/>
      <c r="R100" s="3"/>
      <c r="S100" s="3"/>
      <c r="T100" s="3"/>
      <c r="U100" s="3"/>
    </row>
    <row r="101">
      <c r="A101" s="70"/>
      <c r="B101" s="3"/>
      <c r="C101" s="3"/>
      <c r="D101" s="70"/>
      <c r="E101" s="70"/>
      <c r="F101" s="70"/>
      <c r="G101" s="70"/>
      <c r="H101" s="70"/>
      <c r="I101" s="70"/>
      <c r="J101" s="70"/>
      <c r="K101" s="70"/>
      <c r="M101" s="3"/>
      <c r="N101" s="3"/>
      <c r="O101" s="3"/>
      <c r="P101" s="3"/>
      <c r="R101" s="3"/>
      <c r="S101" s="3"/>
      <c r="T101" s="3"/>
      <c r="U101" s="3"/>
    </row>
    <row r="102">
      <c r="A102" s="70"/>
      <c r="B102" s="3"/>
      <c r="C102" s="3"/>
      <c r="D102" s="70"/>
      <c r="E102" s="70"/>
      <c r="F102" s="70"/>
      <c r="G102" s="70"/>
      <c r="H102" s="70"/>
      <c r="I102" s="70"/>
      <c r="J102" s="70"/>
      <c r="K102" s="70"/>
      <c r="M102" s="3"/>
      <c r="N102" s="3"/>
      <c r="O102" s="3"/>
      <c r="P102" s="3"/>
      <c r="R102" s="3"/>
      <c r="S102" s="3"/>
      <c r="T102" s="3"/>
      <c r="U102" s="3"/>
    </row>
    <row r="103">
      <c r="A103" s="70"/>
      <c r="B103" s="3"/>
      <c r="C103" s="3"/>
      <c r="D103" s="70"/>
      <c r="E103" s="70"/>
      <c r="F103" s="70"/>
      <c r="G103" s="70"/>
      <c r="H103" s="70"/>
      <c r="I103" s="70"/>
      <c r="J103" s="70"/>
      <c r="K103" s="70"/>
      <c r="M103" s="3"/>
      <c r="N103" s="3"/>
      <c r="O103" s="3"/>
      <c r="P103" s="3"/>
      <c r="R103" s="3"/>
      <c r="S103" s="3"/>
      <c r="T103" s="3"/>
      <c r="U103" s="3"/>
    </row>
    <row r="104">
      <c r="A104" s="70"/>
      <c r="B104" s="3"/>
      <c r="C104" s="3"/>
      <c r="D104" s="70"/>
      <c r="E104" s="70"/>
      <c r="F104" s="70"/>
      <c r="G104" s="70"/>
      <c r="H104" s="70"/>
      <c r="I104" s="70"/>
      <c r="J104" s="70"/>
      <c r="K104" s="70"/>
      <c r="M104" s="3"/>
      <c r="N104" s="3"/>
      <c r="O104" s="3"/>
      <c r="P104" s="3"/>
      <c r="R104" s="3"/>
      <c r="S104" s="3"/>
      <c r="T104" s="3"/>
      <c r="U104" s="3"/>
    </row>
    <row r="105">
      <c r="A105" s="70"/>
      <c r="B105" s="3"/>
      <c r="C105" s="3"/>
      <c r="D105" s="70"/>
      <c r="E105" s="70"/>
      <c r="F105" s="70"/>
      <c r="G105" s="70"/>
      <c r="H105" s="70"/>
      <c r="I105" s="70"/>
      <c r="J105" s="70"/>
      <c r="K105" s="70"/>
      <c r="M105" s="3"/>
      <c r="N105" s="3"/>
      <c r="O105" s="3"/>
      <c r="P105" s="3"/>
      <c r="R105" s="3"/>
      <c r="S105" s="3"/>
      <c r="T105" s="3"/>
      <c r="U105" s="3"/>
    </row>
    <row r="106">
      <c r="A106" s="70"/>
      <c r="B106" s="3"/>
      <c r="C106" s="3"/>
      <c r="D106" s="70"/>
      <c r="E106" s="70"/>
      <c r="F106" s="70"/>
      <c r="G106" s="70"/>
      <c r="H106" s="70"/>
      <c r="I106" s="70"/>
      <c r="J106" s="70"/>
      <c r="K106" s="70"/>
      <c r="M106" s="3"/>
      <c r="N106" s="3"/>
      <c r="O106" s="3"/>
      <c r="P106" s="3"/>
      <c r="R106" s="3"/>
      <c r="S106" s="3"/>
      <c r="T106" s="3"/>
      <c r="U106" s="3"/>
    </row>
    <row r="107">
      <c r="A107" s="70"/>
      <c r="B107" s="3"/>
      <c r="C107" s="3"/>
      <c r="D107" s="70"/>
      <c r="E107" s="70"/>
      <c r="F107" s="70"/>
      <c r="G107" s="70"/>
      <c r="H107" s="70"/>
      <c r="I107" s="70"/>
      <c r="J107" s="70"/>
      <c r="K107" s="70"/>
      <c r="M107" s="3"/>
      <c r="N107" s="3"/>
      <c r="O107" s="3"/>
      <c r="P107" s="3"/>
      <c r="R107" s="3"/>
      <c r="S107" s="3"/>
      <c r="T107" s="3"/>
      <c r="U107" s="3"/>
    </row>
    <row r="108">
      <c r="A108" s="70"/>
      <c r="B108" s="3"/>
      <c r="C108" s="3"/>
      <c r="D108" s="70"/>
      <c r="E108" s="70"/>
      <c r="F108" s="70"/>
      <c r="G108" s="70"/>
      <c r="H108" s="70"/>
      <c r="I108" s="70"/>
      <c r="J108" s="70"/>
      <c r="K108" s="70"/>
      <c r="M108" s="3"/>
      <c r="N108" s="3"/>
      <c r="O108" s="3"/>
      <c r="P108" s="3"/>
      <c r="R108" s="3"/>
      <c r="S108" s="3"/>
      <c r="T108" s="3"/>
      <c r="U108" s="3"/>
    </row>
    <row r="109">
      <c r="A109" s="70"/>
      <c r="B109" s="3"/>
      <c r="C109" s="3"/>
      <c r="D109" s="70"/>
      <c r="E109" s="70"/>
      <c r="F109" s="70"/>
      <c r="G109" s="70"/>
      <c r="H109" s="70"/>
      <c r="I109" s="70"/>
      <c r="J109" s="70"/>
      <c r="K109" s="70"/>
      <c r="M109" s="3"/>
      <c r="N109" s="3"/>
      <c r="O109" s="3"/>
      <c r="P109" s="3"/>
      <c r="R109" s="3"/>
      <c r="S109" s="3"/>
      <c r="T109" s="3"/>
      <c r="U109" s="3"/>
    </row>
    <row r="110">
      <c r="A110" s="70"/>
      <c r="B110" s="3"/>
      <c r="C110" s="3"/>
      <c r="D110" s="70"/>
      <c r="E110" s="70"/>
      <c r="F110" s="70"/>
      <c r="G110" s="70"/>
      <c r="H110" s="70"/>
      <c r="I110" s="70"/>
      <c r="J110" s="70"/>
      <c r="K110" s="70"/>
      <c r="M110" s="3"/>
      <c r="N110" s="3"/>
      <c r="O110" s="3"/>
      <c r="P110" s="3"/>
      <c r="R110" s="3"/>
      <c r="S110" s="3"/>
      <c r="T110" s="3"/>
      <c r="U110" s="3"/>
    </row>
    <row r="111">
      <c r="A111" s="70"/>
      <c r="B111" s="3"/>
      <c r="C111" s="3"/>
      <c r="D111" s="70"/>
      <c r="E111" s="70"/>
      <c r="F111" s="70"/>
      <c r="G111" s="70"/>
      <c r="H111" s="70"/>
      <c r="I111" s="70"/>
      <c r="J111" s="70"/>
      <c r="K111" s="70"/>
      <c r="M111" s="3"/>
      <c r="N111" s="3"/>
      <c r="O111" s="3"/>
      <c r="P111" s="3"/>
      <c r="R111" s="3"/>
      <c r="S111" s="3"/>
      <c r="T111" s="3"/>
      <c r="U111" s="3"/>
    </row>
    <row r="112">
      <c r="A112" s="70"/>
      <c r="B112" s="3"/>
      <c r="C112" s="3"/>
      <c r="D112" s="70"/>
      <c r="E112" s="70"/>
      <c r="F112" s="70"/>
      <c r="G112" s="70"/>
      <c r="H112" s="70"/>
      <c r="I112" s="70"/>
      <c r="J112" s="70"/>
      <c r="K112" s="70"/>
      <c r="M112" s="3"/>
      <c r="N112" s="3"/>
      <c r="O112" s="3"/>
      <c r="P112" s="3"/>
      <c r="R112" s="3"/>
      <c r="S112" s="3"/>
      <c r="T112" s="3"/>
      <c r="U112" s="3"/>
    </row>
    <row r="113">
      <c r="A113" s="70"/>
      <c r="B113" s="3"/>
      <c r="C113" s="3"/>
      <c r="D113" s="70"/>
      <c r="E113" s="70"/>
      <c r="F113" s="70"/>
      <c r="G113" s="70"/>
      <c r="H113" s="70"/>
      <c r="I113" s="70"/>
      <c r="J113" s="70"/>
      <c r="K113" s="70"/>
      <c r="M113" s="3"/>
      <c r="N113" s="3"/>
      <c r="O113" s="3"/>
      <c r="P113" s="3"/>
      <c r="R113" s="3"/>
      <c r="S113" s="3"/>
      <c r="T113" s="3"/>
      <c r="U113" s="3"/>
    </row>
    <row r="114">
      <c r="A114" s="70"/>
      <c r="B114" s="3"/>
      <c r="C114" s="3"/>
      <c r="D114" s="70"/>
      <c r="E114" s="70"/>
      <c r="F114" s="70"/>
      <c r="G114" s="70"/>
      <c r="H114" s="70"/>
      <c r="I114" s="70"/>
      <c r="J114" s="70"/>
      <c r="K114" s="70"/>
      <c r="M114" s="3"/>
      <c r="N114" s="3"/>
      <c r="O114" s="3"/>
      <c r="P114" s="3"/>
      <c r="R114" s="3"/>
      <c r="S114" s="3"/>
      <c r="T114" s="3"/>
      <c r="U114" s="3"/>
    </row>
    <row r="115">
      <c r="A115" s="70"/>
      <c r="B115" s="3"/>
      <c r="C115" s="3"/>
      <c r="D115" s="70"/>
      <c r="E115" s="70"/>
      <c r="F115" s="70"/>
      <c r="G115" s="70"/>
      <c r="H115" s="70"/>
      <c r="I115" s="70"/>
      <c r="J115" s="70"/>
      <c r="K115" s="70"/>
      <c r="M115" s="3"/>
      <c r="N115" s="3"/>
      <c r="O115" s="3"/>
      <c r="P115" s="3"/>
      <c r="R115" s="3"/>
      <c r="S115" s="3"/>
      <c r="T115" s="3"/>
      <c r="U115" s="3"/>
    </row>
    <row r="116">
      <c r="A116" s="70"/>
      <c r="B116" s="3"/>
      <c r="C116" s="3"/>
      <c r="D116" s="70"/>
      <c r="E116" s="70"/>
      <c r="F116" s="70"/>
      <c r="G116" s="70"/>
      <c r="H116" s="70"/>
      <c r="I116" s="70"/>
      <c r="J116" s="70"/>
      <c r="K116" s="70"/>
      <c r="M116" s="3"/>
      <c r="N116" s="3"/>
      <c r="O116" s="3"/>
      <c r="P116" s="3"/>
      <c r="R116" s="3"/>
      <c r="S116" s="3"/>
      <c r="T116" s="3"/>
      <c r="U116" s="3"/>
    </row>
    <row r="117">
      <c r="A117" s="70"/>
      <c r="B117" s="3"/>
      <c r="C117" s="3"/>
      <c r="D117" s="70"/>
      <c r="E117" s="70"/>
      <c r="F117" s="70"/>
      <c r="G117" s="70"/>
      <c r="H117" s="70"/>
      <c r="I117" s="70"/>
      <c r="J117" s="70"/>
      <c r="K117" s="70"/>
      <c r="M117" s="3"/>
      <c r="N117" s="3"/>
      <c r="O117" s="3"/>
      <c r="P117" s="3"/>
      <c r="R117" s="3"/>
      <c r="S117" s="3"/>
      <c r="T117" s="3"/>
      <c r="U117" s="3"/>
    </row>
    <row r="118">
      <c r="A118" s="70"/>
      <c r="B118" s="3"/>
      <c r="C118" s="3"/>
      <c r="D118" s="70"/>
      <c r="E118" s="70"/>
      <c r="F118" s="70"/>
      <c r="G118" s="70"/>
      <c r="H118" s="70"/>
      <c r="I118" s="70"/>
      <c r="J118" s="70"/>
      <c r="K118" s="70"/>
      <c r="M118" s="3"/>
      <c r="N118" s="3"/>
      <c r="O118" s="3"/>
      <c r="P118" s="3"/>
      <c r="R118" s="3"/>
      <c r="S118" s="3"/>
      <c r="T118" s="3"/>
      <c r="U118" s="3"/>
    </row>
    <row r="119">
      <c r="A119" s="70"/>
      <c r="B119" s="3"/>
      <c r="C119" s="3"/>
      <c r="D119" s="70"/>
      <c r="E119" s="70"/>
      <c r="F119" s="70"/>
      <c r="G119" s="70"/>
      <c r="H119" s="70"/>
      <c r="I119" s="70"/>
      <c r="J119" s="70"/>
      <c r="K119" s="70"/>
      <c r="M119" s="3"/>
      <c r="N119" s="3"/>
      <c r="O119" s="3"/>
      <c r="P119" s="3"/>
      <c r="R119" s="3"/>
      <c r="S119" s="3"/>
      <c r="T119" s="3"/>
      <c r="U119" s="3"/>
    </row>
    <row r="120">
      <c r="A120" s="70"/>
      <c r="B120" s="3"/>
      <c r="C120" s="3"/>
      <c r="D120" s="70"/>
      <c r="E120" s="70"/>
      <c r="F120" s="70"/>
      <c r="G120" s="70"/>
      <c r="H120" s="70"/>
      <c r="I120" s="70"/>
      <c r="J120" s="70"/>
      <c r="K120" s="70"/>
      <c r="M120" s="3"/>
      <c r="N120" s="3"/>
      <c r="O120" s="3"/>
      <c r="P120" s="3"/>
      <c r="R120" s="3"/>
      <c r="S120" s="3"/>
      <c r="T120" s="3"/>
      <c r="U120" s="3"/>
    </row>
    <row r="121">
      <c r="A121" s="70"/>
      <c r="B121" s="3"/>
      <c r="C121" s="3"/>
      <c r="D121" s="70"/>
      <c r="E121" s="70"/>
      <c r="F121" s="70"/>
      <c r="G121" s="70"/>
      <c r="H121" s="70"/>
      <c r="I121" s="70"/>
      <c r="J121" s="70"/>
      <c r="K121" s="70"/>
      <c r="M121" s="3"/>
      <c r="N121" s="3"/>
      <c r="O121" s="3"/>
      <c r="P121" s="3"/>
      <c r="R121" s="3"/>
      <c r="S121" s="3"/>
      <c r="T121" s="3"/>
      <c r="U121" s="3"/>
    </row>
    <row r="122">
      <c r="A122" s="70"/>
      <c r="B122" s="3"/>
      <c r="C122" s="3"/>
      <c r="D122" s="70"/>
      <c r="E122" s="70"/>
      <c r="F122" s="70"/>
      <c r="G122" s="70"/>
      <c r="H122" s="70"/>
      <c r="I122" s="70"/>
      <c r="J122" s="70"/>
      <c r="K122" s="70"/>
      <c r="M122" s="3"/>
      <c r="N122" s="3"/>
      <c r="O122" s="3"/>
      <c r="P122" s="3"/>
      <c r="R122" s="3"/>
      <c r="S122" s="3"/>
      <c r="T122" s="3"/>
      <c r="U122" s="3"/>
    </row>
    <row r="123">
      <c r="A123" s="70"/>
      <c r="B123" s="3"/>
      <c r="C123" s="3"/>
      <c r="D123" s="70"/>
      <c r="E123" s="70"/>
      <c r="F123" s="70"/>
      <c r="G123" s="70"/>
      <c r="H123" s="70"/>
      <c r="I123" s="70"/>
      <c r="J123" s="70"/>
      <c r="K123" s="70"/>
      <c r="M123" s="3"/>
      <c r="N123" s="3"/>
      <c r="O123" s="3"/>
      <c r="P123" s="3"/>
      <c r="R123" s="3"/>
      <c r="S123" s="3"/>
      <c r="T123" s="3"/>
      <c r="U123" s="3"/>
    </row>
    <row r="124">
      <c r="A124" s="70"/>
      <c r="B124" s="3"/>
      <c r="C124" s="3"/>
      <c r="D124" s="70"/>
      <c r="E124" s="70"/>
      <c r="F124" s="70"/>
      <c r="G124" s="70"/>
      <c r="H124" s="70"/>
      <c r="I124" s="70"/>
      <c r="J124" s="70"/>
      <c r="K124" s="70"/>
      <c r="M124" s="3"/>
      <c r="N124" s="3"/>
      <c r="O124" s="3"/>
      <c r="P124" s="3"/>
      <c r="R124" s="3"/>
      <c r="S124" s="3"/>
      <c r="T124" s="3"/>
      <c r="U124" s="3"/>
    </row>
    <row r="125">
      <c r="A125" s="70"/>
      <c r="B125" s="3"/>
      <c r="C125" s="3"/>
      <c r="D125" s="70"/>
      <c r="E125" s="70"/>
      <c r="F125" s="70"/>
      <c r="G125" s="70"/>
      <c r="H125" s="70"/>
      <c r="I125" s="70"/>
      <c r="J125" s="70"/>
      <c r="K125" s="70"/>
      <c r="M125" s="3"/>
      <c r="N125" s="3"/>
      <c r="O125" s="3"/>
      <c r="P125" s="3"/>
      <c r="R125" s="3"/>
      <c r="S125" s="3"/>
      <c r="T125" s="3"/>
      <c r="U125" s="3"/>
    </row>
    <row r="126">
      <c r="A126" s="70"/>
      <c r="B126" s="3"/>
      <c r="C126" s="3"/>
      <c r="D126" s="70"/>
      <c r="E126" s="70"/>
      <c r="F126" s="70"/>
      <c r="G126" s="70"/>
      <c r="H126" s="70"/>
      <c r="I126" s="70"/>
      <c r="J126" s="70"/>
      <c r="K126" s="70"/>
      <c r="M126" s="3"/>
      <c r="N126" s="3"/>
      <c r="O126" s="3"/>
      <c r="P126" s="3"/>
      <c r="R126" s="3"/>
      <c r="S126" s="3"/>
      <c r="T126" s="3"/>
      <c r="U126" s="3"/>
    </row>
    <row r="127">
      <c r="A127" s="70"/>
      <c r="B127" s="3"/>
      <c r="C127" s="3"/>
      <c r="D127" s="70"/>
      <c r="E127" s="70"/>
      <c r="F127" s="70"/>
      <c r="G127" s="70"/>
      <c r="H127" s="70"/>
      <c r="I127" s="70"/>
      <c r="J127" s="70"/>
      <c r="K127" s="70"/>
      <c r="M127" s="3"/>
      <c r="N127" s="3"/>
      <c r="O127" s="3"/>
      <c r="P127" s="3"/>
      <c r="R127" s="3"/>
      <c r="S127" s="3"/>
      <c r="T127" s="3"/>
      <c r="U127" s="3"/>
    </row>
    <row r="128">
      <c r="A128" s="70"/>
      <c r="B128" s="3"/>
      <c r="C128" s="3"/>
      <c r="D128" s="70"/>
      <c r="E128" s="70"/>
      <c r="F128" s="70"/>
      <c r="G128" s="70"/>
      <c r="H128" s="70"/>
      <c r="I128" s="70"/>
      <c r="J128" s="70"/>
      <c r="K128" s="70"/>
      <c r="M128" s="3"/>
      <c r="N128" s="3"/>
      <c r="O128" s="3"/>
      <c r="P128" s="3"/>
      <c r="R128" s="3"/>
      <c r="S128" s="3"/>
      <c r="T128" s="3"/>
      <c r="U128" s="3"/>
    </row>
    <row r="129">
      <c r="A129" s="70"/>
      <c r="B129" s="3"/>
      <c r="C129" s="3"/>
      <c r="D129" s="70"/>
      <c r="E129" s="70"/>
      <c r="F129" s="70"/>
      <c r="G129" s="70"/>
      <c r="H129" s="70"/>
      <c r="I129" s="70"/>
      <c r="J129" s="70"/>
      <c r="K129" s="70"/>
      <c r="M129" s="3"/>
      <c r="N129" s="3"/>
      <c r="O129" s="3"/>
      <c r="P129" s="3"/>
      <c r="R129" s="3"/>
      <c r="S129" s="3"/>
      <c r="T129" s="3"/>
      <c r="U129" s="3"/>
    </row>
    <row r="130">
      <c r="A130" s="70"/>
      <c r="B130" s="3"/>
      <c r="C130" s="3"/>
      <c r="D130" s="70"/>
      <c r="E130" s="70"/>
      <c r="F130" s="70"/>
      <c r="G130" s="70"/>
      <c r="H130" s="70"/>
      <c r="I130" s="70"/>
      <c r="J130" s="70"/>
      <c r="K130" s="70"/>
      <c r="M130" s="3"/>
      <c r="N130" s="3"/>
      <c r="O130" s="3"/>
      <c r="P130" s="3"/>
      <c r="R130" s="3"/>
      <c r="S130" s="3"/>
      <c r="T130" s="3"/>
      <c r="U130" s="3"/>
    </row>
    <row r="131">
      <c r="A131" s="70"/>
      <c r="B131" s="3"/>
      <c r="C131" s="3"/>
      <c r="D131" s="70"/>
      <c r="E131" s="70"/>
      <c r="F131" s="70"/>
      <c r="G131" s="70"/>
      <c r="H131" s="70"/>
      <c r="I131" s="70"/>
      <c r="J131" s="70"/>
      <c r="K131" s="70"/>
      <c r="M131" s="3"/>
      <c r="N131" s="3"/>
      <c r="O131" s="3"/>
      <c r="P131" s="3"/>
      <c r="R131" s="3"/>
      <c r="S131" s="3"/>
      <c r="T131" s="3"/>
      <c r="U131" s="3"/>
    </row>
    <row r="132">
      <c r="A132" s="70"/>
      <c r="B132" s="3"/>
      <c r="C132" s="3"/>
      <c r="D132" s="70"/>
      <c r="E132" s="70"/>
      <c r="F132" s="70"/>
      <c r="G132" s="70"/>
      <c r="H132" s="70"/>
      <c r="I132" s="70"/>
      <c r="J132" s="70"/>
      <c r="K132" s="70"/>
      <c r="M132" s="3"/>
      <c r="N132" s="3"/>
      <c r="O132" s="3"/>
      <c r="P132" s="3"/>
      <c r="R132" s="3"/>
      <c r="S132" s="3"/>
      <c r="T132" s="3"/>
      <c r="U132" s="3"/>
    </row>
    <row r="133">
      <c r="A133" s="70"/>
      <c r="B133" s="3"/>
      <c r="C133" s="3"/>
      <c r="D133" s="70"/>
      <c r="E133" s="70"/>
      <c r="F133" s="70"/>
      <c r="G133" s="70"/>
      <c r="H133" s="70"/>
      <c r="I133" s="70"/>
      <c r="J133" s="70"/>
      <c r="K133" s="70"/>
      <c r="M133" s="3"/>
      <c r="N133" s="3"/>
      <c r="O133" s="3"/>
      <c r="P133" s="3"/>
      <c r="R133" s="3"/>
      <c r="S133" s="3"/>
      <c r="T133" s="3"/>
      <c r="U133" s="3"/>
    </row>
    <row r="134">
      <c r="A134" s="70"/>
      <c r="B134" s="3"/>
      <c r="C134" s="3"/>
      <c r="D134" s="70"/>
      <c r="E134" s="70"/>
      <c r="F134" s="70"/>
      <c r="G134" s="70"/>
      <c r="H134" s="70"/>
      <c r="I134" s="70"/>
      <c r="J134" s="70"/>
      <c r="K134" s="70"/>
      <c r="M134" s="3"/>
      <c r="N134" s="3"/>
      <c r="O134" s="3"/>
      <c r="P134" s="3"/>
      <c r="R134" s="3"/>
      <c r="S134" s="3"/>
      <c r="T134" s="3"/>
      <c r="U134" s="3"/>
    </row>
    <row r="135">
      <c r="A135" s="70"/>
      <c r="B135" s="3"/>
      <c r="C135" s="3"/>
      <c r="D135" s="70"/>
      <c r="E135" s="70"/>
      <c r="F135" s="70"/>
      <c r="G135" s="70"/>
      <c r="H135" s="70"/>
      <c r="I135" s="70"/>
      <c r="J135" s="70"/>
      <c r="K135" s="70"/>
      <c r="M135" s="3"/>
      <c r="N135" s="3"/>
      <c r="O135" s="3"/>
      <c r="P135" s="3"/>
      <c r="R135" s="3"/>
      <c r="S135" s="3"/>
      <c r="T135" s="3"/>
      <c r="U135" s="3"/>
    </row>
    <row r="136">
      <c r="A136" s="70"/>
      <c r="B136" s="3"/>
      <c r="C136" s="3"/>
      <c r="D136" s="70"/>
      <c r="E136" s="70"/>
      <c r="F136" s="70"/>
      <c r="G136" s="70"/>
      <c r="H136" s="70"/>
      <c r="I136" s="70"/>
      <c r="J136" s="70"/>
      <c r="K136" s="70"/>
      <c r="M136" s="3"/>
      <c r="N136" s="3"/>
      <c r="O136" s="3"/>
      <c r="P136" s="3"/>
      <c r="R136" s="3"/>
      <c r="S136" s="3"/>
      <c r="T136" s="3"/>
      <c r="U136" s="3"/>
    </row>
    <row r="137">
      <c r="A137" s="70"/>
      <c r="B137" s="3"/>
      <c r="C137" s="3"/>
      <c r="D137" s="70"/>
      <c r="E137" s="70"/>
      <c r="F137" s="70"/>
      <c r="G137" s="70"/>
      <c r="H137" s="70"/>
      <c r="I137" s="70"/>
      <c r="J137" s="70"/>
      <c r="K137" s="70"/>
      <c r="M137" s="3"/>
      <c r="N137" s="3"/>
      <c r="O137" s="3"/>
      <c r="P137" s="3"/>
      <c r="R137" s="3"/>
      <c r="S137" s="3"/>
      <c r="T137" s="3"/>
      <c r="U137" s="3"/>
    </row>
    <row r="138">
      <c r="A138" s="70"/>
      <c r="B138" s="3"/>
      <c r="C138" s="3"/>
      <c r="D138" s="70"/>
      <c r="E138" s="70"/>
      <c r="F138" s="70"/>
      <c r="G138" s="70"/>
      <c r="H138" s="70"/>
      <c r="I138" s="70"/>
      <c r="J138" s="70"/>
      <c r="K138" s="70"/>
      <c r="M138" s="3"/>
      <c r="N138" s="3"/>
      <c r="O138" s="3"/>
      <c r="P138" s="3"/>
      <c r="R138" s="3"/>
      <c r="S138" s="3"/>
      <c r="T138" s="3"/>
      <c r="U138" s="3"/>
    </row>
    <row r="139">
      <c r="A139" s="70"/>
      <c r="B139" s="3"/>
      <c r="C139" s="3"/>
      <c r="D139" s="70"/>
      <c r="E139" s="70"/>
      <c r="F139" s="70"/>
      <c r="G139" s="70"/>
      <c r="H139" s="70"/>
      <c r="I139" s="70"/>
      <c r="J139" s="70"/>
      <c r="K139" s="70"/>
      <c r="M139" s="3"/>
      <c r="N139" s="3"/>
      <c r="O139" s="3"/>
      <c r="P139" s="3"/>
      <c r="R139" s="3"/>
      <c r="S139" s="3"/>
      <c r="T139" s="3"/>
      <c r="U139" s="3"/>
    </row>
    <row r="140">
      <c r="A140" s="70"/>
      <c r="B140" s="3"/>
      <c r="C140" s="3"/>
      <c r="D140" s="70"/>
      <c r="E140" s="70"/>
      <c r="F140" s="70"/>
      <c r="G140" s="70"/>
      <c r="H140" s="70"/>
      <c r="I140" s="70"/>
      <c r="J140" s="70"/>
      <c r="K140" s="70"/>
      <c r="M140" s="3"/>
      <c r="N140" s="3"/>
      <c r="O140" s="3"/>
      <c r="P140" s="3"/>
      <c r="R140" s="3"/>
      <c r="S140" s="3"/>
      <c r="T140" s="3"/>
      <c r="U140" s="3"/>
    </row>
    <row r="141">
      <c r="A141" s="70"/>
      <c r="B141" s="3"/>
      <c r="C141" s="3"/>
      <c r="D141" s="70"/>
      <c r="E141" s="70"/>
      <c r="F141" s="70"/>
      <c r="G141" s="70"/>
      <c r="H141" s="70"/>
      <c r="I141" s="70"/>
      <c r="J141" s="70"/>
      <c r="K141" s="70"/>
      <c r="M141" s="3"/>
      <c r="N141" s="3"/>
      <c r="O141" s="3"/>
      <c r="P141" s="3"/>
      <c r="R141" s="3"/>
      <c r="S141" s="3"/>
      <c r="T141" s="3"/>
      <c r="U141" s="3"/>
    </row>
    <row r="142">
      <c r="A142" s="70"/>
      <c r="B142" s="3"/>
      <c r="C142" s="3"/>
      <c r="D142" s="70"/>
      <c r="E142" s="70"/>
      <c r="F142" s="70"/>
      <c r="G142" s="70"/>
      <c r="H142" s="70"/>
      <c r="I142" s="70"/>
      <c r="J142" s="70"/>
      <c r="K142" s="70"/>
      <c r="M142" s="3"/>
      <c r="N142" s="3"/>
      <c r="O142" s="3"/>
      <c r="P142" s="3"/>
      <c r="R142" s="3"/>
      <c r="S142" s="3"/>
      <c r="T142" s="3"/>
      <c r="U142" s="3"/>
    </row>
    <row r="143">
      <c r="A143" s="70"/>
      <c r="B143" s="3"/>
      <c r="C143" s="3"/>
      <c r="D143" s="70"/>
      <c r="E143" s="70"/>
      <c r="F143" s="70"/>
      <c r="G143" s="70"/>
      <c r="H143" s="70"/>
      <c r="I143" s="70"/>
      <c r="J143" s="70"/>
      <c r="K143" s="70"/>
      <c r="M143" s="3"/>
      <c r="N143" s="3"/>
      <c r="O143" s="3"/>
      <c r="P143" s="3"/>
      <c r="R143" s="3"/>
      <c r="S143" s="3"/>
      <c r="T143" s="3"/>
      <c r="U143" s="3"/>
    </row>
    <row r="144">
      <c r="A144" s="70"/>
      <c r="B144" s="3"/>
      <c r="C144" s="3"/>
      <c r="D144" s="70"/>
      <c r="E144" s="70"/>
      <c r="F144" s="70"/>
      <c r="G144" s="70"/>
      <c r="H144" s="70"/>
      <c r="I144" s="70"/>
      <c r="J144" s="70"/>
      <c r="K144" s="70"/>
      <c r="M144" s="3"/>
      <c r="N144" s="3"/>
      <c r="O144" s="3"/>
      <c r="P144" s="3"/>
      <c r="R144" s="3"/>
      <c r="S144" s="3"/>
      <c r="T144" s="3"/>
      <c r="U144" s="3"/>
    </row>
    <row r="145">
      <c r="A145" s="70"/>
      <c r="B145" s="3"/>
      <c r="C145" s="3"/>
      <c r="D145" s="70"/>
      <c r="E145" s="70"/>
      <c r="F145" s="70"/>
      <c r="G145" s="70"/>
      <c r="H145" s="70"/>
      <c r="I145" s="70"/>
      <c r="J145" s="70"/>
      <c r="K145" s="70"/>
      <c r="M145" s="3"/>
      <c r="N145" s="3"/>
      <c r="O145" s="3"/>
      <c r="P145" s="3"/>
      <c r="R145" s="3"/>
      <c r="S145" s="3"/>
      <c r="T145" s="3"/>
      <c r="U145" s="3"/>
    </row>
    <row r="146">
      <c r="A146" s="70"/>
      <c r="B146" s="3"/>
      <c r="C146" s="3"/>
      <c r="D146" s="70"/>
      <c r="E146" s="70"/>
      <c r="F146" s="70"/>
      <c r="G146" s="70"/>
      <c r="H146" s="70"/>
      <c r="I146" s="70"/>
      <c r="J146" s="70"/>
      <c r="K146" s="70"/>
      <c r="M146" s="3"/>
      <c r="N146" s="3"/>
      <c r="O146" s="3"/>
      <c r="P146" s="3"/>
      <c r="R146" s="3"/>
      <c r="S146" s="3"/>
      <c r="T146" s="3"/>
      <c r="U146" s="3"/>
    </row>
    <row r="147">
      <c r="A147" s="70"/>
      <c r="B147" s="3"/>
      <c r="C147" s="3"/>
      <c r="D147" s="70"/>
      <c r="E147" s="70"/>
      <c r="F147" s="70"/>
      <c r="G147" s="70"/>
      <c r="H147" s="70"/>
      <c r="I147" s="70"/>
      <c r="J147" s="70"/>
      <c r="K147" s="70"/>
      <c r="M147" s="3"/>
      <c r="N147" s="3"/>
      <c r="O147" s="3"/>
      <c r="P147" s="3"/>
      <c r="R147" s="3"/>
      <c r="S147" s="3"/>
      <c r="T147" s="3"/>
      <c r="U147" s="3"/>
    </row>
    <row r="148">
      <c r="A148" s="70"/>
      <c r="B148" s="3"/>
      <c r="C148" s="3"/>
      <c r="D148" s="70"/>
      <c r="E148" s="70"/>
      <c r="F148" s="70"/>
      <c r="G148" s="70"/>
      <c r="H148" s="70"/>
      <c r="I148" s="70"/>
      <c r="J148" s="70"/>
      <c r="K148" s="70"/>
      <c r="M148" s="3"/>
      <c r="N148" s="3"/>
      <c r="O148" s="3"/>
      <c r="P148" s="3"/>
      <c r="R148" s="3"/>
      <c r="S148" s="3"/>
      <c r="T148" s="3"/>
      <c r="U148" s="3"/>
    </row>
    <row r="149">
      <c r="A149" s="70"/>
      <c r="B149" s="3"/>
      <c r="C149" s="3"/>
      <c r="D149" s="70"/>
      <c r="E149" s="70"/>
      <c r="F149" s="70"/>
      <c r="G149" s="70"/>
      <c r="H149" s="70"/>
      <c r="I149" s="70"/>
      <c r="J149" s="70"/>
      <c r="K149" s="70"/>
      <c r="M149" s="3"/>
      <c r="N149" s="3"/>
      <c r="O149" s="3"/>
      <c r="P149" s="3"/>
      <c r="R149" s="3"/>
      <c r="S149" s="3"/>
      <c r="T149" s="3"/>
      <c r="U149" s="3"/>
    </row>
    <row r="150">
      <c r="A150" s="70"/>
      <c r="B150" s="3"/>
      <c r="C150" s="3"/>
      <c r="D150" s="70"/>
      <c r="E150" s="70"/>
      <c r="F150" s="70"/>
      <c r="G150" s="70"/>
      <c r="H150" s="70"/>
      <c r="I150" s="70"/>
      <c r="J150" s="70"/>
      <c r="K150" s="70"/>
      <c r="M150" s="3"/>
      <c r="N150" s="3"/>
      <c r="O150" s="3"/>
      <c r="P150" s="3"/>
      <c r="R150" s="3"/>
      <c r="S150" s="3"/>
      <c r="T150" s="3"/>
      <c r="U150" s="3"/>
    </row>
    <row r="151">
      <c r="A151" s="70"/>
      <c r="B151" s="3"/>
      <c r="C151" s="3"/>
      <c r="D151" s="70"/>
      <c r="E151" s="70"/>
      <c r="F151" s="70"/>
      <c r="G151" s="70"/>
      <c r="H151" s="70"/>
      <c r="I151" s="70"/>
      <c r="J151" s="70"/>
      <c r="K151" s="70"/>
      <c r="M151" s="3"/>
      <c r="N151" s="3"/>
      <c r="O151" s="3"/>
      <c r="P151" s="3"/>
      <c r="R151" s="3"/>
      <c r="S151" s="3"/>
      <c r="T151" s="3"/>
      <c r="U151" s="3"/>
    </row>
    <row r="152">
      <c r="A152" s="70"/>
      <c r="B152" s="3"/>
      <c r="C152" s="3"/>
      <c r="D152" s="70"/>
      <c r="E152" s="70"/>
      <c r="F152" s="70"/>
      <c r="G152" s="70"/>
      <c r="H152" s="70"/>
      <c r="I152" s="70"/>
      <c r="J152" s="70"/>
      <c r="K152" s="70"/>
      <c r="M152" s="3"/>
      <c r="N152" s="3"/>
      <c r="O152" s="3"/>
      <c r="P152" s="3"/>
      <c r="R152" s="3"/>
      <c r="S152" s="3"/>
      <c r="T152" s="3"/>
      <c r="U152" s="3"/>
    </row>
    <row r="153">
      <c r="A153" s="70"/>
      <c r="B153" s="3"/>
      <c r="C153" s="3"/>
      <c r="D153" s="70"/>
      <c r="E153" s="70"/>
      <c r="F153" s="70"/>
      <c r="G153" s="70"/>
      <c r="H153" s="70"/>
      <c r="I153" s="70"/>
      <c r="J153" s="70"/>
      <c r="K153" s="70"/>
      <c r="M153" s="3"/>
      <c r="N153" s="3"/>
      <c r="O153" s="3"/>
      <c r="P153" s="3"/>
      <c r="R153" s="3"/>
      <c r="S153" s="3"/>
      <c r="T153" s="3"/>
      <c r="U153" s="3"/>
    </row>
    <row r="154">
      <c r="A154" s="70"/>
      <c r="B154" s="3"/>
      <c r="C154" s="3"/>
      <c r="D154" s="70"/>
      <c r="E154" s="70"/>
      <c r="F154" s="70"/>
      <c r="G154" s="70"/>
      <c r="H154" s="70"/>
      <c r="I154" s="70"/>
      <c r="J154" s="70"/>
      <c r="K154" s="70"/>
      <c r="M154" s="3"/>
      <c r="N154" s="3"/>
      <c r="O154" s="3"/>
      <c r="P154" s="3"/>
      <c r="R154" s="3"/>
      <c r="S154" s="3"/>
      <c r="T154" s="3"/>
      <c r="U154" s="3"/>
    </row>
    <row r="155">
      <c r="A155" s="70"/>
      <c r="B155" s="3"/>
      <c r="C155" s="3"/>
      <c r="D155" s="70"/>
      <c r="E155" s="70"/>
      <c r="F155" s="70"/>
      <c r="G155" s="70"/>
      <c r="H155" s="70"/>
      <c r="I155" s="70"/>
      <c r="J155" s="70"/>
      <c r="K155" s="70"/>
      <c r="M155" s="3"/>
      <c r="N155" s="3"/>
      <c r="O155" s="3"/>
      <c r="P155" s="3"/>
      <c r="R155" s="3"/>
      <c r="S155" s="3"/>
      <c r="T155" s="3"/>
      <c r="U155" s="3"/>
    </row>
    <row r="156">
      <c r="A156" s="70"/>
      <c r="B156" s="3"/>
      <c r="C156" s="3"/>
      <c r="D156" s="70"/>
      <c r="E156" s="70"/>
      <c r="F156" s="70"/>
      <c r="G156" s="70"/>
      <c r="H156" s="70"/>
      <c r="I156" s="70"/>
      <c r="J156" s="70"/>
      <c r="K156" s="70"/>
      <c r="M156" s="3"/>
      <c r="N156" s="3"/>
      <c r="O156" s="3"/>
      <c r="P156" s="3"/>
      <c r="R156" s="3"/>
      <c r="S156" s="3"/>
      <c r="T156" s="3"/>
      <c r="U156" s="3"/>
    </row>
    <row r="157">
      <c r="A157" s="70"/>
      <c r="B157" s="3"/>
      <c r="C157" s="3"/>
      <c r="D157" s="70"/>
      <c r="E157" s="70"/>
      <c r="F157" s="70"/>
      <c r="G157" s="70"/>
      <c r="H157" s="70"/>
      <c r="I157" s="70"/>
      <c r="J157" s="70"/>
      <c r="K157" s="70"/>
      <c r="M157" s="3"/>
      <c r="N157" s="3"/>
      <c r="O157" s="3"/>
      <c r="P157" s="3"/>
      <c r="R157" s="3"/>
      <c r="S157" s="3"/>
      <c r="T157" s="3"/>
      <c r="U157" s="3"/>
    </row>
    <row r="158">
      <c r="A158" s="70"/>
      <c r="B158" s="3"/>
      <c r="C158" s="3"/>
      <c r="D158" s="70"/>
      <c r="E158" s="70"/>
      <c r="F158" s="70"/>
      <c r="G158" s="70"/>
      <c r="H158" s="70"/>
      <c r="I158" s="70"/>
      <c r="J158" s="70"/>
      <c r="K158" s="70"/>
      <c r="M158" s="3"/>
      <c r="N158" s="3"/>
      <c r="O158" s="3"/>
      <c r="P158" s="3"/>
      <c r="R158" s="3"/>
      <c r="S158" s="3"/>
      <c r="T158" s="3"/>
      <c r="U158" s="3"/>
    </row>
    <row r="159">
      <c r="A159" s="70"/>
      <c r="B159" s="3"/>
      <c r="C159" s="3"/>
      <c r="D159" s="70"/>
      <c r="E159" s="70"/>
      <c r="F159" s="70"/>
      <c r="G159" s="70"/>
      <c r="H159" s="70"/>
      <c r="I159" s="70"/>
      <c r="J159" s="70"/>
      <c r="K159" s="70"/>
      <c r="M159" s="3"/>
      <c r="N159" s="3"/>
      <c r="O159" s="3"/>
      <c r="P159" s="3"/>
      <c r="R159" s="3"/>
      <c r="S159" s="3"/>
      <c r="T159" s="3"/>
      <c r="U159" s="3"/>
    </row>
    <row r="160">
      <c r="A160" s="70"/>
      <c r="B160" s="3"/>
      <c r="C160" s="3"/>
      <c r="D160" s="70"/>
      <c r="E160" s="70"/>
      <c r="F160" s="70"/>
      <c r="G160" s="70"/>
      <c r="H160" s="70"/>
      <c r="I160" s="70"/>
      <c r="J160" s="70"/>
      <c r="K160" s="70"/>
      <c r="M160" s="3"/>
      <c r="N160" s="3"/>
      <c r="O160" s="3"/>
      <c r="P160" s="3"/>
      <c r="R160" s="3"/>
      <c r="S160" s="3"/>
      <c r="T160" s="3"/>
      <c r="U160" s="3"/>
    </row>
    <row r="161">
      <c r="A161" s="70"/>
      <c r="B161" s="3"/>
      <c r="C161" s="3"/>
      <c r="D161" s="70"/>
      <c r="E161" s="70"/>
      <c r="F161" s="70"/>
      <c r="G161" s="70"/>
      <c r="H161" s="70"/>
      <c r="I161" s="70"/>
      <c r="J161" s="70"/>
      <c r="K161" s="70"/>
      <c r="M161" s="3"/>
      <c r="N161" s="3"/>
      <c r="O161" s="3"/>
      <c r="P161" s="3"/>
      <c r="R161" s="3"/>
      <c r="S161" s="3"/>
      <c r="T161" s="3"/>
      <c r="U161" s="3"/>
    </row>
    <row r="162">
      <c r="A162" s="70"/>
      <c r="B162" s="3"/>
      <c r="C162" s="3"/>
      <c r="D162" s="70"/>
      <c r="E162" s="70"/>
      <c r="F162" s="70"/>
      <c r="G162" s="70"/>
      <c r="H162" s="70"/>
      <c r="I162" s="70"/>
      <c r="J162" s="70"/>
      <c r="K162" s="70"/>
      <c r="M162" s="3"/>
      <c r="N162" s="3"/>
      <c r="O162" s="3"/>
      <c r="P162" s="3"/>
      <c r="R162" s="3"/>
      <c r="S162" s="3"/>
      <c r="T162" s="3"/>
      <c r="U162" s="3"/>
    </row>
    <row r="163">
      <c r="A163" s="70"/>
      <c r="B163" s="3"/>
      <c r="C163" s="3"/>
      <c r="D163" s="70"/>
      <c r="E163" s="70"/>
      <c r="F163" s="70"/>
      <c r="G163" s="70"/>
      <c r="H163" s="70"/>
      <c r="I163" s="70"/>
      <c r="J163" s="70"/>
      <c r="K163" s="70"/>
      <c r="M163" s="3"/>
      <c r="N163" s="3"/>
      <c r="O163" s="3"/>
      <c r="P163" s="3"/>
      <c r="R163" s="3"/>
      <c r="S163" s="3"/>
      <c r="T163" s="3"/>
      <c r="U163" s="3"/>
    </row>
    <row r="164">
      <c r="A164" s="70"/>
      <c r="B164" s="3"/>
      <c r="C164" s="3"/>
      <c r="D164" s="70"/>
      <c r="E164" s="70"/>
      <c r="F164" s="70"/>
      <c r="G164" s="70"/>
      <c r="H164" s="70"/>
      <c r="I164" s="70"/>
      <c r="J164" s="70"/>
      <c r="K164" s="70"/>
      <c r="M164" s="3"/>
      <c r="N164" s="3"/>
      <c r="O164" s="3"/>
      <c r="P164" s="3"/>
      <c r="R164" s="3"/>
      <c r="S164" s="3"/>
      <c r="T164" s="3"/>
      <c r="U164" s="3"/>
    </row>
    <row r="165">
      <c r="A165" s="70"/>
      <c r="B165" s="3"/>
      <c r="C165" s="3"/>
      <c r="D165" s="70"/>
      <c r="E165" s="70"/>
      <c r="F165" s="70"/>
      <c r="G165" s="70"/>
      <c r="H165" s="70"/>
      <c r="I165" s="70"/>
      <c r="J165" s="70"/>
      <c r="K165" s="70"/>
      <c r="M165" s="3"/>
      <c r="N165" s="3"/>
      <c r="O165" s="3"/>
      <c r="P165" s="3"/>
      <c r="R165" s="3"/>
      <c r="S165" s="3"/>
      <c r="T165" s="3"/>
      <c r="U165" s="3"/>
    </row>
    <row r="166">
      <c r="A166" s="70"/>
      <c r="B166" s="3"/>
      <c r="C166" s="3"/>
      <c r="D166" s="70"/>
      <c r="E166" s="70"/>
      <c r="F166" s="70"/>
      <c r="G166" s="70"/>
      <c r="H166" s="70"/>
      <c r="I166" s="70"/>
      <c r="J166" s="70"/>
      <c r="K166" s="70"/>
      <c r="M166" s="3"/>
      <c r="N166" s="3"/>
      <c r="O166" s="3"/>
      <c r="P166" s="3"/>
      <c r="R166" s="3"/>
      <c r="S166" s="3"/>
      <c r="T166" s="3"/>
      <c r="U166" s="3"/>
    </row>
    <row r="167">
      <c r="A167" s="70"/>
      <c r="B167" s="3"/>
      <c r="C167" s="3"/>
      <c r="D167" s="70"/>
      <c r="E167" s="70"/>
      <c r="F167" s="70"/>
      <c r="G167" s="70"/>
      <c r="H167" s="70"/>
      <c r="I167" s="70"/>
      <c r="J167" s="70"/>
      <c r="K167" s="70"/>
      <c r="M167" s="3"/>
      <c r="N167" s="3"/>
      <c r="O167" s="3"/>
      <c r="P167" s="3"/>
      <c r="R167" s="3"/>
      <c r="S167" s="3"/>
      <c r="T167" s="3"/>
      <c r="U167" s="3"/>
    </row>
    <row r="168">
      <c r="A168" s="70"/>
      <c r="B168" s="3"/>
      <c r="C168" s="3"/>
      <c r="D168" s="70"/>
      <c r="E168" s="70"/>
      <c r="F168" s="70"/>
      <c r="G168" s="70"/>
      <c r="H168" s="70"/>
      <c r="I168" s="70"/>
      <c r="J168" s="70"/>
      <c r="K168" s="70"/>
      <c r="M168" s="3"/>
      <c r="N168" s="3"/>
      <c r="O168" s="3"/>
      <c r="P168" s="3"/>
      <c r="R168" s="3"/>
      <c r="S168" s="3"/>
      <c r="T168" s="3"/>
      <c r="U168" s="3"/>
    </row>
    <row r="169">
      <c r="A169" s="70"/>
      <c r="B169" s="3"/>
      <c r="C169" s="3"/>
      <c r="D169" s="70"/>
      <c r="E169" s="70"/>
      <c r="F169" s="70"/>
      <c r="G169" s="70"/>
      <c r="H169" s="70"/>
      <c r="I169" s="70"/>
      <c r="J169" s="70"/>
      <c r="K169" s="70"/>
      <c r="M169" s="3"/>
      <c r="N169" s="3"/>
      <c r="O169" s="3"/>
      <c r="P169" s="3"/>
      <c r="R169" s="3"/>
      <c r="S169" s="3"/>
      <c r="T169" s="3"/>
      <c r="U169" s="3"/>
    </row>
    <row r="170">
      <c r="A170" s="70"/>
      <c r="B170" s="3"/>
      <c r="C170" s="3"/>
      <c r="D170" s="70"/>
      <c r="E170" s="70"/>
      <c r="F170" s="70"/>
      <c r="G170" s="70"/>
      <c r="H170" s="70"/>
      <c r="I170" s="70"/>
      <c r="J170" s="70"/>
      <c r="K170" s="70"/>
      <c r="M170" s="3"/>
      <c r="N170" s="3"/>
      <c r="O170" s="3"/>
      <c r="P170" s="3"/>
      <c r="R170" s="3"/>
      <c r="S170" s="3"/>
      <c r="T170" s="3"/>
      <c r="U170" s="3"/>
    </row>
    <row r="171">
      <c r="A171" s="70"/>
      <c r="B171" s="3"/>
      <c r="C171" s="3"/>
      <c r="D171" s="70"/>
      <c r="E171" s="70"/>
      <c r="F171" s="70"/>
      <c r="G171" s="70"/>
      <c r="H171" s="70"/>
      <c r="I171" s="70"/>
      <c r="J171" s="70"/>
      <c r="K171" s="70"/>
      <c r="M171" s="3"/>
      <c r="N171" s="3"/>
      <c r="O171" s="3"/>
      <c r="P171" s="3"/>
      <c r="R171" s="3"/>
      <c r="S171" s="3"/>
      <c r="T171" s="3"/>
      <c r="U171" s="3"/>
    </row>
    <row r="172">
      <c r="A172" s="70"/>
      <c r="B172" s="3"/>
      <c r="C172" s="3"/>
      <c r="D172" s="70"/>
      <c r="E172" s="70"/>
      <c r="F172" s="70"/>
      <c r="G172" s="70"/>
      <c r="H172" s="70"/>
      <c r="I172" s="70"/>
      <c r="J172" s="70"/>
      <c r="K172" s="70"/>
      <c r="M172" s="3"/>
      <c r="N172" s="3"/>
      <c r="O172" s="3"/>
      <c r="P172" s="3"/>
      <c r="R172" s="3"/>
      <c r="S172" s="3"/>
      <c r="T172" s="3"/>
      <c r="U172" s="3"/>
    </row>
    <row r="173">
      <c r="A173" s="70"/>
      <c r="B173" s="3"/>
      <c r="C173" s="3"/>
      <c r="D173" s="70"/>
      <c r="E173" s="70"/>
      <c r="F173" s="70"/>
      <c r="G173" s="70"/>
      <c r="H173" s="70"/>
      <c r="I173" s="70"/>
      <c r="J173" s="70"/>
      <c r="K173" s="70"/>
      <c r="M173" s="3"/>
      <c r="N173" s="3"/>
      <c r="O173" s="3"/>
      <c r="P173" s="3"/>
      <c r="R173" s="3"/>
      <c r="S173" s="3"/>
      <c r="T173" s="3"/>
      <c r="U173" s="3"/>
    </row>
    <row r="174">
      <c r="A174" s="70"/>
      <c r="B174" s="3"/>
      <c r="C174" s="3"/>
      <c r="D174" s="70"/>
      <c r="E174" s="70"/>
      <c r="F174" s="70"/>
      <c r="G174" s="70"/>
      <c r="H174" s="70"/>
      <c r="I174" s="70"/>
      <c r="J174" s="70"/>
      <c r="K174" s="70"/>
      <c r="M174" s="3"/>
      <c r="N174" s="3"/>
      <c r="O174" s="3"/>
      <c r="P174" s="3"/>
      <c r="R174" s="3"/>
      <c r="S174" s="3"/>
      <c r="T174" s="3"/>
      <c r="U174" s="3"/>
    </row>
    <row r="175">
      <c r="A175" s="70"/>
      <c r="B175" s="3"/>
      <c r="C175" s="3"/>
      <c r="D175" s="70"/>
      <c r="E175" s="70"/>
      <c r="F175" s="70"/>
      <c r="G175" s="70"/>
      <c r="H175" s="70"/>
      <c r="I175" s="70"/>
      <c r="J175" s="70"/>
      <c r="K175" s="70"/>
      <c r="M175" s="3"/>
      <c r="N175" s="3"/>
      <c r="O175" s="3"/>
      <c r="P175" s="3"/>
      <c r="R175" s="3"/>
      <c r="S175" s="3"/>
      <c r="T175" s="3"/>
      <c r="U175" s="3"/>
    </row>
    <row r="176">
      <c r="A176" s="70"/>
      <c r="B176" s="3"/>
      <c r="C176" s="3"/>
      <c r="D176" s="70"/>
      <c r="E176" s="70"/>
      <c r="F176" s="70"/>
      <c r="G176" s="70"/>
      <c r="H176" s="70"/>
      <c r="I176" s="70"/>
      <c r="J176" s="70"/>
      <c r="K176" s="70"/>
      <c r="M176" s="3"/>
      <c r="N176" s="3"/>
      <c r="O176" s="3"/>
      <c r="P176" s="3"/>
      <c r="R176" s="3"/>
      <c r="S176" s="3"/>
      <c r="T176" s="3"/>
      <c r="U176" s="3"/>
    </row>
    <row r="177">
      <c r="A177" s="70"/>
      <c r="B177" s="3"/>
      <c r="C177" s="3"/>
      <c r="D177" s="70"/>
      <c r="E177" s="70"/>
      <c r="F177" s="70"/>
      <c r="G177" s="70"/>
      <c r="H177" s="70"/>
      <c r="I177" s="70"/>
      <c r="J177" s="70"/>
      <c r="K177" s="70"/>
      <c r="M177" s="3"/>
      <c r="N177" s="3"/>
      <c r="O177" s="3"/>
      <c r="P177" s="3"/>
      <c r="R177" s="3"/>
      <c r="S177" s="3"/>
      <c r="T177" s="3"/>
      <c r="U177" s="3"/>
    </row>
    <row r="178">
      <c r="A178" s="70"/>
      <c r="B178" s="3"/>
      <c r="C178" s="3"/>
      <c r="D178" s="70"/>
      <c r="E178" s="70"/>
      <c r="F178" s="70"/>
      <c r="G178" s="70"/>
      <c r="H178" s="70"/>
      <c r="I178" s="70"/>
      <c r="J178" s="70"/>
      <c r="K178" s="70"/>
      <c r="M178" s="3"/>
      <c r="N178" s="3"/>
      <c r="O178" s="3"/>
      <c r="P178" s="3"/>
      <c r="R178" s="3"/>
      <c r="S178" s="3"/>
      <c r="T178" s="3"/>
      <c r="U178" s="3"/>
    </row>
    <row r="179">
      <c r="A179" s="70"/>
      <c r="B179" s="3"/>
      <c r="C179" s="3"/>
      <c r="D179" s="70"/>
      <c r="E179" s="70"/>
      <c r="F179" s="70"/>
      <c r="G179" s="70"/>
      <c r="H179" s="70"/>
      <c r="I179" s="70"/>
      <c r="J179" s="70"/>
      <c r="K179" s="70"/>
      <c r="M179" s="3"/>
      <c r="N179" s="3"/>
      <c r="O179" s="3"/>
      <c r="P179" s="3"/>
      <c r="R179" s="3"/>
      <c r="S179" s="3"/>
      <c r="T179" s="3"/>
      <c r="U179" s="3"/>
    </row>
    <row r="180">
      <c r="A180" s="70"/>
      <c r="B180" s="3"/>
      <c r="C180" s="3"/>
      <c r="D180" s="70"/>
      <c r="E180" s="70"/>
      <c r="F180" s="70"/>
      <c r="G180" s="70"/>
      <c r="H180" s="70"/>
      <c r="I180" s="70"/>
      <c r="J180" s="70"/>
      <c r="K180" s="70"/>
      <c r="M180" s="3"/>
      <c r="N180" s="3"/>
      <c r="O180" s="3"/>
      <c r="P180" s="3"/>
      <c r="R180" s="3"/>
      <c r="S180" s="3"/>
      <c r="T180" s="3"/>
      <c r="U180" s="3"/>
    </row>
    <row r="181">
      <c r="A181" s="70"/>
      <c r="B181" s="3"/>
      <c r="C181" s="3"/>
      <c r="D181" s="70"/>
      <c r="E181" s="70"/>
      <c r="F181" s="70"/>
      <c r="G181" s="70"/>
      <c r="H181" s="70"/>
      <c r="I181" s="70"/>
      <c r="J181" s="70"/>
      <c r="K181" s="70"/>
      <c r="M181" s="3"/>
      <c r="N181" s="3"/>
      <c r="O181" s="3"/>
      <c r="P181" s="3"/>
      <c r="R181" s="3"/>
      <c r="S181" s="3"/>
      <c r="T181" s="3"/>
      <c r="U181" s="3"/>
    </row>
    <row r="182">
      <c r="A182" s="70"/>
      <c r="B182" s="3"/>
      <c r="C182" s="3"/>
      <c r="D182" s="70"/>
      <c r="E182" s="70"/>
      <c r="F182" s="70"/>
      <c r="G182" s="70"/>
      <c r="H182" s="70"/>
      <c r="I182" s="70"/>
      <c r="J182" s="70"/>
      <c r="K182" s="70"/>
      <c r="M182" s="3"/>
      <c r="N182" s="3"/>
      <c r="O182" s="3"/>
      <c r="P182" s="3"/>
      <c r="R182" s="3"/>
      <c r="S182" s="3"/>
      <c r="T182" s="3"/>
      <c r="U182" s="3"/>
    </row>
    <row r="183">
      <c r="A183" s="70"/>
      <c r="B183" s="3"/>
      <c r="C183" s="3"/>
      <c r="D183" s="70"/>
      <c r="E183" s="70"/>
      <c r="F183" s="70"/>
      <c r="G183" s="70"/>
      <c r="H183" s="70"/>
      <c r="I183" s="70"/>
      <c r="J183" s="70"/>
      <c r="K183" s="70"/>
      <c r="M183" s="3"/>
      <c r="N183" s="3"/>
      <c r="O183" s="3"/>
      <c r="P183" s="3"/>
      <c r="R183" s="3"/>
      <c r="S183" s="3"/>
      <c r="T183" s="3"/>
      <c r="U183" s="3"/>
    </row>
    <row r="184">
      <c r="A184" s="70"/>
      <c r="B184" s="3"/>
      <c r="C184" s="3"/>
      <c r="D184" s="70"/>
      <c r="E184" s="70"/>
      <c r="F184" s="70"/>
      <c r="G184" s="70"/>
      <c r="H184" s="70"/>
      <c r="I184" s="70"/>
      <c r="J184" s="70"/>
      <c r="K184" s="70"/>
      <c r="M184" s="3"/>
      <c r="N184" s="3"/>
      <c r="O184" s="3"/>
      <c r="P184" s="3"/>
      <c r="R184" s="3"/>
      <c r="S184" s="3"/>
      <c r="T184" s="3"/>
      <c r="U184" s="3"/>
    </row>
    <row r="185">
      <c r="A185" s="70"/>
      <c r="B185" s="3"/>
      <c r="C185" s="3"/>
      <c r="D185" s="70"/>
      <c r="E185" s="70"/>
      <c r="F185" s="70"/>
      <c r="G185" s="70"/>
      <c r="H185" s="70"/>
      <c r="I185" s="70"/>
      <c r="J185" s="70"/>
      <c r="K185" s="70"/>
      <c r="M185" s="3"/>
      <c r="N185" s="3"/>
      <c r="O185" s="3"/>
      <c r="P185" s="3"/>
      <c r="R185" s="3"/>
      <c r="S185" s="3"/>
      <c r="T185" s="3"/>
      <c r="U185" s="3"/>
    </row>
    <row r="186">
      <c r="A186" s="70"/>
      <c r="B186" s="3"/>
      <c r="C186" s="3"/>
      <c r="D186" s="70"/>
      <c r="E186" s="70"/>
      <c r="F186" s="70"/>
      <c r="G186" s="70"/>
      <c r="H186" s="70"/>
      <c r="I186" s="70"/>
      <c r="J186" s="70"/>
      <c r="K186" s="70"/>
      <c r="M186" s="3"/>
      <c r="N186" s="3"/>
      <c r="O186" s="3"/>
      <c r="P186" s="3"/>
      <c r="R186" s="3"/>
      <c r="S186" s="3"/>
      <c r="T186" s="3"/>
      <c r="U186" s="3"/>
    </row>
    <row r="187">
      <c r="A187" s="70"/>
      <c r="B187" s="3"/>
      <c r="C187" s="3"/>
      <c r="D187" s="70"/>
      <c r="E187" s="70"/>
      <c r="F187" s="70"/>
      <c r="G187" s="70"/>
      <c r="H187" s="70"/>
      <c r="I187" s="70"/>
      <c r="J187" s="70"/>
      <c r="K187" s="70"/>
      <c r="M187" s="3"/>
      <c r="N187" s="3"/>
      <c r="O187" s="3"/>
      <c r="P187" s="3"/>
      <c r="R187" s="3"/>
      <c r="S187" s="3"/>
      <c r="T187" s="3"/>
      <c r="U187" s="3"/>
    </row>
    <row r="188">
      <c r="A188" s="70"/>
      <c r="B188" s="3"/>
      <c r="C188" s="3"/>
      <c r="D188" s="70"/>
      <c r="E188" s="70"/>
      <c r="F188" s="70"/>
      <c r="G188" s="70"/>
      <c r="H188" s="70"/>
      <c r="I188" s="70"/>
      <c r="J188" s="70"/>
      <c r="K188" s="70"/>
      <c r="M188" s="3"/>
      <c r="N188" s="3"/>
      <c r="O188" s="3"/>
      <c r="P188" s="3"/>
      <c r="R188" s="3"/>
      <c r="S188" s="3"/>
      <c r="T188" s="3"/>
      <c r="U188" s="3"/>
    </row>
    <row r="189">
      <c r="A189" s="70"/>
      <c r="B189" s="3"/>
      <c r="C189" s="3"/>
      <c r="D189" s="70"/>
      <c r="E189" s="70"/>
      <c r="F189" s="70"/>
      <c r="G189" s="70"/>
      <c r="H189" s="70"/>
      <c r="I189" s="70"/>
      <c r="J189" s="70"/>
      <c r="K189" s="70"/>
      <c r="M189" s="3"/>
      <c r="N189" s="3"/>
      <c r="O189" s="3"/>
      <c r="P189" s="3"/>
      <c r="R189" s="3"/>
      <c r="S189" s="3"/>
      <c r="T189" s="3"/>
      <c r="U189" s="3"/>
    </row>
    <row r="190">
      <c r="A190" s="70"/>
      <c r="B190" s="3"/>
      <c r="C190" s="3"/>
      <c r="D190" s="70"/>
      <c r="E190" s="70"/>
      <c r="F190" s="70"/>
      <c r="G190" s="70"/>
      <c r="H190" s="70"/>
      <c r="I190" s="70"/>
      <c r="J190" s="70"/>
      <c r="K190" s="70"/>
      <c r="M190" s="3"/>
      <c r="N190" s="3"/>
      <c r="O190" s="3"/>
      <c r="P190" s="3"/>
      <c r="R190" s="3"/>
      <c r="S190" s="3"/>
      <c r="T190" s="3"/>
      <c r="U190" s="3"/>
    </row>
    <row r="191">
      <c r="A191" s="70"/>
      <c r="B191" s="3"/>
      <c r="C191" s="3"/>
      <c r="D191" s="70"/>
      <c r="E191" s="70"/>
      <c r="F191" s="70"/>
      <c r="G191" s="70"/>
      <c r="H191" s="70"/>
      <c r="I191" s="70"/>
      <c r="J191" s="70"/>
      <c r="K191" s="70"/>
      <c r="M191" s="3"/>
      <c r="N191" s="3"/>
      <c r="O191" s="3"/>
      <c r="P191" s="3"/>
      <c r="R191" s="3"/>
      <c r="S191" s="3"/>
      <c r="T191" s="3"/>
      <c r="U191" s="3"/>
    </row>
    <row r="192">
      <c r="A192" s="70"/>
      <c r="B192" s="3"/>
      <c r="C192" s="3"/>
      <c r="D192" s="70"/>
      <c r="E192" s="70"/>
      <c r="F192" s="70"/>
      <c r="G192" s="70"/>
      <c r="H192" s="70"/>
      <c r="I192" s="70"/>
      <c r="J192" s="70"/>
      <c r="K192" s="70"/>
      <c r="M192" s="3"/>
      <c r="N192" s="3"/>
      <c r="O192" s="3"/>
      <c r="P192" s="3"/>
      <c r="R192" s="3"/>
      <c r="S192" s="3"/>
      <c r="T192" s="3"/>
      <c r="U192" s="3"/>
    </row>
    <row r="193">
      <c r="A193" s="70"/>
      <c r="B193" s="3"/>
      <c r="C193" s="3"/>
      <c r="D193" s="70"/>
      <c r="E193" s="70"/>
      <c r="F193" s="70"/>
      <c r="G193" s="70"/>
      <c r="H193" s="70"/>
      <c r="I193" s="70"/>
      <c r="J193" s="70"/>
      <c r="K193" s="70"/>
      <c r="M193" s="3"/>
      <c r="N193" s="3"/>
      <c r="O193" s="3"/>
      <c r="P193" s="3"/>
      <c r="R193" s="3"/>
      <c r="S193" s="3"/>
      <c r="T193" s="3"/>
      <c r="U193" s="3"/>
    </row>
    <row r="194">
      <c r="A194" s="70"/>
      <c r="B194" s="3"/>
      <c r="C194" s="3"/>
      <c r="D194" s="70"/>
      <c r="E194" s="70"/>
      <c r="F194" s="70"/>
      <c r="G194" s="70"/>
      <c r="H194" s="70"/>
      <c r="I194" s="70"/>
      <c r="J194" s="70"/>
      <c r="K194" s="70"/>
      <c r="M194" s="3"/>
      <c r="N194" s="3"/>
      <c r="O194" s="3"/>
      <c r="P194" s="3"/>
      <c r="R194" s="3"/>
      <c r="S194" s="3"/>
      <c r="T194" s="3"/>
      <c r="U194" s="3"/>
    </row>
    <row r="195">
      <c r="A195" s="70"/>
      <c r="B195" s="3"/>
      <c r="C195" s="3"/>
      <c r="D195" s="70"/>
      <c r="E195" s="70"/>
      <c r="F195" s="70"/>
      <c r="G195" s="70"/>
      <c r="H195" s="70"/>
      <c r="I195" s="70"/>
      <c r="J195" s="70"/>
      <c r="K195" s="70"/>
      <c r="M195" s="3"/>
      <c r="N195" s="3"/>
      <c r="O195" s="3"/>
      <c r="P195" s="3"/>
      <c r="R195" s="3"/>
      <c r="S195" s="3"/>
      <c r="T195" s="3"/>
      <c r="U195" s="3"/>
    </row>
    <row r="196">
      <c r="A196" s="70"/>
      <c r="B196" s="3"/>
      <c r="C196" s="3"/>
      <c r="D196" s="70"/>
      <c r="E196" s="70"/>
      <c r="F196" s="70"/>
      <c r="G196" s="70"/>
      <c r="H196" s="70"/>
      <c r="I196" s="70"/>
      <c r="J196" s="70"/>
      <c r="K196" s="70"/>
      <c r="M196" s="3"/>
      <c r="N196" s="3"/>
      <c r="O196" s="3"/>
      <c r="P196" s="3"/>
      <c r="R196" s="3"/>
      <c r="S196" s="3"/>
      <c r="T196" s="3"/>
      <c r="U196" s="3"/>
    </row>
    <row r="197">
      <c r="A197" s="70"/>
      <c r="B197" s="3"/>
      <c r="C197" s="3"/>
      <c r="D197" s="70"/>
      <c r="E197" s="70"/>
      <c r="F197" s="70"/>
      <c r="G197" s="70"/>
      <c r="H197" s="70"/>
      <c r="I197" s="70"/>
      <c r="J197" s="70"/>
      <c r="K197" s="70"/>
      <c r="M197" s="3"/>
      <c r="N197" s="3"/>
      <c r="O197" s="3"/>
      <c r="P197" s="3"/>
      <c r="R197" s="3"/>
      <c r="S197" s="3"/>
      <c r="T197" s="3"/>
      <c r="U197" s="3"/>
    </row>
    <row r="198">
      <c r="A198" s="70"/>
      <c r="B198" s="3"/>
      <c r="C198" s="3"/>
      <c r="D198" s="70"/>
      <c r="E198" s="70"/>
      <c r="F198" s="70"/>
      <c r="G198" s="70"/>
      <c r="H198" s="70"/>
      <c r="I198" s="70"/>
      <c r="J198" s="70"/>
      <c r="K198" s="70"/>
      <c r="M198" s="3"/>
      <c r="N198" s="3"/>
      <c r="O198" s="3"/>
      <c r="P198" s="3"/>
      <c r="R198" s="3"/>
      <c r="S198" s="3"/>
      <c r="T198" s="3"/>
      <c r="U198" s="3"/>
    </row>
    <row r="199">
      <c r="A199" s="70"/>
      <c r="B199" s="3"/>
      <c r="C199" s="3"/>
      <c r="D199" s="70"/>
      <c r="E199" s="70"/>
      <c r="F199" s="70"/>
      <c r="G199" s="70"/>
      <c r="H199" s="70"/>
      <c r="I199" s="70"/>
      <c r="J199" s="70"/>
      <c r="K199" s="70"/>
      <c r="M199" s="3"/>
      <c r="N199" s="3"/>
      <c r="O199" s="3"/>
      <c r="P199" s="3"/>
      <c r="R199" s="3"/>
      <c r="S199" s="3"/>
      <c r="T199" s="3"/>
      <c r="U199" s="3"/>
    </row>
    <row r="200">
      <c r="A200" s="70"/>
      <c r="B200" s="3"/>
      <c r="C200" s="3"/>
      <c r="D200" s="70"/>
      <c r="E200" s="70"/>
      <c r="F200" s="70"/>
      <c r="G200" s="70"/>
      <c r="H200" s="70"/>
      <c r="I200" s="70"/>
      <c r="J200" s="70"/>
      <c r="K200" s="70"/>
      <c r="M200" s="3"/>
      <c r="N200" s="3"/>
      <c r="O200" s="3"/>
      <c r="P200" s="3"/>
      <c r="R200" s="3"/>
      <c r="S200" s="3"/>
      <c r="T200" s="3"/>
      <c r="U200" s="3"/>
    </row>
    <row r="201">
      <c r="A201" s="70"/>
      <c r="B201" s="3"/>
      <c r="C201" s="3"/>
      <c r="D201" s="70"/>
      <c r="E201" s="70"/>
      <c r="F201" s="70"/>
      <c r="G201" s="70"/>
      <c r="H201" s="70"/>
      <c r="I201" s="70"/>
      <c r="J201" s="70"/>
      <c r="K201" s="70"/>
      <c r="M201" s="3"/>
      <c r="N201" s="3"/>
      <c r="O201" s="3"/>
      <c r="P201" s="3"/>
      <c r="R201" s="3"/>
      <c r="S201" s="3"/>
      <c r="T201" s="3"/>
      <c r="U201" s="3"/>
    </row>
    <row r="202">
      <c r="A202" s="70"/>
      <c r="B202" s="3"/>
      <c r="C202" s="3"/>
      <c r="D202" s="70"/>
      <c r="E202" s="70"/>
      <c r="F202" s="70"/>
      <c r="G202" s="70"/>
      <c r="H202" s="70"/>
      <c r="I202" s="70"/>
      <c r="J202" s="70"/>
      <c r="K202" s="70"/>
      <c r="M202" s="3"/>
      <c r="N202" s="3"/>
      <c r="O202" s="3"/>
      <c r="P202" s="3"/>
      <c r="R202" s="3"/>
      <c r="S202" s="3"/>
      <c r="T202" s="3"/>
      <c r="U202" s="3"/>
    </row>
    <row r="203">
      <c r="A203" s="70"/>
      <c r="B203" s="3"/>
      <c r="C203" s="3"/>
      <c r="D203" s="70"/>
      <c r="E203" s="70"/>
      <c r="F203" s="70"/>
      <c r="G203" s="70"/>
      <c r="H203" s="70"/>
      <c r="I203" s="70"/>
      <c r="J203" s="70"/>
      <c r="K203" s="70"/>
      <c r="M203" s="3"/>
      <c r="N203" s="3"/>
      <c r="O203" s="3"/>
      <c r="P203" s="3"/>
      <c r="R203" s="3"/>
      <c r="S203" s="3"/>
      <c r="T203" s="3"/>
      <c r="U203" s="3"/>
    </row>
    <row r="204">
      <c r="A204" s="70"/>
      <c r="B204" s="3"/>
      <c r="C204" s="3"/>
      <c r="D204" s="70"/>
      <c r="E204" s="70"/>
      <c r="F204" s="70"/>
      <c r="G204" s="70"/>
      <c r="H204" s="70"/>
      <c r="I204" s="70"/>
      <c r="J204" s="70"/>
      <c r="K204" s="70"/>
      <c r="M204" s="3"/>
      <c r="N204" s="3"/>
      <c r="O204" s="3"/>
      <c r="P204" s="3"/>
      <c r="R204" s="3"/>
      <c r="S204" s="3"/>
      <c r="T204" s="3"/>
      <c r="U204" s="3"/>
    </row>
    <row r="205">
      <c r="A205" s="70"/>
      <c r="B205" s="3"/>
      <c r="C205" s="3"/>
      <c r="D205" s="70"/>
      <c r="E205" s="70"/>
      <c r="F205" s="70"/>
      <c r="G205" s="70"/>
      <c r="H205" s="70"/>
      <c r="I205" s="70"/>
      <c r="J205" s="70"/>
      <c r="K205" s="70"/>
      <c r="M205" s="3"/>
      <c r="N205" s="3"/>
      <c r="O205" s="3"/>
      <c r="P205" s="3"/>
      <c r="R205" s="3"/>
      <c r="S205" s="3"/>
      <c r="T205" s="3"/>
      <c r="U205" s="3"/>
    </row>
    <row r="206">
      <c r="A206" s="70"/>
      <c r="B206" s="3"/>
      <c r="C206" s="3"/>
      <c r="D206" s="70"/>
      <c r="E206" s="70"/>
      <c r="F206" s="70"/>
      <c r="G206" s="70"/>
      <c r="H206" s="70"/>
      <c r="I206" s="70"/>
      <c r="J206" s="70"/>
      <c r="K206" s="70"/>
      <c r="M206" s="3"/>
      <c r="N206" s="3"/>
      <c r="O206" s="3"/>
      <c r="P206" s="3"/>
      <c r="R206" s="3"/>
      <c r="S206" s="3"/>
      <c r="T206" s="3"/>
      <c r="U206" s="3"/>
    </row>
    <row r="207">
      <c r="A207" s="70"/>
      <c r="B207" s="3"/>
      <c r="C207" s="3"/>
      <c r="D207" s="70"/>
      <c r="E207" s="70"/>
      <c r="F207" s="70"/>
      <c r="G207" s="70"/>
      <c r="H207" s="70"/>
      <c r="I207" s="70"/>
      <c r="J207" s="70"/>
      <c r="K207" s="70"/>
      <c r="M207" s="3"/>
      <c r="N207" s="3"/>
      <c r="O207" s="3"/>
      <c r="P207" s="3"/>
      <c r="R207" s="3"/>
      <c r="S207" s="3"/>
      <c r="T207" s="3"/>
      <c r="U207" s="3"/>
    </row>
    <row r="208">
      <c r="A208" s="70"/>
      <c r="B208" s="3"/>
      <c r="C208" s="3"/>
      <c r="D208" s="70"/>
      <c r="E208" s="70"/>
      <c r="F208" s="70"/>
      <c r="G208" s="70"/>
      <c r="H208" s="70"/>
      <c r="I208" s="70"/>
      <c r="J208" s="70"/>
      <c r="K208" s="70"/>
      <c r="M208" s="3"/>
      <c r="N208" s="3"/>
      <c r="O208" s="3"/>
      <c r="P208" s="3"/>
      <c r="R208" s="3"/>
      <c r="S208" s="3"/>
      <c r="T208" s="3"/>
      <c r="U208" s="3"/>
    </row>
    <row r="209">
      <c r="A209" s="70"/>
      <c r="B209" s="3"/>
      <c r="C209" s="3"/>
      <c r="D209" s="70"/>
      <c r="E209" s="70"/>
      <c r="F209" s="70"/>
      <c r="G209" s="70"/>
      <c r="H209" s="70"/>
      <c r="I209" s="70"/>
      <c r="J209" s="70"/>
      <c r="K209" s="70"/>
      <c r="M209" s="3"/>
      <c r="N209" s="3"/>
      <c r="O209" s="3"/>
      <c r="P209" s="3"/>
      <c r="R209" s="3"/>
      <c r="S209" s="3"/>
      <c r="T209" s="3"/>
      <c r="U209" s="3"/>
    </row>
    <row r="210">
      <c r="A210" s="70"/>
      <c r="B210" s="3"/>
      <c r="C210" s="3"/>
      <c r="D210" s="70"/>
      <c r="E210" s="70"/>
      <c r="F210" s="70"/>
      <c r="G210" s="70"/>
      <c r="H210" s="70"/>
      <c r="I210" s="70"/>
      <c r="J210" s="70"/>
      <c r="K210" s="70"/>
      <c r="M210" s="3"/>
      <c r="N210" s="3"/>
      <c r="O210" s="3"/>
      <c r="P210" s="3"/>
      <c r="R210" s="3"/>
      <c r="S210" s="3"/>
      <c r="T210" s="3"/>
      <c r="U210" s="3"/>
    </row>
    <row r="211">
      <c r="A211" s="70"/>
      <c r="B211" s="3"/>
      <c r="C211" s="3"/>
      <c r="D211" s="70"/>
      <c r="E211" s="70"/>
      <c r="F211" s="70"/>
      <c r="G211" s="70"/>
      <c r="H211" s="70"/>
      <c r="I211" s="70"/>
      <c r="J211" s="70"/>
      <c r="K211" s="70"/>
      <c r="M211" s="3"/>
      <c r="N211" s="3"/>
      <c r="O211" s="3"/>
      <c r="P211" s="3"/>
      <c r="R211" s="3"/>
      <c r="S211" s="3"/>
      <c r="T211" s="3"/>
      <c r="U211" s="3"/>
    </row>
    <row r="212">
      <c r="A212" s="70"/>
      <c r="B212" s="3"/>
      <c r="C212" s="3"/>
      <c r="D212" s="70"/>
      <c r="E212" s="70"/>
      <c r="F212" s="70"/>
      <c r="G212" s="70"/>
      <c r="H212" s="70"/>
      <c r="I212" s="70"/>
      <c r="J212" s="70"/>
      <c r="K212" s="70"/>
      <c r="M212" s="3"/>
      <c r="N212" s="3"/>
      <c r="O212" s="3"/>
      <c r="P212" s="3"/>
      <c r="R212" s="3"/>
      <c r="S212" s="3"/>
      <c r="T212" s="3"/>
      <c r="U212" s="3"/>
    </row>
    <row r="213">
      <c r="A213" s="70"/>
      <c r="B213" s="3"/>
      <c r="C213" s="3"/>
      <c r="D213" s="70"/>
      <c r="E213" s="70"/>
      <c r="F213" s="70"/>
      <c r="G213" s="70"/>
      <c r="H213" s="70"/>
      <c r="I213" s="70"/>
      <c r="J213" s="70"/>
      <c r="K213" s="70"/>
      <c r="M213" s="3"/>
      <c r="N213" s="3"/>
      <c r="O213" s="3"/>
      <c r="P213" s="3"/>
      <c r="R213" s="3"/>
      <c r="S213" s="3"/>
      <c r="T213" s="3"/>
      <c r="U213" s="3"/>
    </row>
    <row r="214">
      <c r="A214" s="70"/>
      <c r="B214" s="3"/>
      <c r="C214" s="3"/>
      <c r="D214" s="70"/>
      <c r="E214" s="70"/>
      <c r="F214" s="70"/>
      <c r="G214" s="70"/>
      <c r="H214" s="70"/>
      <c r="I214" s="70"/>
      <c r="J214" s="70"/>
      <c r="K214" s="70"/>
      <c r="M214" s="3"/>
      <c r="N214" s="3"/>
      <c r="O214" s="3"/>
      <c r="P214" s="3"/>
      <c r="R214" s="3"/>
      <c r="S214" s="3"/>
      <c r="T214" s="3"/>
      <c r="U214" s="3"/>
    </row>
    <row r="215">
      <c r="A215" s="70"/>
      <c r="B215" s="3"/>
      <c r="C215" s="3"/>
      <c r="D215" s="70"/>
      <c r="E215" s="70"/>
      <c r="F215" s="70"/>
      <c r="G215" s="70"/>
      <c r="H215" s="70"/>
      <c r="I215" s="70"/>
      <c r="J215" s="70"/>
      <c r="K215" s="70"/>
      <c r="M215" s="3"/>
      <c r="N215" s="3"/>
      <c r="O215" s="3"/>
      <c r="P215" s="3"/>
      <c r="R215" s="3"/>
      <c r="S215" s="3"/>
      <c r="T215" s="3"/>
      <c r="U215" s="3"/>
    </row>
    <row r="216">
      <c r="A216" s="70"/>
      <c r="B216" s="3"/>
      <c r="C216" s="3"/>
      <c r="D216" s="70"/>
      <c r="E216" s="70"/>
      <c r="F216" s="70"/>
      <c r="G216" s="70"/>
      <c r="H216" s="70"/>
      <c r="I216" s="70"/>
      <c r="J216" s="70"/>
      <c r="K216" s="70"/>
      <c r="M216" s="3"/>
      <c r="N216" s="3"/>
      <c r="O216" s="3"/>
      <c r="P216" s="3"/>
      <c r="R216" s="3"/>
      <c r="S216" s="3"/>
      <c r="T216" s="3"/>
      <c r="U216" s="3"/>
    </row>
    <row r="217">
      <c r="A217" s="70"/>
      <c r="B217" s="3"/>
      <c r="C217" s="3"/>
      <c r="D217" s="70"/>
      <c r="E217" s="70"/>
      <c r="F217" s="70"/>
      <c r="G217" s="70"/>
      <c r="H217" s="70"/>
      <c r="I217" s="70"/>
      <c r="J217" s="70"/>
      <c r="K217" s="70"/>
      <c r="M217" s="3"/>
      <c r="N217" s="3"/>
      <c r="O217" s="3"/>
      <c r="P217" s="3"/>
      <c r="R217" s="3"/>
      <c r="S217" s="3"/>
      <c r="T217" s="3"/>
      <c r="U217" s="3"/>
    </row>
    <row r="218">
      <c r="A218" s="70"/>
      <c r="B218" s="3"/>
      <c r="C218" s="3"/>
      <c r="D218" s="70"/>
      <c r="E218" s="70"/>
      <c r="F218" s="70"/>
      <c r="G218" s="70"/>
      <c r="H218" s="70"/>
      <c r="I218" s="70"/>
      <c r="J218" s="70"/>
      <c r="K218" s="70"/>
      <c r="M218" s="3"/>
      <c r="N218" s="3"/>
      <c r="O218" s="3"/>
      <c r="P218" s="3"/>
      <c r="R218" s="3"/>
      <c r="S218" s="3"/>
      <c r="T218" s="3"/>
      <c r="U218" s="3"/>
    </row>
    <row r="219">
      <c r="A219" s="70"/>
      <c r="B219" s="3"/>
      <c r="C219" s="3"/>
      <c r="D219" s="70"/>
      <c r="E219" s="70"/>
      <c r="F219" s="70"/>
      <c r="G219" s="70"/>
      <c r="H219" s="70"/>
      <c r="I219" s="70"/>
      <c r="J219" s="70"/>
      <c r="K219" s="70"/>
      <c r="M219" s="3"/>
      <c r="N219" s="3"/>
      <c r="O219" s="3"/>
      <c r="P219" s="3"/>
      <c r="R219" s="3"/>
      <c r="S219" s="3"/>
      <c r="T219" s="3"/>
      <c r="U219" s="3"/>
    </row>
    <row r="220">
      <c r="A220" s="70"/>
      <c r="B220" s="3"/>
      <c r="C220" s="3"/>
      <c r="D220" s="70"/>
      <c r="E220" s="70"/>
      <c r="F220" s="70"/>
      <c r="G220" s="70"/>
      <c r="H220" s="70"/>
      <c r="I220" s="70"/>
      <c r="J220" s="70"/>
      <c r="K220" s="70"/>
      <c r="M220" s="3"/>
      <c r="N220" s="3"/>
      <c r="O220" s="3"/>
      <c r="P220" s="3"/>
      <c r="R220" s="3"/>
      <c r="S220" s="3"/>
      <c r="T220" s="3"/>
      <c r="U220" s="3"/>
    </row>
    <row r="221">
      <c r="A221" s="70"/>
      <c r="B221" s="3"/>
      <c r="C221" s="3"/>
      <c r="D221" s="70"/>
      <c r="E221" s="70"/>
      <c r="F221" s="70"/>
      <c r="G221" s="70"/>
      <c r="H221" s="70"/>
      <c r="I221" s="70"/>
      <c r="J221" s="70"/>
      <c r="K221" s="70"/>
      <c r="M221" s="3"/>
      <c r="N221" s="3"/>
      <c r="O221" s="3"/>
      <c r="P221" s="3"/>
      <c r="R221" s="3"/>
      <c r="S221" s="3"/>
      <c r="T221" s="3"/>
      <c r="U221" s="3"/>
    </row>
    <row r="222">
      <c r="A222" s="70"/>
      <c r="B222" s="3"/>
      <c r="C222" s="3"/>
      <c r="D222" s="70"/>
      <c r="E222" s="70"/>
      <c r="F222" s="70"/>
      <c r="G222" s="70"/>
      <c r="H222" s="70"/>
      <c r="I222" s="70"/>
      <c r="J222" s="70"/>
      <c r="K222" s="70"/>
      <c r="M222" s="3"/>
      <c r="N222" s="3"/>
      <c r="O222" s="3"/>
      <c r="P222" s="3"/>
      <c r="R222" s="3"/>
      <c r="S222" s="3"/>
      <c r="T222" s="3"/>
      <c r="U222" s="3"/>
    </row>
    <row r="223">
      <c r="A223" s="70"/>
      <c r="B223" s="3"/>
      <c r="C223" s="3"/>
      <c r="D223" s="70"/>
      <c r="E223" s="70"/>
      <c r="F223" s="70"/>
      <c r="G223" s="70"/>
      <c r="H223" s="70"/>
      <c r="I223" s="70"/>
      <c r="J223" s="70"/>
      <c r="K223" s="70"/>
      <c r="M223" s="3"/>
      <c r="N223" s="3"/>
      <c r="O223" s="3"/>
      <c r="P223" s="3"/>
      <c r="R223" s="3"/>
      <c r="S223" s="3"/>
      <c r="T223" s="3"/>
      <c r="U223" s="3"/>
    </row>
    <row r="224">
      <c r="A224" s="70"/>
      <c r="B224" s="3"/>
      <c r="C224" s="3"/>
      <c r="D224" s="70"/>
      <c r="E224" s="70"/>
      <c r="F224" s="70"/>
      <c r="G224" s="70"/>
      <c r="H224" s="70"/>
      <c r="I224" s="70"/>
      <c r="J224" s="70"/>
      <c r="K224" s="70"/>
      <c r="M224" s="3"/>
      <c r="N224" s="3"/>
      <c r="O224" s="3"/>
      <c r="P224" s="3"/>
      <c r="R224" s="3"/>
      <c r="S224" s="3"/>
      <c r="T224" s="3"/>
      <c r="U224" s="3"/>
    </row>
    <row r="225">
      <c r="A225" s="70"/>
      <c r="B225" s="3"/>
      <c r="C225" s="3"/>
      <c r="D225" s="70"/>
      <c r="E225" s="70"/>
      <c r="F225" s="70"/>
      <c r="G225" s="70"/>
      <c r="H225" s="70"/>
      <c r="I225" s="70"/>
      <c r="J225" s="70"/>
      <c r="K225" s="70"/>
      <c r="M225" s="3"/>
      <c r="N225" s="3"/>
      <c r="O225" s="3"/>
      <c r="P225" s="3"/>
      <c r="R225" s="3"/>
      <c r="S225" s="3"/>
      <c r="T225" s="3"/>
      <c r="U225" s="3"/>
    </row>
    <row r="226">
      <c r="A226" s="70"/>
      <c r="B226" s="3"/>
      <c r="C226" s="3"/>
      <c r="D226" s="70"/>
      <c r="E226" s="70"/>
      <c r="F226" s="70"/>
      <c r="G226" s="70"/>
      <c r="H226" s="70"/>
      <c r="I226" s="70"/>
      <c r="J226" s="70"/>
      <c r="K226" s="70"/>
      <c r="M226" s="3"/>
      <c r="N226" s="3"/>
      <c r="O226" s="3"/>
      <c r="P226" s="3"/>
      <c r="R226" s="3"/>
      <c r="S226" s="3"/>
      <c r="T226" s="3"/>
      <c r="U226" s="3"/>
    </row>
    <row r="227">
      <c r="A227" s="70"/>
      <c r="B227" s="3"/>
      <c r="C227" s="3"/>
      <c r="D227" s="70"/>
      <c r="E227" s="70"/>
      <c r="F227" s="70"/>
      <c r="G227" s="70"/>
      <c r="H227" s="70"/>
      <c r="I227" s="70"/>
      <c r="J227" s="70"/>
      <c r="K227" s="70"/>
      <c r="M227" s="3"/>
      <c r="N227" s="3"/>
      <c r="O227" s="3"/>
      <c r="P227" s="3"/>
      <c r="R227" s="3"/>
      <c r="S227" s="3"/>
      <c r="T227" s="3"/>
      <c r="U227" s="3"/>
    </row>
    <row r="228">
      <c r="A228" s="70"/>
      <c r="B228" s="3"/>
      <c r="C228" s="3"/>
      <c r="D228" s="70"/>
      <c r="E228" s="70"/>
      <c r="F228" s="70"/>
      <c r="G228" s="70"/>
      <c r="H228" s="70"/>
      <c r="I228" s="70"/>
      <c r="J228" s="70"/>
      <c r="K228" s="70"/>
      <c r="M228" s="3"/>
      <c r="N228" s="3"/>
      <c r="O228" s="3"/>
      <c r="P228" s="3"/>
      <c r="R228" s="3"/>
      <c r="S228" s="3"/>
      <c r="T228" s="3"/>
      <c r="U228" s="3"/>
    </row>
    <row r="229">
      <c r="A229" s="70"/>
      <c r="B229" s="3"/>
      <c r="C229" s="3"/>
      <c r="D229" s="70"/>
      <c r="E229" s="70"/>
      <c r="F229" s="70"/>
      <c r="G229" s="70"/>
      <c r="H229" s="70"/>
      <c r="I229" s="70"/>
      <c r="J229" s="70"/>
      <c r="K229" s="70"/>
      <c r="M229" s="3"/>
      <c r="N229" s="3"/>
      <c r="O229" s="3"/>
      <c r="P229" s="3"/>
      <c r="R229" s="3"/>
      <c r="S229" s="3"/>
      <c r="T229" s="3"/>
      <c r="U229" s="3"/>
    </row>
    <row r="230">
      <c r="A230" s="70"/>
      <c r="B230" s="3"/>
      <c r="C230" s="3"/>
      <c r="D230" s="70"/>
      <c r="E230" s="70"/>
      <c r="F230" s="70"/>
      <c r="G230" s="70"/>
      <c r="H230" s="70"/>
      <c r="I230" s="70"/>
      <c r="J230" s="70"/>
      <c r="K230" s="70"/>
      <c r="M230" s="3"/>
      <c r="N230" s="3"/>
      <c r="O230" s="3"/>
      <c r="P230" s="3"/>
      <c r="R230" s="3"/>
      <c r="S230" s="3"/>
      <c r="T230" s="3"/>
      <c r="U230" s="3"/>
    </row>
    <row r="231">
      <c r="A231" s="70"/>
      <c r="B231" s="3"/>
      <c r="C231" s="3"/>
      <c r="D231" s="70"/>
      <c r="E231" s="70"/>
      <c r="F231" s="70"/>
      <c r="G231" s="70"/>
      <c r="H231" s="70"/>
      <c r="I231" s="70"/>
      <c r="J231" s="70"/>
      <c r="K231" s="70"/>
      <c r="M231" s="3"/>
      <c r="N231" s="3"/>
      <c r="O231" s="3"/>
      <c r="P231" s="3"/>
      <c r="R231" s="3"/>
      <c r="S231" s="3"/>
      <c r="T231" s="3"/>
      <c r="U231" s="3"/>
    </row>
    <row r="232">
      <c r="A232" s="70"/>
      <c r="B232" s="3"/>
      <c r="C232" s="3"/>
      <c r="D232" s="70"/>
      <c r="E232" s="70"/>
      <c r="F232" s="70"/>
      <c r="G232" s="70"/>
      <c r="H232" s="70"/>
      <c r="I232" s="70"/>
      <c r="J232" s="70"/>
      <c r="K232" s="70"/>
      <c r="M232" s="3"/>
      <c r="N232" s="3"/>
      <c r="O232" s="3"/>
      <c r="P232" s="3"/>
      <c r="R232" s="3"/>
      <c r="S232" s="3"/>
      <c r="T232" s="3"/>
      <c r="U232" s="3"/>
    </row>
    <row r="233">
      <c r="A233" s="70"/>
      <c r="B233" s="3"/>
      <c r="C233" s="3"/>
      <c r="D233" s="70"/>
      <c r="E233" s="70"/>
      <c r="F233" s="70"/>
      <c r="G233" s="70"/>
      <c r="H233" s="70"/>
      <c r="I233" s="70"/>
      <c r="J233" s="70"/>
      <c r="K233" s="70"/>
      <c r="M233" s="3"/>
      <c r="N233" s="3"/>
      <c r="O233" s="3"/>
      <c r="P233" s="3"/>
      <c r="R233" s="3"/>
      <c r="S233" s="3"/>
      <c r="T233" s="3"/>
      <c r="U233" s="3"/>
    </row>
    <row r="234">
      <c r="A234" s="70"/>
      <c r="B234" s="3"/>
      <c r="C234" s="3"/>
      <c r="D234" s="70"/>
      <c r="E234" s="70"/>
      <c r="F234" s="70"/>
      <c r="G234" s="70"/>
      <c r="H234" s="70"/>
      <c r="I234" s="70"/>
      <c r="J234" s="70"/>
      <c r="K234" s="70"/>
      <c r="M234" s="3"/>
      <c r="N234" s="3"/>
      <c r="O234" s="3"/>
      <c r="P234" s="3"/>
      <c r="R234" s="3"/>
      <c r="S234" s="3"/>
      <c r="T234" s="3"/>
      <c r="U234" s="3"/>
    </row>
    <row r="235">
      <c r="A235" s="70"/>
      <c r="B235" s="3"/>
      <c r="C235" s="3"/>
      <c r="D235" s="70"/>
      <c r="E235" s="70"/>
      <c r="F235" s="70"/>
      <c r="G235" s="70"/>
      <c r="H235" s="70"/>
      <c r="I235" s="70"/>
      <c r="J235" s="70"/>
      <c r="K235" s="70"/>
      <c r="M235" s="3"/>
      <c r="N235" s="3"/>
      <c r="O235" s="3"/>
      <c r="P235" s="3"/>
      <c r="R235" s="3"/>
      <c r="S235" s="3"/>
      <c r="T235" s="3"/>
      <c r="U235" s="3"/>
    </row>
    <row r="236">
      <c r="A236" s="70"/>
      <c r="B236" s="3"/>
      <c r="C236" s="3"/>
      <c r="D236" s="70"/>
      <c r="E236" s="70"/>
      <c r="F236" s="70"/>
      <c r="G236" s="70"/>
      <c r="H236" s="70"/>
      <c r="I236" s="70"/>
      <c r="J236" s="70"/>
      <c r="K236" s="70"/>
      <c r="M236" s="3"/>
      <c r="N236" s="3"/>
      <c r="O236" s="3"/>
      <c r="P236" s="3"/>
      <c r="R236" s="3"/>
      <c r="S236" s="3"/>
      <c r="T236" s="3"/>
      <c r="U236" s="3"/>
    </row>
    <row r="237">
      <c r="A237" s="70"/>
      <c r="B237" s="3"/>
      <c r="C237" s="3"/>
      <c r="D237" s="70"/>
      <c r="E237" s="70"/>
      <c r="F237" s="70"/>
      <c r="G237" s="70"/>
      <c r="H237" s="70"/>
      <c r="I237" s="70"/>
      <c r="J237" s="70"/>
      <c r="K237" s="70"/>
      <c r="M237" s="3"/>
      <c r="N237" s="3"/>
      <c r="O237" s="3"/>
      <c r="P237" s="3"/>
      <c r="R237" s="3"/>
      <c r="S237" s="3"/>
      <c r="T237" s="3"/>
      <c r="U237" s="3"/>
    </row>
    <row r="238">
      <c r="A238" s="70"/>
      <c r="B238" s="3"/>
      <c r="C238" s="3"/>
      <c r="D238" s="70"/>
      <c r="E238" s="70"/>
      <c r="F238" s="70"/>
      <c r="G238" s="70"/>
      <c r="H238" s="70"/>
      <c r="I238" s="70"/>
      <c r="J238" s="70"/>
      <c r="K238" s="70"/>
      <c r="M238" s="3"/>
      <c r="N238" s="3"/>
      <c r="O238" s="3"/>
      <c r="P238" s="3"/>
      <c r="R238" s="3"/>
      <c r="S238" s="3"/>
      <c r="T238" s="3"/>
      <c r="U238" s="3"/>
    </row>
    <row r="239">
      <c r="A239" s="70"/>
      <c r="B239" s="3"/>
      <c r="C239" s="3"/>
      <c r="D239" s="70"/>
      <c r="E239" s="70"/>
      <c r="F239" s="70"/>
      <c r="G239" s="70"/>
      <c r="H239" s="70"/>
      <c r="I239" s="70"/>
      <c r="J239" s="70"/>
      <c r="K239" s="70"/>
      <c r="M239" s="3"/>
      <c r="N239" s="3"/>
      <c r="O239" s="3"/>
      <c r="P239" s="3"/>
      <c r="R239" s="3"/>
      <c r="S239" s="3"/>
      <c r="T239" s="3"/>
      <c r="U239" s="3"/>
    </row>
    <row r="240">
      <c r="A240" s="70"/>
      <c r="B240" s="3"/>
      <c r="C240" s="3"/>
      <c r="D240" s="70"/>
      <c r="E240" s="70"/>
      <c r="F240" s="70"/>
      <c r="G240" s="70"/>
      <c r="H240" s="70"/>
      <c r="I240" s="70"/>
      <c r="J240" s="70"/>
      <c r="K240" s="70"/>
      <c r="M240" s="3"/>
      <c r="N240" s="3"/>
      <c r="O240" s="3"/>
      <c r="P240" s="3"/>
      <c r="R240" s="3"/>
      <c r="S240" s="3"/>
      <c r="T240" s="3"/>
      <c r="U240" s="3"/>
    </row>
    <row r="241">
      <c r="A241" s="70"/>
      <c r="B241" s="3"/>
      <c r="C241" s="3"/>
      <c r="D241" s="70"/>
      <c r="E241" s="70"/>
      <c r="F241" s="70"/>
      <c r="G241" s="70"/>
      <c r="H241" s="70"/>
      <c r="I241" s="70"/>
      <c r="J241" s="70"/>
      <c r="K241" s="70"/>
      <c r="M241" s="3"/>
      <c r="N241" s="3"/>
      <c r="O241" s="3"/>
      <c r="P241" s="3"/>
      <c r="R241" s="3"/>
      <c r="S241" s="3"/>
      <c r="T241" s="3"/>
      <c r="U241" s="3"/>
    </row>
    <row r="242">
      <c r="A242" s="70"/>
      <c r="B242" s="3"/>
      <c r="C242" s="3"/>
      <c r="D242" s="70"/>
      <c r="E242" s="70"/>
      <c r="F242" s="70"/>
      <c r="G242" s="70"/>
      <c r="H242" s="70"/>
      <c r="I242" s="70"/>
      <c r="J242" s="70"/>
      <c r="K242" s="70"/>
      <c r="M242" s="3"/>
      <c r="N242" s="3"/>
      <c r="O242" s="3"/>
      <c r="P242" s="3"/>
      <c r="R242" s="3"/>
      <c r="S242" s="3"/>
      <c r="T242" s="3"/>
      <c r="U242" s="3"/>
    </row>
    <row r="243">
      <c r="A243" s="70"/>
      <c r="B243" s="3"/>
      <c r="C243" s="3"/>
      <c r="D243" s="70"/>
      <c r="E243" s="70"/>
      <c r="F243" s="70"/>
      <c r="G243" s="70"/>
      <c r="H243" s="70"/>
      <c r="I243" s="70"/>
      <c r="J243" s="70"/>
      <c r="K243" s="70"/>
      <c r="M243" s="3"/>
      <c r="N243" s="3"/>
      <c r="O243" s="3"/>
      <c r="P243" s="3"/>
      <c r="R243" s="3"/>
      <c r="S243" s="3"/>
      <c r="T243" s="3"/>
      <c r="U243" s="3"/>
    </row>
    <row r="244">
      <c r="A244" s="70"/>
      <c r="B244" s="3"/>
      <c r="C244" s="3"/>
      <c r="D244" s="70"/>
      <c r="E244" s="70"/>
      <c r="F244" s="70"/>
      <c r="G244" s="70"/>
      <c r="H244" s="70"/>
      <c r="I244" s="70"/>
      <c r="J244" s="70"/>
      <c r="K244" s="70"/>
      <c r="M244" s="3"/>
      <c r="N244" s="3"/>
      <c r="O244" s="3"/>
      <c r="P244" s="3"/>
      <c r="R244" s="3"/>
      <c r="S244" s="3"/>
      <c r="T244" s="3"/>
      <c r="U244" s="3"/>
    </row>
    <row r="245">
      <c r="A245" s="70"/>
      <c r="B245" s="3"/>
      <c r="C245" s="3"/>
      <c r="D245" s="70"/>
      <c r="E245" s="70"/>
      <c r="F245" s="70"/>
      <c r="G245" s="70"/>
      <c r="H245" s="70"/>
      <c r="I245" s="70"/>
      <c r="J245" s="70"/>
      <c r="K245" s="70"/>
      <c r="M245" s="3"/>
      <c r="N245" s="3"/>
      <c r="O245" s="3"/>
      <c r="P245" s="3"/>
      <c r="R245" s="3"/>
      <c r="S245" s="3"/>
      <c r="T245" s="3"/>
      <c r="U245" s="3"/>
    </row>
    <row r="246">
      <c r="A246" s="70"/>
      <c r="B246" s="3"/>
      <c r="C246" s="3"/>
      <c r="D246" s="70"/>
      <c r="E246" s="70"/>
      <c r="F246" s="70"/>
      <c r="G246" s="70"/>
      <c r="H246" s="70"/>
      <c r="I246" s="70"/>
      <c r="J246" s="70"/>
      <c r="K246" s="70"/>
      <c r="M246" s="3"/>
      <c r="N246" s="3"/>
      <c r="O246" s="3"/>
      <c r="P246" s="3"/>
      <c r="R246" s="3"/>
      <c r="S246" s="3"/>
      <c r="T246" s="3"/>
      <c r="U246" s="3"/>
    </row>
    <row r="247">
      <c r="A247" s="70"/>
      <c r="B247" s="3"/>
      <c r="C247" s="3"/>
      <c r="D247" s="70"/>
      <c r="E247" s="70"/>
      <c r="F247" s="70"/>
      <c r="G247" s="70"/>
      <c r="H247" s="70"/>
      <c r="I247" s="70"/>
      <c r="J247" s="70"/>
      <c r="K247" s="70"/>
      <c r="M247" s="3"/>
      <c r="N247" s="3"/>
      <c r="O247" s="3"/>
      <c r="P247" s="3"/>
      <c r="R247" s="3"/>
      <c r="S247" s="3"/>
      <c r="T247" s="3"/>
      <c r="U247" s="3"/>
    </row>
    <row r="248">
      <c r="A248" s="70"/>
      <c r="B248" s="3"/>
      <c r="C248" s="3"/>
      <c r="D248" s="70"/>
      <c r="E248" s="70"/>
      <c r="F248" s="70"/>
      <c r="G248" s="70"/>
      <c r="H248" s="70"/>
      <c r="I248" s="70"/>
      <c r="J248" s="70"/>
      <c r="K248" s="70"/>
      <c r="M248" s="3"/>
      <c r="N248" s="3"/>
      <c r="O248" s="3"/>
      <c r="P248" s="3"/>
      <c r="R248" s="3"/>
      <c r="S248" s="3"/>
      <c r="T248" s="3"/>
      <c r="U248" s="3"/>
    </row>
    <row r="249">
      <c r="A249" s="70"/>
      <c r="B249" s="3"/>
      <c r="C249" s="3"/>
      <c r="D249" s="70"/>
      <c r="E249" s="70"/>
      <c r="F249" s="70"/>
      <c r="G249" s="70"/>
      <c r="H249" s="70"/>
      <c r="I249" s="70"/>
      <c r="J249" s="70"/>
      <c r="K249" s="70"/>
      <c r="M249" s="3"/>
      <c r="N249" s="3"/>
      <c r="O249" s="3"/>
      <c r="P249" s="3"/>
      <c r="R249" s="3"/>
      <c r="S249" s="3"/>
      <c r="T249" s="3"/>
      <c r="U249" s="3"/>
    </row>
    <row r="250">
      <c r="A250" s="70"/>
      <c r="B250" s="3"/>
      <c r="C250" s="3"/>
      <c r="D250" s="70"/>
      <c r="E250" s="70"/>
      <c r="F250" s="70"/>
      <c r="G250" s="70"/>
      <c r="H250" s="70"/>
      <c r="I250" s="70"/>
      <c r="J250" s="70"/>
      <c r="K250" s="70"/>
      <c r="M250" s="3"/>
      <c r="N250" s="3"/>
      <c r="O250" s="3"/>
      <c r="P250" s="3"/>
      <c r="R250" s="3"/>
      <c r="S250" s="3"/>
      <c r="T250" s="3"/>
      <c r="U250" s="3"/>
    </row>
    <row r="251">
      <c r="A251" s="70"/>
      <c r="B251" s="3"/>
      <c r="C251" s="3"/>
      <c r="D251" s="70"/>
      <c r="E251" s="70"/>
      <c r="F251" s="70"/>
      <c r="G251" s="70"/>
      <c r="H251" s="70"/>
      <c r="I251" s="70"/>
      <c r="J251" s="70"/>
      <c r="K251" s="70"/>
      <c r="M251" s="3"/>
      <c r="N251" s="3"/>
      <c r="O251" s="3"/>
      <c r="P251" s="3"/>
      <c r="R251" s="3"/>
      <c r="S251" s="3"/>
      <c r="T251" s="3"/>
      <c r="U251" s="3"/>
    </row>
    <row r="252">
      <c r="A252" s="70"/>
      <c r="B252" s="3"/>
      <c r="C252" s="3"/>
      <c r="D252" s="70"/>
      <c r="E252" s="70"/>
      <c r="F252" s="70"/>
      <c r="G252" s="70"/>
      <c r="H252" s="70"/>
      <c r="I252" s="70"/>
      <c r="J252" s="70"/>
      <c r="K252" s="70"/>
      <c r="M252" s="3"/>
      <c r="N252" s="3"/>
      <c r="O252" s="3"/>
      <c r="P252" s="3"/>
      <c r="R252" s="3"/>
      <c r="S252" s="3"/>
      <c r="T252" s="3"/>
      <c r="U252" s="3"/>
    </row>
    <row r="253">
      <c r="A253" s="70"/>
      <c r="B253" s="3"/>
      <c r="C253" s="3"/>
      <c r="D253" s="70"/>
      <c r="E253" s="70"/>
      <c r="F253" s="70"/>
      <c r="G253" s="70"/>
      <c r="H253" s="70"/>
      <c r="I253" s="70"/>
      <c r="J253" s="70"/>
      <c r="K253" s="70"/>
      <c r="M253" s="3"/>
      <c r="N253" s="3"/>
      <c r="O253" s="3"/>
      <c r="P253" s="3"/>
      <c r="R253" s="3"/>
      <c r="S253" s="3"/>
      <c r="T253" s="3"/>
      <c r="U253" s="3"/>
    </row>
    <row r="254">
      <c r="A254" s="70"/>
      <c r="B254" s="3"/>
      <c r="C254" s="3"/>
      <c r="D254" s="70"/>
      <c r="E254" s="70"/>
      <c r="F254" s="70"/>
      <c r="G254" s="70"/>
      <c r="H254" s="70"/>
      <c r="I254" s="70"/>
      <c r="J254" s="70"/>
      <c r="K254" s="70"/>
      <c r="M254" s="3"/>
      <c r="N254" s="3"/>
      <c r="O254" s="3"/>
      <c r="P254" s="3"/>
      <c r="R254" s="3"/>
      <c r="S254" s="3"/>
      <c r="T254" s="3"/>
      <c r="U254" s="3"/>
    </row>
    <row r="255">
      <c r="A255" s="70"/>
      <c r="B255" s="3"/>
      <c r="C255" s="3"/>
      <c r="D255" s="70"/>
      <c r="E255" s="70"/>
      <c r="F255" s="70"/>
      <c r="G255" s="70"/>
      <c r="H255" s="70"/>
      <c r="I255" s="70"/>
      <c r="J255" s="70"/>
      <c r="K255" s="70"/>
      <c r="M255" s="3"/>
      <c r="N255" s="3"/>
      <c r="O255" s="3"/>
      <c r="P255" s="3"/>
      <c r="R255" s="3"/>
      <c r="S255" s="3"/>
      <c r="T255" s="3"/>
      <c r="U255" s="3"/>
    </row>
    <row r="256">
      <c r="A256" s="70"/>
      <c r="B256" s="3"/>
      <c r="C256" s="3"/>
      <c r="D256" s="70"/>
      <c r="E256" s="70"/>
      <c r="F256" s="70"/>
      <c r="G256" s="70"/>
      <c r="H256" s="70"/>
      <c r="I256" s="70"/>
      <c r="J256" s="70"/>
      <c r="K256" s="70"/>
      <c r="M256" s="3"/>
      <c r="N256" s="3"/>
      <c r="O256" s="3"/>
      <c r="P256" s="3"/>
      <c r="R256" s="3"/>
      <c r="S256" s="3"/>
      <c r="T256" s="3"/>
      <c r="U256" s="3"/>
    </row>
    <row r="257">
      <c r="A257" s="70"/>
      <c r="B257" s="3"/>
      <c r="C257" s="3"/>
      <c r="D257" s="70"/>
      <c r="E257" s="70"/>
      <c r="F257" s="70"/>
      <c r="G257" s="70"/>
      <c r="H257" s="70"/>
      <c r="I257" s="70"/>
      <c r="J257" s="70"/>
      <c r="K257" s="70"/>
      <c r="M257" s="3"/>
      <c r="N257" s="3"/>
      <c r="O257" s="3"/>
      <c r="P257" s="3"/>
      <c r="R257" s="3"/>
      <c r="S257" s="3"/>
      <c r="T257" s="3"/>
      <c r="U257" s="3"/>
    </row>
    <row r="258">
      <c r="A258" s="70"/>
      <c r="B258" s="3"/>
      <c r="C258" s="3"/>
      <c r="D258" s="70"/>
      <c r="E258" s="70"/>
      <c r="F258" s="70"/>
      <c r="G258" s="70"/>
      <c r="H258" s="70"/>
      <c r="I258" s="70"/>
      <c r="J258" s="70"/>
      <c r="K258" s="70"/>
      <c r="M258" s="3"/>
      <c r="N258" s="3"/>
      <c r="O258" s="3"/>
      <c r="P258" s="3"/>
      <c r="R258" s="3"/>
      <c r="S258" s="3"/>
      <c r="T258" s="3"/>
      <c r="U258" s="3"/>
    </row>
    <row r="259">
      <c r="A259" s="70"/>
      <c r="B259" s="3"/>
      <c r="C259" s="3"/>
      <c r="D259" s="70"/>
      <c r="E259" s="70"/>
      <c r="F259" s="70"/>
      <c r="G259" s="70"/>
      <c r="H259" s="70"/>
      <c r="I259" s="70"/>
      <c r="J259" s="70"/>
      <c r="K259" s="70"/>
      <c r="M259" s="3"/>
      <c r="N259" s="3"/>
      <c r="O259" s="3"/>
      <c r="P259" s="3"/>
      <c r="R259" s="3"/>
      <c r="S259" s="3"/>
      <c r="T259" s="3"/>
      <c r="U259" s="3"/>
    </row>
    <row r="260">
      <c r="A260" s="70"/>
      <c r="B260" s="3"/>
      <c r="C260" s="3"/>
      <c r="D260" s="70"/>
      <c r="E260" s="70"/>
      <c r="F260" s="70"/>
      <c r="G260" s="70"/>
      <c r="H260" s="70"/>
      <c r="I260" s="70"/>
      <c r="J260" s="70"/>
      <c r="K260" s="70"/>
      <c r="M260" s="3"/>
      <c r="N260" s="3"/>
      <c r="O260" s="3"/>
      <c r="P260" s="3"/>
      <c r="R260" s="3"/>
      <c r="S260" s="3"/>
      <c r="T260" s="3"/>
      <c r="U260" s="3"/>
    </row>
    <row r="261">
      <c r="A261" s="70"/>
      <c r="B261" s="3"/>
      <c r="C261" s="3"/>
      <c r="D261" s="70"/>
      <c r="E261" s="70"/>
      <c r="F261" s="70"/>
      <c r="G261" s="70"/>
      <c r="H261" s="70"/>
      <c r="I261" s="70"/>
      <c r="J261" s="70"/>
      <c r="K261" s="70"/>
      <c r="M261" s="3"/>
      <c r="N261" s="3"/>
      <c r="O261" s="3"/>
      <c r="P261" s="3"/>
      <c r="R261" s="3"/>
      <c r="S261" s="3"/>
      <c r="T261" s="3"/>
      <c r="U261" s="3"/>
    </row>
    <row r="262">
      <c r="A262" s="70"/>
      <c r="B262" s="3"/>
      <c r="C262" s="3"/>
      <c r="D262" s="70"/>
      <c r="E262" s="70"/>
      <c r="F262" s="70"/>
      <c r="G262" s="70"/>
      <c r="H262" s="70"/>
      <c r="I262" s="70"/>
      <c r="J262" s="70"/>
      <c r="K262" s="70"/>
      <c r="M262" s="3"/>
      <c r="N262" s="3"/>
      <c r="O262" s="3"/>
      <c r="P262" s="3"/>
      <c r="R262" s="3"/>
      <c r="S262" s="3"/>
      <c r="T262" s="3"/>
      <c r="U262" s="3"/>
    </row>
    <row r="263">
      <c r="A263" s="70"/>
      <c r="B263" s="3"/>
      <c r="C263" s="3"/>
      <c r="D263" s="70"/>
      <c r="E263" s="70"/>
      <c r="F263" s="70"/>
      <c r="G263" s="70"/>
      <c r="H263" s="70"/>
      <c r="I263" s="70"/>
      <c r="J263" s="70"/>
      <c r="K263" s="70"/>
      <c r="M263" s="3"/>
      <c r="N263" s="3"/>
      <c r="O263" s="3"/>
      <c r="P263" s="3"/>
      <c r="R263" s="3"/>
      <c r="S263" s="3"/>
      <c r="T263" s="3"/>
      <c r="U263" s="3"/>
    </row>
    <row r="264">
      <c r="A264" s="70"/>
      <c r="B264" s="3"/>
      <c r="C264" s="3"/>
      <c r="D264" s="70"/>
      <c r="E264" s="70"/>
      <c r="F264" s="70"/>
      <c r="G264" s="70"/>
      <c r="H264" s="70"/>
      <c r="I264" s="70"/>
      <c r="J264" s="70"/>
      <c r="K264" s="70"/>
      <c r="M264" s="3"/>
      <c r="N264" s="3"/>
      <c r="O264" s="3"/>
      <c r="P264" s="3"/>
      <c r="R264" s="3"/>
      <c r="S264" s="3"/>
      <c r="T264" s="3"/>
      <c r="U264" s="3"/>
    </row>
    <row r="265">
      <c r="A265" s="70"/>
      <c r="B265" s="3"/>
      <c r="C265" s="3"/>
      <c r="D265" s="70"/>
      <c r="E265" s="70"/>
      <c r="F265" s="70"/>
      <c r="G265" s="70"/>
      <c r="H265" s="70"/>
      <c r="I265" s="70"/>
      <c r="J265" s="70"/>
      <c r="K265" s="70"/>
      <c r="M265" s="3"/>
      <c r="N265" s="3"/>
      <c r="O265" s="3"/>
      <c r="P265" s="3"/>
      <c r="R265" s="3"/>
      <c r="S265" s="3"/>
      <c r="T265" s="3"/>
      <c r="U265" s="3"/>
    </row>
    <row r="266">
      <c r="A266" s="70"/>
      <c r="B266" s="3"/>
      <c r="C266" s="3"/>
      <c r="D266" s="70"/>
      <c r="E266" s="70"/>
      <c r="F266" s="70"/>
      <c r="G266" s="70"/>
      <c r="H266" s="70"/>
      <c r="I266" s="70"/>
      <c r="J266" s="70"/>
      <c r="K266" s="70"/>
      <c r="M266" s="3"/>
      <c r="N266" s="3"/>
      <c r="O266" s="3"/>
      <c r="P266" s="3"/>
      <c r="R266" s="3"/>
      <c r="S266" s="3"/>
      <c r="T266" s="3"/>
      <c r="U266" s="3"/>
    </row>
    <row r="267">
      <c r="A267" s="70"/>
      <c r="B267" s="3"/>
      <c r="C267" s="3"/>
      <c r="D267" s="70"/>
      <c r="E267" s="70"/>
      <c r="F267" s="70"/>
      <c r="G267" s="70"/>
      <c r="H267" s="70"/>
      <c r="I267" s="70"/>
      <c r="J267" s="70"/>
      <c r="K267" s="70"/>
      <c r="M267" s="3"/>
      <c r="N267" s="3"/>
      <c r="O267" s="3"/>
      <c r="P267" s="3"/>
      <c r="R267" s="3"/>
      <c r="S267" s="3"/>
      <c r="T267" s="3"/>
      <c r="U267" s="3"/>
    </row>
    <row r="268">
      <c r="A268" s="70"/>
      <c r="B268" s="3"/>
      <c r="C268" s="3"/>
      <c r="D268" s="70"/>
      <c r="E268" s="70"/>
      <c r="F268" s="70"/>
      <c r="G268" s="70"/>
      <c r="H268" s="70"/>
      <c r="I268" s="70"/>
      <c r="J268" s="70"/>
      <c r="K268" s="70"/>
      <c r="M268" s="3"/>
      <c r="N268" s="3"/>
      <c r="O268" s="3"/>
      <c r="P268" s="3"/>
      <c r="R268" s="3"/>
      <c r="S268" s="3"/>
      <c r="T268" s="3"/>
      <c r="U268" s="3"/>
    </row>
    <row r="269">
      <c r="A269" s="70"/>
      <c r="B269" s="3"/>
      <c r="C269" s="3"/>
      <c r="D269" s="70"/>
      <c r="E269" s="70"/>
      <c r="F269" s="70"/>
      <c r="G269" s="70"/>
      <c r="H269" s="70"/>
      <c r="I269" s="70"/>
      <c r="J269" s="70"/>
      <c r="K269" s="70"/>
      <c r="M269" s="3"/>
      <c r="N269" s="3"/>
      <c r="O269" s="3"/>
      <c r="P269" s="3"/>
      <c r="R269" s="3"/>
      <c r="S269" s="3"/>
      <c r="T269" s="3"/>
      <c r="U269" s="3"/>
    </row>
    <row r="270">
      <c r="A270" s="70"/>
      <c r="B270" s="3"/>
      <c r="C270" s="3"/>
      <c r="D270" s="70"/>
      <c r="E270" s="70"/>
      <c r="F270" s="70"/>
      <c r="G270" s="70"/>
      <c r="H270" s="70"/>
      <c r="I270" s="70"/>
      <c r="J270" s="70"/>
      <c r="K270" s="70"/>
      <c r="M270" s="3"/>
      <c r="N270" s="3"/>
      <c r="O270" s="3"/>
      <c r="P270" s="3"/>
      <c r="R270" s="3"/>
      <c r="S270" s="3"/>
      <c r="T270" s="3"/>
      <c r="U270" s="3"/>
    </row>
    <row r="271">
      <c r="A271" s="70"/>
      <c r="B271" s="3"/>
      <c r="C271" s="3"/>
      <c r="D271" s="70"/>
      <c r="E271" s="70"/>
      <c r="F271" s="70"/>
      <c r="G271" s="70"/>
      <c r="H271" s="70"/>
      <c r="I271" s="70"/>
      <c r="J271" s="70"/>
      <c r="K271" s="70"/>
      <c r="M271" s="3"/>
      <c r="N271" s="3"/>
      <c r="O271" s="3"/>
      <c r="P271" s="3"/>
      <c r="R271" s="3"/>
      <c r="S271" s="3"/>
      <c r="T271" s="3"/>
      <c r="U271" s="3"/>
    </row>
    <row r="272">
      <c r="A272" s="70"/>
      <c r="B272" s="3"/>
      <c r="C272" s="3"/>
      <c r="D272" s="70"/>
      <c r="E272" s="70"/>
      <c r="F272" s="70"/>
      <c r="G272" s="70"/>
      <c r="H272" s="70"/>
      <c r="I272" s="70"/>
      <c r="J272" s="70"/>
      <c r="K272" s="70"/>
      <c r="M272" s="3"/>
      <c r="N272" s="3"/>
      <c r="O272" s="3"/>
      <c r="P272" s="3"/>
      <c r="R272" s="3"/>
      <c r="S272" s="3"/>
      <c r="T272" s="3"/>
      <c r="U272" s="3"/>
    </row>
    <row r="273">
      <c r="A273" s="70"/>
      <c r="B273" s="3"/>
      <c r="C273" s="3"/>
      <c r="D273" s="70"/>
      <c r="E273" s="70"/>
      <c r="F273" s="70"/>
      <c r="G273" s="70"/>
      <c r="H273" s="70"/>
      <c r="I273" s="70"/>
      <c r="J273" s="70"/>
      <c r="K273" s="70"/>
      <c r="M273" s="3"/>
      <c r="N273" s="3"/>
      <c r="O273" s="3"/>
      <c r="P273" s="3"/>
      <c r="R273" s="3"/>
      <c r="S273" s="3"/>
      <c r="T273" s="3"/>
      <c r="U273" s="3"/>
    </row>
    <row r="274">
      <c r="A274" s="70"/>
      <c r="B274" s="3"/>
      <c r="C274" s="3"/>
      <c r="D274" s="70"/>
      <c r="E274" s="70"/>
      <c r="F274" s="70"/>
      <c r="G274" s="70"/>
      <c r="H274" s="70"/>
      <c r="I274" s="70"/>
      <c r="J274" s="70"/>
      <c r="K274" s="70"/>
      <c r="M274" s="3"/>
      <c r="N274" s="3"/>
      <c r="O274" s="3"/>
      <c r="P274" s="3"/>
      <c r="R274" s="3"/>
      <c r="S274" s="3"/>
      <c r="T274" s="3"/>
      <c r="U274" s="3"/>
    </row>
    <row r="275">
      <c r="A275" s="70"/>
      <c r="B275" s="3"/>
      <c r="C275" s="3"/>
      <c r="D275" s="70"/>
      <c r="E275" s="70"/>
      <c r="F275" s="70"/>
      <c r="G275" s="70"/>
      <c r="H275" s="70"/>
      <c r="I275" s="70"/>
      <c r="J275" s="70"/>
      <c r="K275" s="70"/>
      <c r="M275" s="3"/>
      <c r="N275" s="3"/>
      <c r="O275" s="3"/>
      <c r="P275" s="3"/>
      <c r="R275" s="3"/>
      <c r="S275" s="3"/>
      <c r="T275" s="3"/>
      <c r="U275" s="3"/>
    </row>
    <row r="276">
      <c r="A276" s="70"/>
      <c r="B276" s="3"/>
      <c r="C276" s="3"/>
      <c r="D276" s="70"/>
      <c r="E276" s="70"/>
      <c r="F276" s="70"/>
      <c r="G276" s="70"/>
      <c r="H276" s="70"/>
      <c r="I276" s="70"/>
      <c r="J276" s="70"/>
      <c r="K276" s="70"/>
      <c r="M276" s="3"/>
      <c r="N276" s="3"/>
      <c r="O276" s="3"/>
      <c r="P276" s="3"/>
      <c r="R276" s="3"/>
      <c r="S276" s="3"/>
      <c r="T276" s="3"/>
      <c r="U276" s="3"/>
    </row>
    <row r="277">
      <c r="A277" s="70"/>
      <c r="B277" s="3"/>
      <c r="C277" s="3"/>
      <c r="D277" s="70"/>
      <c r="E277" s="70"/>
      <c r="F277" s="70"/>
      <c r="G277" s="70"/>
      <c r="H277" s="70"/>
      <c r="I277" s="70"/>
      <c r="J277" s="70"/>
      <c r="K277" s="70"/>
      <c r="M277" s="3"/>
      <c r="N277" s="3"/>
      <c r="O277" s="3"/>
      <c r="P277" s="3"/>
      <c r="R277" s="3"/>
      <c r="S277" s="3"/>
      <c r="T277" s="3"/>
      <c r="U277" s="3"/>
    </row>
    <row r="278">
      <c r="A278" s="70"/>
      <c r="B278" s="3"/>
      <c r="C278" s="3"/>
      <c r="D278" s="70"/>
      <c r="E278" s="70"/>
      <c r="F278" s="70"/>
      <c r="G278" s="70"/>
      <c r="H278" s="70"/>
      <c r="I278" s="70"/>
      <c r="J278" s="70"/>
      <c r="K278" s="70"/>
      <c r="M278" s="3"/>
      <c r="N278" s="3"/>
      <c r="O278" s="3"/>
      <c r="P278" s="3"/>
      <c r="R278" s="3"/>
      <c r="S278" s="3"/>
      <c r="T278" s="3"/>
      <c r="U278" s="3"/>
    </row>
    <row r="279">
      <c r="A279" s="70"/>
      <c r="B279" s="3"/>
      <c r="C279" s="3"/>
      <c r="D279" s="70"/>
      <c r="E279" s="70"/>
      <c r="F279" s="70"/>
      <c r="G279" s="70"/>
      <c r="H279" s="70"/>
      <c r="I279" s="70"/>
      <c r="J279" s="70"/>
      <c r="K279" s="70"/>
      <c r="M279" s="3"/>
      <c r="N279" s="3"/>
      <c r="O279" s="3"/>
      <c r="P279" s="3"/>
      <c r="R279" s="3"/>
      <c r="S279" s="3"/>
      <c r="T279" s="3"/>
      <c r="U279" s="3"/>
    </row>
    <row r="280">
      <c r="A280" s="70"/>
      <c r="B280" s="3"/>
      <c r="C280" s="3"/>
      <c r="D280" s="70"/>
      <c r="E280" s="70"/>
      <c r="F280" s="70"/>
      <c r="G280" s="70"/>
      <c r="H280" s="70"/>
      <c r="I280" s="70"/>
      <c r="J280" s="70"/>
      <c r="K280" s="70"/>
      <c r="M280" s="3"/>
      <c r="N280" s="3"/>
      <c r="O280" s="3"/>
      <c r="P280" s="3"/>
      <c r="R280" s="3"/>
      <c r="S280" s="3"/>
      <c r="T280" s="3"/>
      <c r="U280" s="3"/>
    </row>
    <row r="281">
      <c r="A281" s="70"/>
      <c r="B281" s="3"/>
      <c r="C281" s="3"/>
      <c r="D281" s="70"/>
      <c r="E281" s="70"/>
      <c r="F281" s="70"/>
      <c r="G281" s="70"/>
      <c r="H281" s="70"/>
      <c r="I281" s="70"/>
      <c r="J281" s="70"/>
      <c r="K281" s="70"/>
      <c r="M281" s="3"/>
      <c r="N281" s="3"/>
      <c r="O281" s="3"/>
      <c r="P281" s="3"/>
      <c r="R281" s="3"/>
      <c r="S281" s="3"/>
      <c r="T281" s="3"/>
      <c r="U281" s="3"/>
    </row>
    <row r="282">
      <c r="A282" s="70"/>
      <c r="B282" s="3"/>
      <c r="C282" s="3"/>
      <c r="D282" s="70"/>
      <c r="E282" s="70"/>
      <c r="F282" s="70"/>
      <c r="G282" s="70"/>
      <c r="H282" s="70"/>
      <c r="I282" s="70"/>
      <c r="J282" s="70"/>
      <c r="K282" s="70"/>
      <c r="M282" s="3"/>
      <c r="N282" s="3"/>
      <c r="O282" s="3"/>
      <c r="P282" s="3"/>
      <c r="R282" s="3"/>
      <c r="S282" s="3"/>
      <c r="T282" s="3"/>
      <c r="U282" s="3"/>
    </row>
    <row r="283">
      <c r="A283" s="70"/>
      <c r="B283" s="3"/>
      <c r="C283" s="3"/>
      <c r="D283" s="70"/>
      <c r="E283" s="70"/>
      <c r="F283" s="70"/>
      <c r="G283" s="70"/>
      <c r="H283" s="70"/>
      <c r="I283" s="70"/>
      <c r="J283" s="70"/>
      <c r="K283" s="70"/>
      <c r="M283" s="3"/>
      <c r="N283" s="3"/>
      <c r="O283" s="3"/>
      <c r="P283" s="3"/>
      <c r="R283" s="3"/>
      <c r="S283" s="3"/>
      <c r="T283" s="3"/>
      <c r="U283" s="3"/>
    </row>
    <row r="284">
      <c r="A284" s="70"/>
      <c r="B284" s="3"/>
      <c r="C284" s="3"/>
      <c r="D284" s="70"/>
      <c r="E284" s="70"/>
      <c r="F284" s="70"/>
      <c r="G284" s="70"/>
      <c r="H284" s="70"/>
      <c r="I284" s="70"/>
      <c r="J284" s="70"/>
      <c r="K284" s="70"/>
      <c r="M284" s="3"/>
      <c r="N284" s="3"/>
      <c r="O284" s="3"/>
      <c r="P284" s="3"/>
      <c r="R284" s="3"/>
      <c r="S284" s="3"/>
      <c r="T284" s="3"/>
      <c r="U284" s="3"/>
    </row>
    <row r="285">
      <c r="A285" s="70"/>
      <c r="B285" s="3"/>
      <c r="C285" s="3"/>
      <c r="D285" s="70"/>
      <c r="E285" s="70"/>
      <c r="F285" s="70"/>
      <c r="G285" s="70"/>
      <c r="H285" s="70"/>
      <c r="I285" s="70"/>
      <c r="J285" s="70"/>
      <c r="K285" s="70"/>
      <c r="M285" s="3"/>
      <c r="N285" s="3"/>
      <c r="O285" s="3"/>
      <c r="P285" s="3"/>
      <c r="R285" s="3"/>
      <c r="S285" s="3"/>
      <c r="T285" s="3"/>
      <c r="U285" s="3"/>
    </row>
    <row r="286">
      <c r="A286" s="70"/>
      <c r="B286" s="3"/>
      <c r="C286" s="3"/>
      <c r="D286" s="70"/>
      <c r="E286" s="70"/>
      <c r="F286" s="70"/>
      <c r="G286" s="70"/>
      <c r="H286" s="70"/>
      <c r="I286" s="70"/>
      <c r="J286" s="70"/>
      <c r="K286" s="70"/>
      <c r="M286" s="3"/>
      <c r="N286" s="3"/>
      <c r="O286" s="3"/>
      <c r="P286" s="3"/>
      <c r="R286" s="3"/>
      <c r="S286" s="3"/>
      <c r="T286" s="3"/>
      <c r="U286" s="3"/>
    </row>
    <row r="287">
      <c r="A287" s="70"/>
      <c r="B287" s="3"/>
      <c r="C287" s="3"/>
      <c r="D287" s="70"/>
      <c r="E287" s="70"/>
      <c r="F287" s="70"/>
      <c r="G287" s="70"/>
      <c r="H287" s="70"/>
      <c r="I287" s="70"/>
      <c r="J287" s="70"/>
      <c r="K287" s="70"/>
      <c r="M287" s="3"/>
      <c r="N287" s="3"/>
      <c r="O287" s="3"/>
      <c r="P287" s="3"/>
      <c r="R287" s="3"/>
      <c r="S287" s="3"/>
      <c r="T287" s="3"/>
      <c r="U287" s="3"/>
    </row>
    <row r="288">
      <c r="A288" s="70"/>
      <c r="B288" s="3"/>
      <c r="C288" s="3"/>
      <c r="D288" s="70"/>
      <c r="E288" s="70"/>
      <c r="F288" s="70"/>
      <c r="G288" s="70"/>
      <c r="H288" s="70"/>
      <c r="I288" s="70"/>
      <c r="J288" s="70"/>
      <c r="K288" s="70"/>
      <c r="M288" s="3"/>
      <c r="N288" s="3"/>
      <c r="O288" s="3"/>
      <c r="P288" s="3"/>
      <c r="R288" s="3"/>
      <c r="S288" s="3"/>
      <c r="T288" s="3"/>
      <c r="U288" s="3"/>
    </row>
    <row r="289">
      <c r="A289" s="70"/>
      <c r="B289" s="3"/>
      <c r="C289" s="3"/>
      <c r="D289" s="70"/>
      <c r="E289" s="70"/>
      <c r="F289" s="70"/>
      <c r="G289" s="70"/>
      <c r="H289" s="70"/>
      <c r="I289" s="70"/>
      <c r="J289" s="70"/>
      <c r="K289" s="70"/>
      <c r="M289" s="3"/>
      <c r="N289" s="3"/>
      <c r="O289" s="3"/>
      <c r="P289" s="3"/>
      <c r="R289" s="3"/>
      <c r="S289" s="3"/>
      <c r="T289" s="3"/>
      <c r="U289" s="3"/>
    </row>
    <row r="290">
      <c r="A290" s="70"/>
      <c r="B290" s="3"/>
      <c r="C290" s="3"/>
      <c r="D290" s="70"/>
      <c r="E290" s="70"/>
      <c r="F290" s="70"/>
      <c r="G290" s="70"/>
      <c r="H290" s="70"/>
      <c r="I290" s="70"/>
      <c r="J290" s="70"/>
      <c r="K290" s="70"/>
      <c r="M290" s="3"/>
      <c r="N290" s="3"/>
      <c r="O290" s="3"/>
      <c r="P290" s="3"/>
      <c r="R290" s="3"/>
      <c r="S290" s="3"/>
      <c r="T290" s="3"/>
      <c r="U290" s="3"/>
    </row>
    <row r="291">
      <c r="A291" s="70"/>
      <c r="B291" s="3"/>
      <c r="C291" s="3"/>
      <c r="D291" s="70"/>
      <c r="E291" s="70"/>
      <c r="F291" s="70"/>
      <c r="G291" s="70"/>
      <c r="H291" s="70"/>
      <c r="I291" s="70"/>
      <c r="J291" s="70"/>
      <c r="K291" s="70"/>
      <c r="M291" s="3"/>
      <c r="N291" s="3"/>
      <c r="O291" s="3"/>
      <c r="P291" s="3"/>
      <c r="R291" s="3"/>
      <c r="S291" s="3"/>
      <c r="T291" s="3"/>
      <c r="U291" s="3"/>
    </row>
    <row r="292">
      <c r="A292" s="70"/>
      <c r="B292" s="3"/>
      <c r="C292" s="3"/>
      <c r="D292" s="70"/>
      <c r="E292" s="70"/>
      <c r="F292" s="70"/>
      <c r="G292" s="70"/>
      <c r="H292" s="70"/>
      <c r="I292" s="70"/>
      <c r="J292" s="70"/>
      <c r="K292" s="70"/>
      <c r="M292" s="3"/>
      <c r="N292" s="3"/>
      <c r="O292" s="3"/>
      <c r="P292" s="3"/>
      <c r="R292" s="3"/>
      <c r="S292" s="3"/>
      <c r="T292" s="3"/>
      <c r="U292" s="3"/>
    </row>
    <row r="293">
      <c r="A293" s="70"/>
      <c r="B293" s="3"/>
      <c r="C293" s="3"/>
      <c r="D293" s="70"/>
      <c r="E293" s="70"/>
      <c r="F293" s="70"/>
      <c r="G293" s="70"/>
      <c r="H293" s="70"/>
      <c r="I293" s="70"/>
      <c r="J293" s="70"/>
      <c r="K293" s="70"/>
      <c r="M293" s="3"/>
      <c r="N293" s="3"/>
      <c r="O293" s="3"/>
      <c r="P293" s="3"/>
      <c r="R293" s="3"/>
      <c r="S293" s="3"/>
      <c r="T293" s="3"/>
      <c r="U293" s="3"/>
    </row>
    <row r="294">
      <c r="A294" s="70"/>
      <c r="B294" s="3"/>
      <c r="C294" s="3"/>
      <c r="D294" s="70"/>
      <c r="E294" s="70"/>
      <c r="F294" s="70"/>
      <c r="G294" s="70"/>
      <c r="H294" s="70"/>
      <c r="I294" s="70"/>
      <c r="J294" s="70"/>
      <c r="K294" s="70"/>
      <c r="M294" s="3"/>
      <c r="N294" s="3"/>
      <c r="O294" s="3"/>
      <c r="P294" s="3"/>
      <c r="R294" s="3"/>
      <c r="S294" s="3"/>
      <c r="T294" s="3"/>
      <c r="U294" s="3"/>
    </row>
    <row r="295">
      <c r="A295" s="70"/>
      <c r="B295" s="3"/>
      <c r="C295" s="3"/>
      <c r="D295" s="70"/>
      <c r="E295" s="70"/>
      <c r="F295" s="70"/>
      <c r="G295" s="70"/>
      <c r="H295" s="70"/>
      <c r="I295" s="70"/>
      <c r="J295" s="70"/>
      <c r="K295" s="70"/>
      <c r="M295" s="3"/>
      <c r="N295" s="3"/>
      <c r="O295" s="3"/>
      <c r="P295" s="3"/>
      <c r="R295" s="3"/>
      <c r="S295" s="3"/>
      <c r="T295" s="3"/>
      <c r="U295" s="3"/>
    </row>
    <row r="296">
      <c r="A296" s="70"/>
      <c r="B296" s="3"/>
      <c r="C296" s="3"/>
      <c r="D296" s="70"/>
      <c r="E296" s="70"/>
      <c r="F296" s="70"/>
      <c r="G296" s="70"/>
      <c r="H296" s="70"/>
      <c r="I296" s="70"/>
      <c r="J296" s="70"/>
      <c r="K296" s="70"/>
      <c r="M296" s="3"/>
      <c r="N296" s="3"/>
      <c r="O296" s="3"/>
      <c r="P296" s="3"/>
      <c r="R296" s="3"/>
      <c r="S296" s="3"/>
      <c r="T296" s="3"/>
      <c r="U296" s="3"/>
    </row>
    <row r="297">
      <c r="A297" s="70"/>
      <c r="B297" s="3"/>
      <c r="C297" s="3"/>
      <c r="D297" s="70"/>
      <c r="E297" s="70"/>
      <c r="F297" s="70"/>
      <c r="G297" s="70"/>
      <c r="H297" s="70"/>
      <c r="I297" s="70"/>
      <c r="J297" s="70"/>
      <c r="K297" s="70"/>
      <c r="M297" s="3"/>
      <c r="N297" s="3"/>
      <c r="O297" s="3"/>
      <c r="P297" s="3"/>
      <c r="R297" s="3"/>
      <c r="S297" s="3"/>
      <c r="T297" s="3"/>
      <c r="U297" s="3"/>
    </row>
    <row r="298">
      <c r="A298" s="70"/>
      <c r="B298" s="3"/>
      <c r="C298" s="3"/>
      <c r="D298" s="70"/>
      <c r="E298" s="70"/>
      <c r="F298" s="70"/>
      <c r="G298" s="70"/>
      <c r="H298" s="70"/>
      <c r="I298" s="70"/>
      <c r="J298" s="70"/>
      <c r="K298" s="70"/>
      <c r="M298" s="3"/>
      <c r="N298" s="3"/>
      <c r="O298" s="3"/>
      <c r="P298" s="3"/>
      <c r="R298" s="3"/>
      <c r="S298" s="3"/>
      <c r="T298" s="3"/>
      <c r="U298" s="3"/>
    </row>
    <row r="299">
      <c r="A299" s="70"/>
      <c r="B299" s="3"/>
      <c r="C299" s="3"/>
      <c r="D299" s="70"/>
      <c r="E299" s="70"/>
      <c r="F299" s="70"/>
      <c r="G299" s="70"/>
      <c r="H299" s="70"/>
      <c r="I299" s="70"/>
      <c r="J299" s="70"/>
      <c r="K299" s="70"/>
      <c r="M299" s="3"/>
      <c r="N299" s="3"/>
      <c r="O299" s="3"/>
      <c r="P299" s="3"/>
      <c r="R299" s="3"/>
      <c r="S299" s="3"/>
      <c r="T299" s="3"/>
      <c r="U299" s="3"/>
    </row>
    <row r="300">
      <c r="A300" s="70"/>
      <c r="B300" s="3"/>
      <c r="C300" s="3"/>
      <c r="D300" s="70"/>
      <c r="E300" s="70"/>
      <c r="F300" s="70"/>
      <c r="G300" s="70"/>
      <c r="H300" s="70"/>
      <c r="I300" s="70"/>
      <c r="J300" s="70"/>
      <c r="K300" s="70"/>
      <c r="M300" s="3"/>
      <c r="N300" s="3"/>
      <c r="O300" s="3"/>
      <c r="P300" s="3"/>
      <c r="R300" s="3"/>
      <c r="S300" s="3"/>
      <c r="T300" s="3"/>
      <c r="U300" s="3"/>
    </row>
    <row r="301">
      <c r="A301" s="70"/>
      <c r="B301" s="3"/>
      <c r="C301" s="3"/>
      <c r="D301" s="70"/>
      <c r="E301" s="70"/>
      <c r="F301" s="70"/>
      <c r="G301" s="70"/>
      <c r="H301" s="70"/>
      <c r="I301" s="70"/>
      <c r="J301" s="70"/>
      <c r="K301" s="70"/>
      <c r="M301" s="3"/>
      <c r="N301" s="3"/>
      <c r="O301" s="3"/>
      <c r="P301" s="3"/>
      <c r="R301" s="3"/>
      <c r="S301" s="3"/>
      <c r="T301" s="3"/>
      <c r="U301" s="3"/>
    </row>
    <row r="302">
      <c r="A302" s="70"/>
      <c r="B302" s="3"/>
      <c r="C302" s="3"/>
      <c r="D302" s="70"/>
      <c r="E302" s="70"/>
      <c r="F302" s="70"/>
      <c r="G302" s="70"/>
      <c r="H302" s="70"/>
      <c r="I302" s="70"/>
      <c r="J302" s="70"/>
      <c r="K302" s="70"/>
      <c r="M302" s="3"/>
      <c r="N302" s="3"/>
      <c r="O302" s="3"/>
      <c r="P302" s="3"/>
      <c r="R302" s="3"/>
      <c r="S302" s="3"/>
      <c r="T302" s="3"/>
      <c r="U302" s="3"/>
    </row>
    <row r="303">
      <c r="A303" s="70"/>
      <c r="B303" s="3"/>
      <c r="C303" s="3"/>
      <c r="D303" s="70"/>
      <c r="E303" s="70"/>
      <c r="F303" s="70"/>
      <c r="G303" s="70"/>
      <c r="H303" s="70"/>
      <c r="I303" s="70"/>
      <c r="J303" s="70"/>
      <c r="K303" s="70"/>
      <c r="M303" s="3"/>
      <c r="N303" s="3"/>
      <c r="O303" s="3"/>
      <c r="P303" s="3"/>
      <c r="R303" s="3"/>
      <c r="S303" s="3"/>
      <c r="T303" s="3"/>
      <c r="U303" s="3"/>
    </row>
    <row r="304">
      <c r="A304" s="70"/>
      <c r="B304" s="3"/>
      <c r="C304" s="3"/>
      <c r="D304" s="70"/>
      <c r="E304" s="70"/>
      <c r="F304" s="70"/>
      <c r="G304" s="70"/>
      <c r="H304" s="70"/>
      <c r="I304" s="70"/>
      <c r="J304" s="70"/>
      <c r="K304" s="70"/>
      <c r="M304" s="3"/>
      <c r="N304" s="3"/>
      <c r="O304" s="3"/>
      <c r="P304" s="3"/>
      <c r="R304" s="3"/>
      <c r="S304" s="3"/>
      <c r="T304" s="3"/>
      <c r="U304" s="3"/>
    </row>
    <row r="305">
      <c r="A305" s="70"/>
      <c r="B305" s="3"/>
      <c r="C305" s="3"/>
      <c r="D305" s="70"/>
      <c r="E305" s="70"/>
      <c r="F305" s="70"/>
      <c r="G305" s="70"/>
      <c r="H305" s="70"/>
      <c r="I305" s="70"/>
      <c r="J305" s="70"/>
      <c r="K305" s="70"/>
      <c r="M305" s="3"/>
      <c r="N305" s="3"/>
      <c r="O305" s="3"/>
      <c r="P305" s="3"/>
      <c r="R305" s="3"/>
      <c r="S305" s="3"/>
      <c r="T305" s="3"/>
      <c r="U305" s="3"/>
    </row>
    <row r="306">
      <c r="A306" s="70"/>
      <c r="B306" s="3"/>
      <c r="C306" s="3"/>
      <c r="D306" s="70"/>
      <c r="E306" s="70"/>
      <c r="F306" s="70"/>
      <c r="G306" s="70"/>
      <c r="H306" s="70"/>
      <c r="I306" s="70"/>
      <c r="J306" s="70"/>
      <c r="K306" s="70"/>
      <c r="M306" s="3"/>
      <c r="N306" s="3"/>
      <c r="O306" s="3"/>
      <c r="P306" s="3"/>
      <c r="R306" s="3"/>
      <c r="S306" s="3"/>
      <c r="T306" s="3"/>
      <c r="U306" s="3"/>
    </row>
    <row r="307">
      <c r="A307" s="70"/>
      <c r="B307" s="3"/>
      <c r="C307" s="3"/>
      <c r="D307" s="70"/>
      <c r="E307" s="70"/>
      <c r="F307" s="70"/>
      <c r="G307" s="70"/>
      <c r="H307" s="70"/>
      <c r="I307" s="70"/>
      <c r="J307" s="70"/>
      <c r="K307" s="70"/>
      <c r="M307" s="3"/>
      <c r="N307" s="3"/>
      <c r="O307" s="3"/>
      <c r="P307" s="3"/>
      <c r="R307" s="3"/>
      <c r="S307" s="3"/>
      <c r="T307" s="3"/>
      <c r="U307" s="3"/>
    </row>
    <row r="308">
      <c r="A308" s="70"/>
      <c r="B308" s="3"/>
      <c r="C308" s="3"/>
      <c r="D308" s="70"/>
      <c r="E308" s="70"/>
      <c r="F308" s="70"/>
      <c r="G308" s="70"/>
      <c r="H308" s="70"/>
      <c r="I308" s="70"/>
      <c r="J308" s="70"/>
      <c r="K308" s="70"/>
      <c r="M308" s="3"/>
      <c r="N308" s="3"/>
      <c r="O308" s="3"/>
      <c r="P308" s="3"/>
      <c r="R308" s="3"/>
      <c r="S308" s="3"/>
      <c r="T308" s="3"/>
      <c r="U308" s="3"/>
    </row>
    <row r="309">
      <c r="A309" s="70"/>
      <c r="B309" s="3"/>
      <c r="C309" s="3"/>
      <c r="D309" s="70"/>
      <c r="E309" s="70"/>
      <c r="F309" s="70"/>
      <c r="G309" s="70"/>
      <c r="H309" s="70"/>
      <c r="I309" s="70"/>
      <c r="J309" s="70"/>
      <c r="K309" s="70"/>
      <c r="M309" s="3"/>
      <c r="N309" s="3"/>
      <c r="O309" s="3"/>
      <c r="P309" s="3"/>
      <c r="R309" s="3"/>
      <c r="S309" s="3"/>
      <c r="T309" s="3"/>
      <c r="U309" s="3"/>
    </row>
    <row r="310">
      <c r="A310" s="70"/>
      <c r="B310" s="3"/>
      <c r="C310" s="3"/>
      <c r="D310" s="70"/>
      <c r="E310" s="70"/>
      <c r="F310" s="70"/>
      <c r="G310" s="70"/>
      <c r="H310" s="70"/>
      <c r="I310" s="70"/>
      <c r="J310" s="70"/>
      <c r="K310" s="70"/>
      <c r="M310" s="3"/>
      <c r="N310" s="3"/>
      <c r="O310" s="3"/>
      <c r="P310" s="3"/>
      <c r="R310" s="3"/>
      <c r="S310" s="3"/>
      <c r="T310" s="3"/>
      <c r="U310" s="3"/>
    </row>
    <row r="311">
      <c r="A311" s="70"/>
      <c r="B311" s="3"/>
      <c r="C311" s="3"/>
      <c r="D311" s="70"/>
      <c r="E311" s="70"/>
      <c r="F311" s="70"/>
      <c r="G311" s="70"/>
      <c r="H311" s="70"/>
      <c r="I311" s="70"/>
      <c r="J311" s="70"/>
      <c r="K311" s="70"/>
      <c r="M311" s="3"/>
      <c r="N311" s="3"/>
      <c r="O311" s="3"/>
      <c r="P311" s="3"/>
      <c r="R311" s="3"/>
      <c r="S311" s="3"/>
      <c r="T311" s="3"/>
      <c r="U311" s="3"/>
    </row>
    <row r="312">
      <c r="A312" s="70"/>
      <c r="B312" s="3"/>
      <c r="C312" s="3"/>
      <c r="D312" s="70"/>
      <c r="E312" s="70"/>
      <c r="F312" s="70"/>
      <c r="G312" s="70"/>
      <c r="H312" s="70"/>
      <c r="I312" s="70"/>
      <c r="J312" s="70"/>
      <c r="K312" s="70"/>
      <c r="M312" s="3"/>
      <c r="N312" s="3"/>
      <c r="O312" s="3"/>
      <c r="P312" s="3"/>
      <c r="R312" s="3"/>
      <c r="S312" s="3"/>
      <c r="T312" s="3"/>
      <c r="U312" s="3"/>
    </row>
    <row r="313">
      <c r="A313" s="70"/>
      <c r="B313" s="3"/>
      <c r="C313" s="3"/>
      <c r="D313" s="70"/>
      <c r="E313" s="70"/>
      <c r="F313" s="70"/>
      <c r="G313" s="70"/>
      <c r="H313" s="70"/>
      <c r="I313" s="70"/>
      <c r="J313" s="70"/>
      <c r="K313" s="70"/>
      <c r="M313" s="3"/>
      <c r="N313" s="3"/>
      <c r="O313" s="3"/>
      <c r="P313" s="3"/>
      <c r="R313" s="3"/>
      <c r="S313" s="3"/>
      <c r="T313" s="3"/>
      <c r="U313" s="3"/>
    </row>
    <row r="314">
      <c r="A314" s="70"/>
      <c r="B314" s="3"/>
      <c r="C314" s="3"/>
      <c r="D314" s="70"/>
      <c r="E314" s="70"/>
      <c r="F314" s="70"/>
      <c r="G314" s="70"/>
      <c r="H314" s="70"/>
      <c r="I314" s="70"/>
      <c r="J314" s="70"/>
      <c r="K314" s="70"/>
      <c r="M314" s="3"/>
      <c r="N314" s="3"/>
      <c r="O314" s="3"/>
      <c r="P314" s="3"/>
      <c r="R314" s="3"/>
      <c r="S314" s="3"/>
      <c r="T314" s="3"/>
      <c r="U314" s="3"/>
    </row>
    <row r="315">
      <c r="A315" s="70"/>
      <c r="B315" s="3"/>
      <c r="C315" s="3"/>
      <c r="D315" s="70"/>
      <c r="E315" s="70"/>
      <c r="F315" s="70"/>
      <c r="G315" s="70"/>
      <c r="H315" s="70"/>
      <c r="I315" s="70"/>
      <c r="J315" s="70"/>
      <c r="K315" s="70"/>
      <c r="M315" s="3"/>
      <c r="N315" s="3"/>
      <c r="O315" s="3"/>
      <c r="P315" s="3"/>
      <c r="R315" s="3"/>
      <c r="S315" s="3"/>
      <c r="T315" s="3"/>
      <c r="U315" s="3"/>
    </row>
    <row r="316">
      <c r="A316" s="70"/>
      <c r="B316" s="3"/>
      <c r="C316" s="3"/>
      <c r="D316" s="70"/>
      <c r="E316" s="70"/>
      <c r="F316" s="70"/>
      <c r="G316" s="70"/>
      <c r="H316" s="70"/>
      <c r="I316" s="70"/>
      <c r="J316" s="70"/>
      <c r="K316" s="70"/>
      <c r="M316" s="3"/>
      <c r="N316" s="3"/>
      <c r="O316" s="3"/>
      <c r="P316" s="3"/>
      <c r="R316" s="3"/>
      <c r="S316" s="3"/>
      <c r="T316" s="3"/>
      <c r="U316" s="3"/>
    </row>
    <row r="317">
      <c r="A317" s="70"/>
      <c r="B317" s="3"/>
      <c r="C317" s="3"/>
      <c r="D317" s="70"/>
      <c r="E317" s="70"/>
      <c r="F317" s="70"/>
      <c r="G317" s="70"/>
      <c r="H317" s="70"/>
      <c r="I317" s="70"/>
      <c r="J317" s="70"/>
      <c r="K317" s="70"/>
      <c r="M317" s="3"/>
      <c r="N317" s="3"/>
      <c r="O317" s="3"/>
      <c r="P317" s="3"/>
      <c r="R317" s="3"/>
      <c r="S317" s="3"/>
      <c r="T317" s="3"/>
      <c r="U317" s="3"/>
    </row>
    <row r="318">
      <c r="A318" s="70"/>
      <c r="B318" s="3"/>
      <c r="C318" s="3"/>
      <c r="D318" s="70"/>
      <c r="E318" s="70"/>
      <c r="F318" s="70"/>
      <c r="G318" s="70"/>
      <c r="H318" s="70"/>
      <c r="I318" s="70"/>
      <c r="J318" s="70"/>
      <c r="K318" s="70"/>
      <c r="M318" s="3"/>
      <c r="N318" s="3"/>
      <c r="O318" s="3"/>
      <c r="P318" s="3"/>
      <c r="R318" s="3"/>
      <c r="S318" s="3"/>
      <c r="T318" s="3"/>
      <c r="U318" s="3"/>
    </row>
    <row r="319">
      <c r="A319" s="70"/>
      <c r="B319" s="3"/>
      <c r="C319" s="3"/>
      <c r="D319" s="70"/>
      <c r="E319" s="70"/>
      <c r="F319" s="70"/>
      <c r="G319" s="70"/>
      <c r="H319" s="70"/>
      <c r="I319" s="70"/>
      <c r="J319" s="70"/>
      <c r="K319" s="70"/>
      <c r="M319" s="3"/>
      <c r="N319" s="3"/>
      <c r="O319" s="3"/>
      <c r="P319" s="3"/>
      <c r="R319" s="3"/>
      <c r="S319" s="3"/>
      <c r="T319" s="3"/>
      <c r="U319" s="3"/>
    </row>
    <row r="320">
      <c r="A320" s="70"/>
      <c r="B320" s="3"/>
      <c r="C320" s="3"/>
      <c r="D320" s="70"/>
      <c r="E320" s="70"/>
      <c r="F320" s="70"/>
      <c r="G320" s="70"/>
      <c r="H320" s="70"/>
      <c r="I320" s="70"/>
      <c r="J320" s="70"/>
      <c r="K320" s="70"/>
      <c r="M320" s="3"/>
      <c r="N320" s="3"/>
      <c r="O320" s="3"/>
      <c r="P320" s="3"/>
      <c r="R320" s="3"/>
      <c r="S320" s="3"/>
      <c r="T320" s="3"/>
      <c r="U320" s="3"/>
    </row>
    <row r="321">
      <c r="A321" s="70"/>
      <c r="B321" s="3"/>
      <c r="C321" s="3"/>
      <c r="D321" s="70"/>
      <c r="E321" s="70"/>
      <c r="F321" s="70"/>
      <c r="G321" s="70"/>
      <c r="H321" s="70"/>
      <c r="I321" s="70"/>
      <c r="J321" s="70"/>
      <c r="K321" s="70"/>
      <c r="M321" s="3"/>
      <c r="N321" s="3"/>
      <c r="O321" s="3"/>
      <c r="P321" s="3"/>
      <c r="R321" s="3"/>
      <c r="S321" s="3"/>
      <c r="T321" s="3"/>
      <c r="U321" s="3"/>
    </row>
    <row r="322">
      <c r="A322" s="70"/>
      <c r="B322" s="3"/>
      <c r="C322" s="3"/>
      <c r="D322" s="70"/>
      <c r="E322" s="70"/>
      <c r="F322" s="70"/>
      <c r="G322" s="70"/>
      <c r="H322" s="70"/>
      <c r="I322" s="70"/>
      <c r="J322" s="70"/>
      <c r="K322" s="70"/>
      <c r="M322" s="3"/>
      <c r="N322" s="3"/>
      <c r="O322" s="3"/>
      <c r="P322" s="3"/>
      <c r="R322" s="3"/>
      <c r="S322" s="3"/>
      <c r="T322" s="3"/>
      <c r="U322" s="3"/>
    </row>
    <row r="323">
      <c r="A323" s="70"/>
      <c r="B323" s="3"/>
      <c r="C323" s="3"/>
      <c r="D323" s="70"/>
      <c r="E323" s="70"/>
      <c r="F323" s="70"/>
      <c r="G323" s="70"/>
      <c r="H323" s="70"/>
      <c r="I323" s="70"/>
      <c r="J323" s="70"/>
      <c r="K323" s="70"/>
      <c r="M323" s="3"/>
      <c r="N323" s="3"/>
      <c r="O323" s="3"/>
      <c r="P323" s="3"/>
      <c r="R323" s="3"/>
      <c r="S323" s="3"/>
      <c r="T323" s="3"/>
      <c r="U323" s="3"/>
    </row>
    <row r="324">
      <c r="A324" s="70"/>
      <c r="B324" s="3"/>
      <c r="C324" s="3"/>
      <c r="D324" s="70"/>
      <c r="E324" s="70"/>
      <c r="F324" s="70"/>
      <c r="G324" s="70"/>
      <c r="H324" s="70"/>
      <c r="I324" s="70"/>
      <c r="J324" s="70"/>
      <c r="K324" s="70"/>
      <c r="M324" s="3"/>
      <c r="N324" s="3"/>
      <c r="O324" s="3"/>
      <c r="P324" s="3"/>
      <c r="R324" s="3"/>
      <c r="S324" s="3"/>
      <c r="T324" s="3"/>
      <c r="U324" s="3"/>
    </row>
    <row r="325">
      <c r="A325" s="70"/>
      <c r="B325" s="3"/>
      <c r="C325" s="3"/>
      <c r="D325" s="70"/>
      <c r="E325" s="70"/>
      <c r="F325" s="70"/>
      <c r="G325" s="70"/>
      <c r="H325" s="70"/>
      <c r="I325" s="70"/>
      <c r="J325" s="70"/>
      <c r="K325" s="70"/>
      <c r="M325" s="3"/>
      <c r="N325" s="3"/>
      <c r="O325" s="3"/>
      <c r="P325" s="3"/>
      <c r="R325" s="3"/>
      <c r="S325" s="3"/>
      <c r="T325" s="3"/>
      <c r="U325" s="3"/>
    </row>
    <row r="326">
      <c r="A326" s="70"/>
      <c r="B326" s="3"/>
      <c r="C326" s="3"/>
      <c r="D326" s="70"/>
      <c r="E326" s="70"/>
      <c r="F326" s="70"/>
      <c r="G326" s="70"/>
      <c r="H326" s="70"/>
      <c r="I326" s="70"/>
      <c r="J326" s="70"/>
      <c r="K326" s="70"/>
      <c r="M326" s="3"/>
      <c r="N326" s="3"/>
      <c r="O326" s="3"/>
      <c r="P326" s="3"/>
      <c r="R326" s="3"/>
      <c r="S326" s="3"/>
      <c r="T326" s="3"/>
      <c r="U326" s="3"/>
    </row>
    <row r="327">
      <c r="A327" s="70"/>
      <c r="B327" s="3"/>
      <c r="C327" s="3"/>
      <c r="D327" s="70"/>
      <c r="E327" s="70"/>
      <c r="F327" s="70"/>
      <c r="G327" s="70"/>
      <c r="H327" s="70"/>
      <c r="I327" s="70"/>
      <c r="J327" s="70"/>
      <c r="K327" s="70"/>
      <c r="M327" s="3"/>
      <c r="N327" s="3"/>
      <c r="O327" s="3"/>
      <c r="P327" s="3"/>
      <c r="R327" s="3"/>
      <c r="S327" s="3"/>
      <c r="T327" s="3"/>
      <c r="U327" s="3"/>
    </row>
    <row r="328">
      <c r="A328" s="70"/>
      <c r="B328" s="3"/>
      <c r="C328" s="3"/>
      <c r="D328" s="70"/>
      <c r="E328" s="70"/>
      <c r="F328" s="70"/>
      <c r="G328" s="70"/>
      <c r="H328" s="70"/>
      <c r="I328" s="70"/>
      <c r="J328" s="70"/>
      <c r="K328" s="70"/>
      <c r="M328" s="3"/>
      <c r="N328" s="3"/>
      <c r="O328" s="3"/>
      <c r="P328" s="3"/>
      <c r="R328" s="3"/>
      <c r="S328" s="3"/>
      <c r="T328" s="3"/>
      <c r="U328" s="3"/>
    </row>
    <row r="329">
      <c r="A329" s="70"/>
      <c r="B329" s="3"/>
      <c r="C329" s="3"/>
      <c r="D329" s="70"/>
      <c r="E329" s="70"/>
      <c r="F329" s="70"/>
      <c r="G329" s="70"/>
      <c r="H329" s="70"/>
      <c r="I329" s="70"/>
      <c r="J329" s="70"/>
      <c r="K329" s="70"/>
      <c r="M329" s="3"/>
      <c r="N329" s="3"/>
      <c r="O329" s="3"/>
      <c r="P329" s="3"/>
      <c r="R329" s="3"/>
      <c r="S329" s="3"/>
      <c r="T329" s="3"/>
      <c r="U329" s="3"/>
    </row>
    <row r="330">
      <c r="A330" s="70"/>
      <c r="B330" s="3"/>
      <c r="C330" s="3"/>
      <c r="D330" s="70"/>
      <c r="E330" s="70"/>
      <c r="F330" s="70"/>
      <c r="G330" s="70"/>
      <c r="H330" s="70"/>
      <c r="I330" s="70"/>
      <c r="J330" s="70"/>
      <c r="K330" s="70"/>
      <c r="M330" s="3"/>
      <c r="N330" s="3"/>
      <c r="O330" s="3"/>
      <c r="P330" s="3"/>
      <c r="R330" s="3"/>
      <c r="S330" s="3"/>
      <c r="T330" s="3"/>
      <c r="U330" s="3"/>
    </row>
    <row r="331">
      <c r="A331" s="70"/>
      <c r="B331" s="3"/>
      <c r="C331" s="3"/>
      <c r="D331" s="70"/>
      <c r="E331" s="70"/>
      <c r="F331" s="70"/>
      <c r="G331" s="70"/>
      <c r="H331" s="70"/>
      <c r="I331" s="70"/>
      <c r="J331" s="70"/>
      <c r="K331" s="70"/>
      <c r="M331" s="3"/>
      <c r="N331" s="3"/>
      <c r="O331" s="3"/>
      <c r="P331" s="3"/>
      <c r="R331" s="3"/>
      <c r="S331" s="3"/>
      <c r="T331" s="3"/>
      <c r="U331" s="3"/>
    </row>
    <row r="332">
      <c r="A332" s="70"/>
      <c r="B332" s="3"/>
      <c r="C332" s="3"/>
      <c r="D332" s="70"/>
      <c r="E332" s="70"/>
      <c r="F332" s="70"/>
      <c r="G332" s="70"/>
      <c r="H332" s="70"/>
      <c r="I332" s="70"/>
      <c r="J332" s="70"/>
      <c r="K332" s="70"/>
      <c r="M332" s="3"/>
      <c r="N332" s="3"/>
      <c r="O332" s="3"/>
      <c r="P332" s="3"/>
      <c r="R332" s="3"/>
      <c r="S332" s="3"/>
      <c r="T332" s="3"/>
      <c r="U332" s="3"/>
    </row>
    <row r="333">
      <c r="A333" s="70"/>
      <c r="B333" s="3"/>
      <c r="C333" s="3"/>
      <c r="D333" s="70"/>
      <c r="E333" s="70"/>
      <c r="F333" s="70"/>
      <c r="G333" s="70"/>
      <c r="H333" s="70"/>
      <c r="I333" s="70"/>
      <c r="J333" s="70"/>
      <c r="K333" s="70"/>
      <c r="M333" s="3"/>
      <c r="N333" s="3"/>
      <c r="O333" s="3"/>
      <c r="P333" s="3"/>
      <c r="R333" s="3"/>
      <c r="S333" s="3"/>
      <c r="T333" s="3"/>
      <c r="U333" s="3"/>
    </row>
    <row r="334">
      <c r="A334" s="70"/>
      <c r="B334" s="3"/>
      <c r="C334" s="3"/>
      <c r="D334" s="70"/>
      <c r="E334" s="70"/>
      <c r="F334" s="70"/>
      <c r="G334" s="70"/>
      <c r="H334" s="70"/>
      <c r="I334" s="70"/>
      <c r="J334" s="70"/>
      <c r="K334" s="70"/>
      <c r="M334" s="3"/>
      <c r="N334" s="3"/>
      <c r="O334" s="3"/>
      <c r="P334" s="3"/>
      <c r="R334" s="3"/>
      <c r="S334" s="3"/>
      <c r="T334" s="3"/>
      <c r="U334" s="3"/>
    </row>
    <row r="335">
      <c r="A335" s="70"/>
      <c r="B335" s="3"/>
      <c r="C335" s="3"/>
      <c r="D335" s="70"/>
      <c r="E335" s="70"/>
      <c r="F335" s="70"/>
      <c r="G335" s="70"/>
      <c r="H335" s="70"/>
      <c r="I335" s="70"/>
      <c r="J335" s="70"/>
      <c r="K335" s="70"/>
      <c r="M335" s="3"/>
      <c r="N335" s="3"/>
      <c r="O335" s="3"/>
      <c r="P335" s="3"/>
      <c r="R335" s="3"/>
      <c r="S335" s="3"/>
      <c r="T335" s="3"/>
      <c r="U335" s="3"/>
    </row>
    <row r="336">
      <c r="A336" s="70"/>
      <c r="B336" s="3"/>
      <c r="C336" s="3"/>
      <c r="D336" s="70"/>
      <c r="E336" s="70"/>
      <c r="F336" s="70"/>
      <c r="G336" s="70"/>
      <c r="H336" s="70"/>
      <c r="I336" s="70"/>
      <c r="J336" s="70"/>
      <c r="K336" s="70"/>
      <c r="M336" s="3"/>
      <c r="N336" s="3"/>
      <c r="O336" s="3"/>
      <c r="P336" s="3"/>
      <c r="R336" s="3"/>
      <c r="S336" s="3"/>
      <c r="T336" s="3"/>
      <c r="U336" s="3"/>
    </row>
    <row r="337">
      <c r="A337" s="70"/>
      <c r="B337" s="3"/>
      <c r="C337" s="3"/>
      <c r="D337" s="70"/>
      <c r="E337" s="70"/>
      <c r="F337" s="70"/>
      <c r="G337" s="70"/>
      <c r="H337" s="70"/>
      <c r="I337" s="70"/>
      <c r="J337" s="70"/>
      <c r="K337" s="70"/>
      <c r="M337" s="3"/>
      <c r="N337" s="3"/>
      <c r="O337" s="3"/>
      <c r="P337" s="3"/>
      <c r="R337" s="3"/>
      <c r="S337" s="3"/>
      <c r="T337" s="3"/>
      <c r="U337" s="3"/>
    </row>
    <row r="338">
      <c r="A338" s="70"/>
      <c r="B338" s="3"/>
      <c r="C338" s="3"/>
      <c r="D338" s="70"/>
      <c r="E338" s="70"/>
      <c r="F338" s="70"/>
      <c r="G338" s="70"/>
      <c r="H338" s="70"/>
      <c r="I338" s="70"/>
      <c r="J338" s="70"/>
      <c r="K338" s="70"/>
      <c r="M338" s="3"/>
      <c r="N338" s="3"/>
      <c r="O338" s="3"/>
      <c r="P338" s="3"/>
      <c r="R338" s="3"/>
      <c r="S338" s="3"/>
      <c r="T338" s="3"/>
      <c r="U338" s="3"/>
    </row>
    <row r="339">
      <c r="A339" s="70"/>
      <c r="B339" s="3"/>
      <c r="C339" s="3"/>
      <c r="D339" s="70"/>
      <c r="E339" s="70"/>
      <c r="F339" s="70"/>
      <c r="G339" s="70"/>
      <c r="H339" s="70"/>
      <c r="I339" s="70"/>
      <c r="J339" s="70"/>
      <c r="K339" s="70"/>
      <c r="M339" s="3"/>
      <c r="N339" s="3"/>
      <c r="O339" s="3"/>
      <c r="P339" s="3"/>
      <c r="R339" s="3"/>
      <c r="S339" s="3"/>
      <c r="T339" s="3"/>
      <c r="U339" s="3"/>
    </row>
    <row r="340">
      <c r="A340" s="70"/>
      <c r="B340" s="3"/>
      <c r="C340" s="3"/>
      <c r="D340" s="70"/>
      <c r="E340" s="70"/>
      <c r="F340" s="70"/>
      <c r="G340" s="70"/>
      <c r="H340" s="70"/>
      <c r="I340" s="70"/>
      <c r="J340" s="70"/>
      <c r="K340" s="70"/>
      <c r="M340" s="3"/>
      <c r="N340" s="3"/>
      <c r="O340" s="3"/>
      <c r="P340" s="3"/>
      <c r="R340" s="3"/>
      <c r="S340" s="3"/>
      <c r="T340" s="3"/>
      <c r="U340" s="3"/>
    </row>
    <row r="341">
      <c r="A341" s="70"/>
      <c r="B341" s="3"/>
      <c r="C341" s="3"/>
      <c r="D341" s="70"/>
      <c r="E341" s="70"/>
      <c r="F341" s="70"/>
      <c r="G341" s="70"/>
      <c r="H341" s="70"/>
      <c r="I341" s="70"/>
      <c r="J341" s="70"/>
      <c r="K341" s="70"/>
      <c r="M341" s="3"/>
      <c r="N341" s="3"/>
      <c r="O341" s="3"/>
      <c r="P341" s="3"/>
      <c r="R341" s="3"/>
      <c r="S341" s="3"/>
      <c r="T341" s="3"/>
      <c r="U341" s="3"/>
    </row>
    <row r="342">
      <c r="A342" s="70"/>
      <c r="B342" s="3"/>
      <c r="C342" s="3"/>
      <c r="D342" s="70"/>
      <c r="E342" s="70"/>
      <c r="F342" s="70"/>
      <c r="G342" s="70"/>
      <c r="H342" s="70"/>
      <c r="I342" s="70"/>
      <c r="J342" s="70"/>
      <c r="K342" s="70"/>
      <c r="M342" s="3"/>
      <c r="N342" s="3"/>
      <c r="O342" s="3"/>
      <c r="P342" s="3"/>
      <c r="R342" s="3"/>
      <c r="S342" s="3"/>
      <c r="T342" s="3"/>
      <c r="U342" s="3"/>
    </row>
    <row r="343">
      <c r="A343" s="70"/>
      <c r="B343" s="3"/>
      <c r="C343" s="3"/>
      <c r="D343" s="70"/>
      <c r="E343" s="70"/>
      <c r="F343" s="70"/>
      <c r="G343" s="70"/>
      <c r="H343" s="70"/>
      <c r="I343" s="70"/>
      <c r="J343" s="70"/>
      <c r="K343" s="70"/>
      <c r="M343" s="3"/>
      <c r="N343" s="3"/>
      <c r="O343" s="3"/>
      <c r="P343" s="3"/>
      <c r="R343" s="3"/>
      <c r="S343" s="3"/>
      <c r="T343" s="3"/>
      <c r="U343" s="3"/>
    </row>
    <row r="344">
      <c r="A344" s="70"/>
      <c r="B344" s="3"/>
      <c r="C344" s="3"/>
      <c r="D344" s="70"/>
      <c r="E344" s="70"/>
      <c r="F344" s="70"/>
      <c r="G344" s="70"/>
      <c r="H344" s="70"/>
      <c r="I344" s="70"/>
      <c r="J344" s="70"/>
      <c r="K344" s="70"/>
      <c r="M344" s="3"/>
      <c r="N344" s="3"/>
      <c r="O344" s="3"/>
      <c r="P344" s="3"/>
      <c r="R344" s="3"/>
      <c r="S344" s="3"/>
      <c r="T344" s="3"/>
      <c r="U344" s="3"/>
    </row>
    <row r="345">
      <c r="A345" s="70"/>
      <c r="B345" s="3"/>
      <c r="C345" s="3"/>
      <c r="D345" s="70"/>
      <c r="E345" s="70"/>
      <c r="F345" s="70"/>
      <c r="G345" s="70"/>
      <c r="H345" s="70"/>
      <c r="I345" s="70"/>
      <c r="J345" s="70"/>
      <c r="K345" s="70"/>
      <c r="M345" s="3"/>
      <c r="N345" s="3"/>
      <c r="O345" s="3"/>
      <c r="P345" s="3"/>
      <c r="R345" s="3"/>
      <c r="S345" s="3"/>
      <c r="T345" s="3"/>
      <c r="U345" s="3"/>
    </row>
    <row r="346">
      <c r="A346" s="70"/>
      <c r="B346" s="3"/>
      <c r="C346" s="3"/>
      <c r="D346" s="70"/>
      <c r="E346" s="70"/>
      <c r="F346" s="70"/>
      <c r="G346" s="70"/>
      <c r="H346" s="70"/>
      <c r="I346" s="70"/>
      <c r="J346" s="70"/>
      <c r="K346" s="70"/>
      <c r="M346" s="3"/>
      <c r="N346" s="3"/>
      <c r="O346" s="3"/>
      <c r="P346" s="3"/>
      <c r="R346" s="3"/>
      <c r="S346" s="3"/>
      <c r="T346" s="3"/>
      <c r="U346" s="3"/>
    </row>
    <row r="347">
      <c r="A347" s="70"/>
      <c r="B347" s="3"/>
      <c r="C347" s="3"/>
      <c r="D347" s="70"/>
      <c r="E347" s="70"/>
      <c r="F347" s="70"/>
      <c r="G347" s="70"/>
      <c r="H347" s="70"/>
      <c r="I347" s="70"/>
      <c r="J347" s="70"/>
      <c r="K347" s="70"/>
      <c r="M347" s="3"/>
      <c r="N347" s="3"/>
      <c r="O347" s="3"/>
      <c r="P347" s="3"/>
      <c r="R347" s="3"/>
      <c r="S347" s="3"/>
      <c r="T347" s="3"/>
      <c r="U347" s="3"/>
    </row>
    <row r="348">
      <c r="A348" s="70"/>
      <c r="B348" s="3"/>
      <c r="C348" s="3"/>
      <c r="D348" s="70"/>
      <c r="E348" s="70"/>
      <c r="F348" s="70"/>
      <c r="G348" s="70"/>
      <c r="H348" s="70"/>
      <c r="I348" s="70"/>
      <c r="J348" s="70"/>
      <c r="K348" s="70"/>
      <c r="M348" s="3"/>
      <c r="N348" s="3"/>
      <c r="O348" s="3"/>
      <c r="P348" s="3"/>
      <c r="R348" s="3"/>
      <c r="S348" s="3"/>
      <c r="T348" s="3"/>
      <c r="U348" s="3"/>
    </row>
    <row r="349">
      <c r="A349" s="70"/>
      <c r="B349" s="3"/>
      <c r="C349" s="3"/>
      <c r="D349" s="70"/>
      <c r="E349" s="70"/>
      <c r="F349" s="70"/>
      <c r="G349" s="70"/>
      <c r="H349" s="70"/>
      <c r="I349" s="70"/>
      <c r="J349" s="70"/>
      <c r="K349" s="70"/>
      <c r="M349" s="3"/>
      <c r="N349" s="3"/>
      <c r="O349" s="3"/>
      <c r="P349" s="3"/>
      <c r="R349" s="3"/>
      <c r="S349" s="3"/>
      <c r="T349" s="3"/>
      <c r="U349" s="3"/>
    </row>
    <row r="350">
      <c r="A350" s="70"/>
      <c r="B350" s="3"/>
      <c r="C350" s="3"/>
      <c r="D350" s="70"/>
      <c r="E350" s="70"/>
      <c r="F350" s="70"/>
      <c r="G350" s="70"/>
      <c r="H350" s="70"/>
      <c r="I350" s="70"/>
      <c r="J350" s="70"/>
      <c r="K350" s="70"/>
      <c r="M350" s="3"/>
      <c r="N350" s="3"/>
      <c r="O350" s="3"/>
      <c r="P350" s="3"/>
      <c r="R350" s="3"/>
      <c r="S350" s="3"/>
      <c r="T350" s="3"/>
      <c r="U350" s="3"/>
    </row>
    <row r="351">
      <c r="A351" s="70"/>
      <c r="B351" s="3"/>
      <c r="C351" s="3"/>
      <c r="D351" s="70"/>
      <c r="E351" s="70"/>
      <c r="F351" s="70"/>
      <c r="G351" s="70"/>
      <c r="H351" s="70"/>
      <c r="I351" s="70"/>
      <c r="J351" s="70"/>
      <c r="K351" s="70"/>
      <c r="M351" s="3"/>
      <c r="N351" s="3"/>
      <c r="O351" s="3"/>
      <c r="P351" s="3"/>
      <c r="R351" s="3"/>
      <c r="S351" s="3"/>
      <c r="T351" s="3"/>
      <c r="U351" s="3"/>
    </row>
    <row r="352">
      <c r="A352" s="70"/>
      <c r="B352" s="3"/>
      <c r="C352" s="3"/>
      <c r="D352" s="70"/>
      <c r="E352" s="70"/>
      <c r="F352" s="70"/>
      <c r="G352" s="70"/>
      <c r="H352" s="70"/>
      <c r="I352" s="70"/>
      <c r="J352" s="70"/>
      <c r="K352" s="70"/>
      <c r="M352" s="3"/>
      <c r="N352" s="3"/>
      <c r="O352" s="3"/>
      <c r="P352" s="3"/>
      <c r="R352" s="3"/>
      <c r="S352" s="3"/>
      <c r="T352" s="3"/>
      <c r="U352" s="3"/>
    </row>
    <row r="353">
      <c r="A353" s="70"/>
      <c r="B353" s="3"/>
      <c r="C353" s="3"/>
      <c r="D353" s="70"/>
      <c r="E353" s="70"/>
      <c r="F353" s="70"/>
      <c r="G353" s="70"/>
      <c r="H353" s="70"/>
      <c r="I353" s="70"/>
      <c r="J353" s="70"/>
      <c r="K353" s="70"/>
      <c r="M353" s="3"/>
      <c r="N353" s="3"/>
      <c r="O353" s="3"/>
      <c r="P353" s="3"/>
      <c r="R353" s="3"/>
      <c r="S353" s="3"/>
      <c r="T353" s="3"/>
      <c r="U353" s="3"/>
    </row>
    <row r="354">
      <c r="A354" s="70"/>
      <c r="B354" s="3"/>
      <c r="C354" s="3"/>
      <c r="D354" s="70"/>
      <c r="E354" s="70"/>
      <c r="F354" s="70"/>
      <c r="G354" s="70"/>
      <c r="H354" s="70"/>
      <c r="I354" s="70"/>
      <c r="J354" s="70"/>
      <c r="K354" s="70"/>
      <c r="M354" s="3"/>
      <c r="N354" s="3"/>
      <c r="O354" s="3"/>
      <c r="P354" s="3"/>
      <c r="R354" s="3"/>
      <c r="S354" s="3"/>
      <c r="T354" s="3"/>
      <c r="U354" s="3"/>
    </row>
    <row r="355">
      <c r="A355" s="70"/>
      <c r="B355" s="3"/>
      <c r="C355" s="3"/>
      <c r="D355" s="70"/>
      <c r="E355" s="70"/>
      <c r="F355" s="70"/>
      <c r="G355" s="70"/>
      <c r="H355" s="70"/>
      <c r="I355" s="70"/>
      <c r="J355" s="70"/>
      <c r="K355" s="70"/>
      <c r="M355" s="3"/>
      <c r="N355" s="3"/>
      <c r="O355" s="3"/>
      <c r="P355" s="3"/>
      <c r="R355" s="3"/>
      <c r="S355" s="3"/>
      <c r="T355" s="3"/>
      <c r="U355" s="3"/>
    </row>
    <row r="356">
      <c r="A356" s="70"/>
      <c r="B356" s="3"/>
      <c r="C356" s="3"/>
      <c r="D356" s="70"/>
      <c r="E356" s="70"/>
      <c r="F356" s="70"/>
      <c r="G356" s="70"/>
      <c r="H356" s="70"/>
      <c r="I356" s="70"/>
      <c r="J356" s="70"/>
      <c r="K356" s="70"/>
      <c r="M356" s="3"/>
      <c r="N356" s="3"/>
      <c r="O356" s="3"/>
      <c r="P356" s="3"/>
      <c r="R356" s="3"/>
      <c r="S356" s="3"/>
      <c r="T356" s="3"/>
      <c r="U356" s="3"/>
    </row>
    <row r="357">
      <c r="A357" s="70"/>
      <c r="B357" s="3"/>
      <c r="C357" s="3"/>
      <c r="D357" s="70"/>
      <c r="E357" s="70"/>
      <c r="F357" s="70"/>
      <c r="G357" s="70"/>
      <c r="H357" s="70"/>
      <c r="I357" s="70"/>
      <c r="J357" s="70"/>
      <c r="K357" s="70"/>
      <c r="M357" s="3"/>
      <c r="N357" s="3"/>
      <c r="O357" s="3"/>
      <c r="P357" s="3"/>
      <c r="R357" s="3"/>
      <c r="S357" s="3"/>
      <c r="T357" s="3"/>
      <c r="U357" s="3"/>
    </row>
    <row r="358">
      <c r="A358" s="70"/>
      <c r="B358" s="3"/>
      <c r="C358" s="3"/>
      <c r="D358" s="70"/>
      <c r="E358" s="70"/>
      <c r="F358" s="70"/>
      <c r="G358" s="70"/>
      <c r="H358" s="70"/>
      <c r="I358" s="70"/>
      <c r="J358" s="70"/>
      <c r="K358" s="70"/>
      <c r="M358" s="3"/>
      <c r="N358" s="3"/>
      <c r="O358" s="3"/>
      <c r="P358" s="3"/>
      <c r="R358" s="3"/>
      <c r="S358" s="3"/>
      <c r="T358" s="3"/>
      <c r="U358" s="3"/>
    </row>
    <row r="359">
      <c r="A359" s="70"/>
      <c r="B359" s="3"/>
      <c r="C359" s="3"/>
      <c r="D359" s="70"/>
      <c r="E359" s="70"/>
      <c r="F359" s="70"/>
      <c r="G359" s="70"/>
      <c r="H359" s="70"/>
      <c r="I359" s="70"/>
      <c r="J359" s="70"/>
      <c r="K359" s="70"/>
      <c r="M359" s="3"/>
      <c r="N359" s="3"/>
      <c r="O359" s="3"/>
      <c r="P359" s="3"/>
      <c r="R359" s="3"/>
      <c r="S359" s="3"/>
      <c r="T359" s="3"/>
      <c r="U359" s="3"/>
    </row>
    <row r="360">
      <c r="A360" s="70"/>
      <c r="B360" s="3"/>
      <c r="C360" s="3"/>
      <c r="D360" s="70"/>
      <c r="E360" s="70"/>
      <c r="F360" s="70"/>
      <c r="G360" s="70"/>
      <c r="H360" s="70"/>
      <c r="I360" s="70"/>
      <c r="J360" s="70"/>
      <c r="K360" s="70"/>
      <c r="M360" s="3"/>
      <c r="N360" s="3"/>
      <c r="O360" s="3"/>
      <c r="P360" s="3"/>
      <c r="R360" s="3"/>
      <c r="S360" s="3"/>
      <c r="T360" s="3"/>
      <c r="U360" s="3"/>
    </row>
    <row r="361">
      <c r="A361" s="70"/>
      <c r="B361" s="3"/>
      <c r="C361" s="3"/>
      <c r="D361" s="70"/>
      <c r="E361" s="70"/>
      <c r="F361" s="70"/>
      <c r="G361" s="70"/>
      <c r="H361" s="70"/>
      <c r="I361" s="70"/>
      <c r="J361" s="70"/>
      <c r="K361" s="70"/>
      <c r="M361" s="3"/>
      <c r="N361" s="3"/>
      <c r="O361" s="3"/>
      <c r="P361" s="3"/>
      <c r="R361" s="3"/>
      <c r="S361" s="3"/>
      <c r="T361" s="3"/>
      <c r="U361" s="3"/>
    </row>
    <row r="362">
      <c r="A362" s="70"/>
      <c r="B362" s="3"/>
      <c r="C362" s="3"/>
      <c r="D362" s="70"/>
      <c r="E362" s="70"/>
      <c r="F362" s="70"/>
      <c r="G362" s="70"/>
      <c r="H362" s="70"/>
      <c r="I362" s="70"/>
      <c r="J362" s="70"/>
      <c r="K362" s="70"/>
      <c r="M362" s="3"/>
      <c r="N362" s="3"/>
      <c r="O362" s="3"/>
      <c r="P362" s="3"/>
      <c r="R362" s="3"/>
      <c r="S362" s="3"/>
      <c r="T362" s="3"/>
      <c r="U362" s="3"/>
    </row>
    <row r="363">
      <c r="A363" s="70"/>
      <c r="B363" s="3"/>
      <c r="C363" s="3"/>
      <c r="D363" s="70"/>
      <c r="E363" s="70"/>
      <c r="F363" s="70"/>
      <c r="G363" s="70"/>
      <c r="H363" s="70"/>
      <c r="I363" s="70"/>
      <c r="J363" s="70"/>
      <c r="K363" s="70"/>
      <c r="M363" s="3"/>
      <c r="N363" s="3"/>
      <c r="O363" s="3"/>
      <c r="P363" s="3"/>
      <c r="R363" s="3"/>
      <c r="S363" s="3"/>
      <c r="T363" s="3"/>
      <c r="U363" s="3"/>
    </row>
    <row r="364">
      <c r="A364" s="70"/>
      <c r="B364" s="3"/>
      <c r="C364" s="3"/>
      <c r="D364" s="70"/>
      <c r="E364" s="70"/>
      <c r="F364" s="70"/>
      <c r="G364" s="70"/>
      <c r="H364" s="70"/>
      <c r="I364" s="70"/>
      <c r="J364" s="70"/>
      <c r="K364" s="70"/>
      <c r="M364" s="3"/>
      <c r="N364" s="3"/>
      <c r="O364" s="3"/>
      <c r="P364" s="3"/>
      <c r="R364" s="3"/>
      <c r="S364" s="3"/>
      <c r="T364" s="3"/>
      <c r="U364" s="3"/>
    </row>
    <row r="365">
      <c r="A365" s="70"/>
      <c r="B365" s="3"/>
      <c r="C365" s="3"/>
      <c r="D365" s="70"/>
      <c r="E365" s="70"/>
      <c r="F365" s="70"/>
      <c r="G365" s="70"/>
      <c r="H365" s="70"/>
      <c r="I365" s="70"/>
      <c r="J365" s="70"/>
      <c r="K365" s="70"/>
      <c r="M365" s="3"/>
      <c r="N365" s="3"/>
      <c r="O365" s="3"/>
      <c r="P365" s="3"/>
      <c r="R365" s="3"/>
      <c r="S365" s="3"/>
      <c r="T365" s="3"/>
      <c r="U365" s="3"/>
    </row>
    <row r="366">
      <c r="A366" s="70"/>
      <c r="B366" s="3"/>
      <c r="C366" s="3"/>
      <c r="D366" s="70"/>
      <c r="E366" s="70"/>
      <c r="F366" s="70"/>
      <c r="G366" s="70"/>
      <c r="H366" s="70"/>
      <c r="I366" s="70"/>
      <c r="J366" s="70"/>
      <c r="K366" s="70"/>
      <c r="M366" s="3"/>
      <c r="N366" s="3"/>
      <c r="O366" s="3"/>
      <c r="P366" s="3"/>
      <c r="R366" s="3"/>
      <c r="S366" s="3"/>
      <c r="T366" s="3"/>
      <c r="U366" s="3"/>
    </row>
    <row r="367">
      <c r="A367" s="70"/>
      <c r="B367" s="3"/>
      <c r="C367" s="3"/>
      <c r="D367" s="70"/>
      <c r="E367" s="70"/>
      <c r="F367" s="70"/>
      <c r="G367" s="70"/>
      <c r="H367" s="70"/>
      <c r="I367" s="70"/>
      <c r="J367" s="70"/>
      <c r="K367" s="70"/>
      <c r="M367" s="3"/>
      <c r="N367" s="3"/>
      <c r="O367" s="3"/>
      <c r="P367" s="3"/>
      <c r="R367" s="3"/>
      <c r="S367" s="3"/>
      <c r="T367" s="3"/>
      <c r="U367" s="3"/>
    </row>
    <row r="368">
      <c r="A368" s="70"/>
      <c r="B368" s="3"/>
      <c r="C368" s="3"/>
      <c r="D368" s="70"/>
      <c r="E368" s="70"/>
      <c r="F368" s="70"/>
      <c r="G368" s="70"/>
      <c r="H368" s="70"/>
      <c r="I368" s="70"/>
      <c r="J368" s="70"/>
      <c r="K368" s="70"/>
      <c r="M368" s="3"/>
      <c r="N368" s="3"/>
      <c r="O368" s="3"/>
      <c r="P368" s="3"/>
      <c r="R368" s="3"/>
      <c r="S368" s="3"/>
      <c r="T368" s="3"/>
      <c r="U368" s="3"/>
    </row>
    <row r="369">
      <c r="A369" s="70"/>
      <c r="B369" s="3"/>
      <c r="C369" s="3"/>
      <c r="D369" s="70"/>
      <c r="E369" s="70"/>
      <c r="F369" s="70"/>
      <c r="G369" s="70"/>
      <c r="H369" s="70"/>
      <c r="I369" s="70"/>
      <c r="J369" s="70"/>
      <c r="K369" s="70"/>
      <c r="M369" s="3"/>
      <c r="N369" s="3"/>
      <c r="O369" s="3"/>
      <c r="P369" s="3"/>
      <c r="R369" s="3"/>
      <c r="S369" s="3"/>
      <c r="T369" s="3"/>
      <c r="U369" s="3"/>
    </row>
    <row r="370">
      <c r="A370" s="70"/>
      <c r="B370" s="3"/>
      <c r="C370" s="3"/>
      <c r="D370" s="70"/>
      <c r="E370" s="70"/>
      <c r="F370" s="70"/>
      <c r="G370" s="70"/>
      <c r="H370" s="70"/>
      <c r="I370" s="70"/>
      <c r="J370" s="70"/>
      <c r="K370" s="70"/>
      <c r="M370" s="3"/>
      <c r="N370" s="3"/>
      <c r="O370" s="3"/>
      <c r="P370" s="3"/>
      <c r="R370" s="3"/>
      <c r="S370" s="3"/>
      <c r="T370" s="3"/>
      <c r="U370" s="3"/>
    </row>
    <row r="371">
      <c r="A371" s="70"/>
      <c r="B371" s="3"/>
      <c r="C371" s="3"/>
      <c r="D371" s="70"/>
      <c r="E371" s="70"/>
      <c r="F371" s="70"/>
      <c r="G371" s="70"/>
      <c r="H371" s="70"/>
      <c r="I371" s="70"/>
      <c r="J371" s="70"/>
      <c r="K371" s="70"/>
      <c r="M371" s="3"/>
      <c r="N371" s="3"/>
      <c r="O371" s="3"/>
      <c r="P371" s="3"/>
      <c r="R371" s="3"/>
      <c r="S371" s="3"/>
      <c r="T371" s="3"/>
      <c r="U371" s="3"/>
    </row>
    <row r="372">
      <c r="A372" s="70"/>
      <c r="B372" s="3"/>
      <c r="C372" s="3"/>
      <c r="D372" s="70"/>
      <c r="E372" s="70"/>
      <c r="F372" s="70"/>
      <c r="G372" s="70"/>
      <c r="H372" s="70"/>
      <c r="I372" s="70"/>
      <c r="J372" s="70"/>
      <c r="K372" s="70"/>
      <c r="M372" s="3"/>
      <c r="N372" s="3"/>
      <c r="O372" s="3"/>
      <c r="P372" s="3"/>
      <c r="R372" s="3"/>
      <c r="S372" s="3"/>
      <c r="T372" s="3"/>
      <c r="U372" s="3"/>
    </row>
    <row r="373">
      <c r="A373" s="70"/>
      <c r="B373" s="3"/>
      <c r="C373" s="3"/>
      <c r="D373" s="70"/>
      <c r="E373" s="70"/>
      <c r="F373" s="70"/>
      <c r="G373" s="70"/>
      <c r="H373" s="70"/>
      <c r="I373" s="70"/>
      <c r="J373" s="70"/>
      <c r="K373" s="70"/>
      <c r="M373" s="3"/>
      <c r="N373" s="3"/>
      <c r="O373" s="3"/>
      <c r="P373" s="3"/>
      <c r="R373" s="3"/>
      <c r="S373" s="3"/>
      <c r="T373" s="3"/>
      <c r="U373" s="3"/>
    </row>
    <row r="374">
      <c r="A374" s="70"/>
      <c r="B374" s="3"/>
      <c r="C374" s="3"/>
      <c r="D374" s="70"/>
      <c r="E374" s="70"/>
      <c r="F374" s="70"/>
      <c r="G374" s="70"/>
      <c r="H374" s="70"/>
      <c r="I374" s="70"/>
      <c r="J374" s="70"/>
      <c r="K374" s="70"/>
      <c r="M374" s="3"/>
      <c r="N374" s="3"/>
      <c r="O374" s="3"/>
      <c r="P374" s="3"/>
      <c r="R374" s="3"/>
      <c r="S374" s="3"/>
      <c r="T374" s="3"/>
      <c r="U374" s="3"/>
    </row>
    <row r="375">
      <c r="A375" s="70"/>
      <c r="B375" s="3"/>
      <c r="C375" s="3"/>
      <c r="D375" s="70"/>
      <c r="E375" s="70"/>
      <c r="F375" s="70"/>
      <c r="G375" s="70"/>
      <c r="H375" s="70"/>
      <c r="I375" s="70"/>
      <c r="J375" s="70"/>
      <c r="K375" s="70"/>
      <c r="M375" s="3"/>
      <c r="N375" s="3"/>
      <c r="O375" s="3"/>
      <c r="P375" s="3"/>
      <c r="R375" s="3"/>
      <c r="S375" s="3"/>
      <c r="T375" s="3"/>
      <c r="U375" s="3"/>
    </row>
    <row r="376">
      <c r="A376" s="70"/>
      <c r="B376" s="3"/>
      <c r="C376" s="3"/>
      <c r="D376" s="70"/>
      <c r="E376" s="70"/>
      <c r="F376" s="70"/>
      <c r="G376" s="70"/>
      <c r="H376" s="70"/>
      <c r="I376" s="70"/>
      <c r="J376" s="70"/>
      <c r="K376" s="70"/>
      <c r="M376" s="3"/>
      <c r="N376" s="3"/>
      <c r="O376" s="3"/>
      <c r="P376" s="3"/>
      <c r="R376" s="3"/>
      <c r="S376" s="3"/>
      <c r="T376" s="3"/>
      <c r="U376" s="3"/>
    </row>
    <row r="377">
      <c r="A377" s="70"/>
      <c r="B377" s="3"/>
      <c r="C377" s="3"/>
      <c r="D377" s="70"/>
      <c r="E377" s="70"/>
      <c r="F377" s="70"/>
      <c r="G377" s="70"/>
      <c r="H377" s="70"/>
      <c r="I377" s="70"/>
      <c r="J377" s="70"/>
      <c r="K377" s="70"/>
      <c r="M377" s="3"/>
      <c r="N377" s="3"/>
      <c r="O377" s="3"/>
      <c r="P377" s="3"/>
      <c r="R377" s="3"/>
      <c r="S377" s="3"/>
      <c r="T377" s="3"/>
      <c r="U377" s="3"/>
    </row>
    <row r="378">
      <c r="A378" s="70"/>
      <c r="B378" s="3"/>
      <c r="C378" s="3"/>
      <c r="D378" s="70"/>
      <c r="E378" s="70"/>
      <c r="F378" s="70"/>
      <c r="G378" s="70"/>
      <c r="H378" s="70"/>
      <c r="I378" s="70"/>
      <c r="J378" s="70"/>
      <c r="K378" s="70"/>
      <c r="M378" s="3"/>
      <c r="N378" s="3"/>
      <c r="O378" s="3"/>
      <c r="P378" s="3"/>
      <c r="R378" s="3"/>
      <c r="S378" s="3"/>
      <c r="T378" s="3"/>
      <c r="U378" s="3"/>
    </row>
    <row r="379">
      <c r="A379" s="70"/>
      <c r="B379" s="3"/>
      <c r="C379" s="3"/>
      <c r="D379" s="70"/>
      <c r="E379" s="70"/>
      <c r="F379" s="70"/>
      <c r="G379" s="70"/>
      <c r="H379" s="70"/>
      <c r="I379" s="70"/>
      <c r="J379" s="70"/>
      <c r="K379" s="70"/>
      <c r="M379" s="3"/>
      <c r="N379" s="3"/>
      <c r="O379" s="3"/>
      <c r="P379" s="3"/>
      <c r="R379" s="3"/>
      <c r="S379" s="3"/>
      <c r="T379" s="3"/>
      <c r="U379" s="3"/>
    </row>
    <row r="380">
      <c r="A380" s="70"/>
      <c r="B380" s="3"/>
      <c r="C380" s="3"/>
      <c r="D380" s="70"/>
      <c r="E380" s="70"/>
      <c r="F380" s="70"/>
      <c r="G380" s="70"/>
      <c r="H380" s="70"/>
      <c r="I380" s="70"/>
      <c r="J380" s="70"/>
      <c r="K380" s="70"/>
      <c r="M380" s="3"/>
      <c r="N380" s="3"/>
      <c r="O380" s="3"/>
      <c r="P380" s="3"/>
      <c r="R380" s="3"/>
      <c r="S380" s="3"/>
      <c r="T380" s="3"/>
      <c r="U380" s="3"/>
    </row>
    <row r="381">
      <c r="A381" s="70"/>
      <c r="B381" s="3"/>
      <c r="C381" s="3"/>
      <c r="D381" s="70"/>
      <c r="E381" s="70"/>
      <c r="F381" s="70"/>
      <c r="G381" s="70"/>
      <c r="H381" s="70"/>
      <c r="I381" s="70"/>
      <c r="J381" s="70"/>
      <c r="K381" s="70"/>
      <c r="M381" s="3"/>
      <c r="N381" s="3"/>
      <c r="O381" s="3"/>
      <c r="P381" s="3"/>
      <c r="R381" s="3"/>
      <c r="S381" s="3"/>
      <c r="T381" s="3"/>
      <c r="U381" s="3"/>
    </row>
    <row r="382">
      <c r="A382" s="70"/>
      <c r="B382" s="3"/>
      <c r="C382" s="3"/>
      <c r="D382" s="70"/>
      <c r="E382" s="70"/>
      <c r="F382" s="70"/>
      <c r="G382" s="70"/>
      <c r="H382" s="70"/>
      <c r="I382" s="70"/>
      <c r="J382" s="70"/>
      <c r="K382" s="70"/>
      <c r="M382" s="3"/>
      <c r="N382" s="3"/>
      <c r="O382" s="3"/>
      <c r="P382" s="3"/>
      <c r="R382" s="3"/>
      <c r="S382" s="3"/>
      <c r="T382" s="3"/>
      <c r="U382" s="3"/>
    </row>
    <row r="383">
      <c r="A383" s="70"/>
      <c r="B383" s="3"/>
      <c r="C383" s="3"/>
      <c r="D383" s="70"/>
      <c r="E383" s="70"/>
      <c r="F383" s="70"/>
      <c r="G383" s="70"/>
      <c r="H383" s="70"/>
      <c r="I383" s="70"/>
      <c r="J383" s="70"/>
      <c r="K383" s="70"/>
      <c r="M383" s="3"/>
      <c r="N383" s="3"/>
      <c r="O383" s="3"/>
      <c r="P383" s="3"/>
      <c r="R383" s="3"/>
      <c r="S383" s="3"/>
      <c r="T383" s="3"/>
      <c r="U383" s="3"/>
    </row>
    <row r="384">
      <c r="A384" s="70"/>
      <c r="B384" s="3"/>
      <c r="C384" s="3"/>
      <c r="D384" s="70"/>
      <c r="E384" s="70"/>
      <c r="F384" s="70"/>
      <c r="G384" s="70"/>
      <c r="H384" s="70"/>
      <c r="I384" s="70"/>
      <c r="J384" s="70"/>
      <c r="K384" s="70"/>
      <c r="M384" s="3"/>
      <c r="N384" s="3"/>
      <c r="O384" s="3"/>
      <c r="P384" s="3"/>
      <c r="R384" s="3"/>
      <c r="S384" s="3"/>
      <c r="T384" s="3"/>
      <c r="U384" s="3"/>
    </row>
    <row r="385">
      <c r="A385" s="70"/>
      <c r="B385" s="3"/>
      <c r="C385" s="3"/>
      <c r="D385" s="70"/>
      <c r="E385" s="70"/>
      <c r="F385" s="70"/>
      <c r="G385" s="70"/>
      <c r="H385" s="70"/>
      <c r="I385" s="70"/>
      <c r="J385" s="70"/>
      <c r="K385" s="70"/>
      <c r="M385" s="3"/>
      <c r="N385" s="3"/>
      <c r="O385" s="3"/>
      <c r="P385" s="3"/>
      <c r="R385" s="3"/>
      <c r="S385" s="3"/>
      <c r="T385" s="3"/>
      <c r="U385" s="3"/>
    </row>
    <row r="386">
      <c r="A386" s="70"/>
      <c r="B386" s="3"/>
      <c r="C386" s="3"/>
      <c r="D386" s="70"/>
      <c r="E386" s="70"/>
      <c r="F386" s="70"/>
      <c r="G386" s="70"/>
      <c r="H386" s="70"/>
      <c r="I386" s="70"/>
      <c r="J386" s="70"/>
      <c r="K386" s="70"/>
      <c r="M386" s="3"/>
      <c r="N386" s="3"/>
      <c r="O386" s="3"/>
      <c r="P386" s="3"/>
      <c r="R386" s="3"/>
      <c r="S386" s="3"/>
      <c r="T386" s="3"/>
      <c r="U386" s="3"/>
    </row>
    <row r="387">
      <c r="A387" s="70"/>
      <c r="B387" s="3"/>
      <c r="C387" s="3"/>
      <c r="D387" s="70"/>
      <c r="E387" s="70"/>
      <c r="F387" s="70"/>
      <c r="G387" s="70"/>
      <c r="H387" s="70"/>
      <c r="I387" s="70"/>
      <c r="J387" s="70"/>
      <c r="K387" s="70"/>
      <c r="M387" s="3"/>
      <c r="N387" s="3"/>
      <c r="O387" s="3"/>
      <c r="P387" s="3"/>
      <c r="R387" s="3"/>
      <c r="S387" s="3"/>
      <c r="T387" s="3"/>
      <c r="U387" s="3"/>
    </row>
    <row r="388">
      <c r="A388" s="70"/>
      <c r="B388" s="3"/>
      <c r="C388" s="3"/>
      <c r="D388" s="70"/>
      <c r="E388" s="70"/>
      <c r="F388" s="70"/>
      <c r="G388" s="70"/>
      <c r="H388" s="70"/>
      <c r="I388" s="70"/>
      <c r="J388" s="70"/>
      <c r="K388" s="70"/>
      <c r="M388" s="3"/>
      <c r="N388" s="3"/>
      <c r="O388" s="3"/>
      <c r="P388" s="3"/>
      <c r="R388" s="3"/>
      <c r="S388" s="3"/>
      <c r="T388" s="3"/>
      <c r="U388" s="3"/>
    </row>
    <row r="389">
      <c r="A389" s="70"/>
      <c r="B389" s="3"/>
      <c r="C389" s="3"/>
      <c r="D389" s="70"/>
      <c r="E389" s="70"/>
      <c r="F389" s="70"/>
      <c r="G389" s="70"/>
      <c r="H389" s="70"/>
      <c r="I389" s="70"/>
      <c r="J389" s="70"/>
      <c r="K389" s="70"/>
      <c r="M389" s="3"/>
      <c r="N389" s="3"/>
      <c r="O389" s="3"/>
      <c r="P389" s="3"/>
      <c r="R389" s="3"/>
      <c r="S389" s="3"/>
      <c r="T389" s="3"/>
      <c r="U389" s="3"/>
    </row>
    <row r="390">
      <c r="A390" s="70"/>
      <c r="B390" s="3"/>
      <c r="C390" s="3"/>
      <c r="D390" s="70"/>
      <c r="E390" s="70"/>
      <c r="F390" s="70"/>
      <c r="G390" s="70"/>
      <c r="H390" s="70"/>
      <c r="I390" s="70"/>
      <c r="J390" s="70"/>
      <c r="K390" s="70"/>
      <c r="M390" s="3"/>
      <c r="N390" s="3"/>
      <c r="O390" s="3"/>
      <c r="P390" s="3"/>
      <c r="R390" s="3"/>
      <c r="S390" s="3"/>
      <c r="T390" s="3"/>
      <c r="U390" s="3"/>
    </row>
    <row r="391">
      <c r="A391" s="70"/>
      <c r="B391" s="3"/>
      <c r="C391" s="3"/>
      <c r="D391" s="70"/>
      <c r="E391" s="70"/>
      <c r="F391" s="70"/>
      <c r="G391" s="70"/>
      <c r="H391" s="70"/>
      <c r="I391" s="70"/>
      <c r="J391" s="70"/>
      <c r="K391" s="70"/>
      <c r="M391" s="3"/>
      <c r="N391" s="3"/>
      <c r="O391" s="3"/>
      <c r="P391" s="3"/>
      <c r="R391" s="3"/>
      <c r="S391" s="3"/>
      <c r="T391" s="3"/>
      <c r="U391" s="3"/>
    </row>
    <row r="392">
      <c r="A392" s="70"/>
      <c r="B392" s="3"/>
      <c r="C392" s="3"/>
      <c r="D392" s="70"/>
      <c r="E392" s="70"/>
      <c r="F392" s="70"/>
      <c r="G392" s="70"/>
      <c r="H392" s="70"/>
      <c r="I392" s="70"/>
      <c r="J392" s="70"/>
      <c r="K392" s="70"/>
      <c r="M392" s="3"/>
      <c r="N392" s="3"/>
      <c r="O392" s="3"/>
      <c r="P392" s="3"/>
      <c r="R392" s="3"/>
      <c r="S392" s="3"/>
      <c r="T392" s="3"/>
      <c r="U392" s="3"/>
    </row>
    <row r="393">
      <c r="A393" s="70"/>
      <c r="B393" s="3"/>
      <c r="C393" s="3"/>
      <c r="D393" s="70"/>
      <c r="E393" s="70"/>
      <c r="F393" s="70"/>
      <c r="G393" s="70"/>
      <c r="H393" s="70"/>
      <c r="I393" s="70"/>
      <c r="J393" s="70"/>
      <c r="K393" s="70"/>
      <c r="M393" s="3"/>
      <c r="N393" s="3"/>
      <c r="O393" s="3"/>
      <c r="P393" s="3"/>
      <c r="R393" s="3"/>
      <c r="S393" s="3"/>
      <c r="T393" s="3"/>
      <c r="U393" s="3"/>
    </row>
    <row r="394">
      <c r="A394" s="70"/>
      <c r="B394" s="3"/>
      <c r="C394" s="3"/>
      <c r="D394" s="70"/>
      <c r="E394" s="70"/>
      <c r="F394" s="70"/>
      <c r="G394" s="70"/>
      <c r="H394" s="70"/>
      <c r="I394" s="70"/>
      <c r="J394" s="70"/>
      <c r="K394" s="70"/>
      <c r="M394" s="3"/>
      <c r="N394" s="3"/>
      <c r="O394" s="3"/>
      <c r="P394" s="3"/>
      <c r="R394" s="3"/>
      <c r="S394" s="3"/>
      <c r="T394" s="3"/>
      <c r="U394" s="3"/>
    </row>
    <row r="395">
      <c r="A395" s="70"/>
      <c r="B395" s="3"/>
      <c r="C395" s="3"/>
      <c r="D395" s="70"/>
      <c r="E395" s="70"/>
      <c r="F395" s="70"/>
      <c r="G395" s="70"/>
      <c r="H395" s="70"/>
      <c r="I395" s="70"/>
      <c r="J395" s="70"/>
      <c r="K395" s="70"/>
      <c r="M395" s="3"/>
      <c r="N395" s="3"/>
      <c r="O395" s="3"/>
      <c r="P395" s="3"/>
      <c r="R395" s="3"/>
      <c r="S395" s="3"/>
      <c r="T395" s="3"/>
      <c r="U395" s="3"/>
    </row>
    <row r="396">
      <c r="A396" s="70"/>
      <c r="B396" s="3"/>
      <c r="C396" s="3"/>
      <c r="D396" s="70"/>
      <c r="E396" s="70"/>
      <c r="F396" s="70"/>
      <c r="G396" s="70"/>
      <c r="H396" s="70"/>
      <c r="I396" s="70"/>
      <c r="J396" s="70"/>
      <c r="K396" s="70"/>
      <c r="M396" s="3"/>
      <c r="N396" s="3"/>
      <c r="O396" s="3"/>
      <c r="P396" s="3"/>
      <c r="R396" s="3"/>
      <c r="S396" s="3"/>
      <c r="T396" s="3"/>
      <c r="U396" s="3"/>
    </row>
    <row r="397">
      <c r="A397" s="70"/>
      <c r="B397" s="3"/>
      <c r="C397" s="3"/>
      <c r="D397" s="70"/>
      <c r="E397" s="70"/>
      <c r="F397" s="70"/>
      <c r="G397" s="70"/>
      <c r="H397" s="70"/>
      <c r="I397" s="70"/>
      <c r="J397" s="70"/>
      <c r="K397" s="70"/>
      <c r="M397" s="3"/>
      <c r="N397" s="3"/>
      <c r="O397" s="3"/>
      <c r="P397" s="3"/>
      <c r="R397" s="3"/>
      <c r="S397" s="3"/>
      <c r="T397" s="3"/>
      <c r="U397" s="3"/>
    </row>
    <row r="398">
      <c r="A398" s="70"/>
      <c r="B398" s="3"/>
      <c r="C398" s="3"/>
      <c r="D398" s="70"/>
      <c r="E398" s="70"/>
      <c r="F398" s="70"/>
      <c r="G398" s="70"/>
      <c r="H398" s="70"/>
      <c r="I398" s="70"/>
      <c r="J398" s="70"/>
      <c r="K398" s="70"/>
      <c r="M398" s="3"/>
      <c r="N398" s="3"/>
      <c r="O398" s="3"/>
      <c r="P398" s="3"/>
      <c r="R398" s="3"/>
      <c r="S398" s="3"/>
      <c r="T398" s="3"/>
      <c r="U398" s="3"/>
    </row>
    <row r="399">
      <c r="A399" s="70"/>
      <c r="B399" s="3"/>
      <c r="C399" s="3"/>
      <c r="D399" s="70"/>
      <c r="E399" s="70"/>
      <c r="F399" s="70"/>
      <c r="G399" s="70"/>
      <c r="H399" s="70"/>
      <c r="I399" s="70"/>
      <c r="J399" s="70"/>
      <c r="K399" s="70"/>
      <c r="M399" s="3"/>
      <c r="N399" s="3"/>
      <c r="O399" s="3"/>
      <c r="P399" s="3"/>
      <c r="R399" s="3"/>
      <c r="S399" s="3"/>
      <c r="T399" s="3"/>
      <c r="U399" s="3"/>
    </row>
    <row r="400">
      <c r="A400" s="70"/>
      <c r="B400" s="3"/>
      <c r="C400" s="3"/>
      <c r="D400" s="70"/>
      <c r="E400" s="70"/>
      <c r="F400" s="70"/>
      <c r="G400" s="70"/>
      <c r="H400" s="70"/>
      <c r="I400" s="70"/>
      <c r="J400" s="70"/>
      <c r="K400" s="70"/>
      <c r="M400" s="3"/>
      <c r="N400" s="3"/>
      <c r="O400" s="3"/>
      <c r="P400" s="3"/>
      <c r="R400" s="3"/>
      <c r="S400" s="3"/>
      <c r="T400" s="3"/>
      <c r="U400" s="3"/>
    </row>
    <row r="401">
      <c r="A401" s="70"/>
      <c r="B401" s="3"/>
      <c r="C401" s="3"/>
      <c r="D401" s="70"/>
      <c r="E401" s="70"/>
      <c r="F401" s="70"/>
      <c r="G401" s="70"/>
      <c r="H401" s="70"/>
      <c r="I401" s="70"/>
      <c r="J401" s="70"/>
      <c r="K401" s="70"/>
      <c r="M401" s="3"/>
      <c r="N401" s="3"/>
      <c r="O401" s="3"/>
      <c r="P401" s="3"/>
      <c r="R401" s="3"/>
      <c r="S401" s="3"/>
      <c r="T401" s="3"/>
      <c r="U401" s="3"/>
    </row>
    <row r="402">
      <c r="A402" s="70"/>
      <c r="B402" s="3"/>
      <c r="C402" s="3"/>
      <c r="D402" s="70"/>
      <c r="E402" s="70"/>
      <c r="F402" s="70"/>
      <c r="G402" s="70"/>
      <c r="H402" s="70"/>
      <c r="I402" s="70"/>
      <c r="J402" s="70"/>
      <c r="K402" s="70"/>
      <c r="M402" s="3"/>
      <c r="N402" s="3"/>
      <c r="O402" s="3"/>
      <c r="P402" s="3"/>
      <c r="R402" s="3"/>
      <c r="S402" s="3"/>
      <c r="T402" s="3"/>
      <c r="U402" s="3"/>
    </row>
    <row r="403">
      <c r="A403" s="70"/>
      <c r="B403" s="3"/>
      <c r="C403" s="3"/>
      <c r="D403" s="70"/>
      <c r="E403" s="70"/>
      <c r="F403" s="70"/>
      <c r="G403" s="70"/>
      <c r="H403" s="70"/>
      <c r="I403" s="70"/>
      <c r="J403" s="70"/>
      <c r="K403" s="70"/>
      <c r="M403" s="3"/>
      <c r="N403" s="3"/>
      <c r="O403" s="3"/>
      <c r="P403" s="3"/>
      <c r="R403" s="3"/>
      <c r="S403" s="3"/>
      <c r="T403" s="3"/>
      <c r="U403" s="3"/>
    </row>
    <row r="404">
      <c r="A404" s="70"/>
      <c r="B404" s="3"/>
      <c r="C404" s="3"/>
      <c r="D404" s="70"/>
      <c r="E404" s="70"/>
      <c r="F404" s="70"/>
      <c r="G404" s="70"/>
      <c r="H404" s="70"/>
      <c r="I404" s="70"/>
      <c r="J404" s="70"/>
      <c r="K404" s="70"/>
      <c r="M404" s="3"/>
      <c r="N404" s="3"/>
      <c r="O404" s="3"/>
      <c r="P404" s="3"/>
      <c r="R404" s="3"/>
      <c r="S404" s="3"/>
      <c r="T404" s="3"/>
      <c r="U404" s="3"/>
    </row>
    <row r="405">
      <c r="A405" s="70"/>
      <c r="B405" s="3"/>
      <c r="C405" s="3"/>
      <c r="D405" s="70"/>
      <c r="E405" s="70"/>
      <c r="F405" s="70"/>
      <c r="G405" s="70"/>
      <c r="H405" s="70"/>
      <c r="I405" s="70"/>
      <c r="J405" s="70"/>
      <c r="K405" s="70"/>
      <c r="M405" s="3"/>
      <c r="N405" s="3"/>
      <c r="O405" s="3"/>
      <c r="P405" s="3"/>
      <c r="R405" s="3"/>
      <c r="S405" s="3"/>
      <c r="T405" s="3"/>
      <c r="U405" s="3"/>
    </row>
    <row r="406">
      <c r="A406" s="70"/>
      <c r="B406" s="3"/>
      <c r="C406" s="3"/>
      <c r="D406" s="70"/>
      <c r="E406" s="70"/>
      <c r="F406" s="70"/>
      <c r="G406" s="70"/>
      <c r="H406" s="70"/>
      <c r="I406" s="70"/>
      <c r="J406" s="70"/>
      <c r="K406" s="70"/>
      <c r="M406" s="3"/>
      <c r="N406" s="3"/>
      <c r="O406" s="3"/>
      <c r="P406" s="3"/>
      <c r="R406" s="3"/>
      <c r="S406" s="3"/>
      <c r="T406" s="3"/>
      <c r="U406" s="3"/>
    </row>
    <row r="407">
      <c r="A407" s="70"/>
      <c r="B407" s="3"/>
      <c r="C407" s="3"/>
      <c r="D407" s="70"/>
      <c r="E407" s="70"/>
      <c r="F407" s="70"/>
      <c r="G407" s="70"/>
      <c r="H407" s="70"/>
      <c r="I407" s="70"/>
      <c r="J407" s="70"/>
      <c r="K407" s="70"/>
      <c r="M407" s="3"/>
      <c r="N407" s="3"/>
      <c r="O407" s="3"/>
      <c r="P407" s="3"/>
      <c r="R407" s="3"/>
      <c r="S407" s="3"/>
      <c r="T407" s="3"/>
      <c r="U407" s="3"/>
    </row>
    <row r="408">
      <c r="A408" s="70"/>
      <c r="B408" s="3"/>
      <c r="C408" s="3"/>
      <c r="D408" s="70"/>
      <c r="E408" s="70"/>
      <c r="F408" s="70"/>
      <c r="G408" s="70"/>
      <c r="H408" s="70"/>
      <c r="I408" s="70"/>
      <c r="J408" s="70"/>
      <c r="K408" s="70"/>
      <c r="M408" s="3"/>
      <c r="N408" s="3"/>
      <c r="O408" s="3"/>
      <c r="P408" s="3"/>
      <c r="R408" s="3"/>
      <c r="S408" s="3"/>
      <c r="T408" s="3"/>
      <c r="U408" s="3"/>
    </row>
    <row r="409">
      <c r="A409" s="70"/>
      <c r="B409" s="3"/>
      <c r="C409" s="3"/>
      <c r="D409" s="70"/>
      <c r="E409" s="70"/>
      <c r="F409" s="70"/>
      <c r="G409" s="70"/>
      <c r="H409" s="70"/>
      <c r="I409" s="70"/>
      <c r="J409" s="70"/>
      <c r="K409" s="70"/>
      <c r="M409" s="3"/>
      <c r="N409" s="3"/>
      <c r="O409" s="3"/>
      <c r="P409" s="3"/>
      <c r="R409" s="3"/>
      <c r="S409" s="3"/>
      <c r="T409" s="3"/>
      <c r="U409" s="3"/>
    </row>
    <row r="410">
      <c r="A410" s="70"/>
      <c r="B410" s="3"/>
      <c r="C410" s="3"/>
      <c r="D410" s="70"/>
      <c r="E410" s="70"/>
      <c r="F410" s="70"/>
      <c r="G410" s="70"/>
      <c r="H410" s="70"/>
      <c r="I410" s="70"/>
      <c r="J410" s="70"/>
      <c r="K410" s="70"/>
      <c r="M410" s="3"/>
      <c r="N410" s="3"/>
      <c r="O410" s="3"/>
      <c r="P410" s="3"/>
      <c r="R410" s="3"/>
      <c r="S410" s="3"/>
      <c r="T410" s="3"/>
      <c r="U410" s="3"/>
    </row>
    <row r="411">
      <c r="A411" s="70"/>
      <c r="B411" s="3"/>
      <c r="C411" s="3"/>
      <c r="D411" s="70"/>
      <c r="E411" s="70"/>
      <c r="F411" s="70"/>
      <c r="G411" s="70"/>
      <c r="H411" s="70"/>
      <c r="I411" s="70"/>
      <c r="J411" s="70"/>
      <c r="K411" s="70"/>
      <c r="M411" s="3"/>
      <c r="N411" s="3"/>
      <c r="O411" s="3"/>
      <c r="P411" s="3"/>
      <c r="R411" s="3"/>
      <c r="S411" s="3"/>
      <c r="T411" s="3"/>
      <c r="U411" s="3"/>
    </row>
    <row r="412">
      <c r="A412" s="70"/>
      <c r="B412" s="3"/>
      <c r="C412" s="3"/>
      <c r="D412" s="70"/>
      <c r="E412" s="70"/>
      <c r="F412" s="70"/>
      <c r="G412" s="70"/>
      <c r="H412" s="70"/>
      <c r="I412" s="70"/>
      <c r="J412" s="70"/>
      <c r="K412" s="70"/>
      <c r="M412" s="3"/>
      <c r="N412" s="3"/>
      <c r="O412" s="3"/>
      <c r="P412" s="3"/>
      <c r="R412" s="3"/>
      <c r="S412" s="3"/>
      <c r="T412" s="3"/>
      <c r="U412" s="3"/>
    </row>
    <row r="413">
      <c r="A413" s="70"/>
      <c r="B413" s="3"/>
      <c r="C413" s="3"/>
      <c r="D413" s="70"/>
      <c r="E413" s="70"/>
      <c r="F413" s="70"/>
      <c r="G413" s="70"/>
      <c r="H413" s="70"/>
      <c r="I413" s="70"/>
      <c r="J413" s="70"/>
      <c r="K413" s="70"/>
      <c r="M413" s="3"/>
      <c r="N413" s="3"/>
      <c r="O413" s="3"/>
      <c r="P413" s="3"/>
      <c r="R413" s="3"/>
      <c r="S413" s="3"/>
      <c r="T413" s="3"/>
      <c r="U413" s="3"/>
    </row>
    <row r="414">
      <c r="A414" s="70"/>
      <c r="B414" s="3"/>
      <c r="C414" s="3"/>
      <c r="D414" s="70"/>
      <c r="E414" s="70"/>
      <c r="F414" s="70"/>
      <c r="G414" s="70"/>
      <c r="H414" s="70"/>
      <c r="I414" s="70"/>
      <c r="J414" s="70"/>
      <c r="K414" s="70"/>
      <c r="M414" s="3"/>
      <c r="N414" s="3"/>
      <c r="O414" s="3"/>
      <c r="P414" s="3"/>
      <c r="R414" s="3"/>
      <c r="S414" s="3"/>
      <c r="T414" s="3"/>
      <c r="U414" s="3"/>
    </row>
    <row r="415">
      <c r="A415" s="70"/>
      <c r="B415" s="3"/>
      <c r="C415" s="3"/>
      <c r="D415" s="70"/>
      <c r="E415" s="70"/>
      <c r="F415" s="70"/>
      <c r="G415" s="70"/>
      <c r="H415" s="70"/>
      <c r="I415" s="70"/>
      <c r="J415" s="70"/>
      <c r="K415" s="70"/>
      <c r="M415" s="3"/>
      <c r="N415" s="3"/>
      <c r="O415" s="3"/>
      <c r="P415" s="3"/>
      <c r="R415" s="3"/>
      <c r="S415" s="3"/>
      <c r="T415" s="3"/>
      <c r="U415" s="3"/>
    </row>
    <row r="416">
      <c r="A416" s="70"/>
      <c r="B416" s="3"/>
      <c r="C416" s="3"/>
      <c r="D416" s="70"/>
      <c r="E416" s="70"/>
      <c r="F416" s="70"/>
      <c r="G416" s="70"/>
      <c r="H416" s="70"/>
      <c r="I416" s="70"/>
      <c r="J416" s="70"/>
      <c r="K416" s="70"/>
      <c r="M416" s="3"/>
      <c r="N416" s="3"/>
      <c r="O416" s="3"/>
      <c r="P416" s="3"/>
      <c r="R416" s="3"/>
      <c r="S416" s="3"/>
      <c r="T416" s="3"/>
      <c r="U416" s="3"/>
    </row>
    <row r="417">
      <c r="A417" s="70"/>
      <c r="B417" s="3"/>
      <c r="C417" s="3"/>
      <c r="D417" s="70"/>
      <c r="E417" s="70"/>
      <c r="F417" s="70"/>
      <c r="G417" s="70"/>
      <c r="H417" s="70"/>
      <c r="I417" s="70"/>
      <c r="J417" s="70"/>
      <c r="K417" s="70"/>
      <c r="M417" s="3"/>
      <c r="N417" s="3"/>
      <c r="O417" s="3"/>
      <c r="P417" s="3"/>
      <c r="R417" s="3"/>
      <c r="S417" s="3"/>
      <c r="T417" s="3"/>
      <c r="U417" s="3"/>
    </row>
    <row r="418">
      <c r="A418" s="70"/>
      <c r="B418" s="3"/>
      <c r="C418" s="3"/>
      <c r="D418" s="70"/>
      <c r="E418" s="70"/>
      <c r="F418" s="70"/>
      <c r="G418" s="70"/>
      <c r="H418" s="70"/>
      <c r="I418" s="70"/>
      <c r="J418" s="70"/>
      <c r="K418" s="70"/>
      <c r="M418" s="3"/>
      <c r="N418" s="3"/>
      <c r="O418" s="3"/>
      <c r="P418" s="3"/>
      <c r="R418" s="3"/>
      <c r="S418" s="3"/>
      <c r="T418" s="3"/>
      <c r="U418" s="3"/>
    </row>
    <row r="419">
      <c r="A419" s="70"/>
      <c r="B419" s="3"/>
      <c r="C419" s="3"/>
      <c r="D419" s="70"/>
      <c r="E419" s="70"/>
      <c r="F419" s="70"/>
      <c r="G419" s="70"/>
      <c r="H419" s="70"/>
      <c r="I419" s="70"/>
      <c r="J419" s="70"/>
      <c r="K419" s="70"/>
      <c r="M419" s="3"/>
      <c r="N419" s="3"/>
      <c r="O419" s="3"/>
      <c r="P419" s="3"/>
      <c r="R419" s="3"/>
      <c r="S419" s="3"/>
      <c r="T419" s="3"/>
      <c r="U419" s="3"/>
    </row>
    <row r="420">
      <c r="A420" s="70"/>
      <c r="B420" s="3"/>
      <c r="C420" s="3"/>
      <c r="D420" s="70"/>
      <c r="E420" s="70"/>
      <c r="F420" s="70"/>
      <c r="G420" s="70"/>
      <c r="H420" s="70"/>
      <c r="I420" s="70"/>
      <c r="J420" s="70"/>
      <c r="K420" s="70"/>
      <c r="M420" s="3"/>
      <c r="N420" s="3"/>
      <c r="O420" s="3"/>
      <c r="P420" s="3"/>
      <c r="R420" s="3"/>
      <c r="S420" s="3"/>
      <c r="T420" s="3"/>
      <c r="U420" s="3"/>
    </row>
    <row r="421">
      <c r="A421" s="70"/>
      <c r="B421" s="3"/>
      <c r="C421" s="3"/>
      <c r="D421" s="70"/>
      <c r="E421" s="70"/>
      <c r="F421" s="70"/>
      <c r="G421" s="70"/>
      <c r="H421" s="70"/>
      <c r="I421" s="70"/>
      <c r="J421" s="70"/>
      <c r="K421" s="70"/>
      <c r="M421" s="3"/>
      <c r="N421" s="3"/>
      <c r="O421" s="3"/>
      <c r="P421" s="3"/>
      <c r="R421" s="3"/>
      <c r="S421" s="3"/>
      <c r="T421" s="3"/>
      <c r="U421" s="3"/>
    </row>
    <row r="422">
      <c r="A422" s="70"/>
      <c r="B422" s="3"/>
      <c r="C422" s="3"/>
      <c r="D422" s="70"/>
      <c r="E422" s="70"/>
      <c r="F422" s="70"/>
      <c r="G422" s="70"/>
      <c r="H422" s="70"/>
      <c r="I422" s="70"/>
      <c r="J422" s="70"/>
      <c r="K422" s="70"/>
      <c r="M422" s="3"/>
      <c r="N422" s="3"/>
      <c r="O422" s="3"/>
      <c r="P422" s="3"/>
      <c r="R422" s="3"/>
      <c r="S422" s="3"/>
      <c r="T422" s="3"/>
      <c r="U422" s="3"/>
    </row>
    <row r="423">
      <c r="A423" s="70"/>
      <c r="B423" s="3"/>
      <c r="C423" s="3"/>
      <c r="D423" s="70"/>
      <c r="E423" s="70"/>
      <c r="F423" s="70"/>
      <c r="G423" s="70"/>
      <c r="H423" s="70"/>
      <c r="I423" s="70"/>
      <c r="J423" s="70"/>
      <c r="K423" s="70"/>
      <c r="M423" s="3"/>
      <c r="N423" s="3"/>
      <c r="O423" s="3"/>
      <c r="P423" s="3"/>
      <c r="R423" s="3"/>
      <c r="S423" s="3"/>
      <c r="T423" s="3"/>
      <c r="U423" s="3"/>
    </row>
    <row r="424">
      <c r="A424" s="70"/>
      <c r="B424" s="3"/>
      <c r="C424" s="3"/>
      <c r="D424" s="70"/>
      <c r="E424" s="70"/>
      <c r="F424" s="70"/>
      <c r="G424" s="70"/>
      <c r="H424" s="70"/>
      <c r="I424" s="70"/>
      <c r="J424" s="70"/>
      <c r="K424" s="70"/>
      <c r="M424" s="3"/>
      <c r="N424" s="3"/>
      <c r="O424" s="3"/>
      <c r="P424" s="3"/>
      <c r="R424" s="3"/>
      <c r="S424" s="3"/>
      <c r="T424" s="3"/>
      <c r="U424" s="3"/>
    </row>
    <row r="425">
      <c r="A425" s="70"/>
      <c r="B425" s="3"/>
      <c r="C425" s="3"/>
      <c r="D425" s="70"/>
      <c r="E425" s="70"/>
      <c r="F425" s="70"/>
      <c r="G425" s="70"/>
      <c r="H425" s="70"/>
      <c r="I425" s="70"/>
      <c r="J425" s="70"/>
      <c r="K425" s="70"/>
      <c r="M425" s="3"/>
      <c r="N425" s="3"/>
      <c r="O425" s="3"/>
      <c r="P425" s="3"/>
      <c r="R425" s="3"/>
      <c r="S425" s="3"/>
      <c r="T425" s="3"/>
      <c r="U425" s="3"/>
    </row>
    <row r="426">
      <c r="A426" s="70"/>
      <c r="B426" s="3"/>
      <c r="C426" s="3"/>
      <c r="D426" s="70"/>
      <c r="E426" s="70"/>
      <c r="F426" s="70"/>
      <c r="G426" s="70"/>
      <c r="H426" s="70"/>
      <c r="I426" s="70"/>
      <c r="J426" s="70"/>
      <c r="K426" s="70"/>
      <c r="M426" s="3"/>
      <c r="N426" s="3"/>
      <c r="O426" s="3"/>
      <c r="P426" s="3"/>
      <c r="R426" s="3"/>
      <c r="S426" s="3"/>
      <c r="T426" s="3"/>
      <c r="U426" s="3"/>
    </row>
    <row r="427">
      <c r="A427" s="70"/>
      <c r="B427" s="3"/>
      <c r="C427" s="3"/>
      <c r="D427" s="70"/>
      <c r="E427" s="70"/>
      <c r="F427" s="70"/>
      <c r="G427" s="70"/>
      <c r="H427" s="70"/>
      <c r="I427" s="70"/>
      <c r="J427" s="70"/>
      <c r="K427" s="70"/>
      <c r="M427" s="3"/>
      <c r="N427" s="3"/>
      <c r="O427" s="3"/>
      <c r="P427" s="3"/>
      <c r="R427" s="3"/>
      <c r="S427" s="3"/>
      <c r="T427" s="3"/>
      <c r="U427" s="3"/>
    </row>
    <row r="428">
      <c r="A428" s="70"/>
      <c r="B428" s="3"/>
      <c r="C428" s="3"/>
      <c r="D428" s="70"/>
      <c r="E428" s="70"/>
      <c r="F428" s="70"/>
      <c r="G428" s="70"/>
      <c r="H428" s="70"/>
      <c r="I428" s="70"/>
      <c r="J428" s="70"/>
      <c r="K428" s="70"/>
      <c r="M428" s="3"/>
      <c r="N428" s="3"/>
      <c r="O428" s="3"/>
      <c r="P428" s="3"/>
      <c r="R428" s="3"/>
      <c r="S428" s="3"/>
      <c r="T428" s="3"/>
      <c r="U428" s="3"/>
    </row>
    <row r="429">
      <c r="A429" s="70"/>
      <c r="B429" s="3"/>
      <c r="C429" s="3"/>
      <c r="D429" s="70"/>
      <c r="E429" s="70"/>
      <c r="F429" s="70"/>
      <c r="G429" s="70"/>
      <c r="H429" s="70"/>
      <c r="I429" s="70"/>
      <c r="J429" s="70"/>
      <c r="K429" s="70"/>
      <c r="M429" s="3"/>
      <c r="N429" s="3"/>
      <c r="O429" s="3"/>
      <c r="P429" s="3"/>
      <c r="R429" s="3"/>
      <c r="S429" s="3"/>
      <c r="T429" s="3"/>
      <c r="U429" s="3"/>
    </row>
    <row r="430">
      <c r="A430" s="70"/>
      <c r="B430" s="3"/>
      <c r="C430" s="3"/>
      <c r="D430" s="70"/>
      <c r="E430" s="70"/>
      <c r="F430" s="70"/>
      <c r="G430" s="70"/>
      <c r="H430" s="70"/>
      <c r="I430" s="70"/>
      <c r="J430" s="70"/>
      <c r="K430" s="70"/>
      <c r="M430" s="3"/>
      <c r="N430" s="3"/>
      <c r="O430" s="3"/>
      <c r="P430" s="3"/>
      <c r="R430" s="3"/>
      <c r="S430" s="3"/>
      <c r="T430" s="3"/>
      <c r="U430" s="3"/>
    </row>
    <row r="431">
      <c r="A431" s="70"/>
      <c r="B431" s="3"/>
      <c r="C431" s="3"/>
      <c r="D431" s="70"/>
      <c r="E431" s="70"/>
      <c r="F431" s="70"/>
      <c r="G431" s="70"/>
      <c r="H431" s="70"/>
      <c r="I431" s="70"/>
      <c r="J431" s="70"/>
      <c r="K431" s="70"/>
      <c r="M431" s="3"/>
      <c r="N431" s="3"/>
      <c r="O431" s="3"/>
      <c r="P431" s="3"/>
      <c r="R431" s="3"/>
      <c r="S431" s="3"/>
      <c r="T431" s="3"/>
      <c r="U431" s="3"/>
    </row>
    <row r="432">
      <c r="A432" s="70"/>
      <c r="B432" s="3"/>
      <c r="C432" s="3"/>
      <c r="D432" s="70"/>
      <c r="E432" s="70"/>
      <c r="F432" s="70"/>
      <c r="G432" s="70"/>
      <c r="H432" s="70"/>
      <c r="I432" s="70"/>
      <c r="J432" s="70"/>
      <c r="K432" s="70"/>
      <c r="M432" s="3"/>
      <c r="N432" s="3"/>
      <c r="O432" s="3"/>
      <c r="P432" s="3"/>
      <c r="R432" s="3"/>
      <c r="S432" s="3"/>
      <c r="T432" s="3"/>
      <c r="U432" s="3"/>
    </row>
    <row r="433">
      <c r="A433" s="70"/>
      <c r="B433" s="3"/>
      <c r="C433" s="3"/>
      <c r="D433" s="70"/>
      <c r="E433" s="70"/>
      <c r="F433" s="70"/>
      <c r="G433" s="70"/>
      <c r="H433" s="70"/>
      <c r="I433" s="70"/>
      <c r="J433" s="70"/>
      <c r="K433" s="70"/>
      <c r="M433" s="3"/>
      <c r="N433" s="3"/>
      <c r="O433" s="3"/>
      <c r="P433" s="3"/>
      <c r="R433" s="3"/>
      <c r="S433" s="3"/>
      <c r="T433" s="3"/>
      <c r="U433" s="3"/>
    </row>
    <row r="434">
      <c r="A434" s="70"/>
      <c r="B434" s="3"/>
      <c r="C434" s="3"/>
      <c r="D434" s="70"/>
      <c r="E434" s="70"/>
      <c r="F434" s="70"/>
      <c r="G434" s="70"/>
      <c r="H434" s="70"/>
      <c r="I434" s="70"/>
      <c r="J434" s="70"/>
      <c r="K434" s="70"/>
      <c r="M434" s="3"/>
      <c r="N434" s="3"/>
      <c r="O434" s="3"/>
      <c r="P434" s="3"/>
      <c r="R434" s="3"/>
      <c r="S434" s="3"/>
      <c r="T434" s="3"/>
      <c r="U434" s="3"/>
    </row>
    <row r="435">
      <c r="A435" s="70"/>
      <c r="B435" s="3"/>
      <c r="C435" s="3"/>
      <c r="D435" s="70"/>
      <c r="E435" s="70"/>
      <c r="F435" s="70"/>
      <c r="G435" s="70"/>
      <c r="H435" s="70"/>
      <c r="I435" s="70"/>
      <c r="J435" s="70"/>
      <c r="K435" s="70"/>
      <c r="M435" s="3"/>
      <c r="N435" s="3"/>
      <c r="O435" s="3"/>
      <c r="P435" s="3"/>
      <c r="R435" s="3"/>
      <c r="S435" s="3"/>
      <c r="T435" s="3"/>
      <c r="U435" s="3"/>
    </row>
    <row r="436">
      <c r="A436" s="70"/>
      <c r="B436" s="3"/>
      <c r="C436" s="3"/>
      <c r="D436" s="70"/>
      <c r="E436" s="70"/>
      <c r="F436" s="70"/>
      <c r="G436" s="70"/>
      <c r="H436" s="70"/>
      <c r="I436" s="70"/>
      <c r="J436" s="70"/>
      <c r="K436" s="70"/>
      <c r="M436" s="3"/>
      <c r="N436" s="3"/>
      <c r="O436" s="3"/>
      <c r="P436" s="3"/>
      <c r="R436" s="3"/>
      <c r="S436" s="3"/>
      <c r="T436" s="3"/>
      <c r="U436" s="3"/>
    </row>
    <row r="437">
      <c r="A437" s="70"/>
      <c r="B437" s="3"/>
      <c r="C437" s="3"/>
      <c r="D437" s="70"/>
      <c r="E437" s="70"/>
      <c r="F437" s="70"/>
      <c r="G437" s="70"/>
      <c r="H437" s="70"/>
      <c r="I437" s="70"/>
      <c r="J437" s="70"/>
      <c r="K437" s="70"/>
      <c r="M437" s="3"/>
      <c r="N437" s="3"/>
      <c r="O437" s="3"/>
      <c r="P437" s="3"/>
      <c r="R437" s="3"/>
      <c r="S437" s="3"/>
      <c r="T437" s="3"/>
      <c r="U437" s="3"/>
    </row>
    <row r="438">
      <c r="A438" s="70"/>
      <c r="B438" s="3"/>
      <c r="C438" s="3"/>
      <c r="D438" s="70"/>
      <c r="E438" s="70"/>
      <c r="F438" s="70"/>
      <c r="G438" s="70"/>
      <c r="H438" s="70"/>
      <c r="I438" s="70"/>
      <c r="J438" s="70"/>
      <c r="K438" s="70"/>
      <c r="M438" s="3"/>
      <c r="N438" s="3"/>
      <c r="O438" s="3"/>
      <c r="P438" s="3"/>
      <c r="R438" s="3"/>
      <c r="S438" s="3"/>
      <c r="T438" s="3"/>
      <c r="U438" s="3"/>
    </row>
    <row r="439">
      <c r="A439" s="70"/>
      <c r="B439" s="3"/>
      <c r="C439" s="3"/>
      <c r="D439" s="70"/>
      <c r="E439" s="70"/>
      <c r="F439" s="70"/>
      <c r="G439" s="70"/>
      <c r="H439" s="70"/>
      <c r="I439" s="70"/>
      <c r="J439" s="70"/>
      <c r="K439" s="70"/>
      <c r="M439" s="3"/>
      <c r="N439" s="3"/>
      <c r="O439" s="3"/>
      <c r="P439" s="3"/>
      <c r="R439" s="3"/>
      <c r="S439" s="3"/>
      <c r="T439" s="3"/>
      <c r="U439" s="3"/>
    </row>
    <row r="440">
      <c r="A440" s="70"/>
      <c r="B440" s="3"/>
      <c r="C440" s="3"/>
      <c r="D440" s="70"/>
      <c r="E440" s="70"/>
      <c r="F440" s="70"/>
      <c r="G440" s="70"/>
      <c r="H440" s="70"/>
      <c r="I440" s="70"/>
      <c r="J440" s="70"/>
      <c r="K440" s="70"/>
      <c r="M440" s="3"/>
      <c r="N440" s="3"/>
      <c r="O440" s="3"/>
      <c r="P440" s="3"/>
      <c r="R440" s="3"/>
      <c r="S440" s="3"/>
      <c r="T440" s="3"/>
      <c r="U440" s="3"/>
    </row>
    <row r="441">
      <c r="A441" s="70"/>
      <c r="B441" s="3"/>
      <c r="C441" s="3"/>
      <c r="D441" s="70"/>
      <c r="E441" s="70"/>
      <c r="F441" s="70"/>
      <c r="G441" s="70"/>
      <c r="H441" s="70"/>
      <c r="I441" s="70"/>
      <c r="J441" s="70"/>
      <c r="K441" s="70"/>
      <c r="M441" s="3"/>
      <c r="N441" s="3"/>
      <c r="O441" s="3"/>
      <c r="P441" s="3"/>
      <c r="R441" s="3"/>
      <c r="S441" s="3"/>
      <c r="T441" s="3"/>
      <c r="U441" s="3"/>
    </row>
    <row r="442">
      <c r="A442" s="70"/>
      <c r="B442" s="3"/>
      <c r="C442" s="3"/>
      <c r="D442" s="70"/>
      <c r="E442" s="70"/>
      <c r="F442" s="70"/>
      <c r="G442" s="70"/>
      <c r="H442" s="70"/>
      <c r="I442" s="70"/>
      <c r="J442" s="70"/>
      <c r="K442" s="70"/>
      <c r="M442" s="3"/>
      <c r="N442" s="3"/>
      <c r="O442" s="3"/>
      <c r="P442" s="3"/>
      <c r="R442" s="3"/>
      <c r="S442" s="3"/>
      <c r="T442" s="3"/>
      <c r="U442" s="3"/>
    </row>
    <row r="443">
      <c r="A443" s="70"/>
      <c r="B443" s="3"/>
      <c r="C443" s="3"/>
      <c r="D443" s="70"/>
      <c r="E443" s="70"/>
      <c r="F443" s="70"/>
      <c r="G443" s="70"/>
      <c r="H443" s="70"/>
      <c r="I443" s="70"/>
      <c r="J443" s="70"/>
      <c r="K443" s="70"/>
      <c r="M443" s="3"/>
      <c r="N443" s="3"/>
      <c r="O443" s="3"/>
      <c r="P443" s="3"/>
      <c r="R443" s="3"/>
      <c r="S443" s="3"/>
      <c r="T443" s="3"/>
      <c r="U443" s="3"/>
    </row>
    <row r="444">
      <c r="A444" s="70"/>
      <c r="B444" s="3"/>
      <c r="C444" s="3"/>
      <c r="D444" s="70"/>
      <c r="E444" s="70"/>
      <c r="F444" s="70"/>
      <c r="G444" s="70"/>
      <c r="H444" s="70"/>
      <c r="I444" s="70"/>
      <c r="J444" s="70"/>
      <c r="K444" s="70"/>
      <c r="M444" s="3"/>
      <c r="N444" s="3"/>
      <c r="O444" s="3"/>
      <c r="P444" s="3"/>
      <c r="R444" s="3"/>
      <c r="S444" s="3"/>
      <c r="T444" s="3"/>
      <c r="U444" s="3"/>
    </row>
    <row r="445">
      <c r="A445" s="70"/>
      <c r="B445" s="3"/>
      <c r="C445" s="3"/>
      <c r="D445" s="70"/>
      <c r="E445" s="70"/>
      <c r="F445" s="70"/>
      <c r="G445" s="70"/>
      <c r="H445" s="70"/>
      <c r="I445" s="70"/>
      <c r="J445" s="70"/>
      <c r="K445" s="70"/>
      <c r="M445" s="3"/>
      <c r="N445" s="3"/>
      <c r="O445" s="3"/>
      <c r="P445" s="3"/>
      <c r="R445" s="3"/>
      <c r="S445" s="3"/>
      <c r="T445" s="3"/>
      <c r="U445" s="3"/>
    </row>
    <row r="446">
      <c r="A446" s="70"/>
      <c r="B446" s="3"/>
      <c r="C446" s="3"/>
      <c r="D446" s="70"/>
      <c r="E446" s="70"/>
      <c r="F446" s="70"/>
      <c r="G446" s="70"/>
      <c r="H446" s="70"/>
      <c r="I446" s="70"/>
      <c r="J446" s="70"/>
      <c r="K446" s="70"/>
      <c r="M446" s="3"/>
      <c r="N446" s="3"/>
      <c r="O446" s="3"/>
      <c r="P446" s="3"/>
      <c r="R446" s="3"/>
      <c r="S446" s="3"/>
      <c r="T446" s="3"/>
      <c r="U446" s="3"/>
    </row>
    <row r="447">
      <c r="A447" s="70"/>
      <c r="B447" s="3"/>
      <c r="C447" s="3"/>
      <c r="D447" s="70"/>
      <c r="E447" s="70"/>
      <c r="F447" s="70"/>
      <c r="G447" s="70"/>
      <c r="H447" s="70"/>
      <c r="I447" s="70"/>
      <c r="J447" s="70"/>
      <c r="K447" s="70"/>
      <c r="M447" s="3"/>
      <c r="N447" s="3"/>
      <c r="O447" s="3"/>
      <c r="P447" s="3"/>
      <c r="R447" s="3"/>
      <c r="S447" s="3"/>
      <c r="T447" s="3"/>
      <c r="U447" s="3"/>
    </row>
    <row r="448">
      <c r="A448" s="70"/>
      <c r="B448" s="3"/>
      <c r="C448" s="3"/>
      <c r="D448" s="70"/>
      <c r="E448" s="70"/>
      <c r="F448" s="70"/>
      <c r="G448" s="70"/>
      <c r="H448" s="70"/>
      <c r="I448" s="70"/>
      <c r="J448" s="70"/>
      <c r="K448" s="70"/>
      <c r="M448" s="3"/>
      <c r="N448" s="3"/>
      <c r="O448" s="3"/>
      <c r="P448" s="3"/>
      <c r="R448" s="3"/>
      <c r="S448" s="3"/>
      <c r="T448" s="3"/>
      <c r="U448" s="3"/>
    </row>
    <row r="449">
      <c r="A449" s="70"/>
      <c r="B449" s="3"/>
      <c r="C449" s="3"/>
      <c r="D449" s="70"/>
      <c r="E449" s="70"/>
      <c r="F449" s="70"/>
      <c r="G449" s="70"/>
      <c r="H449" s="70"/>
      <c r="I449" s="70"/>
      <c r="J449" s="70"/>
      <c r="K449" s="70"/>
      <c r="M449" s="3"/>
      <c r="N449" s="3"/>
      <c r="O449" s="3"/>
      <c r="P449" s="3"/>
      <c r="R449" s="3"/>
      <c r="S449" s="3"/>
      <c r="T449" s="3"/>
      <c r="U449" s="3"/>
    </row>
    <row r="450">
      <c r="A450" s="70"/>
      <c r="B450" s="3"/>
      <c r="C450" s="3"/>
      <c r="D450" s="70"/>
      <c r="E450" s="70"/>
      <c r="F450" s="70"/>
      <c r="G450" s="70"/>
      <c r="H450" s="70"/>
      <c r="I450" s="70"/>
      <c r="J450" s="70"/>
      <c r="K450" s="70"/>
      <c r="M450" s="3"/>
      <c r="N450" s="3"/>
      <c r="O450" s="3"/>
      <c r="P450" s="3"/>
      <c r="R450" s="3"/>
      <c r="S450" s="3"/>
      <c r="T450" s="3"/>
      <c r="U450" s="3"/>
    </row>
    <row r="451">
      <c r="A451" s="70"/>
      <c r="B451" s="3"/>
      <c r="C451" s="3"/>
      <c r="D451" s="70"/>
      <c r="E451" s="70"/>
      <c r="F451" s="70"/>
      <c r="G451" s="70"/>
      <c r="H451" s="70"/>
      <c r="I451" s="70"/>
      <c r="J451" s="70"/>
      <c r="K451" s="70"/>
      <c r="M451" s="3"/>
      <c r="N451" s="3"/>
      <c r="O451" s="3"/>
      <c r="P451" s="3"/>
      <c r="R451" s="3"/>
      <c r="S451" s="3"/>
      <c r="T451" s="3"/>
      <c r="U451" s="3"/>
    </row>
    <row r="452">
      <c r="A452" s="70"/>
      <c r="B452" s="3"/>
      <c r="C452" s="3"/>
      <c r="D452" s="70"/>
      <c r="E452" s="70"/>
      <c r="F452" s="70"/>
      <c r="G452" s="70"/>
      <c r="H452" s="70"/>
      <c r="I452" s="70"/>
      <c r="J452" s="70"/>
      <c r="K452" s="70"/>
      <c r="M452" s="3"/>
      <c r="N452" s="3"/>
      <c r="O452" s="3"/>
      <c r="P452" s="3"/>
      <c r="R452" s="3"/>
      <c r="S452" s="3"/>
      <c r="T452" s="3"/>
      <c r="U452" s="3"/>
    </row>
    <row r="453">
      <c r="A453" s="70"/>
      <c r="B453" s="3"/>
      <c r="C453" s="3"/>
      <c r="D453" s="70"/>
      <c r="E453" s="70"/>
      <c r="F453" s="70"/>
      <c r="G453" s="70"/>
      <c r="H453" s="70"/>
      <c r="I453" s="70"/>
      <c r="J453" s="70"/>
      <c r="K453" s="70"/>
      <c r="M453" s="3"/>
      <c r="N453" s="3"/>
      <c r="O453" s="3"/>
      <c r="P453" s="3"/>
      <c r="R453" s="3"/>
      <c r="S453" s="3"/>
      <c r="T453" s="3"/>
      <c r="U453" s="3"/>
    </row>
    <row r="454">
      <c r="A454" s="70"/>
      <c r="B454" s="3"/>
      <c r="C454" s="3"/>
      <c r="D454" s="70"/>
      <c r="E454" s="70"/>
      <c r="F454" s="70"/>
      <c r="G454" s="70"/>
      <c r="H454" s="70"/>
      <c r="I454" s="70"/>
      <c r="J454" s="70"/>
      <c r="K454" s="70"/>
      <c r="M454" s="3"/>
      <c r="N454" s="3"/>
      <c r="O454" s="3"/>
      <c r="P454" s="3"/>
      <c r="R454" s="3"/>
      <c r="S454" s="3"/>
      <c r="T454" s="3"/>
      <c r="U454" s="3"/>
    </row>
    <row r="455">
      <c r="A455" s="70"/>
      <c r="B455" s="3"/>
      <c r="C455" s="3"/>
      <c r="D455" s="70"/>
      <c r="E455" s="70"/>
      <c r="F455" s="70"/>
      <c r="G455" s="70"/>
      <c r="H455" s="70"/>
      <c r="I455" s="70"/>
      <c r="J455" s="70"/>
      <c r="K455" s="70"/>
      <c r="M455" s="3"/>
      <c r="N455" s="3"/>
      <c r="O455" s="3"/>
      <c r="P455" s="3"/>
      <c r="R455" s="3"/>
      <c r="S455" s="3"/>
      <c r="T455" s="3"/>
      <c r="U455" s="3"/>
    </row>
    <row r="456">
      <c r="A456" s="70"/>
      <c r="B456" s="3"/>
      <c r="C456" s="3"/>
      <c r="D456" s="70"/>
      <c r="E456" s="70"/>
      <c r="F456" s="70"/>
      <c r="G456" s="70"/>
      <c r="H456" s="70"/>
      <c r="I456" s="70"/>
      <c r="J456" s="70"/>
      <c r="K456" s="70"/>
      <c r="M456" s="3"/>
      <c r="N456" s="3"/>
      <c r="O456" s="3"/>
      <c r="P456" s="3"/>
      <c r="R456" s="3"/>
      <c r="S456" s="3"/>
      <c r="T456" s="3"/>
      <c r="U456" s="3"/>
    </row>
    <row r="457">
      <c r="A457" s="70"/>
      <c r="B457" s="3"/>
      <c r="C457" s="3"/>
      <c r="D457" s="70"/>
      <c r="E457" s="70"/>
      <c r="F457" s="70"/>
      <c r="G457" s="70"/>
      <c r="H457" s="70"/>
      <c r="I457" s="70"/>
      <c r="J457" s="70"/>
      <c r="K457" s="70"/>
      <c r="M457" s="3"/>
      <c r="N457" s="3"/>
      <c r="O457" s="3"/>
      <c r="P457" s="3"/>
      <c r="R457" s="3"/>
      <c r="S457" s="3"/>
      <c r="T457" s="3"/>
      <c r="U457" s="3"/>
    </row>
    <row r="458">
      <c r="A458" s="70"/>
      <c r="B458" s="3"/>
      <c r="C458" s="3"/>
      <c r="D458" s="70"/>
      <c r="E458" s="70"/>
      <c r="F458" s="70"/>
      <c r="G458" s="70"/>
      <c r="H458" s="70"/>
      <c r="I458" s="70"/>
      <c r="J458" s="70"/>
      <c r="K458" s="70"/>
      <c r="M458" s="3"/>
      <c r="N458" s="3"/>
      <c r="O458" s="3"/>
      <c r="P458" s="3"/>
      <c r="R458" s="3"/>
      <c r="S458" s="3"/>
      <c r="T458" s="3"/>
      <c r="U458" s="3"/>
    </row>
    <row r="459">
      <c r="A459" s="70"/>
      <c r="B459" s="3"/>
      <c r="C459" s="3"/>
      <c r="D459" s="70"/>
      <c r="E459" s="70"/>
      <c r="F459" s="70"/>
      <c r="G459" s="70"/>
      <c r="H459" s="70"/>
      <c r="I459" s="70"/>
      <c r="J459" s="70"/>
      <c r="K459" s="70"/>
      <c r="M459" s="3"/>
      <c r="N459" s="3"/>
      <c r="O459" s="3"/>
      <c r="P459" s="3"/>
      <c r="R459" s="3"/>
      <c r="S459" s="3"/>
      <c r="T459" s="3"/>
      <c r="U459" s="3"/>
    </row>
    <row r="460">
      <c r="A460" s="70"/>
      <c r="B460" s="3"/>
      <c r="C460" s="3"/>
      <c r="D460" s="70"/>
      <c r="E460" s="70"/>
      <c r="F460" s="70"/>
      <c r="G460" s="70"/>
      <c r="H460" s="70"/>
      <c r="I460" s="70"/>
      <c r="J460" s="70"/>
      <c r="K460" s="70"/>
      <c r="M460" s="3"/>
      <c r="N460" s="3"/>
      <c r="O460" s="3"/>
      <c r="P460" s="3"/>
      <c r="R460" s="3"/>
      <c r="S460" s="3"/>
      <c r="T460" s="3"/>
      <c r="U460" s="3"/>
    </row>
    <row r="461">
      <c r="A461" s="70"/>
      <c r="B461" s="3"/>
      <c r="C461" s="3"/>
      <c r="D461" s="70"/>
      <c r="E461" s="70"/>
      <c r="F461" s="70"/>
      <c r="G461" s="70"/>
      <c r="H461" s="70"/>
      <c r="I461" s="70"/>
      <c r="J461" s="70"/>
      <c r="K461" s="70"/>
      <c r="M461" s="3"/>
      <c r="N461" s="3"/>
      <c r="O461" s="3"/>
      <c r="P461" s="3"/>
      <c r="R461" s="3"/>
      <c r="S461" s="3"/>
      <c r="T461" s="3"/>
      <c r="U461" s="3"/>
    </row>
    <row r="462">
      <c r="A462" s="70"/>
      <c r="B462" s="3"/>
      <c r="C462" s="3"/>
      <c r="D462" s="70"/>
      <c r="E462" s="70"/>
      <c r="F462" s="70"/>
      <c r="G462" s="70"/>
      <c r="H462" s="70"/>
      <c r="I462" s="70"/>
      <c r="J462" s="70"/>
      <c r="K462" s="70"/>
      <c r="M462" s="3"/>
      <c r="N462" s="3"/>
      <c r="O462" s="3"/>
      <c r="P462" s="3"/>
      <c r="R462" s="3"/>
      <c r="S462" s="3"/>
      <c r="T462" s="3"/>
      <c r="U462" s="3"/>
    </row>
    <row r="463">
      <c r="A463" s="70"/>
      <c r="B463" s="3"/>
      <c r="C463" s="3"/>
      <c r="D463" s="70"/>
      <c r="E463" s="70"/>
      <c r="F463" s="70"/>
      <c r="G463" s="70"/>
      <c r="H463" s="70"/>
      <c r="I463" s="70"/>
      <c r="J463" s="70"/>
      <c r="K463" s="70"/>
      <c r="M463" s="3"/>
      <c r="N463" s="3"/>
      <c r="O463" s="3"/>
      <c r="P463" s="3"/>
      <c r="R463" s="3"/>
      <c r="S463" s="3"/>
      <c r="T463" s="3"/>
      <c r="U463" s="3"/>
    </row>
    <row r="464">
      <c r="A464" s="70"/>
      <c r="B464" s="3"/>
      <c r="C464" s="3"/>
      <c r="D464" s="70"/>
      <c r="E464" s="70"/>
      <c r="F464" s="70"/>
      <c r="G464" s="70"/>
      <c r="H464" s="70"/>
      <c r="I464" s="70"/>
      <c r="J464" s="70"/>
      <c r="K464" s="70"/>
      <c r="M464" s="3"/>
      <c r="N464" s="3"/>
      <c r="O464" s="3"/>
      <c r="P464" s="3"/>
      <c r="R464" s="3"/>
      <c r="S464" s="3"/>
      <c r="T464" s="3"/>
      <c r="U464" s="3"/>
    </row>
    <row r="465">
      <c r="A465" s="70"/>
      <c r="B465" s="3"/>
      <c r="C465" s="3"/>
      <c r="D465" s="70"/>
      <c r="E465" s="70"/>
      <c r="F465" s="70"/>
      <c r="G465" s="70"/>
      <c r="H465" s="70"/>
      <c r="I465" s="70"/>
      <c r="J465" s="70"/>
      <c r="K465" s="70"/>
      <c r="M465" s="3"/>
      <c r="N465" s="3"/>
      <c r="O465" s="3"/>
      <c r="P465" s="3"/>
      <c r="R465" s="3"/>
      <c r="S465" s="3"/>
      <c r="T465" s="3"/>
      <c r="U465" s="3"/>
    </row>
    <row r="466">
      <c r="A466" s="70"/>
      <c r="B466" s="3"/>
      <c r="C466" s="3"/>
      <c r="D466" s="70"/>
      <c r="E466" s="70"/>
      <c r="F466" s="70"/>
      <c r="G466" s="70"/>
      <c r="H466" s="70"/>
      <c r="I466" s="70"/>
      <c r="J466" s="70"/>
      <c r="K466" s="70"/>
      <c r="M466" s="3"/>
      <c r="N466" s="3"/>
      <c r="O466" s="3"/>
      <c r="P466" s="3"/>
      <c r="R466" s="3"/>
      <c r="S466" s="3"/>
      <c r="T466" s="3"/>
      <c r="U466" s="3"/>
    </row>
    <row r="467">
      <c r="A467" s="70"/>
      <c r="B467" s="3"/>
      <c r="C467" s="3"/>
      <c r="D467" s="70"/>
      <c r="E467" s="70"/>
      <c r="F467" s="70"/>
      <c r="G467" s="70"/>
      <c r="H467" s="70"/>
      <c r="I467" s="70"/>
      <c r="J467" s="70"/>
      <c r="K467" s="70"/>
      <c r="M467" s="3"/>
      <c r="N467" s="3"/>
      <c r="O467" s="3"/>
      <c r="P467" s="3"/>
      <c r="R467" s="3"/>
      <c r="S467" s="3"/>
      <c r="T467" s="3"/>
      <c r="U467" s="3"/>
    </row>
    <row r="468">
      <c r="A468" s="70"/>
      <c r="B468" s="3"/>
      <c r="C468" s="3"/>
      <c r="D468" s="70"/>
      <c r="E468" s="70"/>
      <c r="F468" s="70"/>
      <c r="G468" s="70"/>
      <c r="H468" s="70"/>
      <c r="I468" s="70"/>
      <c r="J468" s="70"/>
      <c r="K468" s="70"/>
      <c r="M468" s="3"/>
      <c r="N468" s="3"/>
      <c r="O468" s="3"/>
      <c r="P468" s="3"/>
      <c r="R468" s="3"/>
      <c r="S468" s="3"/>
      <c r="T468" s="3"/>
      <c r="U468" s="3"/>
    </row>
    <row r="469">
      <c r="A469" s="70"/>
      <c r="B469" s="3"/>
      <c r="C469" s="3"/>
      <c r="D469" s="70"/>
      <c r="E469" s="70"/>
      <c r="F469" s="70"/>
      <c r="G469" s="70"/>
      <c r="H469" s="70"/>
      <c r="I469" s="70"/>
      <c r="J469" s="70"/>
      <c r="K469" s="70"/>
      <c r="M469" s="3"/>
      <c r="N469" s="3"/>
      <c r="O469" s="3"/>
      <c r="P469" s="3"/>
      <c r="R469" s="3"/>
      <c r="S469" s="3"/>
      <c r="T469" s="3"/>
      <c r="U469" s="3"/>
    </row>
    <row r="470">
      <c r="A470" s="70"/>
      <c r="B470" s="3"/>
      <c r="C470" s="3"/>
      <c r="D470" s="70"/>
      <c r="E470" s="70"/>
      <c r="F470" s="70"/>
      <c r="G470" s="70"/>
      <c r="H470" s="70"/>
      <c r="I470" s="70"/>
      <c r="J470" s="70"/>
      <c r="K470" s="70"/>
      <c r="M470" s="3"/>
      <c r="N470" s="3"/>
      <c r="O470" s="3"/>
      <c r="P470" s="3"/>
      <c r="R470" s="3"/>
      <c r="S470" s="3"/>
      <c r="T470" s="3"/>
      <c r="U470" s="3"/>
    </row>
    <row r="471">
      <c r="A471" s="70"/>
      <c r="B471" s="3"/>
      <c r="C471" s="3"/>
      <c r="D471" s="70"/>
      <c r="E471" s="70"/>
      <c r="F471" s="70"/>
      <c r="G471" s="70"/>
      <c r="H471" s="70"/>
      <c r="I471" s="70"/>
      <c r="J471" s="70"/>
      <c r="K471" s="70"/>
      <c r="M471" s="3"/>
      <c r="N471" s="3"/>
      <c r="O471" s="3"/>
      <c r="P471" s="3"/>
      <c r="R471" s="3"/>
      <c r="S471" s="3"/>
      <c r="T471" s="3"/>
      <c r="U471" s="3"/>
    </row>
    <row r="472">
      <c r="A472" s="70"/>
      <c r="B472" s="3"/>
      <c r="C472" s="3"/>
      <c r="D472" s="70"/>
      <c r="E472" s="70"/>
      <c r="F472" s="70"/>
      <c r="G472" s="70"/>
      <c r="H472" s="70"/>
      <c r="I472" s="70"/>
      <c r="J472" s="70"/>
      <c r="K472" s="70"/>
      <c r="M472" s="3"/>
      <c r="N472" s="3"/>
      <c r="O472" s="3"/>
      <c r="P472" s="3"/>
      <c r="R472" s="3"/>
      <c r="S472" s="3"/>
      <c r="T472" s="3"/>
      <c r="U472" s="3"/>
    </row>
    <row r="473">
      <c r="A473" s="70"/>
      <c r="B473" s="3"/>
      <c r="C473" s="3"/>
      <c r="D473" s="70"/>
      <c r="E473" s="70"/>
      <c r="F473" s="70"/>
      <c r="G473" s="70"/>
      <c r="H473" s="70"/>
      <c r="I473" s="70"/>
      <c r="J473" s="70"/>
      <c r="K473" s="70"/>
      <c r="M473" s="3"/>
      <c r="N473" s="3"/>
      <c r="O473" s="3"/>
      <c r="P473" s="3"/>
      <c r="R473" s="3"/>
      <c r="S473" s="3"/>
      <c r="T473" s="3"/>
      <c r="U473" s="3"/>
    </row>
    <row r="474">
      <c r="A474" s="70"/>
      <c r="B474" s="3"/>
      <c r="C474" s="3"/>
      <c r="D474" s="70"/>
      <c r="E474" s="70"/>
      <c r="F474" s="70"/>
      <c r="G474" s="70"/>
      <c r="H474" s="70"/>
      <c r="I474" s="70"/>
      <c r="J474" s="70"/>
      <c r="K474" s="70"/>
      <c r="M474" s="3"/>
      <c r="N474" s="3"/>
      <c r="O474" s="3"/>
      <c r="P474" s="3"/>
      <c r="R474" s="3"/>
      <c r="S474" s="3"/>
      <c r="T474" s="3"/>
      <c r="U474" s="3"/>
    </row>
    <row r="475">
      <c r="A475" s="70"/>
      <c r="B475" s="3"/>
      <c r="C475" s="3"/>
      <c r="D475" s="70"/>
      <c r="E475" s="70"/>
      <c r="F475" s="70"/>
      <c r="G475" s="70"/>
      <c r="H475" s="70"/>
      <c r="I475" s="70"/>
      <c r="J475" s="70"/>
      <c r="K475" s="70"/>
      <c r="M475" s="3"/>
      <c r="N475" s="3"/>
      <c r="O475" s="3"/>
      <c r="P475" s="3"/>
      <c r="R475" s="3"/>
      <c r="S475" s="3"/>
      <c r="T475" s="3"/>
      <c r="U475" s="3"/>
    </row>
    <row r="476">
      <c r="A476" s="70"/>
      <c r="B476" s="3"/>
      <c r="C476" s="3"/>
      <c r="D476" s="70"/>
      <c r="E476" s="70"/>
      <c r="F476" s="70"/>
      <c r="G476" s="70"/>
      <c r="H476" s="70"/>
      <c r="I476" s="70"/>
      <c r="J476" s="70"/>
      <c r="K476" s="70"/>
      <c r="M476" s="3"/>
      <c r="N476" s="3"/>
      <c r="O476" s="3"/>
      <c r="P476" s="3"/>
      <c r="R476" s="3"/>
      <c r="S476" s="3"/>
      <c r="T476" s="3"/>
      <c r="U476" s="3"/>
    </row>
    <row r="477">
      <c r="A477" s="70"/>
      <c r="B477" s="3"/>
      <c r="C477" s="3"/>
      <c r="D477" s="70"/>
      <c r="E477" s="70"/>
      <c r="F477" s="70"/>
      <c r="G477" s="70"/>
      <c r="H477" s="70"/>
      <c r="I477" s="70"/>
      <c r="J477" s="70"/>
      <c r="K477" s="70"/>
      <c r="M477" s="3"/>
      <c r="N477" s="3"/>
      <c r="O477" s="3"/>
      <c r="P477" s="3"/>
      <c r="R477" s="3"/>
      <c r="S477" s="3"/>
      <c r="T477" s="3"/>
      <c r="U477" s="3"/>
    </row>
    <row r="478">
      <c r="A478" s="70"/>
      <c r="B478" s="3"/>
      <c r="C478" s="3"/>
      <c r="D478" s="70"/>
      <c r="E478" s="70"/>
      <c r="F478" s="70"/>
      <c r="G478" s="70"/>
      <c r="H478" s="70"/>
      <c r="I478" s="70"/>
      <c r="J478" s="70"/>
      <c r="K478" s="70"/>
      <c r="M478" s="3"/>
      <c r="N478" s="3"/>
      <c r="O478" s="3"/>
      <c r="P478" s="3"/>
      <c r="R478" s="3"/>
      <c r="S478" s="3"/>
      <c r="T478" s="3"/>
      <c r="U478" s="3"/>
    </row>
    <row r="479">
      <c r="A479" s="70"/>
      <c r="B479" s="3"/>
      <c r="C479" s="3"/>
      <c r="D479" s="70"/>
      <c r="E479" s="70"/>
      <c r="F479" s="70"/>
      <c r="G479" s="70"/>
      <c r="H479" s="70"/>
      <c r="I479" s="70"/>
      <c r="J479" s="70"/>
      <c r="K479" s="70"/>
      <c r="M479" s="3"/>
      <c r="N479" s="3"/>
      <c r="O479" s="3"/>
      <c r="P479" s="3"/>
      <c r="R479" s="3"/>
      <c r="S479" s="3"/>
      <c r="T479" s="3"/>
      <c r="U479" s="3"/>
    </row>
    <row r="480">
      <c r="A480" s="70"/>
      <c r="B480" s="3"/>
      <c r="C480" s="3"/>
      <c r="D480" s="70"/>
      <c r="E480" s="70"/>
      <c r="F480" s="70"/>
      <c r="G480" s="70"/>
      <c r="H480" s="70"/>
      <c r="I480" s="70"/>
      <c r="J480" s="70"/>
      <c r="K480" s="70"/>
      <c r="M480" s="3"/>
      <c r="N480" s="3"/>
      <c r="O480" s="3"/>
      <c r="P480" s="3"/>
      <c r="R480" s="3"/>
      <c r="S480" s="3"/>
      <c r="T480" s="3"/>
      <c r="U480" s="3"/>
    </row>
    <row r="481">
      <c r="A481" s="70"/>
      <c r="B481" s="3"/>
      <c r="C481" s="3"/>
      <c r="D481" s="70"/>
      <c r="E481" s="70"/>
      <c r="F481" s="70"/>
      <c r="G481" s="70"/>
      <c r="H481" s="70"/>
      <c r="I481" s="70"/>
      <c r="J481" s="70"/>
      <c r="K481" s="70"/>
      <c r="M481" s="3"/>
      <c r="N481" s="3"/>
      <c r="O481" s="3"/>
      <c r="P481" s="3"/>
      <c r="R481" s="3"/>
      <c r="S481" s="3"/>
      <c r="T481" s="3"/>
      <c r="U481" s="3"/>
    </row>
    <row r="482">
      <c r="A482" s="70"/>
      <c r="B482" s="3"/>
      <c r="C482" s="3"/>
      <c r="D482" s="70"/>
      <c r="E482" s="70"/>
      <c r="F482" s="70"/>
      <c r="G482" s="70"/>
      <c r="H482" s="70"/>
      <c r="I482" s="70"/>
      <c r="J482" s="70"/>
      <c r="K482" s="70"/>
      <c r="M482" s="3"/>
      <c r="N482" s="3"/>
      <c r="O482" s="3"/>
      <c r="P482" s="3"/>
      <c r="R482" s="3"/>
      <c r="S482" s="3"/>
      <c r="T482" s="3"/>
      <c r="U482" s="3"/>
    </row>
    <row r="483">
      <c r="A483" s="70"/>
      <c r="B483" s="3"/>
      <c r="C483" s="3"/>
      <c r="D483" s="70"/>
      <c r="E483" s="70"/>
      <c r="F483" s="70"/>
      <c r="G483" s="70"/>
      <c r="H483" s="70"/>
      <c r="I483" s="70"/>
      <c r="J483" s="70"/>
      <c r="K483" s="70"/>
      <c r="M483" s="3"/>
      <c r="N483" s="3"/>
      <c r="O483" s="3"/>
      <c r="P483" s="3"/>
      <c r="R483" s="3"/>
      <c r="S483" s="3"/>
      <c r="T483" s="3"/>
      <c r="U483" s="3"/>
    </row>
    <row r="484">
      <c r="A484" s="70"/>
      <c r="B484" s="3"/>
      <c r="C484" s="3"/>
      <c r="D484" s="70"/>
      <c r="E484" s="70"/>
      <c r="F484" s="70"/>
      <c r="G484" s="70"/>
      <c r="H484" s="70"/>
      <c r="I484" s="70"/>
      <c r="J484" s="70"/>
      <c r="K484" s="70"/>
      <c r="M484" s="3"/>
      <c r="N484" s="3"/>
      <c r="O484" s="3"/>
      <c r="P484" s="3"/>
      <c r="R484" s="3"/>
      <c r="S484" s="3"/>
      <c r="T484" s="3"/>
      <c r="U484" s="3"/>
    </row>
    <row r="485">
      <c r="A485" s="70"/>
      <c r="B485" s="3"/>
      <c r="C485" s="3"/>
      <c r="D485" s="70"/>
      <c r="E485" s="70"/>
      <c r="F485" s="70"/>
      <c r="G485" s="70"/>
      <c r="H485" s="70"/>
      <c r="I485" s="70"/>
      <c r="J485" s="70"/>
      <c r="K485" s="70"/>
      <c r="M485" s="3"/>
      <c r="N485" s="3"/>
      <c r="O485" s="3"/>
      <c r="P485" s="3"/>
      <c r="R485" s="3"/>
      <c r="S485" s="3"/>
      <c r="T485" s="3"/>
      <c r="U485" s="3"/>
    </row>
    <row r="486">
      <c r="A486" s="70"/>
      <c r="B486" s="3"/>
      <c r="C486" s="3"/>
      <c r="D486" s="70"/>
      <c r="E486" s="70"/>
      <c r="F486" s="70"/>
      <c r="G486" s="70"/>
      <c r="H486" s="70"/>
      <c r="I486" s="70"/>
      <c r="J486" s="70"/>
      <c r="K486" s="70"/>
      <c r="M486" s="3"/>
      <c r="N486" s="3"/>
      <c r="O486" s="3"/>
      <c r="P486" s="3"/>
      <c r="R486" s="3"/>
      <c r="S486" s="3"/>
      <c r="T486" s="3"/>
      <c r="U486" s="3"/>
    </row>
    <row r="487">
      <c r="A487" s="70"/>
      <c r="B487" s="3"/>
      <c r="C487" s="3"/>
      <c r="D487" s="70"/>
      <c r="E487" s="70"/>
      <c r="F487" s="70"/>
      <c r="G487" s="70"/>
      <c r="H487" s="70"/>
      <c r="I487" s="70"/>
      <c r="J487" s="70"/>
      <c r="K487" s="70"/>
      <c r="M487" s="3"/>
      <c r="N487" s="3"/>
      <c r="O487" s="3"/>
      <c r="P487" s="3"/>
      <c r="R487" s="3"/>
      <c r="S487" s="3"/>
      <c r="T487" s="3"/>
      <c r="U487" s="3"/>
    </row>
    <row r="488">
      <c r="A488" s="70"/>
      <c r="B488" s="3"/>
      <c r="C488" s="3"/>
      <c r="D488" s="70"/>
      <c r="E488" s="70"/>
      <c r="F488" s="70"/>
      <c r="G488" s="70"/>
      <c r="H488" s="70"/>
      <c r="I488" s="70"/>
      <c r="J488" s="70"/>
      <c r="K488" s="70"/>
      <c r="M488" s="3"/>
      <c r="N488" s="3"/>
      <c r="O488" s="3"/>
      <c r="P488" s="3"/>
      <c r="R488" s="3"/>
      <c r="S488" s="3"/>
      <c r="T488" s="3"/>
      <c r="U488" s="3"/>
    </row>
    <row r="489">
      <c r="A489" s="70"/>
      <c r="B489" s="3"/>
      <c r="C489" s="3"/>
      <c r="D489" s="70"/>
      <c r="E489" s="70"/>
      <c r="F489" s="70"/>
      <c r="G489" s="70"/>
      <c r="H489" s="70"/>
      <c r="I489" s="70"/>
      <c r="J489" s="70"/>
      <c r="K489" s="70"/>
      <c r="M489" s="3"/>
      <c r="N489" s="3"/>
      <c r="O489" s="3"/>
      <c r="P489" s="3"/>
      <c r="R489" s="3"/>
      <c r="S489" s="3"/>
      <c r="T489" s="3"/>
      <c r="U489" s="3"/>
    </row>
    <row r="490">
      <c r="A490" s="70"/>
      <c r="B490" s="3"/>
      <c r="C490" s="3"/>
      <c r="D490" s="70"/>
      <c r="E490" s="70"/>
      <c r="F490" s="70"/>
      <c r="G490" s="70"/>
      <c r="H490" s="70"/>
      <c r="I490" s="70"/>
      <c r="J490" s="70"/>
      <c r="K490" s="70"/>
      <c r="M490" s="3"/>
      <c r="N490" s="3"/>
      <c r="O490" s="3"/>
      <c r="P490" s="3"/>
      <c r="R490" s="3"/>
      <c r="S490" s="3"/>
      <c r="T490" s="3"/>
      <c r="U490" s="3"/>
    </row>
    <row r="491">
      <c r="A491" s="70"/>
      <c r="B491" s="3"/>
      <c r="C491" s="3"/>
      <c r="D491" s="70"/>
      <c r="E491" s="70"/>
      <c r="F491" s="70"/>
      <c r="G491" s="70"/>
      <c r="H491" s="70"/>
      <c r="I491" s="70"/>
      <c r="J491" s="70"/>
      <c r="K491" s="70"/>
      <c r="M491" s="3"/>
      <c r="N491" s="3"/>
      <c r="O491" s="3"/>
      <c r="P491" s="3"/>
      <c r="R491" s="3"/>
      <c r="S491" s="3"/>
      <c r="T491" s="3"/>
      <c r="U491" s="3"/>
    </row>
    <row r="492">
      <c r="A492" s="70"/>
      <c r="B492" s="3"/>
      <c r="C492" s="3"/>
      <c r="D492" s="70"/>
      <c r="E492" s="70"/>
      <c r="F492" s="70"/>
      <c r="G492" s="70"/>
      <c r="H492" s="70"/>
      <c r="I492" s="70"/>
      <c r="J492" s="70"/>
      <c r="K492" s="70"/>
      <c r="M492" s="3"/>
      <c r="N492" s="3"/>
      <c r="O492" s="3"/>
      <c r="P492" s="3"/>
      <c r="R492" s="3"/>
      <c r="S492" s="3"/>
      <c r="T492" s="3"/>
      <c r="U492" s="3"/>
    </row>
    <row r="493">
      <c r="A493" s="70"/>
      <c r="B493" s="3"/>
      <c r="C493" s="3"/>
      <c r="D493" s="70"/>
      <c r="E493" s="70"/>
      <c r="F493" s="70"/>
      <c r="G493" s="70"/>
      <c r="H493" s="70"/>
      <c r="I493" s="70"/>
      <c r="J493" s="70"/>
      <c r="K493" s="70"/>
      <c r="M493" s="3"/>
      <c r="N493" s="3"/>
      <c r="O493" s="3"/>
      <c r="P493" s="3"/>
      <c r="R493" s="3"/>
      <c r="S493" s="3"/>
      <c r="T493" s="3"/>
      <c r="U493" s="3"/>
    </row>
    <row r="494">
      <c r="A494" s="70"/>
      <c r="B494" s="3"/>
      <c r="C494" s="3"/>
      <c r="D494" s="70"/>
      <c r="E494" s="70"/>
      <c r="F494" s="70"/>
      <c r="G494" s="70"/>
      <c r="H494" s="70"/>
      <c r="I494" s="70"/>
      <c r="J494" s="70"/>
      <c r="K494" s="70"/>
      <c r="M494" s="3"/>
      <c r="N494" s="3"/>
      <c r="O494" s="3"/>
      <c r="P494" s="3"/>
      <c r="R494" s="3"/>
      <c r="S494" s="3"/>
      <c r="T494" s="3"/>
      <c r="U494" s="3"/>
    </row>
    <row r="495">
      <c r="A495" s="70"/>
      <c r="B495" s="3"/>
      <c r="C495" s="3"/>
      <c r="D495" s="70"/>
      <c r="E495" s="70"/>
      <c r="F495" s="70"/>
      <c r="G495" s="70"/>
      <c r="H495" s="70"/>
      <c r="I495" s="70"/>
      <c r="J495" s="70"/>
      <c r="K495" s="70"/>
      <c r="M495" s="3"/>
      <c r="N495" s="3"/>
      <c r="O495" s="3"/>
      <c r="P495" s="3"/>
      <c r="R495" s="3"/>
      <c r="S495" s="3"/>
      <c r="T495" s="3"/>
      <c r="U495" s="3"/>
    </row>
    <row r="496">
      <c r="A496" s="70"/>
      <c r="B496" s="3"/>
      <c r="C496" s="3"/>
      <c r="D496" s="70"/>
      <c r="E496" s="70"/>
      <c r="F496" s="70"/>
      <c r="G496" s="70"/>
      <c r="H496" s="70"/>
      <c r="I496" s="70"/>
      <c r="J496" s="70"/>
      <c r="K496" s="70"/>
      <c r="M496" s="3"/>
      <c r="N496" s="3"/>
      <c r="O496" s="3"/>
      <c r="P496" s="3"/>
      <c r="R496" s="3"/>
      <c r="S496" s="3"/>
      <c r="T496" s="3"/>
      <c r="U496" s="3"/>
    </row>
    <row r="497">
      <c r="A497" s="70"/>
      <c r="B497" s="3"/>
      <c r="C497" s="3"/>
      <c r="D497" s="70"/>
      <c r="E497" s="70"/>
      <c r="F497" s="70"/>
      <c r="G497" s="70"/>
      <c r="H497" s="70"/>
      <c r="I497" s="70"/>
      <c r="J497" s="70"/>
      <c r="K497" s="70"/>
      <c r="M497" s="3"/>
      <c r="N497" s="3"/>
      <c r="O497" s="3"/>
      <c r="P497" s="3"/>
      <c r="R497" s="3"/>
      <c r="S497" s="3"/>
      <c r="T497" s="3"/>
      <c r="U497" s="3"/>
    </row>
    <row r="498">
      <c r="A498" s="70"/>
      <c r="B498" s="3"/>
      <c r="C498" s="3"/>
      <c r="D498" s="70"/>
      <c r="E498" s="70"/>
      <c r="F498" s="70"/>
      <c r="G498" s="70"/>
      <c r="H498" s="70"/>
      <c r="I498" s="70"/>
      <c r="J498" s="70"/>
      <c r="K498" s="70"/>
      <c r="M498" s="3"/>
      <c r="N498" s="3"/>
      <c r="O498" s="3"/>
      <c r="P498" s="3"/>
      <c r="R498" s="3"/>
      <c r="S498" s="3"/>
      <c r="T498" s="3"/>
      <c r="U498" s="3"/>
    </row>
    <row r="499">
      <c r="A499" s="70"/>
      <c r="B499" s="3"/>
      <c r="C499" s="3"/>
      <c r="D499" s="70"/>
      <c r="E499" s="70"/>
      <c r="F499" s="70"/>
      <c r="G499" s="70"/>
      <c r="H499" s="70"/>
      <c r="I499" s="70"/>
      <c r="J499" s="70"/>
      <c r="K499" s="70"/>
      <c r="M499" s="3"/>
      <c r="N499" s="3"/>
      <c r="O499" s="3"/>
      <c r="P499" s="3"/>
      <c r="R499" s="3"/>
      <c r="S499" s="3"/>
      <c r="T499" s="3"/>
      <c r="U499" s="3"/>
    </row>
    <row r="500">
      <c r="A500" s="70"/>
      <c r="B500" s="3"/>
      <c r="C500" s="3"/>
      <c r="D500" s="70"/>
      <c r="E500" s="70"/>
      <c r="F500" s="70"/>
      <c r="G500" s="70"/>
      <c r="H500" s="70"/>
      <c r="I500" s="70"/>
      <c r="J500" s="70"/>
      <c r="K500" s="70"/>
      <c r="M500" s="3"/>
      <c r="N500" s="3"/>
      <c r="O500" s="3"/>
      <c r="P500" s="3"/>
      <c r="R500" s="3"/>
      <c r="S500" s="3"/>
      <c r="T500" s="3"/>
      <c r="U500" s="3"/>
    </row>
    <row r="501">
      <c r="A501" s="70"/>
      <c r="B501" s="3"/>
      <c r="C501" s="3"/>
      <c r="D501" s="70"/>
      <c r="E501" s="70"/>
      <c r="F501" s="70"/>
      <c r="G501" s="70"/>
      <c r="H501" s="70"/>
      <c r="I501" s="70"/>
      <c r="J501" s="70"/>
      <c r="K501" s="70"/>
      <c r="M501" s="3"/>
      <c r="N501" s="3"/>
      <c r="O501" s="3"/>
      <c r="P501" s="3"/>
      <c r="R501" s="3"/>
      <c r="S501" s="3"/>
      <c r="T501" s="3"/>
      <c r="U501" s="3"/>
    </row>
    <row r="502">
      <c r="A502" s="70"/>
      <c r="B502" s="3"/>
      <c r="C502" s="3"/>
      <c r="D502" s="70"/>
      <c r="E502" s="70"/>
      <c r="F502" s="70"/>
      <c r="G502" s="70"/>
      <c r="H502" s="70"/>
      <c r="I502" s="70"/>
      <c r="J502" s="70"/>
      <c r="K502" s="70"/>
      <c r="M502" s="3"/>
      <c r="N502" s="3"/>
      <c r="O502" s="3"/>
      <c r="P502" s="3"/>
      <c r="R502" s="3"/>
      <c r="S502" s="3"/>
      <c r="T502" s="3"/>
      <c r="U502" s="3"/>
    </row>
    <row r="503">
      <c r="A503" s="70"/>
      <c r="B503" s="3"/>
      <c r="C503" s="3"/>
      <c r="D503" s="70"/>
      <c r="E503" s="70"/>
      <c r="F503" s="70"/>
      <c r="G503" s="70"/>
      <c r="H503" s="70"/>
      <c r="I503" s="70"/>
      <c r="J503" s="70"/>
      <c r="K503" s="70"/>
      <c r="M503" s="3"/>
      <c r="N503" s="3"/>
      <c r="O503" s="3"/>
      <c r="P503" s="3"/>
      <c r="R503" s="3"/>
      <c r="S503" s="3"/>
      <c r="T503" s="3"/>
      <c r="U503" s="3"/>
    </row>
    <row r="504">
      <c r="A504" s="70"/>
      <c r="B504" s="3"/>
      <c r="C504" s="3"/>
      <c r="D504" s="70"/>
      <c r="E504" s="70"/>
      <c r="F504" s="70"/>
      <c r="G504" s="70"/>
      <c r="H504" s="70"/>
      <c r="I504" s="70"/>
      <c r="J504" s="70"/>
      <c r="K504" s="70"/>
      <c r="M504" s="3"/>
      <c r="N504" s="3"/>
      <c r="O504" s="3"/>
      <c r="P504" s="3"/>
      <c r="R504" s="3"/>
      <c r="S504" s="3"/>
      <c r="T504" s="3"/>
      <c r="U504" s="3"/>
    </row>
    <row r="505">
      <c r="A505" s="70"/>
      <c r="B505" s="3"/>
      <c r="C505" s="3"/>
      <c r="D505" s="70"/>
      <c r="E505" s="70"/>
      <c r="F505" s="70"/>
      <c r="G505" s="70"/>
      <c r="H505" s="70"/>
      <c r="I505" s="70"/>
      <c r="J505" s="70"/>
      <c r="K505" s="70"/>
      <c r="M505" s="3"/>
      <c r="N505" s="3"/>
      <c r="O505" s="3"/>
      <c r="P505" s="3"/>
      <c r="R505" s="3"/>
      <c r="S505" s="3"/>
      <c r="T505" s="3"/>
      <c r="U505" s="3"/>
    </row>
    <row r="506">
      <c r="A506" s="70"/>
      <c r="B506" s="3"/>
      <c r="C506" s="3"/>
      <c r="D506" s="70"/>
      <c r="E506" s="70"/>
      <c r="F506" s="70"/>
      <c r="G506" s="70"/>
      <c r="H506" s="70"/>
      <c r="I506" s="70"/>
      <c r="J506" s="70"/>
      <c r="K506" s="70"/>
      <c r="M506" s="3"/>
      <c r="N506" s="3"/>
      <c r="O506" s="3"/>
      <c r="P506" s="3"/>
      <c r="R506" s="3"/>
      <c r="S506" s="3"/>
      <c r="T506" s="3"/>
      <c r="U506" s="3"/>
    </row>
    <row r="507">
      <c r="A507" s="70"/>
      <c r="B507" s="3"/>
      <c r="C507" s="3"/>
      <c r="D507" s="70"/>
      <c r="E507" s="70"/>
      <c r="F507" s="70"/>
      <c r="G507" s="70"/>
      <c r="H507" s="70"/>
      <c r="I507" s="70"/>
      <c r="J507" s="70"/>
      <c r="K507" s="70"/>
      <c r="M507" s="3"/>
      <c r="N507" s="3"/>
      <c r="O507" s="3"/>
      <c r="P507" s="3"/>
      <c r="R507" s="3"/>
      <c r="S507" s="3"/>
      <c r="T507" s="3"/>
      <c r="U507" s="3"/>
    </row>
    <row r="508">
      <c r="A508" s="70"/>
      <c r="B508" s="3"/>
      <c r="C508" s="3"/>
      <c r="D508" s="70"/>
      <c r="E508" s="70"/>
      <c r="F508" s="70"/>
      <c r="G508" s="70"/>
      <c r="H508" s="70"/>
      <c r="I508" s="70"/>
      <c r="J508" s="70"/>
      <c r="K508" s="70"/>
      <c r="M508" s="3"/>
      <c r="N508" s="3"/>
      <c r="O508" s="3"/>
      <c r="P508" s="3"/>
      <c r="R508" s="3"/>
      <c r="S508" s="3"/>
      <c r="T508" s="3"/>
      <c r="U508" s="3"/>
    </row>
    <row r="509">
      <c r="A509" s="70"/>
      <c r="B509" s="3"/>
      <c r="C509" s="3"/>
      <c r="D509" s="70"/>
      <c r="E509" s="70"/>
      <c r="F509" s="70"/>
      <c r="G509" s="70"/>
      <c r="H509" s="70"/>
      <c r="I509" s="70"/>
      <c r="J509" s="70"/>
      <c r="K509" s="70"/>
      <c r="M509" s="3"/>
      <c r="N509" s="3"/>
      <c r="O509" s="3"/>
      <c r="P509" s="3"/>
      <c r="R509" s="3"/>
      <c r="S509" s="3"/>
      <c r="T509" s="3"/>
      <c r="U509" s="3"/>
    </row>
    <row r="510">
      <c r="A510" s="70"/>
      <c r="B510" s="3"/>
      <c r="C510" s="3"/>
      <c r="D510" s="70"/>
      <c r="E510" s="70"/>
      <c r="F510" s="70"/>
      <c r="G510" s="70"/>
      <c r="H510" s="70"/>
      <c r="I510" s="70"/>
      <c r="J510" s="70"/>
      <c r="K510" s="70"/>
      <c r="M510" s="3"/>
      <c r="N510" s="3"/>
      <c r="O510" s="3"/>
      <c r="P510" s="3"/>
      <c r="R510" s="3"/>
      <c r="S510" s="3"/>
      <c r="T510" s="3"/>
      <c r="U510" s="3"/>
    </row>
    <row r="511">
      <c r="A511" s="70"/>
      <c r="B511" s="3"/>
      <c r="C511" s="3"/>
      <c r="D511" s="70"/>
      <c r="E511" s="70"/>
      <c r="F511" s="70"/>
      <c r="G511" s="70"/>
      <c r="H511" s="70"/>
      <c r="I511" s="70"/>
      <c r="J511" s="70"/>
      <c r="K511" s="70"/>
      <c r="M511" s="3"/>
      <c r="N511" s="3"/>
      <c r="O511" s="3"/>
      <c r="P511" s="3"/>
      <c r="R511" s="3"/>
      <c r="S511" s="3"/>
      <c r="T511" s="3"/>
      <c r="U511" s="3"/>
    </row>
    <row r="512">
      <c r="A512" s="70"/>
      <c r="B512" s="3"/>
      <c r="C512" s="3"/>
      <c r="D512" s="70"/>
      <c r="E512" s="70"/>
      <c r="F512" s="70"/>
      <c r="G512" s="70"/>
      <c r="H512" s="70"/>
      <c r="I512" s="70"/>
      <c r="J512" s="70"/>
      <c r="K512" s="70"/>
      <c r="M512" s="3"/>
      <c r="N512" s="3"/>
      <c r="O512" s="3"/>
      <c r="P512" s="3"/>
      <c r="R512" s="3"/>
      <c r="S512" s="3"/>
      <c r="T512" s="3"/>
      <c r="U512" s="3"/>
    </row>
    <row r="513">
      <c r="A513" s="70"/>
      <c r="B513" s="3"/>
      <c r="C513" s="3"/>
      <c r="D513" s="70"/>
      <c r="E513" s="70"/>
      <c r="F513" s="70"/>
      <c r="G513" s="70"/>
      <c r="H513" s="70"/>
      <c r="I513" s="70"/>
      <c r="J513" s="70"/>
      <c r="K513" s="70"/>
      <c r="M513" s="3"/>
      <c r="N513" s="3"/>
      <c r="O513" s="3"/>
      <c r="P513" s="3"/>
      <c r="R513" s="3"/>
      <c r="S513" s="3"/>
      <c r="T513" s="3"/>
      <c r="U513" s="3"/>
    </row>
    <row r="514">
      <c r="A514" s="70"/>
      <c r="B514" s="3"/>
      <c r="C514" s="3"/>
      <c r="D514" s="70"/>
      <c r="E514" s="70"/>
      <c r="F514" s="70"/>
      <c r="G514" s="70"/>
      <c r="H514" s="70"/>
      <c r="I514" s="70"/>
      <c r="J514" s="70"/>
      <c r="K514" s="70"/>
      <c r="M514" s="3"/>
      <c r="N514" s="3"/>
      <c r="O514" s="3"/>
      <c r="P514" s="3"/>
      <c r="R514" s="3"/>
      <c r="S514" s="3"/>
      <c r="T514" s="3"/>
      <c r="U514" s="3"/>
    </row>
    <row r="515">
      <c r="A515" s="70"/>
      <c r="B515" s="3"/>
      <c r="C515" s="3"/>
      <c r="D515" s="70"/>
      <c r="E515" s="70"/>
      <c r="F515" s="70"/>
      <c r="G515" s="70"/>
      <c r="H515" s="70"/>
      <c r="I515" s="70"/>
      <c r="J515" s="70"/>
      <c r="K515" s="70"/>
      <c r="M515" s="3"/>
      <c r="N515" s="3"/>
      <c r="O515" s="3"/>
      <c r="P515" s="3"/>
      <c r="R515" s="3"/>
      <c r="S515" s="3"/>
      <c r="T515" s="3"/>
      <c r="U515" s="3"/>
    </row>
    <row r="516">
      <c r="A516" s="70"/>
      <c r="B516" s="3"/>
      <c r="C516" s="3"/>
      <c r="D516" s="70"/>
      <c r="E516" s="70"/>
      <c r="F516" s="70"/>
      <c r="G516" s="70"/>
      <c r="H516" s="70"/>
      <c r="I516" s="70"/>
      <c r="J516" s="70"/>
      <c r="K516" s="70"/>
      <c r="M516" s="3"/>
      <c r="N516" s="3"/>
      <c r="O516" s="3"/>
      <c r="P516" s="3"/>
      <c r="R516" s="3"/>
      <c r="S516" s="3"/>
      <c r="T516" s="3"/>
      <c r="U516" s="3"/>
    </row>
    <row r="517">
      <c r="A517" s="70"/>
      <c r="B517" s="3"/>
      <c r="C517" s="3"/>
      <c r="D517" s="70"/>
      <c r="E517" s="70"/>
      <c r="F517" s="70"/>
      <c r="G517" s="70"/>
      <c r="H517" s="70"/>
      <c r="I517" s="70"/>
      <c r="J517" s="70"/>
      <c r="K517" s="70"/>
      <c r="M517" s="3"/>
      <c r="N517" s="3"/>
      <c r="O517" s="3"/>
      <c r="P517" s="3"/>
      <c r="R517" s="3"/>
      <c r="S517" s="3"/>
      <c r="T517" s="3"/>
      <c r="U517" s="3"/>
    </row>
    <row r="518">
      <c r="A518" s="70"/>
      <c r="B518" s="3"/>
      <c r="C518" s="3"/>
      <c r="D518" s="70"/>
      <c r="E518" s="70"/>
      <c r="F518" s="70"/>
      <c r="G518" s="70"/>
      <c r="H518" s="70"/>
      <c r="I518" s="70"/>
      <c r="J518" s="70"/>
      <c r="K518" s="70"/>
      <c r="M518" s="3"/>
      <c r="N518" s="3"/>
      <c r="O518" s="3"/>
      <c r="P518" s="3"/>
      <c r="R518" s="3"/>
      <c r="S518" s="3"/>
      <c r="T518" s="3"/>
      <c r="U518" s="3"/>
    </row>
    <row r="519">
      <c r="A519" s="70"/>
      <c r="B519" s="3"/>
      <c r="C519" s="3"/>
      <c r="D519" s="70"/>
      <c r="E519" s="70"/>
      <c r="F519" s="70"/>
      <c r="G519" s="70"/>
      <c r="H519" s="70"/>
      <c r="I519" s="70"/>
      <c r="J519" s="70"/>
      <c r="K519" s="70"/>
      <c r="M519" s="3"/>
      <c r="N519" s="3"/>
      <c r="O519" s="3"/>
      <c r="P519" s="3"/>
      <c r="R519" s="3"/>
      <c r="S519" s="3"/>
      <c r="T519" s="3"/>
      <c r="U519" s="3"/>
    </row>
    <row r="520">
      <c r="A520" s="70"/>
      <c r="B520" s="3"/>
      <c r="C520" s="3"/>
      <c r="D520" s="70"/>
      <c r="E520" s="70"/>
      <c r="F520" s="70"/>
      <c r="G520" s="70"/>
      <c r="H520" s="70"/>
      <c r="I520" s="70"/>
      <c r="J520" s="70"/>
      <c r="K520" s="70"/>
      <c r="M520" s="3"/>
      <c r="N520" s="3"/>
      <c r="O520" s="3"/>
      <c r="P520" s="3"/>
      <c r="R520" s="3"/>
      <c r="S520" s="3"/>
      <c r="T520" s="3"/>
      <c r="U520" s="3"/>
    </row>
    <row r="521">
      <c r="A521" s="70"/>
      <c r="B521" s="3"/>
      <c r="C521" s="3"/>
      <c r="D521" s="70"/>
      <c r="E521" s="70"/>
      <c r="F521" s="70"/>
      <c r="G521" s="70"/>
      <c r="H521" s="70"/>
      <c r="I521" s="70"/>
      <c r="J521" s="70"/>
      <c r="K521" s="70"/>
      <c r="M521" s="3"/>
      <c r="N521" s="3"/>
      <c r="O521" s="3"/>
      <c r="P521" s="3"/>
      <c r="R521" s="3"/>
      <c r="S521" s="3"/>
      <c r="T521" s="3"/>
      <c r="U521" s="3"/>
    </row>
    <row r="522">
      <c r="A522" s="70"/>
      <c r="B522" s="3"/>
      <c r="C522" s="3"/>
      <c r="D522" s="70"/>
      <c r="E522" s="70"/>
      <c r="F522" s="70"/>
      <c r="G522" s="70"/>
      <c r="H522" s="70"/>
      <c r="I522" s="70"/>
      <c r="J522" s="70"/>
      <c r="K522" s="70"/>
      <c r="M522" s="3"/>
      <c r="N522" s="3"/>
      <c r="O522" s="3"/>
      <c r="P522" s="3"/>
      <c r="R522" s="3"/>
      <c r="S522" s="3"/>
      <c r="T522" s="3"/>
      <c r="U522" s="3"/>
    </row>
    <row r="523">
      <c r="A523" s="70"/>
      <c r="B523" s="3"/>
      <c r="C523" s="3"/>
      <c r="D523" s="70"/>
      <c r="E523" s="70"/>
      <c r="F523" s="70"/>
      <c r="G523" s="70"/>
      <c r="H523" s="70"/>
      <c r="I523" s="70"/>
      <c r="J523" s="70"/>
      <c r="K523" s="70"/>
      <c r="M523" s="3"/>
      <c r="N523" s="3"/>
      <c r="O523" s="3"/>
      <c r="P523" s="3"/>
      <c r="R523" s="3"/>
      <c r="S523" s="3"/>
      <c r="T523" s="3"/>
      <c r="U523" s="3"/>
    </row>
    <row r="524">
      <c r="A524" s="70"/>
      <c r="B524" s="3"/>
      <c r="C524" s="3"/>
      <c r="D524" s="70"/>
      <c r="E524" s="70"/>
      <c r="F524" s="70"/>
      <c r="G524" s="70"/>
      <c r="H524" s="70"/>
      <c r="I524" s="70"/>
      <c r="J524" s="70"/>
      <c r="K524" s="70"/>
      <c r="M524" s="3"/>
      <c r="N524" s="3"/>
      <c r="O524" s="3"/>
      <c r="P524" s="3"/>
      <c r="R524" s="3"/>
      <c r="S524" s="3"/>
      <c r="T524" s="3"/>
      <c r="U524" s="3"/>
    </row>
    <row r="525">
      <c r="A525" s="70"/>
      <c r="B525" s="3"/>
      <c r="C525" s="3"/>
      <c r="D525" s="70"/>
      <c r="E525" s="70"/>
      <c r="F525" s="70"/>
      <c r="G525" s="70"/>
      <c r="H525" s="70"/>
      <c r="I525" s="70"/>
      <c r="J525" s="70"/>
      <c r="K525" s="70"/>
      <c r="M525" s="3"/>
      <c r="N525" s="3"/>
      <c r="O525" s="3"/>
      <c r="P525" s="3"/>
      <c r="R525" s="3"/>
      <c r="S525" s="3"/>
      <c r="T525" s="3"/>
      <c r="U525" s="3"/>
    </row>
    <row r="526">
      <c r="A526" s="70"/>
      <c r="B526" s="3"/>
      <c r="C526" s="3"/>
      <c r="D526" s="70"/>
      <c r="E526" s="70"/>
      <c r="F526" s="70"/>
      <c r="G526" s="70"/>
      <c r="H526" s="70"/>
      <c r="I526" s="70"/>
      <c r="J526" s="70"/>
      <c r="K526" s="70"/>
      <c r="M526" s="3"/>
      <c r="N526" s="3"/>
      <c r="O526" s="3"/>
      <c r="P526" s="3"/>
      <c r="R526" s="3"/>
      <c r="S526" s="3"/>
      <c r="T526" s="3"/>
      <c r="U526" s="3"/>
    </row>
    <row r="527">
      <c r="A527" s="70"/>
      <c r="B527" s="3"/>
      <c r="C527" s="3"/>
      <c r="D527" s="70"/>
      <c r="E527" s="70"/>
      <c r="F527" s="70"/>
      <c r="G527" s="70"/>
      <c r="H527" s="70"/>
      <c r="I527" s="70"/>
      <c r="J527" s="70"/>
      <c r="K527" s="70"/>
      <c r="M527" s="3"/>
      <c r="N527" s="3"/>
      <c r="O527" s="3"/>
      <c r="P527" s="3"/>
      <c r="R527" s="3"/>
      <c r="S527" s="3"/>
      <c r="T527" s="3"/>
      <c r="U527" s="3"/>
    </row>
    <row r="528">
      <c r="A528" s="70"/>
      <c r="B528" s="3"/>
      <c r="C528" s="3"/>
      <c r="D528" s="70"/>
      <c r="E528" s="70"/>
      <c r="F528" s="70"/>
      <c r="G528" s="70"/>
      <c r="H528" s="70"/>
      <c r="I528" s="70"/>
      <c r="J528" s="70"/>
      <c r="K528" s="70"/>
      <c r="M528" s="3"/>
      <c r="N528" s="3"/>
      <c r="O528" s="3"/>
      <c r="P528" s="3"/>
      <c r="R528" s="3"/>
      <c r="S528" s="3"/>
      <c r="T528" s="3"/>
      <c r="U528" s="3"/>
    </row>
    <row r="529">
      <c r="A529" s="70"/>
      <c r="B529" s="3"/>
      <c r="C529" s="3"/>
      <c r="D529" s="70"/>
      <c r="E529" s="70"/>
      <c r="F529" s="70"/>
      <c r="G529" s="70"/>
      <c r="H529" s="70"/>
      <c r="I529" s="70"/>
      <c r="J529" s="70"/>
      <c r="K529" s="70"/>
      <c r="M529" s="3"/>
      <c r="N529" s="3"/>
      <c r="O529" s="3"/>
      <c r="P529" s="3"/>
      <c r="R529" s="3"/>
      <c r="S529" s="3"/>
      <c r="T529" s="3"/>
      <c r="U529" s="3"/>
    </row>
    <row r="530">
      <c r="A530" s="70"/>
      <c r="B530" s="3"/>
      <c r="C530" s="3"/>
      <c r="D530" s="70"/>
      <c r="E530" s="70"/>
      <c r="F530" s="70"/>
      <c r="G530" s="70"/>
      <c r="H530" s="70"/>
      <c r="I530" s="70"/>
      <c r="J530" s="70"/>
      <c r="K530" s="70"/>
      <c r="M530" s="3"/>
      <c r="N530" s="3"/>
      <c r="O530" s="3"/>
      <c r="P530" s="3"/>
      <c r="R530" s="3"/>
      <c r="S530" s="3"/>
      <c r="T530" s="3"/>
      <c r="U530" s="3"/>
    </row>
    <row r="531">
      <c r="A531" s="70"/>
      <c r="B531" s="3"/>
      <c r="C531" s="3"/>
      <c r="D531" s="70"/>
      <c r="E531" s="70"/>
      <c r="F531" s="70"/>
      <c r="G531" s="70"/>
      <c r="H531" s="70"/>
      <c r="I531" s="70"/>
      <c r="J531" s="70"/>
      <c r="K531" s="70"/>
      <c r="M531" s="3"/>
      <c r="N531" s="3"/>
      <c r="O531" s="3"/>
      <c r="P531" s="3"/>
      <c r="R531" s="3"/>
      <c r="S531" s="3"/>
      <c r="T531" s="3"/>
      <c r="U531" s="3"/>
    </row>
    <row r="532">
      <c r="A532" s="70"/>
      <c r="B532" s="3"/>
      <c r="C532" s="3"/>
      <c r="D532" s="70"/>
      <c r="E532" s="70"/>
      <c r="F532" s="70"/>
      <c r="G532" s="70"/>
      <c r="H532" s="70"/>
      <c r="I532" s="70"/>
      <c r="J532" s="70"/>
      <c r="K532" s="70"/>
      <c r="M532" s="3"/>
      <c r="N532" s="3"/>
      <c r="O532" s="3"/>
      <c r="P532" s="3"/>
      <c r="R532" s="3"/>
      <c r="S532" s="3"/>
      <c r="T532" s="3"/>
      <c r="U532" s="3"/>
    </row>
    <row r="533">
      <c r="A533" s="70"/>
      <c r="B533" s="3"/>
      <c r="C533" s="3"/>
      <c r="D533" s="70"/>
      <c r="E533" s="70"/>
      <c r="F533" s="70"/>
      <c r="G533" s="70"/>
      <c r="H533" s="70"/>
      <c r="I533" s="70"/>
      <c r="J533" s="70"/>
      <c r="K533" s="70"/>
      <c r="M533" s="3"/>
      <c r="N533" s="3"/>
      <c r="O533" s="3"/>
      <c r="P533" s="3"/>
      <c r="R533" s="3"/>
      <c r="S533" s="3"/>
      <c r="T533" s="3"/>
      <c r="U533" s="3"/>
    </row>
    <row r="534">
      <c r="A534" s="70"/>
      <c r="B534" s="3"/>
      <c r="C534" s="3"/>
      <c r="D534" s="70"/>
      <c r="E534" s="70"/>
      <c r="F534" s="70"/>
      <c r="G534" s="70"/>
      <c r="H534" s="70"/>
      <c r="I534" s="70"/>
      <c r="J534" s="70"/>
      <c r="K534" s="70"/>
      <c r="M534" s="3"/>
      <c r="N534" s="3"/>
      <c r="O534" s="3"/>
      <c r="P534" s="3"/>
      <c r="R534" s="3"/>
      <c r="S534" s="3"/>
      <c r="T534" s="3"/>
      <c r="U534" s="3"/>
    </row>
    <row r="535">
      <c r="A535" s="70"/>
      <c r="B535" s="3"/>
      <c r="C535" s="3"/>
      <c r="D535" s="70"/>
      <c r="E535" s="70"/>
      <c r="F535" s="70"/>
      <c r="G535" s="70"/>
      <c r="H535" s="70"/>
      <c r="I535" s="70"/>
      <c r="J535" s="70"/>
      <c r="K535" s="70"/>
      <c r="M535" s="3"/>
      <c r="N535" s="3"/>
      <c r="O535" s="3"/>
      <c r="P535" s="3"/>
      <c r="R535" s="3"/>
      <c r="S535" s="3"/>
      <c r="T535" s="3"/>
      <c r="U535" s="3"/>
    </row>
    <row r="536">
      <c r="A536" s="70"/>
      <c r="B536" s="3"/>
      <c r="C536" s="3"/>
      <c r="D536" s="70"/>
      <c r="E536" s="70"/>
      <c r="F536" s="70"/>
      <c r="G536" s="70"/>
      <c r="H536" s="70"/>
      <c r="I536" s="70"/>
      <c r="J536" s="70"/>
      <c r="K536" s="70"/>
      <c r="M536" s="3"/>
      <c r="N536" s="3"/>
      <c r="O536" s="3"/>
      <c r="P536" s="3"/>
      <c r="R536" s="3"/>
      <c r="S536" s="3"/>
      <c r="T536" s="3"/>
      <c r="U536" s="3"/>
    </row>
    <row r="537">
      <c r="A537" s="70"/>
      <c r="B537" s="3"/>
      <c r="C537" s="3"/>
      <c r="D537" s="70"/>
      <c r="E537" s="70"/>
      <c r="F537" s="70"/>
      <c r="G537" s="70"/>
      <c r="H537" s="70"/>
      <c r="I537" s="70"/>
      <c r="J537" s="70"/>
      <c r="K537" s="70"/>
      <c r="M537" s="3"/>
      <c r="N537" s="3"/>
      <c r="O537" s="3"/>
      <c r="P537" s="3"/>
      <c r="R537" s="3"/>
      <c r="S537" s="3"/>
      <c r="T537" s="3"/>
      <c r="U537" s="3"/>
    </row>
    <row r="538">
      <c r="A538" s="70"/>
      <c r="B538" s="3"/>
      <c r="C538" s="3"/>
      <c r="D538" s="70"/>
      <c r="E538" s="70"/>
      <c r="F538" s="70"/>
      <c r="G538" s="70"/>
      <c r="H538" s="70"/>
      <c r="I538" s="70"/>
      <c r="J538" s="70"/>
      <c r="K538" s="70"/>
      <c r="M538" s="3"/>
      <c r="N538" s="3"/>
      <c r="O538" s="3"/>
      <c r="P538" s="3"/>
      <c r="R538" s="3"/>
      <c r="S538" s="3"/>
      <c r="T538" s="3"/>
      <c r="U538" s="3"/>
    </row>
    <row r="539">
      <c r="A539" s="70"/>
      <c r="B539" s="3"/>
      <c r="C539" s="3"/>
      <c r="D539" s="70"/>
      <c r="E539" s="70"/>
      <c r="F539" s="70"/>
      <c r="G539" s="70"/>
      <c r="H539" s="70"/>
      <c r="I539" s="70"/>
      <c r="J539" s="70"/>
      <c r="K539" s="70"/>
      <c r="M539" s="3"/>
      <c r="N539" s="3"/>
      <c r="O539" s="3"/>
      <c r="P539" s="3"/>
      <c r="R539" s="3"/>
      <c r="S539" s="3"/>
      <c r="T539" s="3"/>
      <c r="U539" s="3"/>
    </row>
    <row r="540">
      <c r="A540" s="70"/>
      <c r="B540" s="3"/>
      <c r="C540" s="3"/>
      <c r="D540" s="70"/>
      <c r="E540" s="70"/>
      <c r="F540" s="70"/>
      <c r="G540" s="70"/>
      <c r="H540" s="70"/>
      <c r="I540" s="70"/>
      <c r="J540" s="70"/>
      <c r="K540" s="70"/>
      <c r="M540" s="3"/>
      <c r="N540" s="3"/>
      <c r="O540" s="3"/>
      <c r="P540" s="3"/>
      <c r="R540" s="3"/>
      <c r="S540" s="3"/>
      <c r="T540" s="3"/>
      <c r="U540" s="3"/>
    </row>
    <row r="541">
      <c r="A541" s="70"/>
      <c r="B541" s="3"/>
      <c r="C541" s="3"/>
      <c r="D541" s="70"/>
      <c r="E541" s="70"/>
      <c r="F541" s="70"/>
      <c r="G541" s="70"/>
      <c r="H541" s="70"/>
      <c r="I541" s="70"/>
      <c r="J541" s="70"/>
      <c r="K541" s="70"/>
      <c r="M541" s="3"/>
      <c r="N541" s="3"/>
      <c r="O541" s="3"/>
      <c r="P541" s="3"/>
      <c r="R541" s="3"/>
      <c r="S541" s="3"/>
      <c r="T541" s="3"/>
      <c r="U541" s="3"/>
    </row>
    <row r="542">
      <c r="A542" s="70"/>
      <c r="B542" s="3"/>
      <c r="C542" s="3"/>
      <c r="D542" s="70"/>
      <c r="E542" s="70"/>
      <c r="F542" s="70"/>
      <c r="G542" s="70"/>
      <c r="H542" s="70"/>
      <c r="I542" s="70"/>
      <c r="J542" s="70"/>
      <c r="K542" s="70"/>
      <c r="M542" s="3"/>
      <c r="N542" s="3"/>
      <c r="O542" s="3"/>
      <c r="P542" s="3"/>
      <c r="R542" s="3"/>
      <c r="S542" s="3"/>
      <c r="T542" s="3"/>
      <c r="U542" s="3"/>
    </row>
    <row r="543">
      <c r="A543" s="70"/>
      <c r="B543" s="3"/>
      <c r="C543" s="3"/>
      <c r="D543" s="70"/>
      <c r="E543" s="70"/>
      <c r="F543" s="70"/>
      <c r="G543" s="70"/>
      <c r="H543" s="70"/>
      <c r="I543" s="70"/>
      <c r="J543" s="70"/>
      <c r="K543" s="70"/>
      <c r="M543" s="3"/>
      <c r="N543" s="3"/>
      <c r="O543" s="3"/>
      <c r="P543" s="3"/>
      <c r="R543" s="3"/>
      <c r="S543" s="3"/>
      <c r="T543" s="3"/>
      <c r="U543" s="3"/>
    </row>
    <row r="544">
      <c r="A544" s="70"/>
      <c r="B544" s="3"/>
      <c r="C544" s="3"/>
      <c r="D544" s="70"/>
      <c r="E544" s="70"/>
      <c r="F544" s="70"/>
      <c r="G544" s="70"/>
      <c r="H544" s="70"/>
      <c r="I544" s="70"/>
      <c r="J544" s="70"/>
      <c r="K544" s="70"/>
      <c r="M544" s="3"/>
      <c r="N544" s="3"/>
      <c r="O544" s="3"/>
      <c r="P544" s="3"/>
      <c r="R544" s="3"/>
      <c r="S544" s="3"/>
      <c r="T544" s="3"/>
      <c r="U544" s="3"/>
    </row>
    <row r="545">
      <c r="A545" s="70"/>
      <c r="B545" s="3"/>
      <c r="C545" s="3"/>
      <c r="D545" s="70"/>
      <c r="E545" s="70"/>
      <c r="F545" s="70"/>
      <c r="G545" s="70"/>
      <c r="H545" s="70"/>
      <c r="I545" s="70"/>
      <c r="J545" s="70"/>
      <c r="K545" s="70"/>
      <c r="M545" s="3"/>
      <c r="N545" s="3"/>
      <c r="O545" s="3"/>
      <c r="P545" s="3"/>
      <c r="R545" s="3"/>
      <c r="S545" s="3"/>
      <c r="T545" s="3"/>
      <c r="U545" s="3"/>
    </row>
    <row r="546">
      <c r="A546" s="70"/>
      <c r="B546" s="3"/>
      <c r="C546" s="3"/>
      <c r="D546" s="70"/>
      <c r="E546" s="70"/>
      <c r="F546" s="70"/>
      <c r="G546" s="70"/>
      <c r="H546" s="70"/>
      <c r="I546" s="70"/>
      <c r="J546" s="70"/>
      <c r="K546" s="70"/>
      <c r="M546" s="3"/>
      <c r="N546" s="3"/>
      <c r="O546" s="3"/>
      <c r="P546" s="3"/>
      <c r="R546" s="3"/>
      <c r="S546" s="3"/>
      <c r="T546" s="3"/>
      <c r="U546" s="3"/>
    </row>
    <row r="547">
      <c r="A547" s="70"/>
      <c r="B547" s="3"/>
      <c r="C547" s="3"/>
      <c r="D547" s="70"/>
      <c r="E547" s="70"/>
      <c r="F547" s="70"/>
      <c r="G547" s="70"/>
      <c r="H547" s="70"/>
      <c r="I547" s="70"/>
      <c r="J547" s="70"/>
      <c r="K547" s="70"/>
      <c r="M547" s="3"/>
      <c r="N547" s="3"/>
      <c r="O547" s="3"/>
      <c r="P547" s="3"/>
      <c r="R547" s="3"/>
      <c r="S547" s="3"/>
      <c r="T547" s="3"/>
      <c r="U547" s="3"/>
    </row>
    <row r="548">
      <c r="A548" s="70"/>
      <c r="B548" s="3"/>
      <c r="C548" s="3"/>
      <c r="D548" s="70"/>
      <c r="E548" s="70"/>
      <c r="F548" s="70"/>
      <c r="G548" s="70"/>
      <c r="H548" s="70"/>
      <c r="I548" s="70"/>
      <c r="J548" s="70"/>
      <c r="K548" s="70"/>
      <c r="M548" s="3"/>
      <c r="N548" s="3"/>
      <c r="O548" s="3"/>
      <c r="P548" s="3"/>
      <c r="R548" s="3"/>
      <c r="S548" s="3"/>
      <c r="T548" s="3"/>
      <c r="U548" s="3"/>
    </row>
    <row r="549">
      <c r="A549" s="70"/>
      <c r="B549" s="3"/>
      <c r="C549" s="3"/>
      <c r="D549" s="70"/>
      <c r="E549" s="70"/>
      <c r="F549" s="70"/>
      <c r="G549" s="70"/>
      <c r="H549" s="70"/>
      <c r="I549" s="70"/>
      <c r="J549" s="70"/>
      <c r="K549" s="70"/>
      <c r="M549" s="3"/>
      <c r="N549" s="3"/>
      <c r="O549" s="3"/>
      <c r="P549" s="3"/>
      <c r="R549" s="3"/>
      <c r="S549" s="3"/>
      <c r="T549" s="3"/>
      <c r="U549" s="3"/>
    </row>
    <row r="550">
      <c r="A550" s="70"/>
      <c r="B550" s="3"/>
      <c r="C550" s="3"/>
      <c r="D550" s="70"/>
      <c r="E550" s="70"/>
      <c r="F550" s="70"/>
      <c r="G550" s="70"/>
      <c r="H550" s="70"/>
      <c r="I550" s="70"/>
      <c r="J550" s="70"/>
      <c r="K550" s="70"/>
      <c r="M550" s="3"/>
      <c r="N550" s="3"/>
      <c r="O550" s="3"/>
      <c r="P550" s="3"/>
      <c r="R550" s="3"/>
      <c r="S550" s="3"/>
      <c r="T550" s="3"/>
      <c r="U550" s="3"/>
    </row>
    <row r="551">
      <c r="A551" s="70"/>
      <c r="B551" s="3"/>
      <c r="C551" s="3"/>
      <c r="D551" s="70"/>
      <c r="E551" s="70"/>
      <c r="F551" s="70"/>
      <c r="G551" s="70"/>
      <c r="H551" s="70"/>
      <c r="I551" s="70"/>
      <c r="J551" s="70"/>
      <c r="K551" s="70"/>
      <c r="M551" s="3"/>
      <c r="N551" s="3"/>
      <c r="O551" s="3"/>
      <c r="P551" s="3"/>
      <c r="R551" s="3"/>
      <c r="S551" s="3"/>
      <c r="T551" s="3"/>
      <c r="U551" s="3"/>
    </row>
    <row r="552">
      <c r="A552" s="70"/>
      <c r="B552" s="3"/>
      <c r="C552" s="3"/>
      <c r="D552" s="70"/>
      <c r="E552" s="70"/>
      <c r="F552" s="70"/>
      <c r="G552" s="70"/>
      <c r="H552" s="70"/>
      <c r="I552" s="70"/>
      <c r="J552" s="70"/>
      <c r="K552" s="70"/>
      <c r="M552" s="3"/>
      <c r="N552" s="3"/>
      <c r="O552" s="3"/>
      <c r="P552" s="3"/>
      <c r="R552" s="3"/>
      <c r="S552" s="3"/>
      <c r="T552" s="3"/>
      <c r="U552" s="3"/>
    </row>
    <row r="553">
      <c r="A553" s="70"/>
      <c r="B553" s="3"/>
      <c r="C553" s="3"/>
      <c r="D553" s="70"/>
      <c r="E553" s="70"/>
      <c r="F553" s="70"/>
      <c r="G553" s="70"/>
      <c r="H553" s="70"/>
      <c r="I553" s="70"/>
      <c r="J553" s="70"/>
      <c r="K553" s="70"/>
      <c r="M553" s="3"/>
      <c r="N553" s="3"/>
      <c r="O553" s="3"/>
      <c r="P553" s="3"/>
      <c r="R553" s="3"/>
      <c r="S553" s="3"/>
      <c r="T553" s="3"/>
      <c r="U553" s="3"/>
    </row>
    <row r="554">
      <c r="A554" s="70"/>
      <c r="B554" s="3"/>
      <c r="C554" s="3"/>
      <c r="D554" s="70"/>
      <c r="E554" s="70"/>
      <c r="F554" s="70"/>
      <c r="G554" s="70"/>
      <c r="H554" s="70"/>
      <c r="I554" s="70"/>
      <c r="J554" s="70"/>
      <c r="K554" s="70"/>
      <c r="M554" s="3"/>
      <c r="N554" s="3"/>
      <c r="O554" s="3"/>
      <c r="P554" s="3"/>
      <c r="R554" s="3"/>
      <c r="S554" s="3"/>
      <c r="T554" s="3"/>
      <c r="U554" s="3"/>
    </row>
    <row r="555">
      <c r="A555" s="70"/>
      <c r="B555" s="3"/>
      <c r="C555" s="3"/>
      <c r="D555" s="70"/>
      <c r="E555" s="70"/>
      <c r="F555" s="70"/>
      <c r="G555" s="70"/>
      <c r="H555" s="70"/>
      <c r="I555" s="70"/>
      <c r="J555" s="70"/>
      <c r="K555" s="70"/>
      <c r="M555" s="3"/>
      <c r="N555" s="3"/>
      <c r="O555" s="3"/>
      <c r="P555" s="3"/>
      <c r="R555" s="3"/>
      <c r="S555" s="3"/>
      <c r="T555" s="3"/>
      <c r="U555" s="3"/>
    </row>
    <row r="556">
      <c r="A556" s="70"/>
      <c r="B556" s="3"/>
      <c r="C556" s="3"/>
      <c r="D556" s="70"/>
      <c r="E556" s="70"/>
      <c r="F556" s="70"/>
      <c r="G556" s="70"/>
      <c r="H556" s="70"/>
      <c r="I556" s="70"/>
      <c r="J556" s="70"/>
      <c r="K556" s="70"/>
      <c r="M556" s="3"/>
      <c r="N556" s="3"/>
      <c r="O556" s="3"/>
      <c r="P556" s="3"/>
      <c r="R556" s="3"/>
      <c r="S556" s="3"/>
      <c r="T556" s="3"/>
      <c r="U556" s="3"/>
    </row>
    <row r="557">
      <c r="A557" s="70"/>
      <c r="B557" s="3"/>
      <c r="C557" s="3"/>
      <c r="D557" s="70"/>
      <c r="E557" s="70"/>
      <c r="F557" s="70"/>
      <c r="G557" s="70"/>
      <c r="H557" s="70"/>
      <c r="I557" s="70"/>
      <c r="J557" s="70"/>
      <c r="K557" s="70"/>
      <c r="M557" s="3"/>
      <c r="N557" s="3"/>
      <c r="O557" s="3"/>
      <c r="P557" s="3"/>
      <c r="R557" s="3"/>
      <c r="S557" s="3"/>
      <c r="T557" s="3"/>
      <c r="U557" s="3"/>
    </row>
    <row r="558">
      <c r="A558" s="70"/>
      <c r="B558" s="3"/>
      <c r="C558" s="3"/>
      <c r="D558" s="70"/>
      <c r="E558" s="70"/>
      <c r="F558" s="70"/>
      <c r="G558" s="70"/>
      <c r="H558" s="70"/>
      <c r="I558" s="70"/>
      <c r="J558" s="70"/>
      <c r="K558" s="70"/>
      <c r="M558" s="3"/>
      <c r="N558" s="3"/>
      <c r="O558" s="3"/>
      <c r="P558" s="3"/>
      <c r="R558" s="3"/>
      <c r="S558" s="3"/>
      <c r="T558" s="3"/>
      <c r="U558" s="3"/>
    </row>
    <row r="559">
      <c r="A559" s="70"/>
      <c r="B559" s="3"/>
      <c r="C559" s="3"/>
      <c r="D559" s="70"/>
      <c r="E559" s="70"/>
      <c r="F559" s="70"/>
      <c r="G559" s="70"/>
      <c r="H559" s="70"/>
      <c r="I559" s="70"/>
      <c r="J559" s="70"/>
      <c r="K559" s="70"/>
      <c r="M559" s="3"/>
      <c r="N559" s="3"/>
      <c r="O559" s="3"/>
      <c r="P559" s="3"/>
      <c r="R559" s="3"/>
      <c r="S559" s="3"/>
      <c r="T559" s="3"/>
      <c r="U559" s="3"/>
    </row>
    <row r="560">
      <c r="A560" s="70"/>
      <c r="B560" s="3"/>
      <c r="C560" s="3"/>
      <c r="D560" s="70"/>
      <c r="E560" s="70"/>
      <c r="F560" s="70"/>
      <c r="G560" s="70"/>
      <c r="H560" s="70"/>
      <c r="I560" s="70"/>
      <c r="J560" s="70"/>
      <c r="K560" s="70"/>
      <c r="M560" s="3"/>
      <c r="N560" s="3"/>
      <c r="O560" s="3"/>
      <c r="P560" s="3"/>
      <c r="R560" s="3"/>
      <c r="S560" s="3"/>
      <c r="T560" s="3"/>
      <c r="U560" s="3"/>
    </row>
    <row r="561">
      <c r="A561" s="70"/>
      <c r="B561" s="3"/>
      <c r="C561" s="3"/>
      <c r="D561" s="70"/>
      <c r="E561" s="70"/>
      <c r="F561" s="70"/>
      <c r="G561" s="70"/>
      <c r="H561" s="70"/>
      <c r="I561" s="70"/>
      <c r="J561" s="70"/>
      <c r="K561" s="70"/>
      <c r="M561" s="3"/>
      <c r="N561" s="3"/>
      <c r="O561" s="3"/>
      <c r="P561" s="3"/>
      <c r="R561" s="3"/>
      <c r="S561" s="3"/>
      <c r="T561" s="3"/>
      <c r="U561" s="3"/>
    </row>
    <row r="562">
      <c r="A562" s="70"/>
      <c r="B562" s="3"/>
      <c r="C562" s="3"/>
      <c r="D562" s="70"/>
      <c r="E562" s="70"/>
      <c r="F562" s="70"/>
      <c r="G562" s="70"/>
      <c r="H562" s="70"/>
      <c r="I562" s="70"/>
      <c r="J562" s="70"/>
      <c r="K562" s="70"/>
      <c r="M562" s="3"/>
      <c r="N562" s="3"/>
      <c r="O562" s="3"/>
      <c r="P562" s="3"/>
      <c r="R562" s="3"/>
      <c r="S562" s="3"/>
      <c r="T562" s="3"/>
      <c r="U562" s="3"/>
    </row>
    <row r="563">
      <c r="A563" s="70"/>
      <c r="B563" s="3"/>
      <c r="C563" s="3"/>
      <c r="D563" s="70"/>
      <c r="E563" s="70"/>
      <c r="F563" s="70"/>
      <c r="G563" s="70"/>
      <c r="H563" s="70"/>
      <c r="I563" s="70"/>
      <c r="J563" s="70"/>
      <c r="K563" s="70"/>
      <c r="M563" s="3"/>
      <c r="N563" s="3"/>
      <c r="O563" s="3"/>
      <c r="P563" s="3"/>
      <c r="R563" s="3"/>
      <c r="S563" s="3"/>
      <c r="T563" s="3"/>
      <c r="U563" s="3"/>
    </row>
    <row r="564">
      <c r="A564" s="70"/>
      <c r="B564" s="3"/>
      <c r="C564" s="3"/>
      <c r="D564" s="70"/>
      <c r="E564" s="70"/>
      <c r="F564" s="70"/>
      <c r="G564" s="70"/>
      <c r="H564" s="70"/>
      <c r="I564" s="70"/>
      <c r="J564" s="70"/>
      <c r="K564" s="70"/>
      <c r="M564" s="3"/>
      <c r="N564" s="3"/>
      <c r="O564" s="3"/>
      <c r="P564" s="3"/>
      <c r="R564" s="3"/>
      <c r="S564" s="3"/>
      <c r="T564" s="3"/>
      <c r="U564" s="3"/>
    </row>
    <row r="565">
      <c r="A565" s="70"/>
      <c r="B565" s="3"/>
      <c r="C565" s="3"/>
      <c r="D565" s="70"/>
      <c r="E565" s="70"/>
      <c r="F565" s="70"/>
      <c r="G565" s="70"/>
      <c r="H565" s="70"/>
      <c r="I565" s="70"/>
      <c r="J565" s="70"/>
      <c r="K565" s="70"/>
      <c r="M565" s="3"/>
      <c r="N565" s="3"/>
      <c r="O565" s="3"/>
      <c r="P565" s="3"/>
      <c r="R565" s="3"/>
      <c r="S565" s="3"/>
      <c r="T565" s="3"/>
      <c r="U565" s="3"/>
    </row>
    <row r="566">
      <c r="A566" s="70"/>
      <c r="B566" s="3"/>
      <c r="C566" s="3"/>
      <c r="D566" s="70"/>
      <c r="E566" s="70"/>
      <c r="F566" s="70"/>
      <c r="G566" s="70"/>
      <c r="H566" s="70"/>
      <c r="I566" s="70"/>
      <c r="J566" s="70"/>
      <c r="K566" s="70"/>
      <c r="M566" s="3"/>
      <c r="N566" s="3"/>
      <c r="O566" s="3"/>
      <c r="P566" s="3"/>
      <c r="R566" s="3"/>
      <c r="S566" s="3"/>
      <c r="T566" s="3"/>
      <c r="U566" s="3"/>
    </row>
    <row r="567">
      <c r="A567" s="70"/>
      <c r="B567" s="3"/>
      <c r="C567" s="3"/>
      <c r="D567" s="70"/>
      <c r="E567" s="70"/>
      <c r="F567" s="70"/>
      <c r="G567" s="70"/>
      <c r="H567" s="70"/>
      <c r="I567" s="70"/>
      <c r="J567" s="70"/>
      <c r="K567" s="70"/>
      <c r="M567" s="3"/>
      <c r="N567" s="3"/>
      <c r="O567" s="3"/>
      <c r="P567" s="3"/>
      <c r="R567" s="3"/>
      <c r="S567" s="3"/>
      <c r="T567" s="3"/>
      <c r="U567" s="3"/>
    </row>
    <row r="568">
      <c r="A568" s="70"/>
      <c r="B568" s="3"/>
      <c r="C568" s="3"/>
      <c r="D568" s="70"/>
      <c r="E568" s="70"/>
      <c r="F568" s="70"/>
      <c r="G568" s="70"/>
      <c r="H568" s="70"/>
      <c r="I568" s="70"/>
      <c r="J568" s="70"/>
      <c r="K568" s="70"/>
      <c r="M568" s="3"/>
      <c r="N568" s="3"/>
      <c r="O568" s="3"/>
      <c r="P568" s="3"/>
      <c r="R568" s="3"/>
      <c r="S568" s="3"/>
      <c r="T568" s="3"/>
      <c r="U568" s="3"/>
    </row>
    <row r="569">
      <c r="A569" s="70"/>
      <c r="B569" s="3"/>
      <c r="C569" s="3"/>
      <c r="D569" s="70"/>
      <c r="E569" s="70"/>
      <c r="F569" s="70"/>
      <c r="G569" s="70"/>
      <c r="H569" s="70"/>
      <c r="I569" s="70"/>
      <c r="J569" s="70"/>
      <c r="K569" s="70"/>
      <c r="M569" s="3"/>
      <c r="N569" s="3"/>
      <c r="O569" s="3"/>
      <c r="P569" s="3"/>
      <c r="R569" s="3"/>
      <c r="S569" s="3"/>
      <c r="T569" s="3"/>
      <c r="U569" s="3"/>
    </row>
    <row r="570">
      <c r="A570" s="70"/>
      <c r="B570" s="3"/>
      <c r="C570" s="3"/>
      <c r="D570" s="70"/>
      <c r="E570" s="70"/>
      <c r="F570" s="70"/>
      <c r="G570" s="70"/>
      <c r="H570" s="70"/>
      <c r="I570" s="70"/>
      <c r="J570" s="70"/>
      <c r="K570" s="70"/>
      <c r="M570" s="3"/>
      <c r="N570" s="3"/>
      <c r="O570" s="3"/>
      <c r="P570" s="3"/>
      <c r="R570" s="3"/>
      <c r="S570" s="3"/>
      <c r="T570" s="3"/>
      <c r="U570" s="3"/>
    </row>
    <row r="571">
      <c r="A571" s="70"/>
      <c r="B571" s="3"/>
      <c r="C571" s="3"/>
      <c r="D571" s="70"/>
      <c r="E571" s="70"/>
      <c r="F571" s="70"/>
      <c r="G571" s="70"/>
      <c r="H571" s="70"/>
      <c r="I571" s="70"/>
      <c r="J571" s="70"/>
      <c r="K571" s="70"/>
      <c r="M571" s="3"/>
      <c r="N571" s="3"/>
      <c r="O571" s="3"/>
      <c r="P571" s="3"/>
      <c r="R571" s="3"/>
      <c r="S571" s="3"/>
      <c r="T571" s="3"/>
      <c r="U571" s="3"/>
    </row>
    <row r="572">
      <c r="A572" s="70"/>
      <c r="B572" s="3"/>
      <c r="C572" s="3"/>
      <c r="D572" s="70"/>
      <c r="E572" s="70"/>
      <c r="F572" s="70"/>
      <c r="G572" s="70"/>
      <c r="H572" s="70"/>
      <c r="I572" s="70"/>
      <c r="J572" s="70"/>
      <c r="K572" s="70"/>
      <c r="M572" s="3"/>
      <c r="N572" s="3"/>
      <c r="O572" s="3"/>
      <c r="P572" s="3"/>
      <c r="R572" s="3"/>
      <c r="S572" s="3"/>
      <c r="T572" s="3"/>
      <c r="U572" s="3"/>
    </row>
    <row r="573">
      <c r="A573" s="70"/>
      <c r="B573" s="3"/>
      <c r="C573" s="3"/>
      <c r="D573" s="70"/>
      <c r="E573" s="70"/>
      <c r="F573" s="70"/>
      <c r="G573" s="70"/>
      <c r="H573" s="70"/>
      <c r="I573" s="70"/>
      <c r="J573" s="70"/>
      <c r="K573" s="70"/>
      <c r="M573" s="3"/>
      <c r="N573" s="3"/>
      <c r="O573" s="3"/>
      <c r="P573" s="3"/>
      <c r="R573" s="3"/>
      <c r="S573" s="3"/>
      <c r="T573" s="3"/>
      <c r="U573" s="3"/>
    </row>
    <row r="574">
      <c r="A574" s="70"/>
      <c r="B574" s="3"/>
      <c r="C574" s="3"/>
      <c r="D574" s="70"/>
      <c r="E574" s="70"/>
      <c r="F574" s="70"/>
      <c r="G574" s="70"/>
      <c r="H574" s="70"/>
      <c r="I574" s="70"/>
      <c r="J574" s="70"/>
      <c r="K574" s="70"/>
      <c r="M574" s="3"/>
      <c r="N574" s="3"/>
      <c r="O574" s="3"/>
      <c r="P574" s="3"/>
      <c r="R574" s="3"/>
      <c r="S574" s="3"/>
      <c r="T574" s="3"/>
      <c r="U574" s="3"/>
    </row>
    <row r="575">
      <c r="A575" s="70"/>
      <c r="B575" s="3"/>
      <c r="C575" s="3"/>
      <c r="D575" s="70"/>
      <c r="E575" s="70"/>
      <c r="F575" s="70"/>
      <c r="G575" s="70"/>
      <c r="H575" s="70"/>
      <c r="I575" s="70"/>
      <c r="J575" s="70"/>
      <c r="K575" s="70"/>
      <c r="M575" s="3"/>
      <c r="N575" s="3"/>
      <c r="O575" s="3"/>
      <c r="P575" s="3"/>
      <c r="R575" s="3"/>
      <c r="S575" s="3"/>
      <c r="T575" s="3"/>
      <c r="U575" s="3"/>
    </row>
    <row r="576">
      <c r="A576" s="70"/>
      <c r="B576" s="3"/>
      <c r="C576" s="3"/>
      <c r="D576" s="70"/>
      <c r="E576" s="70"/>
      <c r="F576" s="70"/>
      <c r="G576" s="70"/>
      <c r="H576" s="70"/>
      <c r="I576" s="70"/>
      <c r="J576" s="70"/>
      <c r="K576" s="70"/>
      <c r="M576" s="3"/>
      <c r="N576" s="3"/>
      <c r="O576" s="3"/>
      <c r="P576" s="3"/>
      <c r="R576" s="3"/>
      <c r="S576" s="3"/>
      <c r="T576" s="3"/>
      <c r="U576" s="3"/>
    </row>
    <row r="577">
      <c r="A577" s="70"/>
      <c r="B577" s="3"/>
      <c r="C577" s="3"/>
      <c r="D577" s="70"/>
      <c r="E577" s="70"/>
      <c r="F577" s="70"/>
      <c r="G577" s="70"/>
      <c r="H577" s="70"/>
      <c r="I577" s="70"/>
      <c r="J577" s="70"/>
      <c r="K577" s="70"/>
      <c r="M577" s="3"/>
      <c r="N577" s="3"/>
      <c r="O577" s="3"/>
      <c r="P577" s="3"/>
      <c r="R577" s="3"/>
      <c r="S577" s="3"/>
      <c r="T577" s="3"/>
      <c r="U577" s="3"/>
    </row>
    <row r="578">
      <c r="A578" s="70"/>
      <c r="B578" s="3"/>
      <c r="C578" s="3"/>
      <c r="D578" s="70"/>
      <c r="E578" s="70"/>
      <c r="F578" s="70"/>
      <c r="G578" s="70"/>
      <c r="H578" s="70"/>
      <c r="I578" s="70"/>
      <c r="J578" s="70"/>
      <c r="K578" s="70"/>
      <c r="M578" s="3"/>
      <c r="N578" s="3"/>
      <c r="O578" s="3"/>
      <c r="P578" s="3"/>
      <c r="R578" s="3"/>
      <c r="S578" s="3"/>
      <c r="T578" s="3"/>
      <c r="U578" s="3"/>
    </row>
    <row r="579">
      <c r="A579" s="70"/>
      <c r="B579" s="3"/>
      <c r="C579" s="3"/>
      <c r="D579" s="70"/>
      <c r="E579" s="70"/>
      <c r="F579" s="70"/>
      <c r="G579" s="70"/>
      <c r="H579" s="70"/>
      <c r="I579" s="70"/>
      <c r="J579" s="70"/>
      <c r="K579" s="70"/>
      <c r="M579" s="3"/>
      <c r="N579" s="3"/>
      <c r="O579" s="3"/>
      <c r="P579" s="3"/>
      <c r="R579" s="3"/>
      <c r="S579" s="3"/>
      <c r="T579" s="3"/>
      <c r="U579" s="3"/>
    </row>
    <row r="580">
      <c r="A580" s="70"/>
      <c r="B580" s="3"/>
      <c r="C580" s="3"/>
      <c r="D580" s="70"/>
      <c r="E580" s="70"/>
      <c r="F580" s="70"/>
      <c r="G580" s="70"/>
      <c r="H580" s="70"/>
      <c r="I580" s="70"/>
      <c r="J580" s="70"/>
      <c r="K580" s="70"/>
      <c r="M580" s="3"/>
      <c r="N580" s="3"/>
      <c r="O580" s="3"/>
      <c r="P580" s="3"/>
      <c r="R580" s="3"/>
      <c r="S580" s="3"/>
      <c r="T580" s="3"/>
      <c r="U580" s="3"/>
    </row>
    <row r="581">
      <c r="A581" s="70"/>
      <c r="B581" s="3"/>
      <c r="C581" s="3"/>
      <c r="D581" s="70"/>
      <c r="E581" s="70"/>
      <c r="F581" s="70"/>
      <c r="G581" s="70"/>
      <c r="H581" s="70"/>
      <c r="I581" s="70"/>
      <c r="J581" s="70"/>
      <c r="K581" s="70"/>
      <c r="M581" s="3"/>
      <c r="N581" s="3"/>
      <c r="O581" s="3"/>
      <c r="P581" s="3"/>
      <c r="R581" s="3"/>
      <c r="S581" s="3"/>
      <c r="T581" s="3"/>
      <c r="U581" s="3"/>
    </row>
    <row r="582">
      <c r="A582" s="70"/>
      <c r="B582" s="3"/>
      <c r="C582" s="3"/>
      <c r="D582" s="70"/>
      <c r="E582" s="70"/>
      <c r="F582" s="70"/>
      <c r="G582" s="70"/>
      <c r="H582" s="70"/>
      <c r="I582" s="70"/>
      <c r="J582" s="70"/>
      <c r="K582" s="70"/>
      <c r="M582" s="3"/>
      <c r="N582" s="3"/>
      <c r="O582" s="3"/>
      <c r="P582" s="3"/>
      <c r="R582" s="3"/>
      <c r="S582" s="3"/>
      <c r="T582" s="3"/>
      <c r="U582" s="3"/>
    </row>
    <row r="583">
      <c r="A583" s="70"/>
      <c r="B583" s="3"/>
      <c r="C583" s="3"/>
      <c r="D583" s="70"/>
      <c r="E583" s="70"/>
      <c r="F583" s="70"/>
      <c r="G583" s="70"/>
      <c r="H583" s="70"/>
      <c r="I583" s="70"/>
      <c r="J583" s="70"/>
      <c r="K583" s="70"/>
      <c r="M583" s="3"/>
      <c r="N583" s="3"/>
      <c r="O583" s="3"/>
      <c r="P583" s="3"/>
      <c r="R583" s="3"/>
      <c r="S583" s="3"/>
      <c r="T583" s="3"/>
      <c r="U583" s="3"/>
    </row>
    <row r="584">
      <c r="A584" s="70"/>
      <c r="B584" s="3"/>
      <c r="C584" s="3"/>
      <c r="D584" s="70"/>
      <c r="E584" s="70"/>
      <c r="F584" s="70"/>
      <c r="G584" s="70"/>
      <c r="H584" s="70"/>
      <c r="I584" s="70"/>
      <c r="J584" s="70"/>
      <c r="K584" s="70"/>
      <c r="M584" s="3"/>
      <c r="N584" s="3"/>
      <c r="O584" s="3"/>
      <c r="P584" s="3"/>
      <c r="R584" s="3"/>
      <c r="S584" s="3"/>
      <c r="T584" s="3"/>
      <c r="U584" s="3"/>
    </row>
    <row r="585">
      <c r="A585" s="70"/>
      <c r="B585" s="3"/>
      <c r="C585" s="3"/>
      <c r="D585" s="70"/>
      <c r="E585" s="70"/>
      <c r="F585" s="70"/>
      <c r="G585" s="70"/>
      <c r="H585" s="70"/>
      <c r="I585" s="70"/>
      <c r="J585" s="70"/>
      <c r="K585" s="70"/>
      <c r="M585" s="3"/>
      <c r="N585" s="3"/>
      <c r="O585" s="3"/>
      <c r="P585" s="3"/>
      <c r="R585" s="3"/>
      <c r="S585" s="3"/>
      <c r="T585" s="3"/>
      <c r="U585" s="3"/>
    </row>
    <row r="586">
      <c r="A586" s="70"/>
      <c r="B586" s="3"/>
      <c r="C586" s="3"/>
      <c r="D586" s="70"/>
      <c r="E586" s="70"/>
      <c r="F586" s="70"/>
      <c r="G586" s="70"/>
      <c r="H586" s="70"/>
      <c r="I586" s="70"/>
      <c r="J586" s="70"/>
      <c r="K586" s="70"/>
      <c r="M586" s="3"/>
      <c r="N586" s="3"/>
      <c r="O586" s="3"/>
      <c r="P586" s="3"/>
      <c r="R586" s="3"/>
      <c r="S586" s="3"/>
      <c r="T586" s="3"/>
      <c r="U586" s="3"/>
    </row>
    <row r="587">
      <c r="A587" s="70"/>
      <c r="B587" s="3"/>
      <c r="C587" s="3"/>
      <c r="D587" s="70"/>
      <c r="E587" s="70"/>
      <c r="F587" s="70"/>
      <c r="G587" s="70"/>
      <c r="H587" s="70"/>
      <c r="I587" s="70"/>
      <c r="J587" s="70"/>
      <c r="K587" s="70"/>
      <c r="M587" s="3"/>
      <c r="N587" s="3"/>
      <c r="O587" s="3"/>
      <c r="P587" s="3"/>
      <c r="R587" s="3"/>
      <c r="S587" s="3"/>
      <c r="T587" s="3"/>
      <c r="U587" s="3"/>
    </row>
    <row r="588">
      <c r="A588" s="70"/>
      <c r="B588" s="3"/>
      <c r="C588" s="3"/>
      <c r="D588" s="70"/>
      <c r="E588" s="70"/>
      <c r="F588" s="70"/>
      <c r="G588" s="70"/>
      <c r="H588" s="70"/>
      <c r="I588" s="70"/>
      <c r="J588" s="70"/>
      <c r="K588" s="70"/>
      <c r="M588" s="3"/>
      <c r="N588" s="3"/>
      <c r="O588" s="3"/>
      <c r="P588" s="3"/>
      <c r="R588" s="3"/>
      <c r="S588" s="3"/>
      <c r="T588" s="3"/>
      <c r="U588" s="3"/>
    </row>
    <row r="589">
      <c r="A589" s="70"/>
      <c r="B589" s="3"/>
      <c r="C589" s="3"/>
      <c r="D589" s="70"/>
      <c r="E589" s="70"/>
      <c r="F589" s="70"/>
      <c r="G589" s="70"/>
      <c r="H589" s="70"/>
      <c r="I589" s="70"/>
      <c r="J589" s="70"/>
      <c r="K589" s="70"/>
      <c r="M589" s="3"/>
      <c r="N589" s="3"/>
      <c r="O589" s="3"/>
      <c r="P589" s="3"/>
      <c r="R589" s="3"/>
      <c r="S589" s="3"/>
      <c r="T589" s="3"/>
      <c r="U589" s="3"/>
    </row>
    <row r="590">
      <c r="A590" s="70"/>
      <c r="B590" s="3"/>
      <c r="C590" s="3"/>
      <c r="D590" s="70"/>
      <c r="E590" s="70"/>
      <c r="F590" s="70"/>
      <c r="G590" s="70"/>
      <c r="H590" s="70"/>
      <c r="I590" s="70"/>
      <c r="J590" s="70"/>
      <c r="K590" s="70"/>
      <c r="M590" s="3"/>
      <c r="N590" s="3"/>
      <c r="O590" s="3"/>
      <c r="P590" s="3"/>
      <c r="R590" s="3"/>
      <c r="S590" s="3"/>
      <c r="T590" s="3"/>
      <c r="U590" s="3"/>
    </row>
    <row r="591">
      <c r="A591" s="70"/>
      <c r="B591" s="3"/>
      <c r="C591" s="3"/>
      <c r="D591" s="70"/>
      <c r="E591" s="70"/>
      <c r="F591" s="70"/>
      <c r="G591" s="70"/>
      <c r="H591" s="70"/>
      <c r="I591" s="70"/>
      <c r="J591" s="70"/>
      <c r="K591" s="70"/>
      <c r="M591" s="3"/>
      <c r="N591" s="3"/>
      <c r="O591" s="3"/>
      <c r="P591" s="3"/>
      <c r="R591" s="3"/>
      <c r="S591" s="3"/>
      <c r="T591" s="3"/>
      <c r="U591" s="3"/>
    </row>
    <row r="592">
      <c r="A592" s="70"/>
      <c r="B592" s="3"/>
      <c r="C592" s="3"/>
      <c r="D592" s="70"/>
      <c r="E592" s="70"/>
      <c r="F592" s="70"/>
      <c r="G592" s="70"/>
      <c r="H592" s="70"/>
      <c r="I592" s="70"/>
      <c r="J592" s="70"/>
      <c r="K592" s="70"/>
      <c r="M592" s="3"/>
      <c r="N592" s="3"/>
      <c r="O592" s="3"/>
      <c r="P592" s="3"/>
      <c r="R592" s="3"/>
      <c r="S592" s="3"/>
      <c r="T592" s="3"/>
      <c r="U592" s="3"/>
    </row>
    <row r="593">
      <c r="A593" s="70"/>
      <c r="B593" s="3"/>
      <c r="C593" s="3"/>
      <c r="D593" s="70"/>
      <c r="E593" s="70"/>
      <c r="F593" s="70"/>
      <c r="G593" s="70"/>
      <c r="H593" s="70"/>
      <c r="I593" s="70"/>
      <c r="J593" s="70"/>
      <c r="K593" s="70"/>
      <c r="M593" s="3"/>
      <c r="N593" s="3"/>
      <c r="O593" s="3"/>
      <c r="P593" s="3"/>
      <c r="R593" s="3"/>
      <c r="S593" s="3"/>
      <c r="T593" s="3"/>
      <c r="U593" s="3"/>
    </row>
    <row r="594">
      <c r="A594" s="70"/>
      <c r="B594" s="3"/>
      <c r="C594" s="3"/>
      <c r="D594" s="70"/>
      <c r="E594" s="70"/>
      <c r="F594" s="70"/>
      <c r="G594" s="70"/>
      <c r="H594" s="70"/>
      <c r="I594" s="70"/>
      <c r="J594" s="70"/>
      <c r="K594" s="70"/>
      <c r="M594" s="3"/>
      <c r="N594" s="3"/>
      <c r="O594" s="3"/>
      <c r="P594" s="3"/>
      <c r="R594" s="3"/>
      <c r="S594" s="3"/>
      <c r="T594" s="3"/>
      <c r="U594" s="3"/>
    </row>
    <row r="595">
      <c r="A595" s="70"/>
      <c r="B595" s="3"/>
      <c r="C595" s="3"/>
      <c r="D595" s="70"/>
      <c r="E595" s="70"/>
      <c r="F595" s="70"/>
      <c r="G595" s="70"/>
      <c r="H595" s="70"/>
      <c r="I595" s="70"/>
      <c r="J595" s="70"/>
      <c r="K595" s="70"/>
      <c r="M595" s="3"/>
      <c r="N595" s="3"/>
      <c r="O595" s="3"/>
      <c r="P595" s="3"/>
      <c r="R595" s="3"/>
      <c r="S595" s="3"/>
      <c r="T595" s="3"/>
      <c r="U595" s="3"/>
    </row>
    <row r="596">
      <c r="A596" s="70"/>
      <c r="B596" s="3"/>
      <c r="C596" s="3"/>
      <c r="D596" s="70"/>
      <c r="E596" s="70"/>
      <c r="F596" s="70"/>
      <c r="G596" s="70"/>
      <c r="H596" s="70"/>
      <c r="I596" s="70"/>
      <c r="J596" s="70"/>
      <c r="K596" s="70"/>
      <c r="M596" s="3"/>
      <c r="N596" s="3"/>
      <c r="O596" s="3"/>
      <c r="P596" s="3"/>
      <c r="R596" s="3"/>
      <c r="S596" s="3"/>
      <c r="T596" s="3"/>
      <c r="U596" s="3"/>
    </row>
    <row r="597">
      <c r="A597" s="70"/>
      <c r="B597" s="3"/>
      <c r="C597" s="3"/>
      <c r="D597" s="70"/>
      <c r="E597" s="70"/>
      <c r="F597" s="70"/>
      <c r="G597" s="70"/>
      <c r="H597" s="70"/>
      <c r="I597" s="70"/>
      <c r="J597" s="70"/>
      <c r="K597" s="70"/>
      <c r="M597" s="3"/>
      <c r="N597" s="3"/>
      <c r="O597" s="3"/>
      <c r="P597" s="3"/>
      <c r="R597" s="3"/>
      <c r="S597" s="3"/>
      <c r="T597" s="3"/>
      <c r="U597" s="3"/>
    </row>
    <row r="598">
      <c r="A598" s="70"/>
      <c r="B598" s="3"/>
      <c r="C598" s="3"/>
      <c r="D598" s="70"/>
      <c r="E598" s="70"/>
      <c r="F598" s="70"/>
      <c r="G598" s="70"/>
      <c r="H598" s="70"/>
      <c r="I598" s="70"/>
      <c r="J598" s="70"/>
      <c r="K598" s="70"/>
      <c r="M598" s="3"/>
      <c r="N598" s="3"/>
      <c r="O598" s="3"/>
      <c r="P598" s="3"/>
      <c r="R598" s="3"/>
      <c r="S598" s="3"/>
      <c r="T598" s="3"/>
      <c r="U598" s="3"/>
    </row>
    <row r="599">
      <c r="A599" s="70"/>
      <c r="B599" s="3"/>
      <c r="C599" s="3"/>
      <c r="D599" s="70"/>
      <c r="E599" s="70"/>
      <c r="F599" s="70"/>
      <c r="G599" s="70"/>
      <c r="H599" s="70"/>
      <c r="I599" s="70"/>
      <c r="J599" s="70"/>
      <c r="K599" s="70"/>
      <c r="M599" s="3"/>
      <c r="N599" s="3"/>
      <c r="O599" s="3"/>
      <c r="P599" s="3"/>
      <c r="R599" s="3"/>
      <c r="S599" s="3"/>
      <c r="T599" s="3"/>
      <c r="U599" s="3"/>
    </row>
    <row r="600">
      <c r="A600" s="70"/>
      <c r="B600" s="3"/>
      <c r="C600" s="3"/>
      <c r="D600" s="70"/>
      <c r="E600" s="70"/>
      <c r="F600" s="70"/>
      <c r="G600" s="70"/>
      <c r="H600" s="70"/>
      <c r="I600" s="70"/>
      <c r="J600" s="70"/>
      <c r="K600" s="70"/>
      <c r="M600" s="3"/>
      <c r="N600" s="3"/>
      <c r="O600" s="3"/>
      <c r="P600" s="3"/>
      <c r="R600" s="3"/>
      <c r="S600" s="3"/>
      <c r="T600" s="3"/>
      <c r="U600" s="3"/>
    </row>
    <row r="601">
      <c r="A601" s="70"/>
      <c r="B601" s="3"/>
      <c r="C601" s="3"/>
      <c r="D601" s="70"/>
      <c r="E601" s="70"/>
      <c r="F601" s="70"/>
      <c r="G601" s="70"/>
      <c r="H601" s="70"/>
      <c r="I601" s="70"/>
      <c r="J601" s="70"/>
      <c r="K601" s="70"/>
      <c r="M601" s="3"/>
      <c r="N601" s="3"/>
      <c r="O601" s="3"/>
      <c r="P601" s="3"/>
      <c r="R601" s="3"/>
      <c r="S601" s="3"/>
      <c r="T601" s="3"/>
      <c r="U601" s="3"/>
    </row>
    <row r="602">
      <c r="A602" s="70"/>
      <c r="B602" s="3"/>
      <c r="C602" s="3"/>
      <c r="D602" s="70"/>
      <c r="E602" s="70"/>
      <c r="F602" s="70"/>
      <c r="G602" s="70"/>
      <c r="H602" s="70"/>
      <c r="I602" s="70"/>
      <c r="J602" s="70"/>
      <c r="K602" s="70"/>
      <c r="M602" s="3"/>
      <c r="N602" s="3"/>
      <c r="O602" s="3"/>
      <c r="P602" s="3"/>
      <c r="R602" s="3"/>
      <c r="S602" s="3"/>
      <c r="T602" s="3"/>
      <c r="U602" s="3"/>
    </row>
    <row r="603">
      <c r="A603" s="70"/>
      <c r="B603" s="3"/>
      <c r="C603" s="3"/>
      <c r="D603" s="70"/>
      <c r="E603" s="70"/>
      <c r="F603" s="70"/>
      <c r="G603" s="70"/>
      <c r="H603" s="70"/>
      <c r="I603" s="70"/>
      <c r="J603" s="70"/>
      <c r="K603" s="70"/>
      <c r="M603" s="3"/>
      <c r="N603" s="3"/>
      <c r="O603" s="3"/>
      <c r="P603" s="3"/>
      <c r="R603" s="3"/>
      <c r="S603" s="3"/>
      <c r="T603" s="3"/>
      <c r="U603" s="3"/>
    </row>
    <row r="604">
      <c r="A604" s="70"/>
      <c r="B604" s="3"/>
      <c r="C604" s="3"/>
      <c r="D604" s="70"/>
      <c r="E604" s="70"/>
      <c r="F604" s="70"/>
      <c r="G604" s="70"/>
      <c r="H604" s="70"/>
      <c r="I604" s="70"/>
      <c r="J604" s="70"/>
      <c r="K604" s="70"/>
      <c r="M604" s="3"/>
      <c r="N604" s="3"/>
      <c r="O604" s="3"/>
      <c r="P604" s="3"/>
      <c r="R604" s="3"/>
      <c r="S604" s="3"/>
      <c r="T604" s="3"/>
      <c r="U604" s="3"/>
    </row>
    <row r="605">
      <c r="A605" s="70"/>
      <c r="B605" s="3"/>
      <c r="C605" s="3"/>
      <c r="D605" s="70"/>
      <c r="E605" s="70"/>
      <c r="F605" s="70"/>
      <c r="G605" s="70"/>
      <c r="H605" s="70"/>
      <c r="I605" s="70"/>
      <c r="J605" s="70"/>
      <c r="K605" s="70"/>
      <c r="M605" s="3"/>
      <c r="N605" s="3"/>
      <c r="O605" s="3"/>
      <c r="P605" s="3"/>
      <c r="R605" s="3"/>
      <c r="S605" s="3"/>
      <c r="T605" s="3"/>
      <c r="U605" s="3"/>
    </row>
    <row r="606">
      <c r="A606" s="70"/>
      <c r="B606" s="3"/>
      <c r="C606" s="3"/>
      <c r="D606" s="70"/>
      <c r="E606" s="70"/>
      <c r="F606" s="70"/>
      <c r="G606" s="70"/>
      <c r="H606" s="70"/>
      <c r="I606" s="70"/>
      <c r="J606" s="70"/>
      <c r="K606" s="70"/>
      <c r="M606" s="3"/>
      <c r="N606" s="3"/>
      <c r="O606" s="3"/>
      <c r="P606" s="3"/>
      <c r="R606" s="3"/>
      <c r="S606" s="3"/>
      <c r="T606" s="3"/>
      <c r="U606" s="3"/>
    </row>
    <row r="607">
      <c r="A607" s="70"/>
      <c r="B607" s="3"/>
      <c r="C607" s="3"/>
      <c r="D607" s="70"/>
      <c r="E607" s="70"/>
      <c r="F607" s="70"/>
      <c r="G607" s="70"/>
      <c r="H607" s="70"/>
      <c r="I607" s="70"/>
      <c r="J607" s="70"/>
      <c r="K607" s="70"/>
      <c r="M607" s="3"/>
      <c r="N607" s="3"/>
      <c r="O607" s="3"/>
      <c r="P607" s="3"/>
      <c r="R607" s="3"/>
      <c r="S607" s="3"/>
      <c r="T607" s="3"/>
      <c r="U607" s="3"/>
    </row>
    <row r="608">
      <c r="A608" s="70"/>
      <c r="B608" s="3"/>
      <c r="C608" s="3"/>
      <c r="D608" s="70"/>
      <c r="E608" s="70"/>
      <c r="F608" s="70"/>
      <c r="G608" s="70"/>
      <c r="H608" s="70"/>
      <c r="I608" s="70"/>
      <c r="J608" s="70"/>
      <c r="K608" s="70"/>
      <c r="M608" s="3"/>
      <c r="N608" s="3"/>
      <c r="O608" s="3"/>
      <c r="P608" s="3"/>
      <c r="R608" s="3"/>
      <c r="S608" s="3"/>
      <c r="T608" s="3"/>
      <c r="U608" s="3"/>
    </row>
    <row r="609">
      <c r="A609" s="70"/>
      <c r="B609" s="3"/>
      <c r="C609" s="3"/>
      <c r="D609" s="70"/>
      <c r="E609" s="70"/>
      <c r="F609" s="70"/>
      <c r="G609" s="70"/>
      <c r="H609" s="70"/>
      <c r="I609" s="70"/>
      <c r="J609" s="70"/>
      <c r="K609" s="70"/>
      <c r="M609" s="3"/>
      <c r="N609" s="3"/>
      <c r="O609" s="3"/>
      <c r="P609" s="3"/>
      <c r="R609" s="3"/>
      <c r="S609" s="3"/>
      <c r="T609" s="3"/>
      <c r="U609" s="3"/>
    </row>
    <row r="610">
      <c r="A610" s="70"/>
      <c r="B610" s="3"/>
      <c r="C610" s="3"/>
      <c r="D610" s="70"/>
      <c r="E610" s="70"/>
      <c r="F610" s="70"/>
      <c r="G610" s="70"/>
      <c r="H610" s="70"/>
      <c r="I610" s="70"/>
      <c r="J610" s="70"/>
      <c r="K610" s="70"/>
      <c r="M610" s="3"/>
      <c r="N610" s="3"/>
      <c r="O610" s="3"/>
      <c r="P610" s="3"/>
      <c r="R610" s="3"/>
      <c r="S610" s="3"/>
      <c r="T610" s="3"/>
      <c r="U610" s="3"/>
    </row>
    <row r="611">
      <c r="A611" s="70"/>
      <c r="B611" s="3"/>
      <c r="C611" s="3"/>
      <c r="D611" s="70"/>
      <c r="E611" s="70"/>
      <c r="F611" s="70"/>
      <c r="G611" s="70"/>
      <c r="H611" s="70"/>
      <c r="I611" s="70"/>
      <c r="J611" s="70"/>
      <c r="K611" s="70"/>
      <c r="M611" s="3"/>
      <c r="N611" s="3"/>
      <c r="O611" s="3"/>
      <c r="P611" s="3"/>
      <c r="R611" s="3"/>
      <c r="S611" s="3"/>
      <c r="T611" s="3"/>
      <c r="U611" s="3"/>
    </row>
    <row r="612">
      <c r="A612" s="70"/>
      <c r="B612" s="3"/>
      <c r="C612" s="3"/>
      <c r="D612" s="70"/>
      <c r="E612" s="70"/>
      <c r="F612" s="70"/>
      <c r="G612" s="70"/>
      <c r="H612" s="70"/>
      <c r="I612" s="70"/>
      <c r="J612" s="70"/>
      <c r="K612" s="70"/>
      <c r="M612" s="3"/>
      <c r="N612" s="3"/>
      <c r="O612" s="3"/>
      <c r="P612" s="3"/>
      <c r="R612" s="3"/>
      <c r="S612" s="3"/>
      <c r="T612" s="3"/>
      <c r="U612" s="3"/>
    </row>
    <row r="613">
      <c r="A613" s="70"/>
      <c r="B613" s="3"/>
      <c r="C613" s="3"/>
      <c r="D613" s="70"/>
      <c r="E613" s="70"/>
      <c r="F613" s="70"/>
      <c r="G613" s="70"/>
      <c r="H613" s="70"/>
      <c r="I613" s="70"/>
      <c r="J613" s="70"/>
      <c r="K613" s="70"/>
      <c r="M613" s="3"/>
      <c r="N613" s="3"/>
      <c r="O613" s="3"/>
      <c r="P613" s="3"/>
      <c r="R613" s="3"/>
      <c r="S613" s="3"/>
      <c r="T613" s="3"/>
      <c r="U613" s="3"/>
    </row>
    <row r="614">
      <c r="A614" s="70"/>
      <c r="B614" s="3"/>
      <c r="C614" s="3"/>
      <c r="D614" s="70"/>
      <c r="E614" s="70"/>
      <c r="F614" s="70"/>
      <c r="G614" s="70"/>
      <c r="H614" s="70"/>
      <c r="I614" s="70"/>
      <c r="J614" s="70"/>
      <c r="K614" s="70"/>
      <c r="M614" s="3"/>
      <c r="N614" s="3"/>
      <c r="O614" s="3"/>
      <c r="P614" s="3"/>
      <c r="R614" s="3"/>
      <c r="S614" s="3"/>
      <c r="T614" s="3"/>
      <c r="U614" s="3"/>
    </row>
    <row r="615">
      <c r="A615" s="70"/>
      <c r="B615" s="3"/>
      <c r="C615" s="3"/>
      <c r="D615" s="70"/>
      <c r="E615" s="70"/>
      <c r="F615" s="70"/>
      <c r="G615" s="70"/>
      <c r="H615" s="70"/>
      <c r="I615" s="70"/>
      <c r="J615" s="70"/>
      <c r="K615" s="70"/>
      <c r="M615" s="3"/>
      <c r="N615" s="3"/>
      <c r="O615" s="3"/>
      <c r="P615" s="3"/>
      <c r="R615" s="3"/>
      <c r="S615" s="3"/>
      <c r="T615" s="3"/>
      <c r="U615" s="3"/>
    </row>
    <row r="616">
      <c r="A616" s="70"/>
      <c r="B616" s="3"/>
      <c r="C616" s="3"/>
      <c r="D616" s="70"/>
      <c r="E616" s="70"/>
      <c r="F616" s="70"/>
      <c r="G616" s="70"/>
      <c r="H616" s="70"/>
      <c r="I616" s="70"/>
      <c r="J616" s="70"/>
      <c r="K616" s="70"/>
      <c r="M616" s="3"/>
      <c r="N616" s="3"/>
      <c r="O616" s="3"/>
      <c r="P616" s="3"/>
      <c r="R616" s="3"/>
      <c r="S616" s="3"/>
      <c r="T616" s="3"/>
      <c r="U616" s="3"/>
    </row>
    <row r="617">
      <c r="A617" s="70"/>
      <c r="B617" s="3"/>
      <c r="C617" s="3"/>
      <c r="D617" s="70"/>
      <c r="E617" s="70"/>
      <c r="F617" s="70"/>
      <c r="G617" s="70"/>
      <c r="H617" s="70"/>
      <c r="I617" s="70"/>
      <c r="J617" s="70"/>
      <c r="K617" s="70"/>
      <c r="M617" s="3"/>
      <c r="N617" s="3"/>
      <c r="O617" s="3"/>
      <c r="P617" s="3"/>
      <c r="R617" s="3"/>
      <c r="S617" s="3"/>
      <c r="T617" s="3"/>
      <c r="U617" s="3"/>
    </row>
    <row r="618">
      <c r="A618" s="70"/>
      <c r="B618" s="3"/>
      <c r="C618" s="3"/>
      <c r="D618" s="70"/>
      <c r="E618" s="70"/>
      <c r="F618" s="70"/>
      <c r="G618" s="70"/>
      <c r="H618" s="70"/>
      <c r="I618" s="70"/>
      <c r="J618" s="70"/>
      <c r="K618" s="70"/>
      <c r="M618" s="3"/>
      <c r="N618" s="3"/>
      <c r="O618" s="3"/>
      <c r="P618" s="3"/>
      <c r="R618" s="3"/>
      <c r="S618" s="3"/>
      <c r="T618" s="3"/>
      <c r="U618" s="3"/>
    </row>
    <row r="619">
      <c r="A619" s="70"/>
      <c r="B619" s="3"/>
      <c r="C619" s="3"/>
      <c r="D619" s="70"/>
      <c r="E619" s="70"/>
      <c r="F619" s="70"/>
      <c r="G619" s="70"/>
      <c r="H619" s="70"/>
      <c r="I619" s="70"/>
      <c r="J619" s="70"/>
      <c r="K619" s="70"/>
      <c r="M619" s="3"/>
      <c r="N619" s="3"/>
      <c r="O619" s="3"/>
      <c r="P619" s="3"/>
      <c r="R619" s="3"/>
      <c r="S619" s="3"/>
      <c r="T619" s="3"/>
      <c r="U619" s="3"/>
    </row>
    <row r="620">
      <c r="A620" s="70"/>
      <c r="B620" s="3"/>
      <c r="C620" s="3"/>
      <c r="D620" s="70"/>
      <c r="E620" s="70"/>
      <c r="F620" s="70"/>
      <c r="G620" s="70"/>
      <c r="H620" s="70"/>
      <c r="I620" s="70"/>
      <c r="J620" s="70"/>
      <c r="K620" s="70"/>
      <c r="M620" s="3"/>
      <c r="N620" s="3"/>
      <c r="O620" s="3"/>
      <c r="P620" s="3"/>
      <c r="R620" s="3"/>
      <c r="S620" s="3"/>
      <c r="T620" s="3"/>
      <c r="U620" s="3"/>
    </row>
    <row r="621">
      <c r="A621" s="70"/>
      <c r="B621" s="3"/>
      <c r="C621" s="3"/>
      <c r="D621" s="70"/>
      <c r="E621" s="70"/>
      <c r="F621" s="70"/>
      <c r="G621" s="70"/>
      <c r="H621" s="70"/>
      <c r="I621" s="70"/>
      <c r="J621" s="70"/>
      <c r="K621" s="70"/>
      <c r="M621" s="3"/>
      <c r="N621" s="3"/>
      <c r="O621" s="3"/>
      <c r="P621" s="3"/>
      <c r="R621" s="3"/>
      <c r="S621" s="3"/>
      <c r="T621" s="3"/>
      <c r="U621" s="3"/>
    </row>
    <row r="622">
      <c r="A622" s="70"/>
      <c r="B622" s="3"/>
      <c r="C622" s="3"/>
      <c r="D622" s="70"/>
      <c r="E622" s="70"/>
      <c r="F622" s="70"/>
      <c r="G622" s="70"/>
      <c r="H622" s="70"/>
      <c r="I622" s="70"/>
      <c r="J622" s="70"/>
      <c r="K622" s="70"/>
      <c r="M622" s="3"/>
      <c r="N622" s="3"/>
      <c r="O622" s="3"/>
      <c r="P622" s="3"/>
      <c r="R622" s="3"/>
      <c r="S622" s="3"/>
      <c r="T622" s="3"/>
      <c r="U622" s="3"/>
    </row>
    <row r="623">
      <c r="A623" s="70"/>
      <c r="B623" s="3"/>
      <c r="C623" s="3"/>
      <c r="D623" s="70"/>
      <c r="E623" s="70"/>
      <c r="F623" s="70"/>
      <c r="G623" s="70"/>
      <c r="H623" s="70"/>
      <c r="I623" s="70"/>
      <c r="J623" s="70"/>
      <c r="K623" s="70"/>
      <c r="M623" s="3"/>
      <c r="N623" s="3"/>
      <c r="O623" s="3"/>
      <c r="P623" s="3"/>
      <c r="R623" s="3"/>
      <c r="S623" s="3"/>
      <c r="T623" s="3"/>
      <c r="U623" s="3"/>
    </row>
    <row r="624">
      <c r="A624" s="70"/>
      <c r="B624" s="3"/>
      <c r="C624" s="3"/>
      <c r="D624" s="70"/>
      <c r="E624" s="70"/>
      <c r="F624" s="70"/>
      <c r="G624" s="70"/>
      <c r="H624" s="70"/>
      <c r="I624" s="70"/>
      <c r="J624" s="70"/>
      <c r="K624" s="70"/>
      <c r="M624" s="3"/>
      <c r="N624" s="3"/>
      <c r="O624" s="3"/>
      <c r="P624" s="3"/>
      <c r="R624" s="3"/>
      <c r="S624" s="3"/>
      <c r="T624" s="3"/>
      <c r="U624" s="3"/>
    </row>
    <row r="625">
      <c r="A625" s="70"/>
      <c r="B625" s="3"/>
      <c r="C625" s="3"/>
      <c r="D625" s="70"/>
      <c r="E625" s="70"/>
      <c r="F625" s="70"/>
      <c r="G625" s="70"/>
      <c r="H625" s="70"/>
      <c r="I625" s="70"/>
      <c r="J625" s="70"/>
      <c r="K625" s="70"/>
      <c r="M625" s="3"/>
      <c r="N625" s="3"/>
      <c r="O625" s="3"/>
      <c r="P625" s="3"/>
      <c r="R625" s="3"/>
      <c r="S625" s="3"/>
      <c r="T625" s="3"/>
      <c r="U625" s="3"/>
    </row>
    <row r="626">
      <c r="A626" s="70"/>
      <c r="B626" s="3"/>
      <c r="C626" s="3"/>
      <c r="D626" s="70"/>
      <c r="E626" s="70"/>
      <c r="F626" s="70"/>
      <c r="G626" s="70"/>
      <c r="H626" s="70"/>
      <c r="I626" s="70"/>
      <c r="J626" s="70"/>
      <c r="K626" s="70"/>
      <c r="M626" s="3"/>
      <c r="N626" s="3"/>
      <c r="O626" s="3"/>
      <c r="P626" s="3"/>
      <c r="R626" s="3"/>
      <c r="S626" s="3"/>
      <c r="T626" s="3"/>
      <c r="U626" s="3"/>
    </row>
    <row r="627">
      <c r="A627" s="70"/>
      <c r="B627" s="3"/>
      <c r="C627" s="3"/>
      <c r="D627" s="70"/>
      <c r="E627" s="70"/>
      <c r="F627" s="70"/>
      <c r="G627" s="70"/>
      <c r="H627" s="70"/>
      <c r="I627" s="70"/>
      <c r="J627" s="70"/>
      <c r="K627" s="70"/>
      <c r="M627" s="3"/>
      <c r="N627" s="3"/>
      <c r="O627" s="3"/>
      <c r="P627" s="3"/>
      <c r="R627" s="3"/>
      <c r="S627" s="3"/>
      <c r="T627" s="3"/>
      <c r="U627" s="3"/>
    </row>
    <row r="628">
      <c r="A628" s="70"/>
      <c r="B628" s="3"/>
      <c r="C628" s="3"/>
      <c r="D628" s="70"/>
      <c r="E628" s="70"/>
      <c r="F628" s="70"/>
      <c r="G628" s="70"/>
      <c r="H628" s="70"/>
      <c r="I628" s="70"/>
      <c r="J628" s="70"/>
      <c r="K628" s="70"/>
      <c r="M628" s="3"/>
      <c r="N628" s="3"/>
      <c r="O628" s="3"/>
      <c r="P628" s="3"/>
      <c r="R628" s="3"/>
      <c r="S628" s="3"/>
      <c r="T628" s="3"/>
      <c r="U628" s="3"/>
    </row>
    <row r="629">
      <c r="A629" s="70"/>
      <c r="B629" s="3"/>
      <c r="C629" s="3"/>
      <c r="D629" s="70"/>
      <c r="E629" s="70"/>
      <c r="F629" s="70"/>
      <c r="G629" s="70"/>
      <c r="H629" s="70"/>
      <c r="I629" s="70"/>
      <c r="J629" s="70"/>
      <c r="K629" s="70"/>
      <c r="M629" s="3"/>
      <c r="N629" s="3"/>
      <c r="O629" s="3"/>
      <c r="P629" s="3"/>
      <c r="R629" s="3"/>
      <c r="S629" s="3"/>
      <c r="T629" s="3"/>
      <c r="U629" s="3"/>
    </row>
    <row r="630">
      <c r="A630" s="70"/>
      <c r="B630" s="3"/>
      <c r="C630" s="3"/>
      <c r="D630" s="70"/>
      <c r="E630" s="70"/>
      <c r="F630" s="70"/>
      <c r="G630" s="70"/>
      <c r="H630" s="70"/>
      <c r="I630" s="70"/>
      <c r="J630" s="70"/>
      <c r="K630" s="70"/>
      <c r="M630" s="3"/>
      <c r="N630" s="3"/>
      <c r="O630" s="3"/>
      <c r="P630" s="3"/>
      <c r="R630" s="3"/>
      <c r="S630" s="3"/>
      <c r="T630" s="3"/>
      <c r="U630" s="3"/>
    </row>
    <row r="631">
      <c r="A631" s="70"/>
      <c r="B631" s="3"/>
      <c r="C631" s="3"/>
      <c r="D631" s="70"/>
      <c r="E631" s="70"/>
      <c r="F631" s="70"/>
      <c r="G631" s="70"/>
      <c r="H631" s="70"/>
      <c r="I631" s="70"/>
      <c r="J631" s="70"/>
      <c r="K631" s="70"/>
      <c r="M631" s="3"/>
      <c r="N631" s="3"/>
      <c r="O631" s="3"/>
      <c r="P631" s="3"/>
      <c r="R631" s="3"/>
      <c r="S631" s="3"/>
      <c r="T631" s="3"/>
      <c r="U631" s="3"/>
    </row>
    <row r="632">
      <c r="A632" s="70"/>
      <c r="B632" s="3"/>
      <c r="C632" s="3"/>
      <c r="D632" s="70"/>
      <c r="E632" s="70"/>
      <c r="F632" s="70"/>
      <c r="G632" s="70"/>
      <c r="H632" s="70"/>
      <c r="I632" s="70"/>
      <c r="J632" s="70"/>
      <c r="K632" s="70"/>
      <c r="M632" s="3"/>
      <c r="N632" s="3"/>
      <c r="O632" s="3"/>
      <c r="P632" s="3"/>
      <c r="R632" s="3"/>
      <c r="S632" s="3"/>
      <c r="T632" s="3"/>
      <c r="U632" s="3"/>
    </row>
    <row r="633">
      <c r="A633" s="70"/>
      <c r="B633" s="3"/>
      <c r="C633" s="3"/>
      <c r="D633" s="70"/>
      <c r="E633" s="70"/>
      <c r="F633" s="70"/>
      <c r="G633" s="70"/>
      <c r="H633" s="70"/>
      <c r="I633" s="70"/>
      <c r="J633" s="70"/>
      <c r="K633" s="70"/>
      <c r="M633" s="3"/>
      <c r="N633" s="3"/>
      <c r="O633" s="3"/>
      <c r="P633" s="3"/>
      <c r="R633" s="3"/>
      <c r="S633" s="3"/>
      <c r="T633" s="3"/>
      <c r="U633" s="3"/>
    </row>
    <row r="634">
      <c r="A634" s="70"/>
      <c r="B634" s="3"/>
      <c r="C634" s="3"/>
      <c r="D634" s="70"/>
      <c r="E634" s="70"/>
      <c r="F634" s="70"/>
      <c r="G634" s="70"/>
      <c r="H634" s="70"/>
      <c r="I634" s="70"/>
      <c r="J634" s="70"/>
      <c r="K634" s="70"/>
      <c r="M634" s="3"/>
      <c r="N634" s="3"/>
      <c r="O634" s="3"/>
      <c r="P634" s="3"/>
      <c r="R634" s="3"/>
      <c r="S634" s="3"/>
      <c r="T634" s="3"/>
      <c r="U634" s="3"/>
    </row>
    <row r="635">
      <c r="A635" s="70"/>
      <c r="B635" s="3"/>
      <c r="C635" s="3"/>
      <c r="D635" s="70"/>
      <c r="E635" s="70"/>
      <c r="F635" s="70"/>
      <c r="G635" s="70"/>
      <c r="H635" s="70"/>
      <c r="I635" s="70"/>
      <c r="J635" s="70"/>
      <c r="K635" s="70"/>
      <c r="M635" s="3"/>
      <c r="N635" s="3"/>
      <c r="O635" s="3"/>
      <c r="P635" s="3"/>
      <c r="R635" s="3"/>
      <c r="S635" s="3"/>
      <c r="T635" s="3"/>
      <c r="U635" s="3"/>
    </row>
    <row r="636">
      <c r="A636" s="70"/>
      <c r="B636" s="3"/>
      <c r="C636" s="3"/>
      <c r="D636" s="70"/>
      <c r="E636" s="70"/>
      <c r="F636" s="70"/>
      <c r="G636" s="70"/>
      <c r="H636" s="70"/>
      <c r="I636" s="70"/>
      <c r="J636" s="70"/>
      <c r="K636" s="70"/>
      <c r="M636" s="3"/>
      <c r="N636" s="3"/>
      <c r="O636" s="3"/>
      <c r="P636" s="3"/>
      <c r="R636" s="3"/>
      <c r="S636" s="3"/>
      <c r="T636" s="3"/>
      <c r="U636" s="3"/>
    </row>
    <row r="637">
      <c r="A637" s="70"/>
      <c r="B637" s="3"/>
      <c r="C637" s="3"/>
      <c r="D637" s="70"/>
      <c r="E637" s="70"/>
      <c r="F637" s="70"/>
      <c r="G637" s="70"/>
      <c r="H637" s="70"/>
      <c r="I637" s="70"/>
      <c r="J637" s="70"/>
      <c r="K637" s="70"/>
      <c r="M637" s="3"/>
      <c r="N637" s="3"/>
      <c r="O637" s="3"/>
      <c r="P637" s="3"/>
      <c r="R637" s="3"/>
      <c r="S637" s="3"/>
      <c r="T637" s="3"/>
      <c r="U637" s="3"/>
    </row>
    <row r="638">
      <c r="A638" s="70"/>
      <c r="B638" s="3"/>
      <c r="C638" s="3"/>
      <c r="D638" s="70"/>
      <c r="E638" s="70"/>
      <c r="F638" s="70"/>
      <c r="G638" s="70"/>
      <c r="H638" s="70"/>
      <c r="I638" s="70"/>
      <c r="J638" s="70"/>
      <c r="K638" s="70"/>
      <c r="M638" s="3"/>
      <c r="N638" s="3"/>
      <c r="O638" s="3"/>
      <c r="P638" s="3"/>
      <c r="R638" s="3"/>
      <c r="S638" s="3"/>
      <c r="T638" s="3"/>
      <c r="U638" s="3"/>
    </row>
    <row r="639">
      <c r="A639" s="70"/>
      <c r="B639" s="3"/>
      <c r="C639" s="3"/>
      <c r="D639" s="70"/>
      <c r="E639" s="70"/>
      <c r="F639" s="70"/>
      <c r="G639" s="70"/>
      <c r="H639" s="70"/>
      <c r="I639" s="70"/>
      <c r="J639" s="70"/>
      <c r="K639" s="70"/>
      <c r="M639" s="3"/>
      <c r="N639" s="3"/>
      <c r="O639" s="3"/>
      <c r="P639" s="3"/>
      <c r="R639" s="3"/>
      <c r="S639" s="3"/>
      <c r="T639" s="3"/>
      <c r="U639" s="3"/>
    </row>
    <row r="640">
      <c r="A640" s="70"/>
      <c r="B640" s="3"/>
      <c r="C640" s="3"/>
      <c r="D640" s="70"/>
      <c r="E640" s="70"/>
      <c r="F640" s="70"/>
      <c r="G640" s="70"/>
      <c r="H640" s="70"/>
      <c r="I640" s="70"/>
      <c r="J640" s="70"/>
      <c r="K640" s="70"/>
      <c r="M640" s="3"/>
      <c r="N640" s="3"/>
      <c r="O640" s="3"/>
      <c r="P640" s="3"/>
      <c r="R640" s="3"/>
      <c r="S640" s="3"/>
      <c r="T640" s="3"/>
      <c r="U640" s="3"/>
    </row>
    <row r="641">
      <c r="A641" s="70"/>
      <c r="B641" s="3"/>
      <c r="C641" s="3"/>
      <c r="D641" s="70"/>
      <c r="E641" s="70"/>
      <c r="F641" s="70"/>
      <c r="G641" s="70"/>
      <c r="H641" s="70"/>
      <c r="I641" s="70"/>
      <c r="J641" s="70"/>
      <c r="K641" s="70"/>
      <c r="M641" s="3"/>
      <c r="N641" s="3"/>
      <c r="O641" s="3"/>
      <c r="P641" s="3"/>
      <c r="R641" s="3"/>
      <c r="S641" s="3"/>
      <c r="T641" s="3"/>
      <c r="U641" s="3"/>
    </row>
    <row r="642">
      <c r="A642" s="70"/>
      <c r="B642" s="3"/>
      <c r="C642" s="3"/>
      <c r="D642" s="70"/>
      <c r="E642" s="70"/>
      <c r="F642" s="70"/>
      <c r="G642" s="70"/>
      <c r="H642" s="70"/>
      <c r="I642" s="70"/>
      <c r="J642" s="70"/>
      <c r="K642" s="70"/>
      <c r="M642" s="3"/>
      <c r="N642" s="3"/>
      <c r="O642" s="3"/>
      <c r="P642" s="3"/>
      <c r="R642" s="3"/>
      <c r="S642" s="3"/>
      <c r="T642" s="3"/>
      <c r="U642" s="3"/>
    </row>
    <row r="643">
      <c r="A643" s="70"/>
      <c r="B643" s="3"/>
      <c r="C643" s="3"/>
      <c r="D643" s="70"/>
      <c r="E643" s="70"/>
      <c r="F643" s="70"/>
      <c r="G643" s="70"/>
      <c r="H643" s="70"/>
      <c r="I643" s="70"/>
      <c r="J643" s="70"/>
      <c r="K643" s="70"/>
      <c r="M643" s="3"/>
      <c r="N643" s="3"/>
      <c r="O643" s="3"/>
      <c r="P643" s="3"/>
      <c r="R643" s="3"/>
      <c r="S643" s="3"/>
      <c r="T643" s="3"/>
      <c r="U643" s="3"/>
    </row>
    <row r="644">
      <c r="A644" s="70"/>
      <c r="B644" s="3"/>
      <c r="C644" s="3"/>
      <c r="D644" s="70"/>
      <c r="E644" s="70"/>
      <c r="F644" s="70"/>
      <c r="G644" s="70"/>
      <c r="H644" s="70"/>
      <c r="I644" s="70"/>
      <c r="J644" s="70"/>
      <c r="K644" s="70"/>
      <c r="M644" s="3"/>
      <c r="N644" s="3"/>
      <c r="O644" s="3"/>
      <c r="P644" s="3"/>
      <c r="R644" s="3"/>
      <c r="S644" s="3"/>
      <c r="T644" s="3"/>
      <c r="U644" s="3"/>
    </row>
    <row r="645">
      <c r="A645" s="70"/>
      <c r="B645" s="3"/>
      <c r="C645" s="3"/>
      <c r="D645" s="70"/>
      <c r="E645" s="70"/>
      <c r="F645" s="70"/>
      <c r="G645" s="70"/>
      <c r="H645" s="70"/>
      <c r="I645" s="70"/>
      <c r="J645" s="70"/>
      <c r="K645" s="70"/>
      <c r="M645" s="3"/>
      <c r="N645" s="3"/>
      <c r="O645" s="3"/>
      <c r="P645" s="3"/>
      <c r="R645" s="3"/>
      <c r="S645" s="3"/>
      <c r="T645" s="3"/>
      <c r="U645" s="3"/>
    </row>
    <row r="646">
      <c r="A646" s="70"/>
      <c r="B646" s="3"/>
      <c r="C646" s="3"/>
      <c r="D646" s="70"/>
      <c r="E646" s="70"/>
      <c r="F646" s="70"/>
      <c r="G646" s="70"/>
      <c r="H646" s="70"/>
      <c r="I646" s="70"/>
      <c r="J646" s="70"/>
      <c r="K646" s="70"/>
      <c r="M646" s="3"/>
      <c r="N646" s="3"/>
      <c r="O646" s="3"/>
      <c r="P646" s="3"/>
      <c r="R646" s="3"/>
      <c r="S646" s="3"/>
      <c r="T646" s="3"/>
      <c r="U646" s="3"/>
    </row>
    <row r="647">
      <c r="A647" s="70"/>
      <c r="B647" s="3"/>
      <c r="C647" s="3"/>
      <c r="D647" s="70"/>
      <c r="E647" s="70"/>
      <c r="F647" s="70"/>
      <c r="G647" s="70"/>
      <c r="H647" s="70"/>
      <c r="I647" s="70"/>
      <c r="J647" s="70"/>
      <c r="K647" s="70"/>
      <c r="M647" s="3"/>
      <c r="N647" s="3"/>
      <c r="O647" s="3"/>
      <c r="P647" s="3"/>
      <c r="R647" s="3"/>
      <c r="S647" s="3"/>
      <c r="T647" s="3"/>
      <c r="U647" s="3"/>
    </row>
    <row r="648">
      <c r="A648" s="70"/>
      <c r="B648" s="3"/>
      <c r="C648" s="3"/>
      <c r="D648" s="70"/>
      <c r="E648" s="70"/>
      <c r="F648" s="70"/>
      <c r="G648" s="70"/>
      <c r="H648" s="70"/>
      <c r="I648" s="70"/>
      <c r="J648" s="70"/>
      <c r="K648" s="70"/>
      <c r="M648" s="3"/>
      <c r="N648" s="3"/>
      <c r="O648" s="3"/>
      <c r="P648" s="3"/>
      <c r="R648" s="3"/>
      <c r="S648" s="3"/>
      <c r="T648" s="3"/>
      <c r="U648" s="3"/>
    </row>
    <row r="649">
      <c r="A649" s="70"/>
      <c r="B649" s="3"/>
      <c r="C649" s="3"/>
      <c r="D649" s="70"/>
      <c r="E649" s="70"/>
      <c r="F649" s="70"/>
      <c r="G649" s="70"/>
      <c r="H649" s="70"/>
      <c r="I649" s="70"/>
      <c r="J649" s="70"/>
      <c r="K649" s="70"/>
      <c r="M649" s="3"/>
      <c r="N649" s="3"/>
      <c r="O649" s="3"/>
      <c r="P649" s="3"/>
      <c r="R649" s="3"/>
      <c r="S649" s="3"/>
      <c r="T649" s="3"/>
      <c r="U649" s="3"/>
    </row>
    <row r="650">
      <c r="A650" s="70"/>
      <c r="B650" s="3"/>
      <c r="C650" s="3"/>
      <c r="D650" s="70"/>
      <c r="E650" s="70"/>
      <c r="F650" s="70"/>
      <c r="G650" s="70"/>
      <c r="H650" s="70"/>
      <c r="I650" s="70"/>
      <c r="J650" s="70"/>
      <c r="K650" s="70"/>
      <c r="M650" s="3"/>
      <c r="N650" s="3"/>
      <c r="O650" s="3"/>
      <c r="P650" s="3"/>
      <c r="R650" s="3"/>
      <c r="S650" s="3"/>
      <c r="T650" s="3"/>
      <c r="U650" s="3"/>
    </row>
    <row r="651">
      <c r="A651" s="70"/>
      <c r="B651" s="3"/>
      <c r="C651" s="3"/>
      <c r="D651" s="70"/>
      <c r="E651" s="70"/>
      <c r="F651" s="70"/>
      <c r="G651" s="70"/>
      <c r="H651" s="70"/>
      <c r="I651" s="70"/>
      <c r="J651" s="70"/>
      <c r="K651" s="70"/>
      <c r="M651" s="3"/>
      <c r="N651" s="3"/>
      <c r="O651" s="3"/>
      <c r="P651" s="3"/>
      <c r="R651" s="3"/>
      <c r="S651" s="3"/>
      <c r="T651" s="3"/>
      <c r="U651" s="3"/>
    </row>
    <row r="652">
      <c r="A652" s="70"/>
      <c r="B652" s="3"/>
      <c r="C652" s="3"/>
      <c r="D652" s="70"/>
      <c r="E652" s="70"/>
      <c r="F652" s="70"/>
      <c r="G652" s="70"/>
      <c r="H652" s="70"/>
      <c r="I652" s="70"/>
      <c r="J652" s="70"/>
      <c r="K652" s="70"/>
      <c r="M652" s="3"/>
      <c r="N652" s="3"/>
      <c r="O652" s="3"/>
      <c r="P652" s="3"/>
      <c r="R652" s="3"/>
      <c r="S652" s="3"/>
      <c r="T652" s="3"/>
      <c r="U652" s="3"/>
    </row>
    <row r="653">
      <c r="A653" s="70"/>
      <c r="B653" s="3"/>
      <c r="C653" s="3"/>
      <c r="D653" s="70"/>
      <c r="E653" s="70"/>
      <c r="F653" s="70"/>
      <c r="G653" s="70"/>
      <c r="H653" s="70"/>
      <c r="I653" s="70"/>
      <c r="J653" s="70"/>
      <c r="K653" s="70"/>
      <c r="M653" s="3"/>
      <c r="N653" s="3"/>
      <c r="O653" s="3"/>
      <c r="P653" s="3"/>
      <c r="R653" s="3"/>
      <c r="S653" s="3"/>
      <c r="T653" s="3"/>
      <c r="U653" s="3"/>
    </row>
    <row r="654">
      <c r="A654" s="70"/>
      <c r="B654" s="3"/>
      <c r="C654" s="3"/>
      <c r="D654" s="70"/>
      <c r="E654" s="70"/>
      <c r="F654" s="70"/>
      <c r="G654" s="70"/>
      <c r="H654" s="70"/>
      <c r="I654" s="70"/>
      <c r="J654" s="70"/>
      <c r="K654" s="70"/>
      <c r="M654" s="3"/>
      <c r="N654" s="3"/>
      <c r="O654" s="3"/>
      <c r="P654" s="3"/>
      <c r="R654" s="3"/>
      <c r="S654" s="3"/>
      <c r="T654" s="3"/>
      <c r="U654" s="3"/>
    </row>
    <row r="655">
      <c r="A655" s="70"/>
      <c r="B655" s="3"/>
      <c r="C655" s="3"/>
      <c r="D655" s="70"/>
      <c r="E655" s="70"/>
      <c r="F655" s="70"/>
      <c r="G655" s="70"/>
      <c r="H655" s="70"/>
      <c r="I655" s="70"/>
      <c r="J655" s="70"/>
      <c r="K655" s="70"/>
      <c r="M655" s="3"/>
      <c r="N655" s="3"/>
      <c r="O655" s="3"/>
      <c r="P655" s="3"/>
      <c r="R655" s="3"/>
      <c r="S655" s="3"/>
      <c r="T655" s="3"/>
      <c r="U655" s="3"/>
    </row>
    <row r="656">
      <c r="A656" s="70"/>
      <c r="B656" s="3"/>
      <c r="C656" s="3"/>
      <c r="D656" s="70"/>
      <c r="E656" s="70"/>
      <c r="F656" s="70"/>
      <c r="G656" s="70"/>
      <c r="H656" s="70"/>
      <c r="I656" s="70"/>
      <c r="J656" s="70"/>
      <c r="K656" s="70"/>
      <c r="M656" s="3"/>
      <c r="N656" s="3"/>
      <c r="O656" s="3"/>
      <c r="P656" s="3"/>
      <c r="R656" s="3"/>
      <c r="S656" s="3"/>
      <c r="T656" s="3"/>
      <c r="U656" s="3"/>
    </row>
    <row r="657">
      <c r="A657" s="70"/>
      <c r="B657" s="3"/>
      <c r="C657" s="3"/>
      <c r="D657" s="70"/>
      <c r="E657" s="70"/>
      <c r="F657" s="70"/>
      <c r="G657" s="70"/>
      <c r="H657" s="70"/>
      <c r="I657" s="70"/>
      <c r="J657" s="70"/>
      <c r="K657" s="70"/>
      <c r="M657" s="3"/>
      <c r="N657" s="3"/>
      <c r="O657" s="3"/>
      <c r="P657" s="3"/>
      <c r="R657" s="3"/>
      <c r="S657" s="3"/>
      <c r="T657" s="3"/>
      <c r="U657" s="3"/>
    </row>
    <row r="658">
      <c r="A658" s="70"/>
      <c r="B658" s="3"/>
      <c r="C658" s="3"/>
      <c r="D658" s="70"/>
      <c r="E658" s="70"/>
      <c r="F658" s="70"/>
      <c r="G658" s="70"/>
      <c r="H658" s="70"/>
      <c r="I658" s="70"/>
      <c r="J658" s="70"/>
      <c r="K658" s="70"/>
      <c r="M658" s="3"/>
      <c r="N658" s="3"/>
      <c r="O658" s="3"/>
      <c r="P658" s="3"/>
      <c r="R658" s="3"/>
      <c r="S658" s="3"/>
      <c r="T658" s="3"/>
      <c r="U658" s="3"/>
    </row>
    <row r="659">
      <c r="A659" s="70"/>
      <c r="B659" s="3"/>
      <c r="C659" s="3"/>
      <c r="D659" s="70"/>
      <c r="E659" s="70"/>
      <c r="F659" s="70"/>
      <c r="G659" s="70"/>
      <c r="H659" s="70"/>
      <c r="I659" s="70"/>
      <c r="J659" s="70"/>
      <c r="K659" s="70"/>
      <c r="M659" s="3"/>
      <c r="N659" s="3"/>
      <c r="O659" s="3"/>
      <c r="P659" s="3"/>
      <c r="R659" s="3"/>
      <c r="S659" s="3"/>
      <c r="T659" s="3"/>
      <c r="U659" s="3"/>
    </row>
    <row r="660">
      <c r="A660" s="70"/>
      <c r="B660" s="3"/>
      <c r="C660" s="3"/>
      <c r="D660" s="70"/>
      <c r="E660" s="70"/>
      <c r="F660" s="70"/>
      <c r="G660" s="70"/>
      <c r="H660" s="70"/>
      <c r="I660" s="70"/>
      <c r="J660" s="70"/>
      <c r="K660" s="70"/>
      <c r="M660" s="3"/>
      <c r="N660" s="3"/>
      <c r="O660" s="3"/>
      <c r="P660" s="3"/>
      <c r="R660" s="3"/>
      <c r="S660" s="3"/>
      <c r="T660" s="3"/>
      <c r="U660" s="3"/>
    </row>
    <row r="661">
      <c r="A661" s="70"/>
      <c r="B661" s="3"/>
      <c r="C661" s="3"/>
      <c r="D661" s="70"/>
      <c r="E661" s="70"/>
      <c r="F661" s="70"/>
      <c r="G661" s="70"/>
      <c r="H661" s="70"/>
      <c r="I661" s="70"/>
      <c r="J661" s="70"/>
      <c r="K661" s="70"/>
      <c r="M661" s="3"/>
      <c r="N661" s="3"/>
      <c r="O661" s="3"/>
      <c r="P661" s="3"/>
      <c r="R661" s="3"/>
      <c r="S661" s="3"/>
      <c r="T661" s="3"/>
      <c r="U661" s="3"/>
    </row>
    <row r="662">
      <c r="A662" s="70"/>
      <c r="B662" s="3"/>
      <c r="C662" s="3"/>
      <c r="D662" s="70"/>
      <c r="E662" s="70"/>
      <c r="F662" s="70"/>
      <c r="G662" s="70"/>
      <c r="H662" s="70"/>
      <c r="I662" s="70"/>
      <c r="J662" s="70"/>
      <c r="K662" s="70"/>
      <c r="M662" s="3"/>
      <c r="N662" s="3"/>
      <c r="O662" s="3"/>
      <c r="P662" s="3"/>
      <c r="R662" s="3"/>
      <c r="S662" s="3"/>
      <c r="T662" s="3"/>
      <c r="U662" s="3"/>
    </row>
    <row r="663">
      <c r="A663" s="70"/>
      <c r="B663" s="3"/>
      <c r="C663" s="3"/>
      <c r="D663" s="70"/>
      <c r="E663" s="70"/>
      <c r="F663" s="70"/>
      <c r="G663" s="70"/>
      <c r="H663" s="70"/>
      <c r="I663" s="70"/>
      <c r="J663" s="70"/>
      <c r="K663" s="70"/>
      <c r="M663" s="3"/>
      <c r="N663" s="3"/>
      <c r="O663" s="3"/>
      <c r="P663" s="3"/>
      <c r="R663" s="3"/>
      <c r="S663" s="3"/>
      <c r="T663" s="3"/>
      <c r="U663" s="3"/>
    </row>
    <row r="664">
      <c r="A664" s="70"/>
      <c r="B664" s="3"/>
      <c r="C664" s="3"/>
      <c r="D664" s="70"/>
      <c r="E664" s="70"/>
      <c r="F664" s="70"/>
      <c r="G664" s="70"/>
      <c r="H664" s="70"/>
      <c r="I664" s="70"/>
      <c r="J664" s="70"/>
      <c r="K664" s="70"/>
      <c r="M664" s="3"/>
      <c r="N664" s="3"/>
      <c r="O664" s="3"/>
      <c r="P664" s="3"/>
      <c r="R664" s="3"/>
      <c r="S664" s="3"/>
      <c r="T664" s="3"/>
      <c r="U664" s="3"/>
    </row>
    <row r="665">
      <c r="A665" s="70"/>
      <c r="B665" s="3"/>
      <c r="C665" s="3"/>
      <c r="D665" s="70"/>
      <c r="E665" s="70"/>
      <c r="F665" s="70"/>
      <c r="G665" s="70"/>
      <c r="H665" s="70"/>
      <c r="I665" s="70"/>
      <c r="J665" s="70"/>
      <c r="K665" s="70"/>
      <c r="M665" s="3"/>
      <c r="N665" s="3"/>
      <c r="O665" s="3"/>
      <c r="P665" s="3"/>
      <c r="R665" s="3"/>
      <c r="S665" s="3"/>
      <c r="T665" s="3"/>
      <c r="U665" s="3"/>
    </row>
    <row r="666">
      <c r="A666" s="70"/>
      <c r="B666" s="3"/>
      <c r="C666" s="3"/>
      <c r="D666" s="70"/>
      <c r="E666" s="70"/>
      <c r="F666" s="70"/>
      <c r="G666" s="70"/>
      <c r="H666" s="70"/>
      <c r="I666" s="70"/>
      <c r="J666" s="70"/>
      <c r="K666" s="70"/>
      <c r="M666" s="3"/>
      <c r="N666" s="3"/>
      <c r="O666" s="3"/>
      <c r="P666" s="3"/>
      <c r="R666" s="3"/>
      <c r="S666" s="3"/>
      <c r="T666" s="3"/>
      <c r="U666" s="3"/>
    </row>
    <row r="667">
      <c r="A667" s="70"/>
      <c r="B667" s="3"/>
      <c r="C667" s="3"/>
      <c r="D667" s="70"/>
      <c r="E667" s="70"/>
      <c r="F667" s="70"/>
      <c r="G667" s="70"/>
      <c r="H667" s="70"/>
      <c r="I667" s="70"/>
      <c r="J667" s="70"/>
      <c r="K667" s="70"/>
      <c r="M667" s="3"/>
      <c r="N667" s="3"/>
      <c r="O667" s="3"/>
      <c r="P667" s="3"/>
      <c r="R667" s="3"/>
      <c r="S667" s="3"/>
      <c r="T667" s="3"/>
      <c r="U667" s="3"/>
    </row>
    <row r="668">
      <c r="A668" s="70"/>
      <c r="B668" s="3"/>
      <c r="C668" s="3"/>
      <c r="D668" s="70"/>
      <c r="E668" s="70"/>
      <c r="F668" s="70"/>
      <c r="G668" s="70"/>
      <c r="H668" s="70"/>
      <c r="I668" s="70"/>
      <c r="J668" s="70"/>
      <c r="K668" s="70"/>
      <c r="M668" s="3"/>
      <c r="N668" s="3"/>
      <c r="O668" s="3"/>
      <c r="P668" s="3"/>
      <c r="R668" s="3"/>
      <c r="S668" s="3"/>
      <c r="T668" s="3"/>
      <c r="U668" s="3"/>
    </row>
    <row r="669">
      <c r="A669" s="70"/>
      <c r="B669" s="3"/>
      <c r="C669" s="3"/>
      <c r="D669" s="70"/>
      <c r="E669" s="70"/>
      <c r="F669" s="70"/>
      <c r="G669" s="70"/>
      <c r="H669" s="70"/>
      <c r="I669" s="70"/>
      <c r="J669" s="70"/>
      <c r="K669" s="70"/>
      <c r="M669" s="3"/>
      <c r="N669" s="3"/>
      <c r="O669" s="3"/>
      <c r="P669" s="3"/>
      <c r="R669" s="3"/>
      <c r="S669" s="3"/>
      <c r="T669" s="3"/>
      <c r="U669" s="3"/>
    </row>
    <row r="670">
      <c r="A670" s="70"/>
      <c r="B670" s="3"/>
      <c r="C670" s="3"/>
      <c r="D670" s="70"/>
      <c r="E670" s="70"/>
      <c r="F670" s="70"/>
      <c r="G670" s="70"/>
      <c r="H670" s="70"/>
      <c r="I670" s="70"/>
      <c r="J670" s="70"/>
      <c r="K670" s="70"/>
      <c r="M670" s="3"/>
      <c r="N670" s="3"/>
      <c r="O670" s="3"/>
      <c r="P670" s="3"/>
      <c r="R670" s="3"/>
      <c r="S670" s="3"/>
      <c r="T670" s="3"/>
      <c r="U670" s="3"/>
    </row>
    <row r="671">
      <c r="A671" s="70"/>
      <c r="B671" s="3"/>
      <c r="C671" s="3"/>
      <c r="D671" s="70"/>
      <c r="E671" s="70"/>
      <c r="F671" s="70"/>
      <c r="G671" s="70"/>
      <c r="H671" s="70"/>
      <c r="I671" s="70"/>
      <c r="J671" s="70"/>
      <c r="K671" s="70"/>
      <c r="M671" s="3"/>
      <c r="N671" s="3"/>
      <c r="O671" s="3"/>
      <c r="P671" s="3"/>
      <c r="R671" s="3"/>
      <c r="S671" s="3"/>
      <c r="T671" s="3"/>
      <c r="U671" s="3"/>
    </row>
    <row r="672">
      <c r="A672" s="70"/>
      <c r="B672" s="3"/>
      <c r="C672" s="3"/>
      <c r="D672" s="70"/>
      <c r="E672" s="70"/>
      <c r="F672" s="70"/>
      <c r="G672" s="70"/>
      <c r="H672" s="70"/>
      <c r="I672" s="70"/>
      <c r="J672" s="70"/>
      <c r="K672" s="70"/>
      <c r="M672" s="3"/>
      <c r="N672" s="3"/>
      <c r="O672" s="3"/>
      <c r="P672" s="3"/>
      <c r="R672" s="3"/>
      <c r="S672" s="3"/>
      <c r="T672" s="3"/>
      <c r="U672" s="3"/>
    </row>
    <row r="673">
      <c r="A673" s="70"/>
      <c r="B673" s="3"/>
      <c r="C673" s="3"/>
      <c r="D673" s="70"/>
      <c r="E673" s="70"/>
      <c r="F673" s="70"/>
      <c r="G673" s="70"/>
      <c r="H673" s="70"/>
      <c r="I673" s="70"/>
      <c r="J673" s="70"/>
      <c r="K673" s="70"/>
      <c r="M673" s="3"/>
      <c r="N673" s="3"/>
      <c r="O673" s="3"/>
      <c r="P673" s="3"/>
      <c r="R673" s="3"/>
      <c r="S673" s="3"/>
      <c r="T673" s="3"/>
      <c r="U673" s="3"/>
    </row>
    <row r="674">
      <c r="A674" s="70"/>
      <c r="B674" s="3"/>
      <c r="C674" s="3"/>
      <c r="D674" s="70"/>
      <c r="E674" s="70"/>
      <c r="F674" s="70"/>
      <c r="G674" s="70"/>
      <c r="H674" s="70"/>
      <c r="I674" s="70"/>
      <c r="J674" s="70"/>
      <c r="K674" s="70"/>
      <c r="M674" s="3"/>
      <c r="N674" s="3"/>
      <c r="O674" s="3"/>
      <c r="P674" s="3"/>
      <c r="R674" s="3"/>
      <c r="S674" s="3"/>
      <c r="T674" s="3"/>
      <c r="U674" s="3"/>
    </row>
    <row r="675">
      <c r="A675" s="70"/>
      <c r="B675" s="3"/>
      <c r="C675" s="3"/>
      <c r="D675" s="70"/>
      <c r="E675" s="70"/>
      <c r="F675" s="70"/>
      <c r="G675" s="70"/>
      <c r="H675" s="70"/>
      <c r="I675" s="70"/>
      <c r="J675" s="70"/>
      <c r="K675" s="70"/>
      <c r="M675" s="3"/>
      <c r="N675" s="3"/>
      <c r="O675" s="3"/>
      <c r="P675" s="3"/>
      <c r="R675" s="3"/>
      <c r="S675" s="3"/>
      <c r="T675" s="3"/>
      <c r="U675" s="3"/>
    </row>
    <row r="676">
      <c r="A676" s="70"/>
      <c r="B676" s="3"/>
      <c r="C676" s="3"/>
      <c r="D676" s="70"/>
      <c r="E676" s="70"/>
      <c r="F676" s="70"/>
      <c r="G676" s="70"/>
      <c r="H676" s="70"/>
      <c r="I676" s="70"/>
      <c r="J676" s="70"/>
      <c r="K676" s="70"/>
      <c r="M676" s="3"/>
      <c r="N676" s="3"/>
      <c r="O676" s="3"/>
      <c r="P676" s="3"/>
      <c r="R676" s="3"/>
      <c r="S676" s="3"/>
      <c r="T676" s="3"/>
      <c r="U676" s="3"/>
    </row>
    <row r="677">
      <c r="A677" s="70"/>
      <c r="B677" s="3"/>
      <c r="C677" s="3"/>
      <c r="D677" s="70"/>
      <c r="E677" s="70"/>
      <c r="F677" s="70"/>
      <c r="G677" s="70"/>
      <c r="H677" s="70"/>
      <c r="I677" s="70"/>
      <c r="J677" s="70"/>
      <c r="K677" s="70"/>
      <c r="M677" s="3"/>
      <c r="N677" s="3"/>
      <c r="O677" s="3"/>
      <c r="P677" s="3"/>
      <c r="R677" s="3"/>
      <c r="S677" s="3"/>
      <c r="T677" s="3"/>
      <c r="U677" s="3"/>
    </row>
    <row r="678">
      <c r="A678" s="70"/>
      <c r="B678" s="3"/>
      <c r="C678" s="3"/>
      <c r="D678" s="70"/>
      <c r="E678" s="70"/>
      <c r="F678" s="70"/>
      <c r="G678" s="70"/>
      <c r="H678" s="70"/>
      <c r="I678" s="70"/>
      <c r="J678" s="70"/>
      <c r="K678" s="70"/>
      <c r="M678" s="3"/>
      <c r="N678" s="3"/>
      <c r="O678" s="3"/>
      <c r="P678" s="3"/>
      <c r="R678" s="3"/>
      <c r="S678" s="3"/>
      <c r="T678" s="3"/>
      <c r="U678" s="3"/>
    </row>
    <row r="679">
      <c r="A679" s="70"/>
      <c r="B679" s="3"/>
      <c r="C679" s="3"/>
      <c r="D679" s="70"/>
      <c r="E679" s="70"/>
      <c r="F679" s="70"/>
      <c r="G679" s="70"/>
      <c r="H679" s="70"/>
      <c r="I679" s="70"/>
      <c r="J679" s="70"/>
      <c r="K679" s="70"/>
      <c r="M679" s="3"/>
      <c r="N679" s="3"/>
      <c r="O679" s="3"/>
      <c r="P679" s="3"/>
      <c r="R679" s="3"/>
      <c r="S679" s="3"/>
      <c r="T679" s="3"/>
      <c r="U679" s="3"/>
    </row>
    <row r="680">
      <c r="A680" s="70"/>
      <c r="B680" s="3"/>
      <c r="C680" s="3"/>
      <c r="D680" s="70"/>
      <c r="E680" s="70"/>
      <c r="F680" s="70"/>
      <c r="G680" s="70"/>
      <c r="H680" s="70"/>
      <c r="I680" s="70"/>
      <c r="J680" s="70"/>
      <c r="K680" s="70"/>
      <c r="M680" s="3"/>
      <c r="N680" s="3"/>
      <c r="O680" s="3"/>
      <c r="P680" s="3"/>
      <c r="R680" s="3"/>
      <c r="S680" s="3"/>
      <c r="T680" s="3"/>
      <c r="U680" s="3"/>
    </row>
    <row r="681">
      <c r="A681" s="70"/>
      <c r="B681" s="3"/>
      <c r="C681" s="3"/>
      <c r="D681" s="70"/>
      <c r="E681" s="70"/>
      <c r="F681" s="70"/>
      <c r="G681" s="70"/>
      <c r="H681" s="70"/>
      <c r="I681" s="70"/>
      <c r="J681" s="70"/>
      <c r="K681" s="70"/>
      <c r="M681" s="3"/>
      <c r="N681" s="3"/>
      <c r="O681" s="3"/>
      <c r="P681" s="3"/>
      <c r="R681" s="3"/>
      <c r="S681" s="3"/>
      <c r="T681" s="3"/>
      <c r="U681" s="3"/>
    </row>
    <row r="682">
      <c r="A682" s="70"/>
      <c r="B682" s="3"/>
      <c r="C682" s="3"/>
      <c r="D682" s="70"/>
      <c r="E682" s="70"/>
      <c r="F682" s="70"/>
      <c r="G682" s="70"/>
      <c r="H682" s="70"/>
      <c r="I682" s="70"/>
      <c r="J682" s="70"/>
      <c r="K682" s="70"/>
      <c r="M682" s="3"/>
      <c r="N682" s="3"/>
      <c r="O682" s="3"/>
      <c r="P682" s="3"/>
      <c r="R682" s="3"/>
      <c r="S682" s="3"/>
      <c r="T682" s="3"/>
      <c r="U682" s="3"/>
    </row>
    <row r="683">
      <c r="A683" s="70"/>
      <c r="B683" s="3"/>
      <c r="C683" s="3"/>
      <c r="D683" s="70"/>
      <c r="E683" s="70"/>
      <c r="F683" s="70"/>
      <c r="G683" s="70"/>
      <c r="H683" s="70"/>
      <c r="I683" s="70"/>
      <c r="J683" s="70"/>
      <c r="K683" s="70"/>
      <c r="M683" s="3"/>
      <c r="N683" s="3"/>
      <c r="O683" s="3"/>
      <c r="P683" s="3"/>
      <c r="R683" s="3"/>
      <c r="S683" s="3"/>
      <c r="T683" s="3"/>
      <c r="U683" s="3"/>
    </row>
    <row r="684">
      <c r="A684" s="70"/>
      <c r="B684" s="3"/>
      <c r="C684" s="3"/>
      <c r="D684" s="70"/>
      <c r="E684" s="70"/>
      <c r="F684" s="70"/>
      <c r="G684" s="70"/>
      <c r="H684" s="70"/>
      <c r="I684" s="70"/>
      <c r="J684" s="70"/>
      <c r="K684" s="70"/>
      <c r="M684" s="3"/>
      <c r="N684" s="3"/>
      <c r="O684" s="3"/>
      <c r="P684" s="3"/>
      <c r="R684" s="3"/>
      <c r="S684" s="3"/>
      <c r="T684" s="3"/>
      <c r="U684" s="3"/>
    </row>
    <row r="685">
      <c r="A685" s="70"/>
      <c r="B685" s="3"/>
      <c r="C685" s="3"/>
      <c r="D685" s="70"/>
      <c r="E685" s="70"/>
      <c r="F685" s="70"/>
      <c r="G685" s="70"/>
      <c r="H685" s="70"/>
      <c r="I685" s="70"/>
      <c r="J685" s="70"/>
      <c r="K685" s="70"/>
      <c r="M685" s="3"/>
      <c r="N685" s="3"/>
      <c r="O685" s="3"/>
      <c r="P685" s="3"/>
      <c r="R685" s="3"/>
      <c r="S685" s="3"/>
      <c r="T685" s="3"/>
      <c r="U685" s="3"/>
    </row>
    <row r="686">
      <c r="A686" s="70"/>
      <c r="B686" s="3"/>
      <c r="C686" s="3"/>
      <c r="D686" s="70"/>
      <c r="E686" s="70"/>
      <c r="F686" s="70"/>
      <c r="G686" s="70"/>
      <c r="H686" s="70"/>
      <c r="I686" s="70"/>
      <c r="J686" s="70"/>
      <c r="K686" s="70"/>
      <c r="M686" s="3"/>
      <c r="N686" s="3"/>
      <c r="O686" s="3"/>
      <c r="P686" s="3"/>
      <c r="R686" s="3"/>
      <c r="S686" s="3"/>
      <c r="T686" s="3"/>
      <c r="U686" s="3"/>
    </row>
    <row r="687">
      <c r="A687" s="70"/>
      <c r="B687" s="3"/>
      <c r="C687" s="3"/>
      <c r="D687" s="70"/>
      <c r="E687" s="70"/>
      <c r="F687" s="70"/>
      <c r="G687" s="70"/>
      <c r="H687" s="70"/>
      <c r="I687" s="70"/>
      <c r="J687" s="70"/>
      <c r="K687" s="70"/>
      <c r="M687" s="3"/>
      <c r="N687" s="3"/>
      <c r="O687" s="3"/>
      <c r="P687" s="3"/>
      <c r="R687" s="3"/>
      <c r="S687" s="3"/>
      <c r="T687" s="3"/>
      <c r="U687" s="3"/>
    </row>
    <row r="688">
      <c r="A688" s="70"/>
      <c r="B688" s="3"/>
      <c r="C688" s="3"/>
      <c r="D688" s="70"/>
      <c r="E688" s="70"/>
      <c r="F688" s="70"/>
      <c r="G688" s="70"/>
      <c r="H688" s="70"/>
      <c r="I688" s="70"/>
      <c r="J688" s="70"/>
      <c r="K688" s="70"/>
      <c r="M688" s="3"/>
      <c r="N688" s="3"/>
      <c r="O688" s="3"/>
      <c r="P688" s="3"/>
      <c r="R688" s="3"/>
      <c r="S688" s="3"/>
      <c r="T688" s="3"/>
      <c r="U688" s="3"/>
    </row>
    <row r="689">
      <c r="A689" s="70"/>
      <c r="B689" s="3"/>
      <c r="C689" s="3"/>
      <c r="D689" s="70"/>
      <c r="E689" s="70"/>
      <c r="F689" s="70"/>
      <c r="G689" s="70"/>
      <c r="H689" s="70"/>
      <c r="I689" s="70"/>
      <c r="J689" s="70"/>
      <c r="K689" s="70"/>
      <c r="M689" s="3"/>
      <c r="N689" s="3"/>
      <c r="O689" s="3"/>
      <c r="P689" s="3"/>
      <c r="R689" s="3"/>
      <c r="S689" s="3"/>
      <c r="T689" s="3"/>
      <c r="U689" s="3"/>
    </row>
    <row r="690">
      <c r="A690" s="70"/>
      <c r="B690" s="3"/>
      <c r="C690" s="3"/>
      <c r="D690" s="70"/>
      <c r="E690" s="70"/>
      <c r="F690" s="70"/>
      <c r="G690" s="70"/>
      <c r="H690" s="70"/>
      <c r="I690" s="70"/>
      <c r="J690" s="70"/>
      <c r="K690" s="70"/>
      <c r="M690" s="3"/>
      <c r="N690" s="3"/>
      <c r="O690" s="3"/>
      <c r="P690" s="3"/>
      <c r="R690" s="3"/>
      <c r="S690" s="3"/>
      <c r="T690" s="3"/>
      <c r="U690" s="3"/>
    </row>
    <row r="691">
      <c r="A691" s="70"/>
      <c r="B691" s="3"/>
      <c r="C691" s="3"/>
      <c r="D691" s="70"/>
      <c r="E691" s="70"/>
      <c r="F691" s="70"/>
      <c r="G691" s="70"/>
      <c r="H691" s="70"/>
      <c r="I691" s="70"/>
      <c r="J691" s="70"/>
      <c r="K691" s="70"/>
      <c r="M691" s="3"/>
      <c r="N691" s="3"/>
      <c r="O691" s="3"/>
      <c r="P691" s="3"/>
      <c r="R691" s="3"/>
      <c r="S691" s="3"/>
      <c r="T691" s="3"/>
      <c r="U691" s="3"/>
    </row>
    <row r="692">
      <c r="A692" s="70"/>
      <c r="B692" s="3"/>
      <c r="C692" s="3"/>
      <c r="D692" s="70"/>
      <c r="E692" s="70"/>
      <c r="F692" s="70"/>
      <c r="G692" s="70"/>
      <c r="H692" s="70"/>
      <c r="I692" s="70"/>
      <c r="J692" s="70"/>
      <c r="K692" s="70"/>
      <c r="M692" s="3"/>
      <c r="N692" s="3"/>
      <c r="O692" s="3"/>
      <c r="P692" s="3"/>
      <c r="R692" s="3"/>
      <c r="S692" s="3"/>
      <c r="T692" s="3"/>
      <c r="U692" s="3"/>
    </row>
    <row r="693">
      <c r="A693" s="70"/>
      <c r="B693" s="3"/>
      <c r="C693" s="3"/>
      <c r="D693" s="70"/>
      <c r="E693" s="70"/>
      <c r="F693" s="70"/>
      <c r="G693" s="70"/>
      <c r="H693" s="70"/>
      <c r="I693" s="70"/>
      <c r="J693" s="70"/>
      <c r="K693" s="70"/>
      <c r="M693" s="3"/>
      <c r="N693" s="3"/>
      <c r="O693" s="3"/>
      <c r="P693" s="3"/>
      <c r="R693" s="3"/>
      <c r="S693" s="3"/>
      <c r="T693" s="3"/>
      <c r="U693" s="3"/>
    </row>
    <row r="694">
      <c r="A694" s="70"/>
      <c r="B694" s="3"/>
      <c r="C694" s="3"/>
      <c r="D694" s="70"/>
      <c r="E694" s="70"/>
      <c r="F694" s="70"/>
      <c r="G694" s="70"/>
      <c r="H694" s="70"/>
      <c r="I694" s="70"/>
      <c r="J694" s="70"/>
      <c r="K694" s="70"/>
      <c r="M694" s="3"/>
      <c r="N694" s="3"/>
      <c r="O694" s="3"/>
      <c r="P694" s="3"/>
      <c r="R694" s="3"/>
      <c r="S694" s="3"/>
      <c r="T694" s="3"/>
      <c r="U694" s="3"/>
    </row>
    <row r="695">
      <c r="A695" s="70"/>
      <c r="B695" s="3"/>
      <c r="C695" s="3"/>
      <c r="D695" s="70"/>
      <c r="E695" s="70"/>
      <c r="F695" s="70"/>
      <c r="G695" s="70"/>
      <c r="H695" s="70"/>
      <c r="I695" s="70"/>
      <c r="J695" s="70"/>
      <c r="K695" s="70"/>
      <c r="M695" s="3"/>
      <c r="N695" s="3"/>
      <c r="O695" s="3"/>
      <c r="P695" s="3"/>
      <c r="R695" s="3"/>
      <c r="S695" s="3"/>
      <c r="T695" s="3"/>
      <c r="U695" s="3"/>
    </row>
    <row r="696">
      <c r="A696" s="70"/>
      <c r="B696" s="3"/>
      <c r="C696" s="3"/>
      <c r="D696" s="70"/>
      <c r="E696" s="70"/>
      <c r="F696" s="70"/>
      <c r="G696" s="70"/>
      <c r="H696" s="70"/>
      <c r="I696" s="70"/>
      <c r="J696" s="70"/>
      <c r="K696" s="70"/>
      <c r="M696" s="3"/>
      <c r="N696" s="3"/>
      <c r="O696" s="3"/>
      <c r="P696" s="3"/>
      <c r="R696" s="3"/>
      <c r="S696" s="3"/>
      <c r="T696" s="3"/>
      <c r="U696" s="3"/>
    </row>
    <row r="697">
      <c r="A697" s="70"/>
      <c r="B697" s="3"/>
      <c r="C697" s="3"/>
      <c r="D697" s="70"/>
      <c r="E697" s="70"/>
      <c r="F697" s="70"/>
      <c r="G697" s="70"/>
      <c r="H697" s="70"/>
      <c r="I697" s="70"/>
      <c r="J697" s="70"/>
      <c r="K697" s="70"/>
      <c r="M697" s="3"/>
      <c r="N697" s="3"/>
      <c r="O697" s="3"/>
      <c r="P697" s="3"/>
      <c r="R697" s="3"/>
      <c r="S697" s="3"/>
      <c r="T697" s="3"/>
      <c r="U697" s="3"/>
    </row>
    <row r="698">
      <c r="A698" s="70"/>
      <c r="B698" s="3"/>
      <c r="C698" s="3"/>
      <c r="D698" s="70"/>
      <c r="E698" s="70"/>
      <c r="F698" s="70"/>
      <c r="G698" s="70"/>
      <c r="H698" s="70"/>
      <c r="I698" s="70"/>
      <c r="J698" s="70"/>
      <c r="K698" s="70"/>
      <c r="M698" s="3"/>
      <c r="N698" s="3"/>
      <c r="O698" s="3"/>
      <c r="P698" s="3"/>
      <c r="R698" s="3"/>
      <c r="S698" s="3"/>
      <c r="T698" s="3"/>
      <c r="U698" s="3"/>
    </row>
    <row r="699">
      <c r="A699" s="70"/>
      <c r="B699" s="3"/>
      <c r="C699" s="3"/>
      <c r="D699" s="70"/>
      <c r="E699" s="70"/>
      <c r="F699" s="70"/>
      <c r="G699" s="70"/>
      <c r="H699" s="70"/>
      <c r="I699" s="70"/>
      <c r="J699" s="70"/>
      <c r="K699" s="70"/>
      <c r="M699" s="3"/>
      <c r="N699" s="3"/>
      <c r="O699" s="3"/>
      <c r="P699" s="3"/>
      <c r="R699" s="3"/>
      <c r="S699" s="3"/>
      <c r="T699" s="3"/>
      <c r="U699" s="3"/>
    </row>
    <row r="700">
      <c r="A700" s="70"/>
      <c r="B700" s="3"/>
      <c r="C700" s="3"/>
      <c r="D700" s="70"/>
      <c r="E700" s="70"/>
      <c r="F700" s="70"/>
      <c r="G700" s="70"/>
      <c r="H700" s="70"/>
      <c r="I700" s="70"/>
      <c r="J700" s="70"/>
      <c r="K700" s="70"/>
      <c r="M700" s="3"/>
      <c r="N700" s="3"/>
      <c r="O700" s="3"/>
      <c r="P700" s="3"/>
      <c r="R700" s="3"/>
      <c r="S700" s="3"/>
      <c r="T700" s="3"/>
      <c r="U700" s="3"/>
    </row>
    <row r="701">
      <c r="A701" s="70"/>
      <c r="B701" s="3"/>
      <c r="C701" s="3"/>
      <c r="D701" s="70"/>
      <c r="E701" s="70"/>
      <c r="F701" s="70"/>
      <c r="G701" s="70"/>
      <c r="H701" s="70"/>
      <c r="I701" s="70"/>
      <c r="J701" s="70"/>
      <c r="K701" s="70"/>
      <c r="M701" s="3"/>
      <c r="N701" s="3"/>
      <c r="O701" s="3"/>
      <c r="P701" s="3"/>
      <c r="R701" s="3"/>
      <c r="S701" s="3"/>
      <c r="T701" s="3"/>
      <c r="U701" s="3"/>
    </row>
    <row r="702">
      <c r="A702" s="70"/>
      <c r="B702" s="3"/>
      <c r="C702" s="3"/>
      <c r="D702" s="70"/>
      <c r="E702" s="70"/>
      <c r="F702" s="70"/>
      <c r="G702" s="70"/>
      <c r="H702" s="70"/>
      <c r="I702" s="70"/>
      <c r="J702" s="70"/>
      <c r="K702" s="70"/>
      <c r="M702" s="3"/>
      <c r="N702" s="3"/>
      <c r="O702" s="3"/>
      <c r="P702" s="3"/>
      <c r="R702" s="3"/>
      <c r="S702" s="3"/>
      <c r="T702" s="3"/>
      <c r="U702" s="3"/>
    </row>
    <row r="703">
      <c r="A703" s="70"/>
      <c r="B703" s="3"/>
      <c r="C703" s="3"/>
      <c r="D703" s="70"/>
      <c r="E703" s="70"/>
      <c r="F703" s="70"/>
      <c r="G703" s="70"/>
      <c r="H703" s="70"/>
      <c r="I703" s="70"/>
      <c r="J703" s="70"/>
      <c r="K703" s="70"/>
      <c r="M703" s="3"/>
      <c r="N703" s="3"/>
      <c r="O703" s="3"/>
      <c r="P703" s="3"/>
      <c r="R703" s="3"/>
      <c r="S703" s="3"/>
      <c r="T703" s="3"/>
      <c r="U703" s="3"/>
    </row>
    <row r="704">
      <c r="A704" s="70"/>
      <c r="B704" s="3"/>
      <c r="C704" s="3"/>
      <c r="D704" s="70"/>
      <c r="E704" s="70"/>
      <c r="F704" s="70"/>
      <c r="G704" s="70"/>
      <c r="H704" s="70"/>
      <c r="I704" s="70"/>
      <c r="J704" s="70"/>
      <c r="K704" s="70"/>
      <c r="M704" s="3"/>
      <c r="N704" s="3"/>
      <c r="O704" s="3"/>
      <c r="P704" s="3"/>
      <c r="R704" s="3"/>
      <c r="S704" s="3"/>
      <c r="T704" s="3"/>
      <c r="U704" s="3"/>
    </row>
    <row r="705">
      <c r="A705" s="70"/>
      <c r="B705" s="3"/>
      <c r="C705" s="3"/>
      <c r="D705" s="70"/>
      <c r="E705" s="70"/>
      <c r="F705" s="70"/>
      <c r="G705" s="70"/>
      <c r="H705" s="70"/>
      <c r="I705" s="70"/>
      <c r="J705" s="70"/>
      <c r="K705" s="70"/>
      <c r="M705" s="3"/>
      <c r="N705" s="3"/>
      <c r="O705" s="3"/>
      <c r="P705" s="3"/>
      <c r="R705" s="3"/>
      <c r="S705" s="3"/>
      <c r="T705" s="3"/>
      <c r="U705" s="3"/>
    </row>
    <row r="706">
      <c r="A706" s="70"/>
      <c r="B706" s="3"/>
      <c r="C706" s="3"/>
      <c r="D706" s="70"/>
      <c r="E706" s="70"/>
      <c r="F706" s="70"/>
      <c r="G706" s="70"/>
      <c r="H706" s="70"/>
      <c r="I706" s="70"/>
      <c r="J706" s="70"/>
      <c r="K706" s="70"/>
      <c r="M706" s="3"/>
      <c r="N706" s="3"/>
      <c r="O706" s="3"/>
      <c r="P706" s="3"/>
      <c r="R706" s="3"/>
      <c r="S706" s="3"/>
      <c r="T706" s="3"/>
      <c r="U706" s="3"/>
    </row>
    <row r="707">
      <c r="A707" s="70"/>
      <c r="B707" s="3"/>
      <c r="C707" s="3"/>
      <c r="D707" s="70"/>
      <c r="E707" s="70"/>
      <c r="F707" s="70"/>
      <c r="G707" s="70"/>
      <c r="H707" s="70"/>
      <c r="I707" s="70"/>
      <c r="J707" s="70"/>
      <c r="K707" s="70"/>
      <c r="M707" s="3"/>
      <c r="N707" s="3"/>
      <c r="O707" s="3"/>
      <c r="P707" s="3"/>
      <c r="R707" s="3"/>
      <c r="S707" s="3"/>
      <c r="T707" s="3"/>
      <c r="U707" s="3"/>
    </row>
    <row r="708">
      <c r="A708" s="70"/>
      <c r="B708" s="3"/>
      <c r="C708" s="3"/>
      <c r="D708" s="70"/>
      <c r="E708" s="70"/>
      <c r="F708" s="70"/>
      <c r="G708" s="70"/>
      <c r="H708" s="70"/>
      <c r="I708" s="70"/>
      <c r="J708" s="70"/>
      <c r="K708" s="70"/>
      <c r="M708" s="3"/>
      <c r="N708" s="3"/>
      <c r="O708" s="3"/>
      <c r="P708" s="3"/>
      <c r="R708" s="3"/>
      <c r="S708" s="3"/>
      <c r="T708" s="3"/>
      <c r="U708" s="3"/>
    </row>
    <row r="709">
      <c r="A709" s="70"/>
      <c r="B709" s="3"/>
      <c r="C709" s="3"/>
      <c r="D709" s="70"/>
      <c r="E709" s="70"/>
      <c r="F709" s="70"/>
      <c r="G709" s="70"/>
      <c r="H709" s="70"/>
      <c r="I709" s="70"/>
      <c r="J709" s="70"/>
      <c r="K709" s="70"/>
      <c r="M709" s="3"/>
      <c r="N709" s="3"/>
      <c r="O709" s="3"/>
      <c r="P709" s="3"/>
      <c r="R709" s="3"/>
      <c r="S709" s="3"/>
      <c r="T709" s="3"/>
      <c r="U709" s="3"/>
    </row>
    <row r="710">
      <c r="A710" s="70"/>
      <c r="B710" s="3"/>
      <c r="C710" s="3"/>
      <c r="D710" s="70"/>
      <c r="E710" s="70"/>
      <c r="F710" s="70"/>
      <c r="G710" s="70"/>
      <c r="H710" s="70"/>
      <c r="I710" s="70"/>
      <c r="J710" s="70"/>
      <c r="K710" s="70"/>
      <c r="M710" s="3"/>
      <c r="N710" s="3"/>
      <c r="O710" s="3"/>
      <c r="P710" s="3"/>
      <c r="R710" s="3"/>
      <c r="S710" s="3"/>
      <c r="T710" s="3"/>
      <c r="U710" s="3"/>
    </row>
    <row r="711">
      <c r="A711" s="70"/>
      <c r="B711" s="3"/>
      <c r="C711" s="3"/>
      <c r="D711" s="70"/>
      <c r="E711" s="70"/>
      <c r="F711" s="70"/>
      <c r="G711" s="70"/>
      <c r="H711" s="70"/>
      <c r="I711" s="70"/>
      <c r="J711" s="70"/>
      <c r="K711" s="70"/>
      <c r="M711" s="3"/>
      <c r="N711" s="3"/>
      <c r="O711" s="3"/>
      <c r="P711" s="3"/>
      <c r="R711" s="3"/>
      <c r="S711" s="3"/>
      <c r="T711" s="3"/>
      <c r="U711" s="3"/>
    </row>
    <row r="712">
      <c r="A712" s="70"/>
      <c r="B712" s="3"/>
      <c r="C712" s="3"/>
      <c r="D712" s="70"/>
      <c r="E712" s="70"/>
      <c r="F712" s="70"/>
      <c r="G712" s="70"/>
      <c r="H712" s="70"/>
      <c r="I712" s="70"/>
      <c r="J712" s="70"/>
      <c r="K712" s="70"/>
      <c r="M712" s="3"/>
      <c r="N712" s="3"/>
      <c r="O712" s="3"/>
      <c r="P712" s="3"/>
      <c r="R712" s="3"/>
      <c r="S712" s="3"/>
      <c r="T712" s="3"/>
      <c r="U712" s="3"/>
    </row>
    <row r="713">
      <c r="A713" s="70"/>
      <c r="B713" s="3"/>
      <c r="C713" s="3"/>
      <c r="D713" s="70"/>
      <c r="E713" s="70"/>
      <c r="F713" s="70"/>
      <c r="G713" s="70"/>
      <c r="H713" s="70"/>
      <c r="I713" s="70"/>
      <c r="J713" s="70"/>
      <c r="K713" s="70"/>
      <c r="M713" s="3"/>
      <c r="N713" s="3"/>
      <c r="O713" s="3"/>
      <c r="P713" s="3"/>
      <c r="R713" s="3"/>
      <c r="S713" s="3"/>
      <c r="T713" s="3"/>
      <c r="U713" s="3"/>
    </row>
    <row r="714">
      <c r="A714" s="70"/>
      <c r="B714" s="3"/>
      <c r="C714" s="3"/>
      <c r="D714" s="70"/>
      <c r="E714" s="70"/>
      <c r="F714" s="70"/>
      <c r="G714" s="70"/>
      <c r="H714" s="70"/>
      <c r="I714" s="70"/>
      <c r="J714" s="70"/>
      <c r="K714" s="70"/>
      <c r="M714" s="3"/>
      <c r="N714" s="3"/>
      <c r="O714" s="3"/>
      <c r="P714" s="3"/>
      <c r="R714" s="3"/>
      <c r="S714" s="3"/>
      <c r="T714" s="3"/>
      <c r="U714" s="3"/>
    </row>
    <row r="715">
      <c r="A715" s="70"/>
      <c r="B715" s="3"/>
      <c r="C715" s="3"/>
      <c r="D715" s="70"/>
      <c r="E715" s="70"/>
      <c r="F715" s="70"/>
      <c r="G715" s="70"/>
      <c r="H715" s="70"/>
      <c r="I715" s="70"/>
      <c r="J715" s="70"/>
      <c r="K715" s="70"/>
      <c r="M715" s="3"/>
      <c r="N715" s="3"/>
      <c r="O715" s="3"/>
      <c r="P715" s="3"/>
      <c r="R715" s="3"/>
      <c r="S715" s="3"/>
      <c r="T715" s="3"/>
      <c r="U715" s="3"/>
    </row>
    <row r="716">
      <c r="A716" s="70"/>
      <c r="B716" s="3"/>
      <c r="C716" s="3"/>
      <c r="D716" s="70"/>
      <c r="E716" s="70"/>
      <c r="F716" s="70"/>
      <c r="G716" s="70"/>
      <c r="H716" s="70"/>
      <c r="I716" s="70"/>
      <c r="J716" s="70"/>
      <c r="K716" s="70"/>
      <c r="M716" s="3"/>
      <c r="N716" s="3"/>
      <c r="O716" s="3"/>
      <c r="P716" s="3"/>
      <c r="R716" s="3"/>
      <c r="S716" s="3"/>
      <c r="T716" s="3"/>
      <c r="U716" s="3"/>
    </row>
    <row r="717">
      <c r="A717" s="70"/>
      <c r="B717" s="3"/>
      <c r="C717" s="3"/>
      <c r="D717" s="70"/>
      <c r="E717" s="70"/>
      <c r="F717" s="70"/>
      <c r="G717" s="70"/>
      <c r="H717" s="70"/>
      <c r="I717" s="70"/>
      <c r="J717" s="70"/>
      <c r="K717" s="70"/>
      <c r="M717" s="3"/>
      <c r="N717" s="3"/>
      <c r="O717" s="3"/>
      <c r="P717" s="3"/>
      <c r="R717" s="3"/>
      <c r="S717" s="3"/>
      <c r="T717" s="3"/>
      <c r="U717" s="3"/>
    </row>
    <row r="718">
      <c r="A718" s="70"/>
      <c r="B718" s="3"/>
      <c r="C718" s="3"/>
      <c r="D718" s="70"/>
      <c r="E718" s="70"/>
      <c r="F718" s="70"/>
      <c r="G718" s="70"/>
      <c r="H718" s="70"/>
      <c r="I718" s="70"/>
      <c r="J718" s="70"/>
      <c r="K718" s="70"/>
      <c r="M718" s="3"/>
      <c r="N718" s="3"/>
      <c r="O718" s="3"/>
      <c r="P718" s="3"/>
      <c r="R718" s="3"/>
      <c r="S718" s="3"/>
      <c r="T718" s="3"/>
      <c r="U718" s="3"/>
    </row>
    <row r="719">
      <c r="A719" s="70"/>
      <c r="B719" s="3"/>
      <c r="C719" s="3"/>
      <c r="D719" s="70"/>
      <c r="E719" s="70"/>
      <c r="F719" s="70"/>
      <c r="G719" s="70"/>
      <c r="H719" s="70"/>
      <c r="I719" s="70"/>
      <c r="J719" s="70"/>
      <c r="K719" s="70"/>
      <c r="M719" s="3"/>
      <c r="N719" s="3"/>
      <c r="O719" s="3"/>
      <c r="P719" s="3"/>
      <c r="R719" s="3"/>
      <c r="S719" s="3"/>
      <c r="T719" s="3"/>
      <c r="U719" s="3"/>
    </row>
    <row r="720">
      <c r="A720" s="70"/>
      <c r="B720" s="3"/>
      <c r="C720" s="3"/>
      <c r="D720" s="70"/>
      <c r="E720" s="70"/>
      <c r="F720" s="70"/>
      <c r="G720" s="70"/>
      <c r="H720" s="70"/>
      <c r="I720" s="70"/>
      <c r="J720" s="70"/>
      <c r="K720" s="70"/>
      <c r="M720" s="3"/>
      <c r="N720" s="3"/>
      <c r="O720" s="3"/>
      <c r="P720" s="3"/>
      <c r="R720" s="3"/>
      <c r="S720" s="3"/>
      <c r="T720" s="3"/>
      <c r="U720" s="3"/>
    </row>
    <row r="721">
      <c r="A721" s="70"/>
      <c r="B721" s="3"/>
      <c r="C721" s="3"/>
      <c r="D721" s="70"/>
      <c r="E721" s="70"/>
      <c r="F721" s="70"/>
      <c r="G721" s="70"/>
      <c r="H721" s="70"/>
      <c r="I721" s="70"/>
      <c r="J721" s="70"/>
      <c r="K721" s="70"/>
      <c r="M721" s="3"/>
      <c r="N721" s="3"/>
      <c r="O721" s="3"/>
      <c r="P721" s="3"/>
      <c r="R721" s="3"/>
      <c r="S721" s="3"/>
      <c r="T721" s="3"/>
      <c r="U721" s="3"/>
    </row>
    <row r="722">
      <c r="A722" s="70"/>
      <c r="B722" s="3"/>
      <c r="C722" s="3"/>
      <c r="D722" s="70"/>
      <c r="E722" s="70"/>
      <c r="F722" s="70"/>
      <c r="G722" s="70"/>
      <c r="H722" s="70"/>
      <c r="I722" s="70"/>
      <c r="J722" s="70"/>
      <c r="K722" s="70"/>
      <c r="M722" s="3"/>
      <c r="N722" s="3"/>
      <c r="O722" s="3"/>
      <c r="P722" s="3"/>
      <c r="R722" s="3"/>
      <c r="S722" s="3"/>
      <c r="T722" s="3"/>
      <c r="U722" s="3"/>
    </row>
    <row r="723">
      <c r="A723" s="70"/>
      <c r="B723" s="3"/>
      <c r="C723" s="3"/>
      <c r="D723" s="70"/>
      <c r="E723" s="70"/>
      <c r="F723" s="70"/>
      <c r="G723" s="70"/>
      <c r="H723" s="70"/>
      <c r="I723" s="70"/>
      <c r="J723" s="70"/>
      <c r="K723" s="70"/>
      <c r="M723" s="3"/>
      <c r="N723" s="3"/>
      <c r="O723" s="3"/>
      <c r="P723" s="3"/>
      <c r="R723" s="3"/>
      <c r="S723" s="3"/>
      <c r="T723" s="3"/>
      <c r="U723" s="3"/>
    </row>
    <row r="724">
      <c r="A724" s="70"/>
      <c r="B724" s="3"/>
      <c r="C724" s="3"/>
      <c r="D724" s="70"/>
      <c r="E724" s="70"/>
      <c r="F724" s="70"/>
      <c r="G724" s="70"/>
      <c r="H724" s="70"/>
      <c r="I724" s="70"/>
      <c r="J724" s="70"/>
      <c r="K724" s="70"/>
      <c r="M724" s="3"/>
      <c r="N724" s="3"/>
      <c r="O724" s="3"/>
      <c r="P724" s="3"/>
      <c r="R724" s="3"/>
      <c r="S724" s="3"/>
      <c r="T724" s="3"/>
      <c r="U724" s="3"/>
    </row>
    <row r="725">
      <c r="A725" s="70"/>
      <c r="B725" s="3"/>
      <c r="C725" s="3"/>
      <c r="D725" s="70"/>
      <c r="E725" s="70"/>
      <c r="F725" s="70"/>
      <c r="G725" s="70"/>
      <c r="H725" s="70"/>
      <c r="I725" s="70"/>
      <c r="J725" s="70"/>
      <c r="K725" s="70"/>
      <c r="M725" s="3"/>
      <c r="N725" s="3"/>
      <c r="O725" s="3"/>
      <c r="P725" s="3"/>
      <c r="R725" s="3"/>
      <c r="S725" s="3"/>
      <c r="T725" s="3"/>
      <c r="U725" s="3"/>
    </row>
    <row r="726">
      <c r="A726" s="70"/>
      <c r="B726" s="3"/>
      <c r="C726" s="3"/>
      <c r="D726" s="70"/>
      <c r="E726" s="70"/>
      <c r="F726" s="70"/>
      <c r="G726" s="70"/>
      <c r="H726" s="70"/>
      <c r="I726" s="70"/>
      <c r="J726" s="70"/>
      <c r="K726" s="70"/>
      <c r="M726" s="3"/>
      <c r="N726" s="3"/>
      <c r="O726" s="3"/>
      <c r="P726" s="3"/>
      <c r="R726" s="3"/>
      <c r="S726" s="3"/>
      <c r="T726" s="3"/>
      <c r="U726" s="3"/>
    </row>
    <row r="727">
      <c r="A727" s="70"/>
      <c r="B727" s="3"/>
      <c r="C727" s="3"/>
      <c r="D727" s="70"/>
      <c r="E727" s="70"/>
      <c r="F727" s="70"/>
      <c r="G727" s="70"/>
      <c r="H727" s="70"/>
      <c r="I727" s="70"/>
      <c r="J727" s="70"/>
      <c r="K727" s="70"/>
      <c r="M727" s="3"/>
      <c r="N727" s="3"/>
      <c r="O727" s="3"/>
      <c r="P727" s="3"/>
      <c r="R727" s="3"/>
      <c r="S727" s="3"/>
      <c r="T727" s="3"/>
      <c r="U727" s="3"/>
    </row>
    <row r="728">
      <c r="A728" s="70"/>
      <c r="B728" s="3"/>
      <c r="C728" s="3"/>
      <c r="D728" s="70"/>
      <c r="E728" s="70"/>
      <c r="F728" s="70"/>
      <c r="G728" s="70"/>
      <c r="H728" s="70"/>
      <c r="I728" s="70"/>
      <c r="J728" s="70"/>
      <c r="K728" s="70"/>
      <c r="M728" s="3"/>
      <c r="N728" s="3"/>
      <c r="O728" s="3"/>
      <c r="P728" s="3"/>
      <c r="R728" s="3"/>
      <c r="S728" s="3"/>
      <c r="T728" s="3"/>
      <c r="U728" s="3"/>
    </row>
    <row r="729">
      <c r="A729" s="70"/>
      <c r="B729" s="3"/>
      <c r="C729" s="3"/>
      <c r="D729" s="70"/>
      <c r="E729" s="70"/>
      <c r="F729" s="70"/>
      <c r="G729" s="70"/>
      <c r="H729" s="70"/>
      <c r="I729" s="70"/>
      <c r="J729" s="70"/>
      <c r="K729" s="70"/>
      <c r="M729" s="3"/>
      <c r="N729" s="3"/>
      <c r="O729" s="3"/>
      <c r="P729" s="3"/>
      <c r="R729" s="3"/>
      <c r="S729" s="3"/>
      <c r="T729" s="3"/>
      <c r="U729" s="3"/>
    </row>
    <row r="730">
      <c r="A730" s="70"/>
      <c r="B730" s="3"/>
      <c r="C730" s="3"/>
      <c r="D730" s="70"/>
      <c r="E730" s="70"/>
      <c r="F730" s="70"/>
      <c r="G730" s="70"/>
      <c r="H730" s="70"/>
      <c r="I730" s="70"/>
      <c r="J730" s="70"/>
      <c r="K730" s="70"/>
      <c r="M730" s="3"/>
      <c r="N730" s="3"/>
      <c r="O730" s="3"/>
      <c r="P730" s="3"/>
      <c r="R730" s="3"/>
      <c r="S730" s="3"/>
      <c r="T730" s="3"/>
      <c r="U730" s="3"/>
    </row>
    <row r="731">
      <c r="A731" s="70"/>
      <c r="B731" s="3"/>
      <c r="C731" s="3"/>
      <c r="D731" s="70"/>
      <c r="E731" s="70"/>
      <c r="F731" s="70"/>
      <c r="G731" s="70"/>
      <c r="H731" s="70"/>
      <c r="I731" s="70"/>
      <c r="J731" s="70"/>
      <c r="K731" s="70"/>
      <c r="M731" s="3"/>
      <c r="N731" s="3"/>
      <c r="O731" s="3"/>
      <c r="P731" s="3"/>
      <c r="R731" s="3"/>
      <c r="S731" s="3"/>
      <c r="T731" s="3"/>
      <c r="U731" s="3"/>
    </row>
    <row r="732">
      <c r="A732" s="70"/>
      <c r="B732" s="3"/>
      <c r="C732" s="3"/>
      <c r="D732" s="70"/>
      <c r="E732" s="70"/>
      <c r="F732" s="70"/>
      <c r="G732" s="70"/>
      <c r="H732" s="70"/>
      <c r="I732" s="70"/>
      <c r="J732" s="70"/>
      <c r="K732" s="70"/>
      <c r="M732" s="3"/>
      <c r="N732" s="3"/>
      <c r="O732" s="3"/>
      <c r="P732" s="3"/>
      <c r="R732" s="3"/>
      <c r="S732" s="3"/>
      <c r="T732" s="3"/>
      <c r="U732" s="3"/>
    </row>
    <row r="733">
      <c r="A733" s="70"/>
      <c r="B733" s="3"/>
      <c r="C733" s="3"/>
      <c r="D733" s="70"/>
      <c r="E733" s="70"/>
      <c r="F733" s="70"/>
      <c r="G733" s="70"/>
      <c r="H733" s="70"/>
      <c r="I733" s="70"/>
      <c r="J733" s="70"/>
      <c r="K733" s="70"/>
      <c r="M733" s="3"/>
      <c r="N733" s="3"/>
      <c r="O733" s="3"/>
      <c r="P733" s="3"/>
      <c r="R733" s="3"/>
      <c r="S733" s="3"/>
      <c r="T733" s="3"/>
      <c r="U733" s="3"/>
    </row>
    <row r="734">
      <c r="A734" s="70"/>
      <c r="B734" s="3"/>
      <c r="C734" s="3"/>
      <c r="D734" s="70"/>
      <c r="E734" s="70"/>
      <c r="F734" s="70"/>
      <c r="G734" s="70"/>
      <c r="H734" s="70"/>
      <c r="I734" s="70"/>
      <c r="J734" s="70"/>
      <c r="K734" s="70"/>
      <c r="M734" s="3"/>
      <c r="N734" s="3"/>
      <c r="O734" s="3"/>
      <c r="P734" s="3"/>
      <c r="R734" s="3"/>
      <c r="S734" s="3"/>
      <c r="T734" s="3"/>
      <c r="U734" s="3"/>
    </row>
    <row r="735">
      <c r="A735" s="70"/>
      <c r="B735" s="3"/>
      <c r="C735" s="3"/>
      <c r="D735" s="70"/>
      <c r="E735" s="70"/>
      <c r="F735" s="70"/>
      <c r="G735" s="70"/>
      <c r="H735" s="70"/>
      <c r="I735" s="70"/>
      <c r="J735" s="70"/>
      <c r="K735" s="70"/>
      <c r="M735" s="3"/>
      <c r="N735" s="3"/>
      <c r="O735" s="3"/>
      <c r="P735" s="3"/>
      <c r="R735" s="3"/>
      <c r="S735" s="3"/>
      <c r="T735" s="3"/>
      <c r="U735" s="3"/>
    </row>
    <row r="736">
      <c r="A736" s="70"/>
      <c r="B736" s="3"/>
      <c r="C736" s="3"/>
      <c r="D736" s="70"/>
      <c r="E736" s="70"/>
      <c r="F736" s="70"/>
      <c r="G736" s="70"/>
      <c r="H736" s="70"/>
      <c r="I736" s="70"/>
      <c r="J736" s="70"/>
      <c r="K736" s="70"/>
      <c r="M736" s="3"/>
      <c r="N736" s="3"/>
      <c r="O736" s="3"/>
      <c r="P736" s="3"/>
      <c r="R736" s="3"/>
      <c r="S736" s="3"/>
      <c r="T736" s="3"/>
      <c r="U736" s="3"/>
    </row>
    <row r="737">
      <c r="A737" s="70"/>
      <c r="B737" s="3"/>
      <c r="C737" s="3"/>
      <c r="D737" s="70"/>
      <c r="E737" s="70"/>
      <c r="F737" s="70"/>
      <c r="G737" s="70"/>
      <c r="H737" s="70"/>
      <c r="I737" s="70"/>
      <c r="J737" s="70"/>
      <c r="K737" s="70"/>
      <c r="M737" s="3"/>
      <c r="N737" s="3"/>
      <c r="O737" s="3"/>
      <c r="P737" s="3"/>
      <c r="R737" s="3"/>
      <c r="S737" s="3"/>
      <c r="T737" s="3"/>
      <c r="U737" s="3"/>
    </row>
    <row r="738">
      <c r="A738" s="70"/>
      <c r="B738" s="3"/>
      <c r="C738" s="3"/>
      <c r="D738" s="70"/>
      <c r="E738" s="70"/>
      <c r="F738" s="70"/>
      <c r="G738" s="70"/>
      <c r="H738" s="70"/>
      <c r="I738" s="70"/>
      <c r="J738" s="70"/>
      <c r="K738" s="70"/>
      <c r="M738" s="3"/>
      <c r="N738" s="3"/>
      <c r="O738" s="3"/>
      <c r="P738" s="3"/>
      <c r="R738" s="3"/>
      <c r="S738" s="3"/>
      <c r="T738" s="3"/>
      <c r="U738" s="3"/>
    </row>
    <row r="739">
      <c r="A739" s="70"/>
      <c r="B739" s="3"/>
      <c r="C739" s="3"/>
      <c r="D739" s="70"/>
      <c r="E739" s="70"/>
      <c r="F739" s="70"/>
      <c r="G739" s="70"/>
      <c r="H739" s="70"/>
      <c r="I739" s="70"/>
      <c r="J739" s="70"/>
      <c r="K739" s="70"/>
      <c r="M739" s="3"/>
      <c r="N739" s="3"/>
      <c r="O739" s="3"/>
      <c r="P739" s="3"/>
      <c r="R739" s="3"/>
      <c r="S739" s="3"/>
      <c r="T739" s="3"/>
      <c r="U739" s="3"/>
    </row>
    <row r="740">
      <c r="A740" s="70"/>
      <c r="B740" s="3"/>
      <c r="C740" s="3"/>
      <c r="D740" s="70"/>
      <c r="E740" s="70"/>
      <c r="F740" s="70"/>
      <c r="G740" s="70"/>
      <c r="H740" s="70"/>
      <c r="I740" s="70"/>
      <c r="J740" s="70"/>
      <c r="K740" s="70"/>
      <c r="M740" s="3"/>
      <c r="N740" s="3"/>
      <c r="O740" s="3"/>
      <c r="P740" s="3"/>
      <c r="R740" s="3"/>
      <c r="S740" s="3"/>
      <c r="T740" s="3"/>
      <c r="U740" s="3"/>
    </row>
    <row r="741">
      <c r="A741" s="70"/>
      <c r="B741" s="3"/>
      <c r="C741" s="3"/>
      <c r="D741" s="70"/>
      <c r="E741" s="70"/>
      <c r="F741" s="70"/>
      <c r="G741" s="70"/>
      <c r="H741" s="70"/>
      <c r="I741" s="70"/>
      <c r="J741" s="70"/>
      <c r="K741" s="70"/>
      <c r="M741" s="3"/>
      <c r="N741" s="3"/>
      <c r="O741" s="3"/>
      <c r="P741" s="3"/>
      <c r="R741" s="3"/>
      <c r="S741" s="3"/>
      <c r="T741" s="3"/>
      <c r="U741" s="3"/>
    </row>
    <row r="742">
      <c r="A742" s="70"/>
      <c r="B742" s="3"/>
      <c r="C742" s="3"/>
      <c r="D742" s="70"/>
      <c r="E742" s="70"/>
      <c r="F742" s="70"/>
      <c r="G742" s="70"/>
      <c r="H742" s="70"/>
      <c r="I742" s="70"/>
      <c r="J742" s="70"/>
      <c r="K742" s="70"/>
      <c r="M742" s="3"/>
      <c r="N742" s="3"/>
      <c r="O742" s="3"/>
      <c r="P742" s="3"/>
      <c r="R742" s="3"/>
      <c r="S742" s="3"/>
      <c r="T742" s="3"/>
      <c r="U742" s="3"/>
    </row>
    <row r="743">
      <c r="A743" s="70"/>
      <c r="B743" s="3"/>
      <c r="C743" s="3"/>
      <c r="D743" s="70"/>
      <c r="E743" s="70"/>
      <c r="F743" s="70"/>
      <c r="G743" s="70"/>
      <c r="H743" s="70"/>
      <c r="I743" s="70"/>
      <c r="J743" s="70"/>
      <c r="K743" s="70"/>
      <c r="M743" s="3"/>
      <c r="N743" s="3"/>
      <c r="O743" s="3"/>
      <c r="P743" s="3"/>
      <c r="R743" s="3"/>
      <c r="S743" s="3"/>
      <c r="T743" s="3"/>
      <c r="U743" s="3"/>
    </row>
    <row r="744">
      <c r="A744" s="70"/>
      <c r="B744" s="3"/>
      <c r="C744" s="3"/>
      <c r="D744" s="70"/>
      <c r="E744" s="70"/>
      <c r="F744" s="70"/>
      <c r="G744" s="70"/>
      <c r="H744" s="70"/>
      <c r="I744" s="70"/>
      <c r="J744" s="70"/>
      <c r="K744" s="70"/>
      <c r="M744" s="3"/>
      <c r="N744" s="3"/>
      <c r="O744" s="3"/>
      <c r="P744" s="3"/>
      <c r="R744" s="3"/>
      <c r="S744" s="3"/>
      <c r="T744" s="3"/>
      <c r="U744" s="3"/>
    </row>
    <row r="745">
      <c r="A745" s="70"/>
      <c r="B745" s="3"/>
      <c r="C745" s="3"/>
      <c r="D745" s="70"/>
      <c r="E745" s="70"/>
      <c r="F745" s="70"/>
      <c r="G745" s="70"/>
      <c r="H745" s="70"/>
      <c r="I745" s="70"/>
      <c r="J745" s="70"/>
      <c r="K745" s="70"/>
      <c r="M745" s="3"/>
      <c r="N745" s="3"/>
      <c r="O745" s="3"/>
      <c r="P745" s="3"/>
      <c r="R745" s="3"/>
      <c r="S745" s="3"/>
      <c r="T745" s="3"/>
      <c r="U745" s="3"/>
    </row>
    <row r="746">
      <c r="A746" s="70"/>
      <c r="B746" s="3"/>
      <c r="C746" s="3"/>
      <c r="D746" s="70"/>
      <c r="E746" s="70"/>
      <c r="F746" s="70"/>
      <c r="G746" s="70"/>
      <c r="H746" s="70"/>
      <c r="I746" s="70"/>
      <c r="J746" s="70"/>
      <c r="K746" s="70"/>
      <c r="M746" s="3"/>
      <c r="N746" s="3"/>
      <c r="O746" s="3"/>
      <c r="P746" s="3"/>
      <c r="R746" s="3"/>
      <c r="S746" s="3"/>
      <c r="T746" s="3"/>
      <c r="U746" s="3"/>
    </row>
    <row r="747">
      <c r="A747" s="70"/>
      <c r="B747" s="3"/>
      <c r="C747" s="3"/>
      <c r="D747" s="70"/>
      <c r="E747" s="70"/>
      <c r="F747" s="70"/>
      <c r="G747" s="70"/>
      <c r="H747" s="70"/>
      <c r="I747" s="70"/>
      <c r="J747" s="70"/>
      <c r="K747" s="70"/>
      <c r="M747" s="3"/>
      <c r="N747" s="3"/>
      <c r="O747" s="3"/>
      <c r="P747" s="3"/>
      <c r="R747" s="3"/>
      <c r="S747" s="3"/>
      <c r="T747" s="3"/>
      <c r="U747" s="3"/>
    </row>
    <row r="748">
      <c r="A748" s="70"/>
      <c r="B748" s="3"/>
      <c r="C748" s="3"/>
      <c r="D748" s="70"/>
      <c r="E748" s="70"/>
      <c r="F748" s="70"/>
      <c r="G748" s="70"/>
      <c r="H748" s="70"/>
      <c r="I748" s="70"/>
      <c r="J748" s="70"/>
      <c r="K748" s="70"/>
      <c r="M748" s="3"/>
      <c r="N748" s="3"/>
      <c r="O748" s="3"/>
      <c r="P748" s="3"/>
      <c r="R748" s="3"/>
      <c r="S748" s="3"/>
      <c r="T748" s="3"/>
      <c r="U748" s="3"/>
    </row>
    <row r="749">
      <c r="A749" s="70"/>
      <c r="B749" s="3"/>
      <c r="C749" s="3"/>
      <c r="D749" s="70"/>
      <c r="E749" s="70"/>
      <c r="F749" s="70"/>
      <c r="G749" s="70"/>
      <c r="H749" s="70"/>
      <c r="I749" s="70"/>
      <c r="J749" s="70"/>
      <c r="K749" s="70"/>
      <c r="M749" s="3"/>
      <c r="N749" s="3"/>
      <c r="O749" s="3"/>
      <c r="P749" s="3"/>
      <c r="R749" s="3"/>
      <c r="S749" s="3"/>
      <c r="T749" s="3"/>
      <c r="U749" s="3"/>
    </row>
    <row r="750">
      <c r="A750" s="70"/>
      <c r="B750" s="3"/>
      <c r="C750" s="3"/>
      <c r="D750" s="70"/>
      <c r="E750" s="70"/>
      <c r="F750" s="70"/>
      <c r="G750" s="70"/>
      <c r="H750" s="70"/>
      <c r="I750" s="70"/>
      <c r="J750" s="70"/>
      <c r="K750" s="70"/>
      <c r="M750" s="3"/>
      <c r="N750" s="3"/>
      <c r="O750" s="3"/>
      <c r="P750" s="3"/>
      <c r="R750" s="3"/>
      <c r="S750" s="3"/>
      <c r="T750" s="3"/>
      <c r="U750" s="3"/>
    </row>
    <row r="751">
      <c r="A751" s="70"/>
      <c r="B751" s="3"/>
      <c r="C751" s="3"/>
      <c r="D751" s="70"/>
      <c r="E751" s="70"/>
      <c r="F751" s="70"/>
      <c r="G751" s="70"/>
      <c r="H751" s="70"/>
      <c r="I751" s="70"/>
      <c r="J751" s="70"/>
      <c r="K751" s="70"/>
      <c r="M751" s="3"/>
      <c r="N751" s="3"/>
      <c r="O751" s="3"/>
      <c r="P751" s="3"/>
      <c r="R751" s="3"/>
      <c r="S751" s="3"/>
      <c r="T751" s="3"/>
      <c r="U751" s="3"/>
    </row>
    <row r="752">
      <c r="A752" s="70"/>
      <c r="B752" s="3"/>
      <c r="C752" s="3"/>
      <c r="D752" s="70"/>
      <c r="E752" s="70"/>
      <c r="F752" s="70"/>
      <c r="G752" s="70"/>
      <c r="H752" s="70"/>
      <c r="I752" s="70"/>
      <c r="J752" s="70"/>
      <c r="K752" s="70"/>
      <c r="M752" s="3"/>
      <c r="N752" s="3"/>
      <c r="O752" s="3"/>
      <c r="P752" s="3"/>
      <c r="R752" s="3"/>
      <c r="S752" s="3"/>
      <c r="T752" s="3"/>
      <c r="U752" s="3"/>
    </row>
    <row r="753">
      <c r="A753" s="70"/>
      <c r="B753" s="3"/>
      <c r="C753" s="3"/>
      <c r="D753" s="70"/>
      <c r="E753" s="70"/>
      <c r="F753" s="70"/>
      <c r="G753" s="70"/>
      <c r="H753" s="70"/>
      <c r="I753" s="70"/>
      <c r="J753" s="70"/>
      <c r="K753" s="70"/>
      <c r="M753" s="3"/>
      <c r="N753" s="3"/>
      <c r="O753" s="3"/>
      <c r="P753" s="3"/>
      <c r="R753" s="3"/>
      <c r="S753" s="3"/>
      <c r="T753" s="3"/>
      <c r="U753" s="3"/>
    </row>
    <row r="754">
      <c r="A754" s="70"/>
      <c r="B754" s="3"/>
      <c r="C754" s="3"/>
      <c r="D754" s="70"/>
      <c r="E754" s="70"/>
      <c r="F754" s="70"/>
      <c r="G754" s="70"/>
      <c r="H754" s="70"/>
      <c r="I754" s="70"/>
      <c r="J754" s="70"/>
      <c r="K754" s="70"/>
      <c r="M754" s="3"/>
      <c r="N754" s="3"/>
      <c r="O754" s="3"/>
      <c r="P754" s="3"/>
      <c r="R754" s="3"/>
      <c r="S754" s="3"/>
      <c r="T754" s="3"/>
      <c r="U754" s="3"/>
    </row>
    <row r="755">
      <c r="A755" s="70"/>
      <c r="B755" s="3"/>
      <c r="C755" s="3"/>
      <c r="D755" s="70"/>
      <c r="E755" s="70"/>
      <c r="F755" s="70"/>
      <c r="G755" s="70"/>
      <c r="H755" s="70"/>
      <c r="I755" s="70"/>
      <c r="J755" s="70"/>
      <c r="K755" s="70"/>
      <c r="M755" s="3"/>
      <c r="N755" s="3"/>
      <c r="O755" s="3"/>
      <c r="P755" s="3"/>
      <c r="R755" s="3"/>
      <c r="S755" s="3"/>
      <c r="T755" s="3"/>
      <c r="U755" s="3"/>
    </row>
    <row r="756">
      <c r="A756" s="70"/>
      <c r="B756" s="3"/>
      <c r="C756" s="3"/>
      <c r="D756" s="70"/>
      <c r="E756" s="70"/>
      <c r="F756" s="70"/>
      <c r="G756" s="70"/>
      <c r="H756" s="70"/>
      <c r="I756" s="70"/>
      <c r="J756" s="70"/>
      <c r="K756" s="70"/>
      <c r="M756" s="3"/>
      <c r="N756" s="3"/>
      <c r="O756" s="3"/>
      <c r="P756" s="3"/>
      <c r="R756" s="3"/>
      <c r="S756" s="3"/>
      <c r="T756" s="3"/>
      <c r="U756" s="3"/>
    </row>
    <row r="757">
      <c r="A757" s="70"/>
      <c r="B757" s="3"/>
      <c r="C757" s="3"/>
      <c r="D757" s="70"/>
      <c r="E757" s="70"/>
      <c r="F757" s="70"/>
      <c r="G757" s="70"/>
      <c r="H757" s="70"/>
      <c r="I757" s="70"/>
      <c r="J757" s="70"/>
      <c r="K757" s="70"/>
      <c r="M757" s="3"/>
      <c r="N757" s="3"/>
      <c r="O757" s="3"/>
      <c r="P757" s="3"/>
      <c r="R757" s="3"/>
      <c r="S757" s="3"/>
      <c r="T757" s="3"/>
      <c r="U757" s="3"/>
    </row>
    <row r="758">
      <c r="A758" s="70"/>
      <c r="B758" s="3"/>
      <c r="C758" s="3"/>
      <c r="D758" s="70"/>
      <c r="E758" s="70"/>
      <c r="F758" s="70"/>
      <c r="G758" s="70"/>
      <c r="H758" s="70"/>
      <c r="I758" s="70"/>
      <c r="J758" s="70"/>
      <c r="K758" s="70"/>
      <c r="M758" s="3"/>
      <c r="N758" s="3"/>
      <c r="O758" s="3"/>
      <c r="P758" s="3"/>
      <c r="R758" s="3"/>
      <c r="S758" s="3"/>
      <c r="T758" s="3"/>
      <c r="U758" s="3"/>
    </row>
    <row r="759">
      <c r="A759" s="70"/>
      <c r="B759" s="3"/>
      <c r="C759" s="3"/>
      <c r="D759" s="70"/>
      <c r="E759" s="70"/>
      <c r="F759" s="70"/>
      <c r="G759" s="70"/>
      <c r="H759" s="70"/>
      <c r="I759" s="70"/>
      <c r="J759" s="70"/>
      <c r="K759" s="70"/>
      <c r="M759" s="3"/>
      <c r="N759" s="3"/>
      <c r="O759" s="3"/>
      <c r="P759" s="3"/>
      <c r="R759" s="3"/>
      <c r="S759" s="3"/>
      <c r="T759" s="3"/>
      <c r="U759" s="3"/>
    </row>
    <row r="760">
      <c r="A760" s="70"/>
      <c r="B760" s="3"/>
      <c r="C760" s="3"/>
      <c r="D760" s="70"/>
      <c r="E760" s="70"/>
      <c r="F760" s="70"/>
      <c r="G760" s="70"/>
      <c r="H760" s="70"/>
      <c r="I760" s="70"/>
      <c r="J760" s="70"/>
      <c r="K760" s="70"/>
      <c r="M760" s="3"/>
      <c r="N760" s="3"/>
      <c r="O760" s="3"/>
      <c r="P760" s="3"/>
      <c r="R760" s="3"/>
      <c r="S760" s="3"/>
      <c r="T760" s="3"/>
      <c r="U760" s="3"/>
    </row>
    <row r="761">
      <c r="A761" s="70"/>
      <c r="B761" s="3"/>
      <c r="C761" s="3"/>
      <c r="D761" s="70"/>
      <c r="E761" s="70"/>
      <c r="F761" s="70"/>
      <c r="G761" s="70"/>
      <c r="H761" s="70"/>
      <c r="I761" s="70"/>
      <c r="J761" s="70"/>
      <c r="K761" s="70"/>
      <c r="M761" s="3"/>
      <c r="N761" s="3"/>
      <c r="O761" s="3"/>
      <c r="P761" s="3"/>
      <c r="R761" s="3"/>
      <c r="S761" s="3"/>
      <c r="T761" s="3"/>
      <c r="U761" s="3"/>
    </row>
    <row r="762">
      <c r="A762" s="70"/>
      <c r="B762" s="3"/>
      <c r="C762" s="3"/>
      <c r="D762" s="70"/>
      <c r="E762" s="70"/>
      <c r="F762" s="70"/>
      <c r="G762" s="70"/>
      <c r="H762" s="70"/>
      <c r="I762" s="70"/>
      <c r="J762" s="70"/>
      <c r="K762" s="70"/>
      <c r="M762" s="3"/>
      <c r="N762" s="3"/>
      <c r="O762" s="3"/>
      <c r="P762" s="3"/>
      <c r="R762" s="3"/>
      <c r="S762" s="3"/>
      <c r="T762" s="3"/>
      <c r="U762" s="3"/>
    </row>
    <row r="763">
      <c r="A763" s="70"/>
      <c r="B763" s="3"/>
      <c r="C763" s="3"/>
      <c r="D763" s="70"/>
      <c r="E763" s="70"/>
      <c r="F763" s="70"/>
      <c r="G763" s="70"/>
      <c r="H763" s="70"/>
      <c r="I763" s="70"/>
      <c r="J763" s="70"/>
      <c r="K763" s="70"/>
      <c r="M763" s="3"/>
      <c r="N763" s="3"/>
      <c r="O763" s="3"/>
      <c r="P763" s="3"/>
      <c r="R763" s="3"/>
      <c r="S763" s="3"/>
      <c r="T763" s="3"/>
      <c r="U763" s="3"/>
    </row>
    <row r="764">
      <c r="A764" s="70"/>
      <c r="B764" s="3"/>
      <c r="C764" s="3"/>
      <c r="D764" s="70"/>
      <c r="E764" s="70"/>
      <c r="F764" s="70"/>
      <c r="G764" s="70"/>
      <c r="H764" s="70"/>
      <c r="I764" s="70"/>
      <c r="J764" s="70"/>
      <c r="K764" s="70"/>
      <c r="M764" s="3"/>
      <c r="N764" s="3"/>
      <c r="O764" s="3"/>
      <c r="P764" s="3"/>
      <c r="R764" s="3"/>
      <c r="S764" s="3"/>
      <c r="T764" s="3"/>
      <c r="U764" s="3"/>
    </row>
    <row r="765">
      <c r="A765" s="70"/>
      <c r="B765" s="3"/>
      <c r="C765" s="3"/>
      <c r="D765" s="70"/>
      <c r="E765" s="70"/>
      <c r="F765" s="70"/>
      <c r="G765" s="70"/>
      <c r="H765" s="70"/>
      <c r="I765" s="70"/>
      <c r="J765" s="70"/>
      <c r="K765" s="70"/>
      <c r="M765" s="3"/>
      <c r="N765" s="3"/>
      <c r="O765" s="3"/>
      <c r="P765" s="3"/>
      <c r="R765" s="3"/>
      <c r="S765" s="3"/>
      <c r="T765" s="3"/>
      <c r="U765" s="3"/>
    </row>
    <row r="766">
      <c r="A766" s="70"/>
      <c r="B766" s="3"/>
      <c r="C766" s="3"/>
      <c r="D766" s="70"/>
      <c r="E766" s="70"/>
      <c r="F766" s="70"/>
      <c r="G766" s="70"/>
      <c r="H766" s="70"/>
      <c r="I766" s="70"/>
      <c r="J766" s="70"/>
      <c r="K766" s="70"/>
      <c r="M766" s="3"/>
      <c r="N766" s="3"/>
      <c r="O766" s="3"/>
      <c r="P766" s="3"/>
      <c r="R766" s="3"/>
      <c r="S766" s="3"/>
      <c r="T766" s="3"/>
      <c r="U766" s="3"/>
    </row>
    <row r="767">
      <c r="A767" s="70"/>
      <c r="B767" s="3"/>
      <c r="C767" s="3"/>
      <c r="D767" s="70"/>
      <c r="E767" s="70"/>
      <c r="F767" s="70"/>
      <c r="G767" s="70"/>
      <c r="H767" s="70"/>
      <c r="I767" s="70"/>
      <c r="J767" s="70"/>
      <c r="K767" s="70"/>
      <c r="M767" s="3"/>
      <c r="N767" s="3"/>
      <c r="O767" s="3"/>
      <c r="P767" s="3"/>
      <c r="R767" s="3"/>
      <c r="S767" s="3"/>
      <c r="T767" s="3"/>
      <c r="U767" s="3"/>
    </row>
    <row r="768">
      <c r="A768" s="70"/>
      <c r="B768" s="3"/>
      <c r="C768" s="3"/>
      <c r="D768" s="70"/>
      <c r="E768" s="70"/>
      <c r="F768" s="70"/>
      <c r="G768" s="70"/>
      <c r="H768" s="70"/>
      <c r="I768" s="70"/>
      <c r="J768" s="70"/>
      <c r="K768" s="70"/>
      <c r="M768" s="3"/>
      <c r="N768" s="3"/>
      <c r="O768" s="3"/>
      <c r="P768" s="3"/>
      <c r="R768" s="3"/>
      <c r="S768" s="3"/>
      <c r="T768" s="3"/>
      <c r="U768" s="3"/>
    </row>
    <row r="769">
      <c r="A769" s="70"/>
      <c r="B769" s="3"/>
      <c r="C769" s="3"/>
      <c r="D769" s="70"/>
      <c r="E769" s="70"/>
      <c r="F769" s="70"/>
      <c r="G769" s="70"/>
      <c r="H769" s="70"/>
      <c r="I769" s="70"/>
      <c r="J769" s="70"/>
      <c r="K769" s="70"/>
      <c r="M769" s="3"/>
      <c r="N769" s="3"/>
      <c r="O769" s="3"/>
      <c r="P769" s="3"/>
      <c r="R769" s="3"/>
      <c r="S769" s="3"/>
      <c r="T769" s="3"/>
      <c r="U769" s="3"/>
    </row>
    <row r="770">
      <c r="A770" s="70"/>
      <c r="B770" s="3"/>
      <c r="C770" s="3"/>
      <c r="D770" s="70"/>
      <c r="E770" s="70"/>
      <c r="F770" s="70"/>
      <c r="G770" s="70"/>
      <c r="H770" s="70"/>
      <c r="I770" s="70"/>
      <c r="J770" s="70"/>
      <c r="K770" s="70"/>
      <c r="M770" s="3"/>
      <c r="N770" s="3"/>
      <c r="O770" s="3"/>
      <c r="P770" s="3"/>
      <c r="R770" s="3"/>
      <c r="S770" s="3"/>
      <c r="T770" s="3"/>
      <c r="U770" s="3"/>
    </row>
    <row r="771">
      <c r="A771" s="70"/>
      <c r="B771" s="3"/>
      <c r="C771" s="3"/>
      <c r="D771" s="70"/>
      <c r="E771" s="70"/>
      <c r="F771" s="70"/>
      <c r="G771" s="70"/>
      <c r="H771" s="70"/>
      <c r="I771" s="70"/>
      <c r="J771" s="70"/>
      <c r="K771" s="70"/>
      <c r="M771" s="3"/>
      <c r="N771" s="3"/>
      <c r="O771" s="3"/>
      <c r="P771" s="3"/>
      <c r="R771" s="3"/>
      <c r="S771" s="3"/>
      <c r="T771" s="3"/>
      <c r="U771" s="3"/>
    </row>
    <row r="772">
      <c r="A772" s="70"/>
      <c r="B772" s="3"/>
      <c r="C772" s="3"/>
      <c r="D772" s="70"/>
      <c r="E772" s="70"/>
      <c r="F772" s="70"/>
      <c r="G772" s="70"/>
      <c r="H772" s="70"/>
      <c r="I772" s="70"/>
      <c r="J772" s="70"/>
      <c r="K772" s="70"/>
      <c r="M772" s="3"/>
      <c r="N772" s="3"/>
      <c r="O772" s="3"/>
      <c r="P772" s="3"/>
      <c r="R772" s="3"/>
      <c r="S772" s="3"/>
      <c r="T772" s="3"/>
      <c r="U772" s="3"/>
    </row>
    <row r="773">
      <c r="A773" s="70"/>
      <c r="B773" s="3"/>
      <c r="C773" s="3"/>
      <c r="D773" s="70"/>
      <c r="E773" s="70"/>
      <c r="F773" s="70"/>
      <c r="G773" s="70"/>
      <c r="H773" s="70"/>
      <c r="I773" s="70"/>
      <c r="J773" s="70"/>
      <c r="K773" s="70"/>
      <c r="M773" s="3"/>
      <c r="N773" s="3"/>
      <c r="O773" s="3"/>
      <c r="P773" s="3"/>
      <c r="R773" s="3"/>
      <c r="S773" s="3"/>
      <c r="T773" s="3"/>
      <c r="U773" s="3"/>
    </row>
    <row r="774">
      <c r="A774" s="70"/>
      <c r="B774" s="3"/>
      <c r="C774" s="3"/>
      <c r="D774" s="70"/>
      <c r="E774" s="70"/>
      <c r="F774" s="70"/>
      <c r="G774" s="70"/>
      <c r="H774" s="70"/>
      <c r="I774" s="70"/>
      <c r="J774" s="70"/>
      <c r="K774" s="70"/>
      <c r="M774" s="3"/>
      <c r="N774" s="3"/>
      <c r="O774" s="3"/>
      <c r="P774" s="3"/>
      <c r="R774" s="3"/>
      <c r="S774" s="3"/>
      <c r="T774" s="3"/>
      <c r="U774" s="3"/>
    </row>
    <row r="775">
      <c r="A775" s="70"/>
      <c r="B775" s="3"/>
      <c r="C775" s="3"/>
      <c r="D775" s="70"/>
      <c r="E775" s="70"/>
      <c r="F775" s="70"/>
      <c r="G775" s="70"/>
      <c r="H775" s="70"/>
      <c r="I775" s="70"/>
      <c r="J775" s="70"/>
      <c r="K775" s="70"/>
      <c r="M775" s="3"/>
      <c r="N775" s="3"/>
      <c r="O775" s="3"/>
      <c r="P775" s="3"/>
      <c r="R775" s="3"/>
      <c r="S775" s="3"/>
      <c r="T775" s="3"/>
      <c r="U775" s="3"/>
    </row>
    <row r="776">
      <c r="A776" s="70"/>
      <c r="B776" s="3"/>
      <c r="C776" s="3"/>
      <c r="D776" s="70"/>
      <c r="E776" s="70"/>
      <c r="F776" s="70"/>
      <c r="G776" s="70"/>
      <c r="H776" s="70"/>
      <c r="I776" s="70"/>
      <c r="J776" s="70"/>
      <c r="K776" s="70"/>
      <c r="M776" s="3"/>
      <c r="N776" s="3"/>
      <c r="O776" s="3"/>
      <c r="P776" s="3"/>
      <c r="R776" s="3"/>
      <c r="S776" s="3"/>
      <c r="T776" s="3"/>
      <c r="U776" s="3"/>
    </row>
    <row r="777">
      <c r="A777" s="70"/>
      <c r="B777" s="3"/>
      <c r="C777" s="3"/>
      <c r="D777" s="70"/>
      <c r="E777" s="70"/>
      <c r="F777" s="70"/>
      <c r="G777" s="70"/>
      <c r="H777" s="70"/>
      <c r="I777" s="70"/>
      <c r="J777" s="70"/>
      <c r="K777" s="70"/>
      <c r="M777" s="3"/>
      <c r="N777" s="3"/>
      <c r="O777" s="3"/>
      <c r="P777" s="3"/>
      <c r="R777" s="3"/>
      <c r="S777" s="3"/>
      <c r="T777" s="3"/>
      <c r="U777" s="3"/>
    </row>
    <row r="778">
      <c r="A778" s="70"/>
      <c r="B778" s="3"/>
      <c r="C778" s="3"/>
      <c r="D778" s="70"/>
      <c r="E778" s="70"/>
      <c r="F778" s="70"/>
      <c r="G778" s="70"/>
      <c r="H778" s="70"/>
      <c r="I778" s="70"/>
      <c r="J778" s="70"/>
      <c r="K778" s="70"/>
      <c r="M778" s="3"/>
      <c r="N778" s="3"/>
      <c r="O778" s="3"/>
      <c r="P778" s="3"/>
      <c r="R778" s="3"/>
      <c r="S778" s="3"/>
      <c r="T778" s="3"/>
      <c r="U778" s="3"/>
    </row>
    <row r="779">
      <c r="A779" s="70"/>
      <c r="B779" s="3"/>
      <c r="C779" s="3"/>
      <c r="D779" s="70"/>
      <c r="E779" s="70"/>
      <c r="F779" s="70"/>
      <c r="G779" s="70"/>
      <c r="H779" s="70"/>
      <c r="I779" s="70"/>
      <c r="J779" s="70"/>
      <c r="K779" s="70"/>
      <c r="M779" s="3"/>
      <c r="N779" s="3"/>
      <c r="O779" s="3"/>
      <c r="P779" s="3"/>
      <c r="R779" s="3"/>
      <c r="S779" s="3"/>
      <c r="T779" s="3"/>
      <c r="U779" s="3"/>
    </row>
    <row r="780">
      <c r="A780" s="70"/>
      <c r="B780" s="3"/>
      <c r="C780" s="3"/>
      <c r="D780" s="70"/>
      <c r="E780" s="70"/>
      <c r="F780" s="70"/>
      <c r="G780" s="70"/>
      <c r="H780" s="70"/>
      <c r="I780" s="70"/>
      <c r="J780" s="70"/>
      <c r="K780" s="70"/>
      <c r="M780" s="3"/>
      <c r="N780" s="3"/>
      <c r="O780" s="3"/>
      <c r="P780" s="3"/>
      <c r="R780" s="3"/>
      <c r="S780" s="3"/>
      <c r="T780" s="3"/>
      <c r="U780" s="3"/>
    </row>
    <row r="781">
      <c r="A781" s="70"/>
      <c r="B781" s="3"/>
      <c r="C781" s="3"/>
      <c r="D781" s="70"/>
      <c r="E781" s="70"/>
      <c r="F781" s="70"/>
      <c r="G781" s="70"/>
      <c r="H781" s="70"/>
      <c r="I781" s="70"/>
      <c r="J781" s="70"/>
      <c r="K781" s="70"/>
      <c r="M781" s="3"/>
      <c r="N781" s="3"/>
      <c r="O781" s="3"/>
      <c r="P781" s="3"/>
      <c r="R781" s="3"/>
      <c r="S781" s="3"/>
      <c r="T781" s="3"/>
      <c r="U781" s="3"/>
    </row>
    <row r="782">
      <c r="A782" s="70"/>
      <c r="B782" s="3"/>
      <c r="C782" s="3"/>
      <c r="D782" s="70"/>
      <c r="E782" s="70"/>
      <c r="F782" s="70"/>
      <c r="G782" s="70"/>
      <c r="H782" s="70"/>
      <c r="I782" s="70"/>
      <c r="J782" s="70"/>
      <c r="K782" s="70"/>
      <c r="M782" s="3"/>
      <c r="N782" s="3"/>
      <c r="O782" s="3"/>
      <c r="P782" s="3"/>
      <c r="R782" s="3"/>
      <c r="S782" s="3"/>
      <c r="T782" s="3"/>
      <c r="U782" s="3"/>
    </row>
    <row r="783">
      <c r="A783" s="70"/>
      <c r="B783" s="3"/>
      <c r="C783" s="3"/>
      <c r="D783" s="70"/>
      <c r="E783" s="70"/>
      <c r="F783" s="70"/>
      <c r="G783" s="70"/>
      <c r="H783" s="70"/>
      <c r="I783" s="70"/>
      <c r="J783" s="70"/>
      <c r="K783" s="70"/>
      <c r="M783" s="3"/>
      <c r="N783" s="3"/>
      <c r="O783" s="3"/>
      <c r="P783" s="3"/>
      <c r="R783" s="3"/>
      <c r="S783" s="3"/>
      <c r="T783" s="3"/>
      <c r="U783" s="3"/>
    </row>
    <row r="784">
      <c r="A784" s="70"/>
      <c r="B784" s="3"/>
      <c r="C784" s="3"/>
      <c r="D784" s="70"/>
      <c r="E784" s="70"/>
      <c r="F784" s="70"/>
      <c r="G784" s="70"/>
      <c r="H784" s="70"/>
      <c r="I784" s="70"/>
      <c r="J784" s="70"/>
      <c r="K784" s="70"/>
      <c r="M784" s="3"/>
      <c r="N784" s="3"/>
      <c r="O784" s="3"/>
      <c r="P784" s="3"/>
      <c r="R784" s="3"/>
      <c r="S784" s="3"/>
      <c r="T784" s="3"/>
      <c r="U784" s="3"/>
    </row>
    <row r="785">
      <c r="A785" s="70"/>
      <c r="B785" s="3"/>
      <c r="C785" s="3"/>
      <c r="D785" s="70"/>
      <c r="E785" s="70"/>
      <c r="F785" s="70"/>
      <c r="G785" s="70"/>
      <c r="H785" s="70"/>
      <c r="I785" s="70"/>
      <c r="J785" s="70"/>
      <c r="K785" s="70"/>
      <c r="M785" s="3"/>
      <c r="N785" s="3"/>
      <c r="O785" s="3"/>
      <c r="P785" s="3"/>
      <c r="R785" s="3"/>
      <c r="S785" s="3"/>
      <c r="T785" s="3"/>
      <c r="U785" s="3"/>
    </row>
    <row r="786">
      <c r="A786" s="70"/>
      <c r="B786" s="3"/>
      <c r="C786" s="3"/>
      <c r="D786" s="70"/>
      <c r="E786" s="70"/>
      <c r="F786" s="70"/>
      <c r="G786" s="70"/>
      <c r="H786" s="70"/>
      <c r="I786" s="70"/>
      <c r="J786" s="70"/>
      <c r="K786" s="70"/>
      <c r="M786" s="3"/>
      <c r="N786" s="3"/>
      <c r="O786" s="3"/>
      <c r="P786" s="3"/>
      <c r="R786" s="3"/>
      <c r="S786" s="3"/>
      <c r="T786" s="3"/>
      <c r="U786" s="3"/>
    </row>
    <row r="787">
      <c r="A787" s="70"/>
      <c r="B787" s="3"/>
      <c r="C787" s="3"/>
      <c r="D787" s="70"/>
      <c r="E787" s="70"/>
      <c r="F787" s="70"/>
      <c r="G787" s="70"/>
      <c r="H787" s="70"/>
      <c r="I787" s="70"/>
      <c r="J787" s="70"/>
      <c r="K787" s="70"/>
      <c r="M787" s="3"/>
      <c r="N787" s="3"/>
      <c r="O787" s="3"/>
      <c r="P787" s="3"/>
      <c r="R787" s="3"/>
      <c r="S787" s="3"/>
      <c r="T787" s="3"/>
      <c r="U787" s="3"/>
    </row>
    <row r="788">
      <c r="A788" s="70"/>
      <c r="B788" s="3"/>
      <c r="C788" s="3"/>
      <c r="D788" s="70"/>
      <c r="E788" s="70"/>
      <c r="F788" s="70"/>
      <c r="G788" s="70"/>
      <c r="H788" s="70"/>
      <c r="I788" s="70"/>
      <c r="J788" s="70"/>
      <c r="K788" s="70"/>
      <c r="M788" s="3"/>
      <c r="N788" s="3"/>
      <c r="O788" s="3"/>
      <c r="P788" s="3"/>
      <c r="R788" s="3"/>
      <c r="S788" s="3"/>
      <c r="T788" s="3"/>
      <c r="U788" s="3"/>
    </row>
    <row r="789">
      <c r="A789" s="70"/>
      <c r="B789" s="3"/>
      <c r="C789" s="3"/>
      <c r="D789" s="70"/>
      <c r="E789" s="70"/>
      <c r="F789" s="70"/>
      <c r="G789" s="70"/>
      <c r="H789" s="70"/>
      <c r="I789" s="70"/>
      <c r="J789" s="70"/>
      <c r="K789" s="70"/>
      <c r="M789" s="3"/>
      <c r="N789" s="3"/>
      <c r="O789" s="3"/>
      <c r="P789" s="3"/>
      <c r="R789" s="3"/>
      <c r="S789" s="3"/>
      <c r="T789" s="3"/>
      <c r="U789" s="3"/>
    </row>
    <row r="790">
      <c r="A790" s="70"/>
      <c r="B790" s="3"/>
      <c r="C790" s="3"/>
      <c r="D790" s="70"/>
      <c r="E790" s="70"/>
      <c r="F790" s="70"/>
      <c r="G790" s="70"/>
      <c r="H790" s="70"/>
      <c r="I790" s="70"/>
      <c r="J790" s="70"/>
      <c r="K790" s="70"/>
      <c r="M790" s="3"/>
      <c r="N790" s="3"/>
      <c r="O790" s="3"/>
      <c r="P790" s="3"/>
      <c r="R790" s="3"/>
      <c r="S790" s="3"/>
      <c r="T790" s="3"/>
      <c r="U790" s="3"/>
    </row>
    <row r="791">
      <c r="A791" s="70"/>
      <c r="B791" s="3"/>
      <c r="C791" s="3"/>
      <c r="D791" s="70"/>
      <c r="E791" s="70"/>
      <c r="F791" s="70"/>
      <c r="G791" s="70"/>
      <c r="H791" s="70"/>
      <c r="I791" s="70"/>
      <c r="J791" s="70"/>
      <c r="K791" s="70"/>
      <c r="M791" s="3"/>
      <c r="N791" s="3"/>
      <c r="O791" s="3"/>
      <c r="P791" s="3"/>
      <c r="R791" s="3"/>
      <c r="S791" s="3"/>
      <c r="T791" s="3"/>
      <c r="U791" s="3"/>
    </row>
    <row r="792">
      <c r="A792" s="70"/>
      <c r="B792" s="3"/>
      <c r="C792" s="3"/>
      <c r="D792" s="70"/>
      <c r="E792" s="70"/>
      <c r="F792" s="70"/>
      <c r="G792" s="70"/>
      <c r="H792" s="70"/>
      <c r="I792" s="70"/>
      <c r="J792" s="70"/>
      <c r="K792" s="70"/>
      <c r="M792" s="3"/>
      <c r="N792" s="3"/>
      <c r="O792" s="3"/>
      <c r="P792" s="3"/>
      <c r="R792" s="3"/>
      <c r="S792" s="3"/>
      <c r="T792" s="3"/>
      <c r="U792" s="3"/>
    </row>
    <row r="793">
      <c r="A793" s="70"/>
      <c r="B793" s="3"/>
      <c r="C793" s="3"/>
      <c r="D793" s="70"/>
      <c r="E793" s="70"/>
      <c r="F793" s="70"/>
      <c r="G793" s="70"/>
      <c r="H793" s="70"/>
      <c r="I793" s="70"/>
      <c r="J793" s="70"/>
      <c r="K793" s="70"/>
      <c r="M793" s="3"/>
      <c r="N793" s="3"/>
      <c r="O793" s="3"/>
      <c r="P793" s="3"/>
      <c r="R793" s="3"/>
      <c r="S793" s="3"/>
      <c r="T793" s="3"/>
      <c r="U793" s="3"/>
    </row>
    <row r="794">
      <c r="A794" s="70"/>
      <c r="B794" s="3"/>
      <c r="C794" s="3"/>
      <c r="D794" s="70"/>
      <c r="E794" s="70"/>
      <c r="F794" s="70"/>
      <c r="G794" s="70"/>
      <c r="H794" s="70"/>
      <c r="I794" s="70"/>
      <c r="J794" s="70"/>
      <c r="K794" s="70"/>
      <c r="M794" s="3"/>
      <c r="N794" s="3"/>
      <c r="O794" s="3"/>
      <c r="P794" s="3"/>
      <c r="R794" s="3"/>
      <c r="S794" s="3"/>
      <c r="T794" s="3"/>
      <c r="U794" s="3"/>
    </row>
    <row r="795">
      <c r="A795" s="70"/>
      <c r="B795" s="3"/>
      <c r="C795" s="3"/>
      <c r="D795" s="70"/>
      <c r="E795" s="70"/>
      <c r="F795" s="70"/>
      <c r="G795" s="70"/>
      <c r="H795" s="70"/>
      <c r="I795" s="70"/>
      <c r="J795" s="70"/>
      <c r="K795" s="70"/>
      <c r="M795" s="3"/>
      <c r="N795" s="3"/>
      <c r="O795" s="3"/>
      <c r="P795" s="3"/>
      <c r="R795" s="3"/>
      <c r="S795" s="3"/>
      <c r="T795" s="3"/>
      <c r="U795" s="3"/>
    </row>
    <row r="796">
      <c r="A796" s="70"/>
      <c r="B796" s="3"/>
      <c r="C796" s="3"/>
      <c r="D796" s="70"/>
      <c r="E796" s="70"/>
      <c r="F796" s="70"/>
      <c r="G796" s="70"/>
      <c r="H796" s="70"/>
      <c r="I796" s="70"/>
      <c r="J796" s="70"/>
      <c r="K796" s="70"/>
      <c r="M796" s="3"/>
      <c r="N796" s="3"/>
      <c r="O796" s="3"/>
      <c r="P796" s="3"/>
      <c r="R796" s="3"/>
      <c r="S796" s="3"/>
      <c r="T796" s="3"/>
      <c r="U796" s="3"/>
    </row>
    <row r="797">
      <c r="A797" s="70"/>
      <c r="B797" s="3"/>
      <c r="C797" s="3"/>
      <c r="D797" s="70"/>
      <c r="E797" s="70"/>
      <c r="F797" s="70"/>
      <c r="G797" s="70"/>
      <c r="H797" s="70"/>
      <c r="I797" s="70"/>
      <c r="J797" s="70"/>
      <c r="K797" s="70"/>
      <c r="M797" s="3"/>
      <c r="N797" s="3"/>
      <c r="O797" s="3"/>
      <c r="P797" s="3"/>
      <c r="R797" s="3"/>
      <c r="S797" s="3"/>
      <c r="T797" s="3"/>
      <c r="U797" s="3"/>
    </row>
    <row r="798">
      <c r="A798" s="70"/>
      <c r="B798" s="3"/>
      <c r="C798" s="3"/>
      <c r="D798" s="70"/>
      <c r="E798" s="70"/>
      <c r="F798" s="70"/>
      <c r="G798" s="70"/>
      <c r="H798" s="70"/>
      <c r="I798" s="70"/>
      <c r="J798" s="70"/>
      <c r="K798" s="70"/>
      <c r="M798" s="3"/>
      <c r="N798" s="3"/>
      <c r="O798" s="3"/>
      <c r="P798" s="3"/>
      <c r="R798" s="3"/>
      <c r="S798" s="3"/>
      <c r="T798" s="3"/>
      <c r="U798" s="3"/>
    </row>
    <row r="799">
      <c r="A799" s="70"/>
      <c r="B799" s="3"/>
      <c r="C799" s="3"/>
      <c r="D799" s="70"/>
      <c r="E799" s="70"/>
      <c r="F799" s="70"/>
      <c r="G799" s="70"/>
      <c r="H799" s="70"/>
      <c r="I799" s="70"/>
      <c r="J799" s="70"/>
      <c r="K799" s="70"/>
      <c r="M799" s="3"/>
      <c r="N799" s="3"/>
      <c r="O799" s="3"/>
      <c r="P799" s="3"/>
      <c r="R799" s="3"/>
      <c r="S799" s="3"/>
      <c r="T799" s="3"/>
      <c r="U799" s="3"/>
    </row>
    <row r="800">
      <c r="A800" s="70"/>
      <c r="B800" s="3"/>
      <c r="C800" s="3"/>
      <c r="D800" s="70"/>
      <c r="E800" s="70"/>
      <c r="F800" s="70"/>
      <c r="G800" s="70"/>
      <c r="H800" s="70"/>
      <c r="I800" s="70"/>
      <c r="J800" s="70"/>
      <c r="K800" s="70"/>
      <c r="M800" s="3"/>
      <c r="N800" s="3"/>
      <c r="O800" s="3"/>
      <c r="P800" s="3"/>
      <c r="R800" s="3"/>
      <c r="S800" s="3"/>
      <c r="T800" s="3"/>
      <c r="U800" s="3"/>
    </row>
    <row r="801">
      <c r="A801" s="70"/>
      <c r="B801" s="3"/>
      <c r="C801" s="3"/>
      <c r="D801" s="70"/>
      <c r="E801" s="70"/>
      <c r="F801" s="70"/>
      <c r="G801" s="70"/>
      <c r="H801" s="70"/>
      <c r="I801" s="70"/>
      <c r="J801" s="70"/>
      <c r="K801" s="70"/>
      <c r="M801" s="3"/>
      <c r="N801" s="3"/>
      <c r="O801" s="3"/>
      <c r="P801" s="3"/>
      <c r="R801" s="3"/>
      <c r="S801" s="3"/>
      <c r="T801" s="3"/>
      <c r="U801" s="3"/>
    </row>
    <row r="802">
      <c r="A802" s="70"/>
      <c r="B802" s="3"/>
      <c r="C802" s="3"/>
      <c r="D802" s="70"/>
      <c r="E802" s="70"/>
      <c r="F802" s="70"/>
      <c r="G802" s="70"/>
      <c r="H802" s="70"/>
      <c r="I802" s="70"/>
      <c r="J802" s="70"/>
      <c r="K802" s="70"/>
      <c r="M802" s="3"/>
      <c r="N802" s="3"/>
      <c r="O802" s="3"/>
      <c r="P802" s="3"/>
      <c r="R802" s="3"/>
      <c r="S802" s="3"/>
      <c r="T802" s="3"/>
      <c r="U802" s="3"/>
    </row>
    <row r="803">
      <c r="A803" s="70"/>
      <c r="B803" s="3"/>
      <c r="C803" s="3"/>
      <c r="D803" s="70"/>
      <c r="E803" s="70"/>
      <c r="F803" s="70"/>
      <c r="G803" s="70"/>
      <c r="H803" s="70"/>
      <c r="I803" s="70"/>
      <c r="J803" s="70"/>
      <c r="K803" s="70"/>
      <c r="M803" s="3"/>
      <c r="N803" s="3"/>
      <c r="O803" s="3"/>
      <c r="P803" s="3"/>
      <c r="R803" s="3"/>
      <c r="S803" s="3"/>
      <c r="T803" s="3"/>
      <c r="U803" s="3"/>
    </row>
    <row r="804">
      <c r="A804" s="70"/>
      <c r="B804" s="3"/>
      <c r="C804" s="3"/>
      <c r="D804" s="70"/>
      <c r="E804" s="70"/>
      <c r="F804" s="70"/>
      <c r="G804" s="70"/>
      <c r="H804" s="70"/>
      <c r="I804" s="70"/>
      <c r="J804" s="70"/>
      <c r="K804" s="70"/>
      <c r="M804" s="3"/>
      <c r="N804" s="3"/>
      <c r="O804" s="3"/>
      <c r="P804" s="3"/>
      <c r="R804" s="3"/>
      <c r="S804" s="3"/>
      <c r="T804" s="3"/>
      <c r="U804" s="3"/>
    </row>
    <row r="805">
      <c r="A805" s="70"/>
      <c r="B805" s="3"/>
      <c r="C805" s="3"/>
      <c r="D805" s="70"/>
      <c r="E805" s="70"/>
      <c r="F805" s="70"/>
      <c r="G805" s="70"/>
      <c r="H805" s="70"/>
      <c r="I805" s="70"/>
      <c r="J805" s="70"/>
      <c r="K805" s="70"/>
      <c r="M805" s="3"/>
      <c r="N805" s="3"/>
      <c r="O805" s="3"/>
      <c r="P805" s="3"/>
      <c r="R805" s="3"/>
      <c r="S805" s="3"/>
      <c r="T805" s="3"/>
      <c r="U805" s="3"/>
    </row>
    <row r="806">
      <c r="A806" s="70"/>
      <c r="B806" s="3"/>
      <c r="C806" s="3"/>
      <c r="D806" s="70"/>
      <c r="E806" s="70"/>
      <c r="F806" s="70"/>
      <c r="G806" s="70"/>
      <c r="H806" s="70"/>
      <c r="I806" s="70"/>
      <c r="J806" s="70"/>
      <c r="K806" s="70"/>
      <c r="M806" s="3"/>
      <c r="N806" s="3"/>
      <c r="O806" s="3"/>
      <c r="P806" s="3"/>
      <c r="R806" s="3"/>
      <c r="S806" s="3"/>
      <c r="T806" s="3"/>
      <c r="U806" s="3"/>
    </row>
    <row r="807">
      <c r="A807" s="70"/>
      <c r="B807" s="3"/>
      <c r="C807" s="3"/>
      <c r="D807" s="70"/>
      <c r="E807" s="70"/>
      <c r="F807" s="70"/>
      <c r="G807" s="70"/>
      <c r="H807" s="70"/>
      <c r="I807" s="70"/>
      <c r="J807" s="70"/>
      <c r="K807" s="70"/>
      <c r="M807" s="3"/>
      <c r="N807" s="3"/>
      <c r="O807" s="3"/>
      <c r="P807" s="3"/>
      <c r="R807" s="3"/>
      <c r="S807" s="3"/>
      <c r="T807" s="3"/>
      <c r="U807" s="3"/>
    </row>
    <row r="808">
      <c r="A808" s="70"/>
      <c r="B808" s="3"/>
      <c r="C808" s="3"/>
      <c r="D808" s="70"/>
      <c r="E808" s="70"/>
      <c r="F808" s="70"/>
      <c r="G808" s="70"/>
      <c r="H808" s="70"/>
      <c r="I808" s="70"/>
      <c r="J808" s="70"/>
      <c r="K808" s="70"/>
      <c r="M808" s="3"/>
      <c r="N808" s="3"/>
      <c r="O808" s="3"/>
      <c r="P808" s="3"/>
      <c r="R808" s="3"/>
      <c r="S808" s="3"/>
      <c r="T808" s="3"/>
      <c r="U808" s="3"/>
    </row>
    <row r="809">
      <c r="A809" s="70"/>
      <c r="B809" s="3"/>
      <c r="C809" s="3"/>
      <c r="D809" s="70"/>
      <c r="E809" s="70"/>
      <c r="F809" s="70"/>
      <c r="G809" s="70"/>
      <c r="H809" s="70"/>
      <c r="I809" s="70"/>
      <c r="J809" s="70"/>
      <c r="K809" s="70"/>
      <c r="M809" s="3"/>
      <c r="N809" s="3"/>
      <c r="O809" s="3"/>
      <c r="P809" s="3"/>
      <c r="R809" s="3"/>
      <c r="S809" s="3"/>
      <c r="T809" s="3"/>
      <c r="U809" s="3"/>
    </row>
    <row r="810">
      <c r="A810" s="70"/>
      <c r="B810" s="3"/>
      <c r="C810" s="3"/>
      <c r="D810" s="70"/>
      <c r="E810" s="70"/>
      <c r="F810" s="70"/>
      <c r="G810" s="70"/>
      <c r="H810" s="70"/>
      <c r="I810" s="70"/>
      <c r="J810" s="70"/>
      <c r="K810" s="70"/>
      <c r="M810" s="3"/>
      <c r="N810" s="3"/>
      <c r="O810" s="3"/>
      <c r="P810" s="3"/>
      <c r="R810" s="3"/>
      <c r="S810" s="3"/>
      <c r="T810" s="3"/>
      <c r="U810" s="3"/>
    </row>
    <row r="811">
      <c r="A811" s="70"/>
      <c r="B811" s="3"/>
      <c r="C811" s="3"/>
      <c r="D811" s="70"/>
      <c r="E811" s="70"/>
      <c r="F811" s="70"/>
      <c r="G811" s="70"/>
      <c r="H811" s="70"/>
      <c r="I811" s="70"/>
      <c r="J811" s="70"/>
      <c r="K811" s="70"/>
      <c r="M811" s="3"/>
      <c r="N811" s="3"/>
      <c r="O811" s="3"/>
      <c r="P811" s="3"/>
      <c r="R811" s="3"/>
      <c r="S811" s="3"/>
      <c r="T811" s="3"/>
      <c r="U811" s="3"/>
    </row>
    <row r="812">
      <c r="A812" s="70"/>
      <c r="B812" s="3"/>
      <c r="C812" s="3"/>
      <c r="D812" s="70"/>
      <c r="E812" s="70"/>
      <c r="F812" s="70"/>
      <c r="G812" s="70"/>
      <c r="H812" s="70"/>
      <c r="I812" s="70"/>
      <c r="J812" s="70"/>
      <c r="K812" s="70"/>
      <c r="M812" s="3"/>
      <c r="N812" s="3"/>
      <c r="O812" s="3"/>
      <c r="P812" s="3"/>
      <c r="R812" s="3"/>
      <c r="S812" s="3"/>
      <c r="T812" s="3"/>
      <c r="U812" s="3"/>
    </row>
    <row r="813">
      <c r="A813" s="70"/>
      <c r="B813" s="3"/>
      <c r="C813" s="3"/>
      <c r="D813" s="70"/>
      <c r="E813" s="70"/>
      <c r="F813" s="70"/>
      <c r="G813" s="70"/>
      <c r="H813" s="70"/>
      <c r="I813" s="70"/>
      <c r="J813" s="70"/>
      <c r="K813" s="70"/>
      <c r="M813" s="3"/>
      <c r="N813" s="3"/>
      <c r="O813" s="3"/>
      <c r="P813" s="3"/>
      <c r="R813" s="3"/>
      <c r="S813" s="3"/>
      <c r="T813" s="3"/>
      <c r="U813" s="3"/>
    </row>
    <row r="814">
      <c r="A814" s="70"/>
      <c r="B814" s="3"/>
      <c r="C814" s="3"/>
      <c r="D814" s="70"/>
      <c r="E814" s="70"/>
      <c r="F814" s="70"/>
      <c r="G814" s="70"/>
      <c r="H814" s="70"/>
      <c r="I814" s="70"/>
      <c r="J814" s="70"/>
      <c r="K814" s="70"/>
      <c r="M814" s="3"/>
      <c r="N814" s="3"/>
      <c r="O814" s="3"/>
      <c r="P814" s="3"/>
      <c r="R814" s="3"/>
      <c r="S814" s="3"/>
      <c r="T814" s="3"/>
      <c r="U814" s="3"/>
    </row>
    <row r="815">
      <c r="A815" s="70"/>
      <c r="B815" s="3"/>
      <c r="C815" s="3"/>
      <c r="D815" s="70"/>
      <c r="E815" s="70"/>
      <c r="F815" s="70"/>
      <c r="G815" s="70"/>
      <c r="H815" s="70"/>
      <c r="I815" s="70"/>
      <c r="J815" s="70"/>
      <c r="K815" s="70"/>
      <c r="M815" s="3"/>
      <c r="N815" s="3"/>
      <c r="O815" s="3"/>
      <c r="P815" s="3"/>
      <c r="R815" s="3"/>
      <c r="S815" s="3"/>
      <c r="T815" s="3"/>
      <c r="U815" s="3"/>
    </row>
    <row r="816">
      <c r="A816" s="70"/>
      <c r="B816" s="3"/>
      <c r="C816" s="3"/>
      <c r="D816" s="70"/>
      <c r="E816" s="70"/>
      <c r="F816" s="70"/>
      <c r="G816" s="70"/>
      <c r="H816" s="70"/>
      <c r="I816" s="70"/>
      <c r="J816" s="70"/>
      <c r="K816" s="70"/>
      <c r="M816" s="3"/>
      <c r="N816" s="3"/>
      <c r="O816" s="3"/>
      <c r="P816" s="3"/>
      <c r="R816" s="3"/>
      <c r="S816" s="3"/>
      <c r="T816" s="3"/>
      <c r="U816" s="3"/>
    </row>
    <row r="817">
      <c r="A817" s="70"/>
      <c r="B817" s="3"/>
      <c r="C817" s="3"/>
      <c r="D817" s="70"/>
      <c r="E817" s="70"/>
      <c r="F817" s="70"/>
      <c r="G817" s="70"/>
      <c r="H817" s="70"/>
      <c r="I817" s="70"/>
      <c r="J817" s="70"/>
      <c r="K817" s="70"/>
      <c r="M817" s="3"/>
      <c r="N817" s="3"/>
      <c r="O817" s="3"/>
      <c r="P817" s="3"/>
      <c r="R817" s="3"/>
      <c r="S817" s="3"/>
      <c r="T817" s="3"/>
      <c r="U817" s="3"/>
    </row>
    <row r="818">
      <c r="A818" s="70"/>
      <c r="B818" s="3"/>
      <c r="C818" s="3"/>
      <c r="D818" s="70"/>
      <c r="E818" s="70"/>
      <c r="F818" s="70"/>
      <c r="G818" s="70"/>
      <c r="H818" s="70"/>
      <c r="I818" s="70"/>
      <c r="J818" s="70"/>
      <c r="K818" s="70"/>
      <c r="M818" s="3"/>
      <c r="N818" s="3"/>
      <c r="O818" s="3"/>
      <c r="P818" s="3"/>
      <c r="R818" s="3"/>
      <c r="S818" s="3"/>
      <c r="T818" s="3"/>
      <c r="U818" s="3"/>
    </row>
    <row r="819">
      <c r="A819" s="70"/>
      <c r="B819" s="3"/>
      <c r="C819" s="3"/>
      <c r="D819" s="70"/>
      <c r="E819" s="70"/>
      <c r="F819" s="70"/>
      <c r="G819" s="70"/>
      <c r="H819" s="70"/>
      <c r="I819" s="70"/>
      <c r="J819" s="70"/>
      <c r="K819" s="70"/>
      <c r="M819" s="3"/>
      <c r="N819" s="3"/>
      <c r="O819" s="3"/>
      <c r="P819" s="3"/>
      <c r="R819" s="3"/>
      <c r="S819" s="3"/>
      <c r="T819" s="3"/>
      <c r="U819" s="3"/>
    </row>
    <row r="820">
      <c r="A820" s="70"/>
      <c r="B820" s="3"/>
      <c r="C820" s="3"/>
      <c r="D820" s="70"/>
      <c r="E820" s="70"/>
      <c r="F820" s="70"/>
      <c r="G820" s="70"/>
      <c r="H820" s="70"/>
      <c r="I820" s="70"/>
      <c r="J820" s="70"/>
      <c r="K820" s="70"/>
      <c r="M820" s="3"/>
      <c r="N820" s="3"/>
      <c r="O820" s="3"/>
      <c r="P820" s="3"/>
      <c r="R820" s="3"/>
      <c r="S820" s="3"/>
      <c r="T820" s="3"/>
      <c r="U820" s="3"/>
    </row>
    <row r="821">
      <c r="A821" s="70"/>
      <c r="B821" s="3"/>
      <c r="C821" s="3"/>
      <c r="D821" s="70"/>
      <c r="E821" s="70"/>
      <c r="F821" s="70"/>
      <c r="G821" s="70"/>
      <c r="H821" s="70"/>
      <c r="I821" s="70"/>
      <c r="J821" s="70"/>
      <c r="K821" s="70"/>
      <c r="M821" s="3"/>
      <c r="N821" s="3"/>
      <c r="O821" s="3"/>
      <c r="P821" s="3"/>
      <c r="R821" s="3"/>
      <c r="S821" s="3"/>
      <c r="T821" s="3"/>
      <c r="U821" s="3"/>
    </row>
    <row r="822">
      <c r="A822" s="70"/>
      <c r="B822" s="3"/>
      <c r="C822" s="3"/>
      <c r="D822" s="70"/>
      <c r="E822" s="70"/>
      <c r="F822" s="70"/>
      <c r="G822" s="70"/>
      <c r="H822" s="70"/>
      <c r="I822" s="70"/>
      <c r="J822" s="70"/>
      <c r="K822" s="70"/>
      <c r="M822" s="3"/>
      <c r="N822" s="3"/>
      <c r="O822" s="3"/>
      <c r="P822" s="3"/>
      <c r="R822" s="3"/>
      <c r="S822" s="3"/>
      <c r="T822" s="3"/>
      <c r="U822" s="3"/>
    </row>
    <row r="823">
      <c r="A823" s="70"/>
      <c r="B823" s="3"/>
      <c r="C823" s="3"/>
      <c r="D823" s="70"/>
      <c r="E823" s="70"/>
      <c r="F823" s="70"/>
      <c r="G823" s="70"/>
      <c r="H823" s="70"/>
      <c r="I823" s="70"/>
      <c r="J823" s="70"/>
      <c r="K823" s="70"/>
      <c r="M823" s="3"/>
      <c r="N823" s="3"/>
      <c r="O823" s="3"/>
      <c r="P823" s="3"/>
      <c r="R823" s="3"/>
      <c r="S823" s="3"/>
      <c r="T823" s="3"/>
      <c r="U823" s="3"/>
    </row>
    <row r="824">
      <c r="A824" s="70"/>
      <c r="B824" s="3"/>
      <c r="C824" s="3"/>
      <c r="D824" s="70"/>
      <c r="E824" s="70"/>
      <c r="F824" s="70"/>
      <c r="G824" s="70"/>
      <c r="H824" s="70"/>
      <c r="I824" s="70"/>
      <c r="J824" s="70"/>
      <c r="K824" s="70"/>
      <c r="M824" s="3"/>
      <c r="N824" s="3"/>
      <c r="O824" s="3"/>
      <c r="P824" s="3"/>
      <c r="R824" s="3"/>
      <c r="S824" s="3"/>
      <c r="T824" s="3"/>
      <c r="U824" s="3"/>
    </row>
    <row r="825">
      <c r="A825" s="70"/>
      <c r="B825" s="3"/>
      <c r="C825" s="3"/>
      <c r="D825" s="70"/>
      <c r="E825" s="70"/>
      <c r="F825" s="70"/>
      <c r="G825" s="70"/>
      <c r="H825" s="70"/>
      <c r="I825" s="70"/>
      <c r="J825" s="70"/>
      <c r="K825" s="70"/>
      <c r="M825" s="3"/>
      <c r="N825" s="3"/>
      <c r="O825" s="3"/>
      <c r="P825" s="3"/>
      <c r="R825" s="3"/>
      <c r="S825" s="3"/>
      <c r="T825" s="3"/>
      <c r="U825" s="3"/>
    </row>
    <row r="826">
      <c r="A826" s="70"/>
      <c r="B826" s="3"/>
      <c r="C826" s="3"/>
      <c r="D826" s="70"/>
      <c r="E826" s="70"/>
      <c r="F826" s="70"/>
      <c r="G826" s="70"/>
      <c r="H826" s="70"/>
      <c r="I826" s="70"/>
      <c r="J826" s="70"/>
      <c r="K826" s="70"/>
      <c r="M826" s="3"/>
      <c r="N826" s="3"/>
      <c r="O826" s="3"/>
      <c r="P826" s="3"/>
      <c r="R826" s="3"/>
      <c r="S826" s="3"/>
      <c r="T826" s="3"/>
      <c r="U826" s="3"/>
    </row>
    <row r="827">
      <c r="A827" s="70"/>
      <c r="B827" s="3"/>
      <c r="C827" s="3"/>
      <c r="D827" s="70"/>
      <c r="E827" s="70"/>
      <c r="F827" s="70"/>
      <c r="G827" s="70"/>
      <c r="H827" s="70"/>
      <c r="I827" s="70"/>
      <c r="J827" s="70"/>
      <c r="K827" s="70"/>
      <c r="M827" s="3"/>
      <c r="N827" s="3"/>
      <c r="O827" s="3"/>
      <c r="P827" s="3"/>
      <c r="R827" s="3"/>
      <c r="S827" s="3"/>
      <c r="T827" s="3"/>
      <c r="U827" s="3"/>
    </row>
    <row r="828">
      <c r="A828" s="70"/>
      <c r="B828" s="3"/>
      <c r="C828" s="3"/>
      <c r="D828" s="70"/>
      <c r="E828" s="70"/>
      <c r="F828" s="70"/>
      <c r="G828" s="70"/>
      <c r="H828" s="70"/>
      <c r="I828" s="70"/>
      <c r="J828" s="70"/>
      <c r="K828" s="70"/>
      <c r="M828" s="3"/>
      <c r="N828" s="3"/>
      <c r="O828" s="3"/>
      <c r="P828" s="3"/>
      <c r="R828" s="3"/>
      <c r="S828" s="3"/>
      <c r="T828" s="3"/>
      <c r="U828" s="3"/>
    </row>
    <row r="829">
      <c r="A829" s="70"/>
      <c r="B829" s="3"/>
      <c r="C829" s="3"/>
      <c r="D829" s="70"/>
      <c r="E829" s="70"/>
      <c r="F829" s="70"/>
      <c r="G829" s="70"/>
      <c r="H829" s="70"/>
      <c r="I829" s="70"/>
      <c r="J829" s="70"/>
      <c r="K829" s="70"/>
      <c r="M829" s="3"/>
      <c r="N829" s="3"/>
      <c r="O829" s="3"/>
      <c r="P829" s="3"/>
      <c r="R829" s="3"/>
      <c r="S829" s="3"/>
      <c r="T829" s="3"/>
      <c r="U829" s="3"/>
    </row>
    <row r="830">
      <c r="A830" s="70"/>
      <c r="B830" s="3"/>
      <c r="C830" s="3"/>
      <c r="D830" s="70"/>
      <c r="E830" s="70"/>
      <c r="F830" s="70"/>
      <c r="G830" s="70"/>
      <c r="H830" s="70"/>
      <c r="I830" s="70"/>
      <c r="J830" s="70"/>
      <c r="K830" s="70"/>
      <c r="M830" s="3"/>
      <c r="N830" s="3"/>
      <c r="O830" s="3"/>
      <c r="P830" s="3"/>
      <c r="R830" s="3"/>
      <c r="S830" s="3"/>
      <c r="T830" s="3"/>
      <c r="U830" s="3"/>
    </row>
    <row r="831">
      <c r="A831" s="70"/>
      <c r="B831" s="3"/>
      <c r="C831" s="3"/>
      <c r="D831" s="70"/>
      <c r="E831" s="70"/>
      <c r="F831" s="70"/>
      <c r="G831" s="70"/>
      <c r="H831" s="70"/>
      <c r="I831" s="70"/>
      <c r="J831" s="70"/>
      <c r="K831" s="70"/>
      <c r="M831" s="3"/>
      <c r="N831" s="3"/>
      <c r="O831" s="3"/>
      <c r="P831" s="3"/>
      <c r="R831" s="3"/>
      <c r="S831" s="3"/>
      <c r="T831" s="3"/>
      <c r="U831" s="3"/>
    </row>
    <row r="832">
      <c r="A832" s="70"/>
      <c r="B832" s="3"/>
      <c r="C832" s="3"/>
      <c r="D832" s="70"/>
      <c r="E832" s="70"/>
      <c r="F832" s="70"/>
      <c r="G832" s="70"/>
      <c r="H832" s="70"/>
      <c r="I832" s="70"/>
      <c r="J832" s="70"/>
      <c r="K832" s="70"/>
      <c r="M832" s="3"/>
      <c r="N832" s="3"/>
      <c r="O832" s="3"/>
      <c r="P832" s="3"/>
      <c r="R832" s="3"/>
      <c r="S832" s="3"/>
      <c r="T832" s="3"/>
      <c r="U832" s="3"/>
    </row>
    <row r="833">
      <c r="A833" s="70"/>
      <c r="B833" s="3"/>
      <c r="C833" s="3"/>
      <c r="D833" s="70"/>
      <c r="E833" s="70"/>
      <c r="F833" s="70"/>
      <c r="G833" s="70"/>
      <c r="H833" s="70"/>
      <c r="I833" s="70"/>
      <c r="J833" s="70"/>
      <c r="K833" s="70"/>
      <c r="M833" s="3"/>
      <c r="N833" s="3"/>
      <c r="O833" s="3"/>
      <c r="P833" s="3"/>
      <c r="R833" s="3"/>
      <c r="S833" s="3"/>
      <c r="T833" s="3"/>
      <c r="U833" s="3"/>
    </row>
    <row r="834">
      <c r="A834" s="70"/>
      <c r="B834" s="3"/>
      <c r="C834" s="3"/>
      <c r="D834" s="70"/>
      <c r="E834" s="70"/>
      <c r="F834" s="70"/>
      <c r="G834" s="70"/>
      <c r="H834" s="70"/>
      <c r="I834" s="70"/>
      <c r="J834" s="70"/>
      <c r="K834" s="70"/>
      <c r="M834" s="3"/>
      <c r="N834" s="3"/>
      <c r="O834" s="3"/>
      <c r="P834" s="3"/>
      <c r="R834" s="3"/>
      <c r="S834" s="3"/>
      <c r="T834" s="3"/>
      <c r="U834" s="3"/>
    </row>
    <row r="835">
      <c r="A835" s="70"/>
      <c r="B835" s="3"/>
      <c r="C835" s="3"/>
      <c r="D835" s="70"/>
      <c r="E835" s="70"/>
      <c r="F835" s="70"/>
      <c r="G835" s="70"/>
      <c r="H835" s="70"/>
      <c r="I835" s="70"/>
      <c r="J835" s="70"/>
      <c r="K835" s="70"/>
      <c r="M835" s="3"/>
      <c r="N835" s="3"/>
      <c r="O835" s="3"/>
      <c r="P835" s="3"/>
      <c r="R835" s="3"/>
      <c r="S835" s="3"/>
      <c r="T835" s="3"/>
      <c r="U835" s="3"/>
    </row>
    <row r="836">
      <c r="A836" s="70"/>
      <c r="B836" s="3"/>
      <c r="C836" s="3"/>
      <c r="D836" s="70"/>
      <c r="E836" s="70"/>
      <c r="F836" s="70"/>
      <c r="G836" s="70"/>
      <c r="H836" s="70"/>
      <c r="I836" s="70"/>
      <c r="J836" s="70"/>
      <c r="K836" s="70"/>
      <c r="M836" s="3"/>
      <c r="N836" s="3"/>
      <c r="O836" s="3"/>
      <c r="P836" s="3"/>
      <c r="R836" s="3"/>
      <c r="S836" s="3"/>
      <c r="T836" s="3"/>
      <c r="U836" s="3"/>
    </row>
    <row r="837">
      <c r="A837" s="70"/>
      <c r="B837" s="3"/>
      <c r="C837" s="3"/>
      <c r="D837" s="70"/>
      <c r="E837" s="70"/>
      <c r="F837" s="70"/>
      <c r="G837" s="70"/>
      <c r="H837" s="70"/>
      <c r="I837" s="70"/>
      <c r="J837" s="70"/>
      <c r="K837" s="70"/>
      <c r="M837" s="3"/>
      <c r="N837" s="3"/>
      <c r="O837" s="3"/>
      <c r="P837" s="3"/>
      <c r="R837" s="3"/>
      <c r="S837" s="3"/>
      <c r="T837" s="3"/>
      <c r="U837" s="3"/>
    </row>
    <row r="838">
      <c r="A838" s="70"/>
      <c r="B838" s="3"/>
      <c r="C838" s="3"/>
      <c r="D838" s="70"/>
      <c r="E838" s="70"/>
      <c r="F838" s="70"/>
      <c r="G838" s="70"/>
      <c r="H838" s="70"/>
      <c r="I838" s="70"/>
      <c r="J838" s="70"/>
      <c r="K838" s="70"/>
      <c r="M838" s="3"/>
      <c r="N838" s="3"/>
      <c r="O838" s="3"/>
      <c r="P838" s="3"/>
      <c r="R838" s="3"/>
      <c r="S838" s="3"/>
      <c r="T838" s="3"/>
      <c r="U838" s="3"/>
    </row>
    <row r="839">
      <c r="A839" s="70"/>
      <c r="B839" s="3"/>
      <c r="C839" s="3"/>
      <c r="D839" s="70"/>
      <c r="E839" s="70"/>
      <c r="F839" s="70"/>
      <c r="G839" s="70"/>
      <c r="H839" s="70"/>
      <c r="I839" s="70"/>
      <c r="J839" s="70"/>
      <c r="K839" s="70"/>
      <c r="M839" s="3"/>
      <c r="N839" s="3"/>
      <c r="O839" s="3"/>
      <c r="P839" s="3"/>
      <c r="R839" s="3"/>
      <c r="S839" s="3"/>
      <c r="T839" s="3"/>
      <c r="U839" s="3"/>
    </row>
    <row r="840">
      <c r="A840" s="70"/>
      <c r="B840" s="3"/>
      <c r="C840" s="3"/>
      <c r="D840" s="70"/>
      <c r="E840" s="70"/>
      <c r="F840" s="70"/>
      <c r="G840" s="70"/>
      <c r="H840" s="70"/>
      <c r="I840" s="70"/>
      <c r="J840" s="70"/>
      <c r="K840" s="70"/>
      <c r="M840" s="3"/>
      <c r="N840" s="3"/>
      <c r="O840" s="3"/>
      <c r="P840" s="3"/>
      <c r="R840" s="3"/>
      <c r="S840" s="3"/>
      <c r="T840" s="3"/>
      <c r="U840" s="3"/>
    </row>
    <row r="841">
      <c r="A841" s="70"/>
      <c r="B841" s="3"/>
      <c r="C841" s="3"/>
      <c r="D841" s="70"/>
      <c r="E841" s="70"/>
      <c r="F841" s="70"/>
      <c r="G841" s="70"/>
      <c r="H841" s="70"/>
      <c r="I841" s="70"/>
      <c r="J841" s="70"/>
      <c r="K841" s="70"/>
      <c r="M841" s="3"/>
      <c r="N841" s="3"/>
      <c r="O841" s="3"/>
      <c r="P841" s="3"/>
      <c r="R841" s="3"/>
      <c r="S841" s="3"/>
      <c r="T841" s="3"/>
      <c r="U841" s="3"/>
    </row>
    <row r="842">
      <c r="A842" s="70"/>
      <c r="B842" s="3"/>
      <c r="C842" s="3"/>
      <c r="D842" s="70"/>
      <c r="E842" s="70"/>
      <c r="F842" s="70"/>
      <c r="G842" s="70"/>
      <c r="H842" s="70"/>
      <c r="I842" s="70"/>
      <c r="J842" s="70"/>
      <c r="K842" s="70"/>
      <c r="M842" s="3"/>
      <c r="N842" s="3"/>
      <c r="O842" s="3"/>
      <c r="P842" s="3"/>
      <c r="R842" s="3"/>
      <c r="S842" s="3"/>
      <c r="T842" s="3"/>
      <c r="U842" s="3"/>
    </row>
    <row r="843">
      <c r="A843" s="70"/>
      <c r="B843" s="3"/>
      <c r="C843" s="3"/>
      <c r="D843" s="70"/>
      <c r="E843" s="70"/>
      <c r="F843" s="70"/>
      <c r="G843" s="70"/>
      <c r="H843" s="70"/>
      <c r="I843" s="70"/>
      <c r="J843" s="70"/>
      <c r="K843" s="70"/>
      <c r="M843" s="3"/>
      <c r="N843" s="3"/>
      <c r="O843" s="3"/>
      <c r="P843" s="3"/>
      <c r="R843" s="3"/>
      <c r="S843" s="3"/>
      <c r="T843" s="3"/>
      <c r="U843" s="3"/>
    </row>
    <row r="844">
      <c r="A844" s="70"/>
      <c r="B844" s="3"/>
      <c r="C844" s="3"/>
      <c r="D844" s="70"/>
      <c r="E844" s="70"/>
      <c r="F844" s="70"/>
      <c r="G844" s="70"/>
      <c r="H844" s="70"/>
      <c r="I844" s="70"/>
      <c r="J844" s="70"/>
      <c r="K844" s="70"/>
      <c r="M844" s="3"/>
      <c r="N844" s="3"/>
      <c r="O844" s="3"/>
      <c r="P844" s="3"/>
      <c r="R844" s="3"/>
      <c r="S844" s="3"/>
      <c r="T844" s="3"/>
      <c r="U844" s="3"/>
    </row>
    <row r="845">
      <c r="A845" s="70"/>
      <c r="B845" s="3"/>
      <c r="C845" s="3"/>
      <c r="D845" s="70"/>
      <c r="E845" s="70"/>
      <c r="F845" s="70"/>
      <c r="G845" s="70"/>
      <c r="H845" s="70"/>
      <c r="I845" s="70"/>
      <c r="J845" s="70"/>
      <c r="K845" s="70"/>
      <c r="M845" s="3"/>
      <c r="N845" s="3"/>
      <c r="O845" s="3"/>
      <c r="P845" s="3"/>
      <c r="R845" s="3"/>
      <c r="S845" s="3"/>
      <c r="T845" s="3"/>
      <c r="U845" s="3"/>
    </row>
    <row r="846">
      <c r="A846" s="70"/>
      <c r="B846" s="3"/>
      <c r="C846" s="3"/>
      <c r="D846" s="70"/>
      <c r="E846" s="70"/>
      <c r="F846" s="70"/>
      <c r="G846" s="70"/>
      <c r="H846" s="70"/>
      <c r="I846" s="70"/>
      <c r="J846" s="70"/>
      <c r="K846" s="70"/>
      <c r="M846" s="3"/>
      <c r="N846" s="3"/>
      <c r="O846" s="3"/>
      <c r="P846" s="3"/>
      <c r="R846" s="3"/>
      <c r="S846" s="3"/>
      <c r="T846" s="3"/>
      <c r="U846" s="3"/>
    </row>
    <row r="847">
      <c r="A847" s="70"/>
      <c r="B847" s="3"/>
      <c r="C847" s="3"/>
      <c r="D847" s="70"/>
      <c r="E847" s="70"/>
      <c r="F847" s="70"/>
      <c r="G847" s="70"/>
      <c r="H847" s="70"/>
      <c r="I847" s="70"/>
      <c r="J847" s="70"/>
      <c r="K847" s="70"/>
      <c r="M847" s="3"/>
      <c r="N847" s="3"/>
      <c r="O847" s="3"/>
      <c r="P847" s="3"/>
      <c r="R847" s="3"/>
      <c r="S847" s="3"/>
      <c r="T847" s="3"/>
      <c r="U847" s="3"/>
    </row>
    <row r="848">
      <c r="A848" s="70"/>
      <c r="B848" s="3"/>
      <c r="C848" s="3"/>
      <c r="D848" s="70"/>
      <c r="E848" s="70"/>
      <c r="F848" s="70"/>
      <c r="G848" s="70"/>
      <c r="H848" s="70"/>
      <c r="I848" s="70"/>
      <c r="J848" s="70"/>
      <c r="K848" s="70"/>
      <c r="M848" s="3"/>
      <c r="N848" s="3"/>
      <c r="O848" s="3"/>
      <c r="P848" s="3"/>
      <c r="R848" s="3"/>
      <c r="S848" s="3"/>
      <c r="T848" s="3"/>
      <c r="U848" s="3"/>
    </row>
    <row r="849">
      <c r="A849" s="70"/>
      <c r="B849" s="3"/>
      <c r="C849" s="3"/>
      <c r="D849" s="70"/>
      <c r="E849" s="70"/>
      <c r="F849" s="70"/>
      <c r="G849" s="70"/>
      <c r="H849" s="70"/>
      <c r="I849" s="70"/>
      <c r="J849" s="70"/>
      <c r="K849" s="70"/>
      <c r="M849" s="3"/>
      <c r="N849" s="3"/>
      <c r="O849" s="3"/>
      <c r="P849" s="3"/>
      <c r="R849" s="3"/>
      <c r="S849" s="3"/>
      <c r="T849" s="3"/>
      <c r="U849" s="3"/>
    </row>
    <row r="850">
      <c r="A850" s="70"/>
      <c r="B850" s="3"/>
      <c r="C850" s="3"/>
      <c r="D850" s="70"/>
      <c r="E850" s="70"/>
      <c r="F850" s="70"/>
      <c r="G850" s="70"/>
      <c r="H850" s="70"/>
      <c r="I850" s="70"/>
      <c r="J850" s="70"/>
      <c r="K850" s="70"/>
      <c r="M850" s="3"/>
      <c r="N850" s="3"/>
      <c r="O850" s="3"/>
      <c r="P850" s="3"/>
      <c r="R850" s="3"/>
      <c r="S850" s="3"/>
      <c r="T850" s="3"/>
      <c r="U850" s="3"/>
    </row>
    <row r="851">
      <c r="A851" s="70"/>
      <c r="B851" s="3"/>
      <c r="C851" s="3"/>
      <c r="D851" s="70"/>
      <c r="E851" s="70"/>
      <c r="F851" s="70"/>
      <c r="G851" s="70"/>
      <c r="H851" s="70"/>
      <c r="I851" s="70"/>
      <c r="J851" s="70"/>
      <c r="K851" s="70"/>
      <c r="M851" s="3"/>
      <c r="N851" s="3"/>
      <c r="O851" s="3"/>
      <c r="P851" s="3"/>
      <c r="R851" s="3"/>
      <c r="S851" s="3"/>
      <c r="T851" s="3"/>
      <c r="U851" s="3"/>
    </row>
    <row r="852">
      <c r="A852" s="70"/>
      <c r="B852" s="3"/>
      <c r="C852" s="3"/>
      <c r="D852" s="70"/>
      <c r="E852" s="70"/>
      <c r="F852" s="70"/>
      <c r="G852" s="70"/>
      <c r="H852" s="70"/>
      <c r="I852" s="70"/>
      <c r="J852" s="70"/>
      <c r="K852" s="70"/>
      <c r="M852" s="3"/>
      <c r="N852" s="3"/>
      <c r="O852" s="3"/>
      <c r="P852" s="3"/>
      <c r="R852" s="3"/>
      <c r="S852" s="3"/>
      <c r="T852" s="3"/>
      <c r="U852" s="3"/>
    </row>
    <row r="853">
      <c r="A853" s="70"/>
      <c r="B853" s="3"/>
      <c r="C853" s="3"/>
      <c r="D853" s="70"/>
      <c r="E853" s="70"/>
      <c r="F853" s="70"/>
      <c r="G853" s="70"/>
      <c r="H853" s="70"/>
      <c r="I853" s="70"/>
      <c r="J853" s="70"/>
      <c r="K853" s="70"/>
      <c r="M853" s="3"/>
      <c r="N853" s="3"/>
      <c r="O853" s="3"/>
      <c r="P853" s="3"/>
      <c r="R853" s="3"/>
      <c r="S853" s="3"/>
      <c r="T853" s="3"/>
      <c r="U853" s="3"/>
    </row>
    <row r="854">
      <c r="A854" s="70"/>
      <c r="B854" s="3"/>
      <c r="C854" s="3"/>
      <c r="D854" s="70"/>
      <c r="E854" s="70"/>
      <c r="F854" s="70"/>
      <c r="G854" s="70"/>
      <c r="H854" s="70"/>
      <c r="I854" s="70"/>
      <c r="J854" s="70"/>
      <c r="K854" s="70"/>
      <c r="M854" s="3"/>
      <c r="N854" s="3"/>
      <c r="O854" s="3"/>
      <c r="P854" s="3"/>
      <c r="R854" s="3"/>
      <c r="S854" s="3"/>
      <c r="T854" s="3"/>
      <c r="U854" s="3"/>
    </row>
    <row r="855">
      <c r="A855" s="70"/>
      <c r="B855" s="3"/>
      <c r="C855" s="3"/>
      <c r="D855" s="70"/>
      <c r="E855" s="70"/>
      <c r="F855" s="70"/>
      <c r="G855" s="70"/>
      <c r="H855" s="70"/>
      <c r="I855" s="70"/>
      <c r="J855" s="70"/>
      <c r="K855" s="70"/>
      <c r="M855" s="3"/>
      <c r="N855" s="3"/>
      <c r="O855" s="3"/>
      <c r="P855" s="3"/>
      <c r="R855" s="3"/>
      <c r="S855" s="3"/>
      <c r="T855" s="3"/>
      <c r="U855" s="3"/>
    </row>
    <row r="856">
      <c r="A856" s="70"/>
      <c r="B856" s="3"/>
      <c r="C856" s="3"/>
      <c r="D856" s="70"/>
      <c r="E856" s="70"/>
      <c r="F856" s="70"/>
      <c r="G856" s="70"/>
      <c r="H856" s="70"/>
      <c r="I856" s="70"/>
      <c r="J856" s="70"/>
      <c r="K856" s="70"/>
      <c r="M856" s="3"/>
      <c r="N856" s="3"/>
      <c r="O856" s="3"/>
      <c r="P856" s="3"/>
      <c r="R856" s="3"/>
      <c r="S856" s="3"/>
      <c r="T856" s="3"/>
      <c r="U856" s="3"/>
    </row>
    <row r="857">
      <c r="A857" s="70"/>
      <c r="B857" s="3"/>
      <c r="C857" s="3"/>
      <c r="D857" s="70"/>
      <c r="E857" s="70"/>
      <c r="F857" s="70"/>
      <c r="G857" s="70"/>
      <c r="H857" s="70"/>
      <c r="I857" s="70"/>
      <c r="J857" s="70"/>
      <c r="K857" s="70"/>
      <c r="M857" s="3"/>
      <c r="N857" s="3"/>
      <c r="O857" s="3"/>
      <c r="P857" s="3"/>
      <c r="R857" s="3"/>
      <c r="S857" s="3"/>
      <c r="T857" s="3"/>
      <c r="U857" s="3"/>
    </row>
    <row r="858">
      <c r="A858" s="70"/>
      <c r="B858" s="3"/>
      <c r="C858" s="3"/>
      <c r="D858" s="70"/>
      <c r="E858" s="70"/>
      <c r="F858" s="70"/>
      <c r="G858" s="70"/>
      <c r="H858" s="70"/>
      <c r="I858" s="70"/>
      <c r="J858" s="70"/>
      <c r="K858" s="70"/>
      <c r="M858" s="3"/>
      <c r="N858" s="3"/>
      <c r="O858" s="3"/>
      <c r="P858" s="3"/>
      <c r="R858" s="3"/>
      <c r="S858" s="3"/>
      <c r="T858" s="3"/>
      <c r="U858" s="3"/>
    </row>
    <row r="859">
      <c r="A859" s="70"/>
      <c r="B859" s="3"/>
      <c r="C859" s="3"/>
      <c r="D859" s="70"/>
      <c r="E859" s="70"/>
      <c r="F859" s="70"/>
      <c r="G859" s="70"/>
      <c r="H859" s="70"/>
      <c r="I859" s="70"/>
      <c r="J859" s="70"/>
      <c r="K859" s="70"/>
      <c r="M859" s="3"/>
      <c r="N859" s="3"/>
      <c r="O859" s="3"/>
      <c r="P859" s="3"/>
      <c r="R859" s="3"/>
      <c r="S859" s="3"/>
      <c r="T859" s="3"/>
      <c r="U859" s="3"/>
    </row>
    <row r="860">
      <c r="A860" s="70"/>
      <c r="B860" s="3"/>
      <c r="C860" s="3"/>
      <c r="D860" s="70"/>
      <c r="E860" s="70"/>
      <c r="F860" s="70"/>
      <c r="G860" s="70"/>
      <c r="H860" s="70"/>
      <c r="I860" s="70"/>
      <c r="J860" s="70"/>
      <c r="K860" s="70"/>
      <c r="M860" s="3"/>
      <c r="N860" s="3"/>
      <c r="O860" s="3"/>
      <c r="P860" s="3"/>
      <c r="R860" s="3"/>
      <c r="S860" s="3"/>
      <c r="T860" s="3"/>
      <c r="U860" s="3"/>
    </row>
    <row r="861">
      <c r="A861" s="70"/>
      <c r="B861" s="3"/>
      <c r="C861" s="3"/>
      <c r="D861" s="70"/>
      <c r="E861" s="70"/>
      <c r="F861" s="70"/>
      <c r="G861" s="70"/>
      <c r="H861" s="70"/>
      <c r="I861" s="70"/>
      <c r="J861" s="70"/>
      <c r="K861" s="70"/>
      <c r="M861" s="3"/>
      <c r="N861" s="3"/>
      <c r="O861" s="3"/>
      <c r="P861" s="3"/>
      <c r="R861" s="3"/>
      <c r="S861" s="3"/>
      <c r="T861" s="3"/>
      <c r="U861" s="3"/>
    </row>
    <row r="862">
      <c r="A862" s="70"/>
      <c r="B862" s="3"/>
      <c r="C862" s="3"/>
      <c r="D862" s="70"/>
      <c r="E862" s="70"/>
      <c r="F862" s="70"/>
      <c r="G862" s="70"/>
      <c r="H862" s="70"/>
      <c r="I862" s="70"/>
      <c r="J862" s="70"/>
      <c r="K862" s="70"/>
      <c r="M862" s="3"/>
      <c r="N862" s="3"/>
      <c r="O862" s="3"/>
      <c r="P862" s="3"/>
      <c r="R862" s="3"/>
      <c r="S862" s="3"/>
      <c r="T862" s="3"/>
      <c r="U862" s="3"/>
    </row>
    <row r="863">
      <c r="A863" s="70"/>
      <c r="B863" s="3"/>
      <c r="C863" s="3"/>
      <c r="D863" s="70"/>
      <c r="E863" s="70"/>
      <c r="F863" s="70"/>
      <c r="G863" s="70"/>
      <c r="H863" s="70"/>
      <c r="I863" s="70"/>
      <c r="J863" s="70"/>
      <c r="K863" s="70"/>
      <c r="M863" s="3"/>
      <c r="N863" s="3"/>
      <c r="O863" s="3"/>
      <c r="P863" s="3"/>
      <c r="R863" s="3"/>
      <c r="S863" s="3"/>
      <c r="T863" s="3"/>
      <c r="U863" s="3"/>
    </row>
    <row r="864">
      <c r="A864" s="70"/>
      <c r="B864" s="3"/>
      <c r="C864" s="3"/>
      <c r="D864" s="70"/>
      <c r="E864" s="70"/>
      <c r="F864" s="70"/>
      <c r="G864" s="70"/>
      <c r="H864" s="70"/>
      <c r="I864" s="70"/>
      <c r="J864" s="70"/>
      <c r="K864" s="70"/>
      <c r="M864" s="3"/>
      <c r="N864" s="3"/>
      <c r="O864" s="3"/>
      <c r="P864" s="3"/>
      <c r="R864" s="3"/>
      <c r="S864" s="3"/>
      <c r="T864" s="3"/>
      <c r="U864" s="3"/>
    </row>
    <row r="865">
      <c r="A865" s="70"/>
      <c r="B865" s="3"/>
      <c r="C865" s="3"/>
      <c r="D865" s="70"/>
      <c r="E865" s="70"/>
      <c r="F865" s="70"/>
      <c r="G865" s="70"/>
      <c r="H865" s="70"/>
      <c r="I865" s="70"/>
      <c r="J865" s="70"/>
      <c r="K865" s="70"/>
      <c r="M865" s="3"/>
      <c r="N865" s="3"/>
      <c r="O865" s="3"/>
      <c r="P865" s="3"/>
      <c r="R865" s="3"/>
      <c r="S865" s="3"/>
      <c r="T865" s="3"/>
      <c r="U865" s="3"/>
    </row>
    <row r="866">
      <c r="A866" s="70"/>
      <c r="B866" s="3"/>
      <c r="C866" s="3"/>
      <c r="D866" s="70"/>
      <c r="E866" s="70"/>
      <c r="F866" s="70"/>
      <c r="G866" s="70"/>
      <c r="H866" s="70"/>
      <c r="I866" s="70"/>
      <c r="J866" s="70"/>
      <c r="K866" s="70"/>
      <c r="M866" s="3"/>
      <c r="N866" s="3"/>
      <c r="O866" s="3"/>
      <c r="P866" s="3"/>
      <c r="R866" s="3"/>
      <c r="S866" s="3"/>
      <c r="T866" s="3"/>
      <c r="U866" s="3"/>
    </row>
    <row r="867">
      <c r="A867" s="70"/>
      <c r="B867" s="3"/>
      <c r="C867" s="3"/>
      <c r="D867" s="70"/>
      <c r="E867" s="70"/>
      <c r="F867" s="70"/>
      <c r="G867" s="70"/>
      <c r="H867" s="70"/>
      <c r="I867" s="70"/>
      <c r="J867" s="70"/>
      <c r="K867" s="70"/>
      <c r="M867" s="3"/>
      <c r="N867" s="3"/>
      <c r="O867" s="3"/>
      <c r="P867" s="3"/>
      <c r="R867" s="3"/>
      <c r="S867" s="3"/>
      <c r="T867" s="3"/>
      <c r="U867" s="3"/>
    </row>
    <row r="868">
      <c r="A868" s="70"/>
      <c r="B868" s="3"/>
      <c r="C868" s="3"/>
      <c r="D868" s="70"/>
      <c r="E868" s="70"/>
      <c r="F868" s="70"/>
      <c r="G868" s="70"/>
      <c r="H868" s="70"/>
      <c r="I868" s="70"/>
      <c r="J868" s="70"/>
      <c r="K868" s="70"/>
      <c r="M868" s="3"/>
      <c r="N868" s="3"/>
      <c r="O868" s="3"/>
      <c r="P868" s="3"/>
      <c r="R868" s="3"/>
      <c r="S868" s="3"/>
      <c r="T868" s="3"/>
      <c r="U868" s="3"/>
    </row>
    <row r="869">
      <c r="A869" s="70"/>
      <c r="B869" s="3"/>
      <c r="C869" s="3"/>
      <c r="D869" s="70"/>
      <c r="E869" s="70"/>
      <c r="F869" s="70"/>
      <c r="G869" s="70"/>
      <c r="H869" s="70"/>
      <c r="I869" s="70"/>
      <c r="J869" s="70"/>
      <c r="K869" s="70"/>
      <c r="M869" s="3"/>
      <c r="N869" s="3"/>
      <c r="O869" s="3"/>
      <c r="P869" s="3"/>
      <c r="R869" s="3"/>
      <c r="S869" s="3"/>
      <c r="T869" s="3"/>
      <c r="U869" s="3"/>
    </row>
    <row r="870">
      <c r="A870" s="70"/>
      <c r="B870" s="3"/>
      <c r="C870" s="3"/>
      <c r="D870" s="70"/>
      <c r="E870" s="70"/>
      <c r="F870" s="70"/>
      <c r="G870" s="70"/>
      <c r="H870" s="70"/>
      <c r="I870" s="70"/>
      <c r="J870" s="70"/>
      <c r="K870" s="70"/>
      <c r="M870" s="3"/>
      <c r="N870" s="3"/>
      <c r="O870" s="3"/>
      <c r="P870" s="3"/>
      <c r="R870" s="3"/>
      <c r="S870" s="3"/>
      <c r="T870" s="3"/>
      <c r="U870" s="3"/>
    </row>
    <row r="871">
      <c r="A871" s="70"/>
      <c r="B871" s="3"/>
      <c r="C871" s="3"/>
      <c r="D871" s="70"/>
      <c r="E871" s="70"/>
      <c r="F871" s="70"/>
      <c r="G871" s="70"/>
      <c r="H871" s="70"/>
      <c r="I871" s="70"/>
      <c r="J871" s="70"/>
      <c r="K871" s="70"/>
      <c r="M871" s="3"/>
      <c r="N871" s="3"/>
      <c r="O871" s="3"/>
      <c r="P871" s="3"/>
      <c r="R871" s="3"/>
      <c r="S871" s="3"/>
      <c r="T871" s="3"/>
      <c r="U871" s="3"/>
    </row>
    <row r="872">
      <c r="A872" s="70"/>
      <c r="B872" s="3"/>
      <c r="C872" s="3"/>
      <c r="D872" s="70"/>
      <c r="E872" s="70"/>
      <c r="F872" s="70"/>
      <c r="G872" s="70"/>
      <c r="H872" s="70"/>
      <c r="I872" s="70"/>
      <c r="J872" s="70"/>
      <c r="K872" s="70"/>
      <c r="M872" s="3"/>
      <c r="N872" s="3"/>
      <c r="O872" s="3"/>
      <c r="P872" s="3"/>
      <c r="R872" s="3"/>
      <c r="S872" s="3"/>
      <c r="T872" s="3"/>
      <c r="U872" s="3"/>
    </row>
    <row r="873">
      <c r="A873" s="70"/>
      <c r="B873" s="3"/>
      <c r="C873" s="3"/>
      <c r="D873" s="70"/>
      <c r="E873" s="70"/>
      <c r="F873" s="70"/>
      <c r="G873" s="70"/>
      <c r="H873" s="70"/>
      <c r="I873" s="70"/>
      <c r="J873" s="70"/>
      <c r="K873" s="70"/>
      <c r="M873" s="3"/>
      <c r="N873" s="3"/>
      <c r="O873" s="3"/>
      <c r="P873" s="3"/>
      <c r="R873" s="3"/>
      <c r="S873" s="3"/>
      <c r="T873" s="3"/>
      <c r="U873" s="3"/>
    </row>
    <row r="874">
      <c r="A874" s="70"/>
      <c r="B874" s="3"/>
      <c r="C874" s="3"/>
      <c r="D874" s="70"/>
      <c r="E874" s="70"/>
      <c r="F874" s="70"/>
      <c r="G874" s="70"/>
      <c r="H874" s="70"/>
      <c r="I874" s="70"/>
      <c r="J874" s="70"/>
      <c r="K874" s="70"/>
      <c r="M874" s="3"/>
      <c r="N874" s="3"/>
      <c r="O874" s="3"/>
      <c r="P874" s="3"/>
      <c r="R874" s="3"/>
      <c r="S874" s="3"/>
      <c r="T874" s="3"/>
      <c r="U874" s="3"/>
    </row>
    <row r="875">
      <c r="A875" s="70"/>
      <c r="B875" s="3"/>
      <c r="C875" s="3"/>
      <c r="D875" s="70"/>
      <c r="E875" s="70"/>
      <c r="F875" s="70"/>
      <c r="G875" s="70"/>
      <c r="H875" s="70"/>
      <c r="I875" s="70"/>
      <c r="J875" s="70"/>
      <c r="K875" s="70"/>
      <c r="M875" s="3"/>
      <c r="N875" s="3"/>
      <c r="O875" s="3"/>
      <c r="P875" s="3"/>
      <c r="R875" s="3"/>
      <c r="S875" s="3"/>
      <c r="T875" s="3"/>
      <c r="U875" s="3"/>
    </row>
    <row r="876">
      <c r="A876" s="70"/>
      <c r="B876" s="3"/>
      <c r="C876" s="3"/>
      <c r="D876" s="70"/>
      <c r="E876" s="70"/>
      <c r="F876" s="70"/>
      <c r="G876" s="70"/>
      <c r="H876" s="70"/>
      <c r="I876" s="70"/>
      <c r="J876" s="70"/>
      <c r="K876" s="70"/>
      <c r="M876" s="3"/>
      <c r="N876" s="3"/>
      <c r="O876" s="3"/>
      <c r="P876" s="3"/>
      <c r="R876" s="3"/>
      <c r="S876" s="3"/>
      <c r="T876" s="3"/>
      <c r="U876" s="3"/>
    </row>
    <row r="877">
      <c r="A877" s="70"/>
      <c r="B877" s="3"/>
      <c r="C877" s="3"/>
      <c r="D877" s="70"/>
      <c r="E877" s="70"/>
      <c r="F877" s="70"/>
      <c r="G877" s="70"/>
      <c r="H877" s="70"/>
      <c r="I877" s="70"/>
      <c r="J877" s="70"/>
      <c r="K877" s="70"/>
      <c r="M877" s="3"/>
      <c r="N877" s="3"/>
      <c r="O877" s="3"/>
      <c r="P877" s="3"/>
      <c r="R877" s="3"/>
      <c r="S877" s="3"/>
      <c r="T877" s="3"/>
      <c r="U877" s="3"/>
    </row>
    <row r="878">
      <c r="A878" s="70"/>
      <c r="B878" s="3"/>
      <c r="C878" s="3"/>
      <c r="D878" s="70"/>
      <c r="E878" s="70"/>
      <c r="F878" s="70"/>
      <c r="G878" s="70"/>
      <c r="H878" s="70"/>
      <c r="I878" s="70"/>
      <c r="J878" s="70"/>
      <c r="K878" s="70"/>
      <c r="M878" s="3"/>
      <c r="N878" s="3"/>
      <c r="O878" s="3"/>
      <c r="P878" s="3"/>
      <c r="R878" s="3"/>
      <c r="S878" s="3"/>
      <c r="T878" s="3"/>
      <c r="U878" s="3"/>
    </row>
    <row r="879">
      <c r="A879" s="70"/>
      <c r="B879" s="3"/>
      <c r="C879" s="3"/>
      <c r="D879" s="70"/>
      <c r="E879" s="70"/>
      <c r="F879" s="70"/>
      <c r="G879" s="70"/>
      <c r="H879" s="70"/>
      <c r="I879" s="70"/>
      <c r="J879" s="70"/>
      <c r="K879" s="70"/>
      <c r="M879" s="3"/>
      <c r="N879" s="3"/>
      <c r="O879" s="3"/>
      <c r="P879" s="3"/>
      <c r="R879" s="3"/>
      <c r="S879" s="3"/>
      <c r="T879" s="3"/>
      <c r="U879" s="3"/>
    </row>
    <row r="880">
      <c r="A880" s="70"/>
      <c r="B880" s="3"/>
      <c r="C880" s="3"/>
      <c r="D880" s="70"/>
      <c r="E880" s="70"/>
      <c r="F880" s="70"/>
      <c r="G880" s="70"/>
      <c r="H880" s="70"/>
      <c r="I880" s="70"/>
      <c r="J880" s="70"/>
      <c r="K880" s="70"/>
      <c r="M880" s="3"/>
      <c r="N880" s="3"/>
      <c r="O880" s="3"/>
      <c r="P880" s="3"/>
      <c r="R880" s="3"/>
      <c r="S880" s="3"/>
      <c r="T880" s="3"/>
      <c r="U880" s="3"/>
    </row>
    <row r="881">
      <c r="A881" s="70"/>
      <c r="B881" s="3"/>
      <c r="C881" s="3"/>
      <c r="D881" s="70"/>
      <c r="E881" s="70"/>
      <c r="F881" s="70"/>
      <c r="G881" s="70"/>
      <c r="H881" s="70"/>
      <c r="I881" s="70"/>
      <c r="J881" s="70"/>
      <c r="K881" s="70"/>
      <c r="M881" s="3"/>
      <c r="N881" s="3"/>
      <c r="O881" s="3"/>
      <c r="P881" s="3"/>
      <c r="R881" s="3"/>
      <c r="S881" s="3"/>
      <c r="T881" s="3"/>
      <c r="U881" s="3"/>
    </row>
    <row r="882">
      <c r="A882" s="70"/>
      <c r="B882" s="3"/>
      <c r="C882" s="3"/>
      <c r="D882" s="70"/>
      <c r="E882" s="70"/>
      <c r="F882" s="70"/>
      <c r="G882" s="70"/>
      <c r="H882" s="70"/>
      <c r="I882" s="70"/>
      <c r="J882" s="70"/>
      <c r="K882" s="70"/>
      <c r="M882" s="3"/>
      <c r="N882" s="3"/>
      <c r="O882" s="3"/>
      <c r="P882" s="3"/>
      <c r="R882" s="3"/>
      <c r="S882" s="3"/>
      <c r="T882" s="3"/>
      <c r="U882" s="3"/>
    </row>
    <row r="883">
      <c r="A883" s="70"/>
      <c r="B883" s="3"/>
      <c r="C883" s="3"/>
      <c r="D883" s="70"/>
      <c r="E883" s="70"/>
      <c r="F883" s="70"/>
      <c r="G883" s="70"/>
      <c r="H883" s="70"/>
      <c r="I883" s="70"/>
      <c r="J883" s="70"/>
      <c r="K883" s="70"/>
      <c r="M883" s="3"/>
      <c r="N883" s="3"/>
      <c r="O883" s="3"/>
      <c r="P883" s="3"/>
      <c r="R883" s="3"/>
      <c r="S883" s="3"/>
      <c r="T883" s="3"/>
      <c r="U883" s="3"/>
    </row>
    <row r="884">
      <c r="A884" s="70"/>
      <c r="B884" s="3"/>
      <c r="C884" s="3"/>
      <c r="D884" s="70"/>
      <c r="E884" s="70"/>
      <c r="F884" s="70"/>
      <c r="G884" s="70"/>
      <c r="H884" s="70"/>
      <c r="I884" s="70"/>
      <c r="J884" s="70"/>
      <c r="K884" s="70"/>
      <c r="M884" s="3"/>
      <c r="N884" s="3"/>
      <c r="O884" s="3"/>
      <c r="P884" s="3"/>
      <c r="R884" s="3"/>
      <c r="S884" s="3"/>
      <c r="T884" s="3"/>
      <c r="U884" s="3"/>
    </row>
    <row r="885">
      <c r="A885" s="70"/>
      <c r="B885" s="3"/>
      <c r="C885" s="3"/>
      <c r="D885" s="70"/>
      <c r="E885" s="70"/>
      <c r="F885" s="70"/>
      <c r="G885" s="70"/>
      <c r="H885" s="70"/>
      <c r="I885" s="70"/>
      <c r="J885" s="70"/>
      <c r="K885" s="70"/>
      <c r="M885" s="3"/>
      <c r="N885" s="3"/>
      <c r="O885" s="3"/>
      <c r="P885" s="3"/>
      <c r="R885" s="3"/>
      <c r="S885" s="3"/>
      <c r="T885" s="3"/>
      <c r="U885" s="3"/>
    </row>
    <row r="886">
      <c r="A886" s="70"/>
      <c r="B886" s="3"/>
      <c r="C886" s="3"/>
      <c r="D886" s="70"/>
      <c r="E886" s="70"/>
      <c r="F886" s="70"/>
      <c r="G886" s="70"/>
      <c r="H886" s="70"/>
      <c r="I886" s="70"/>
      <c r="J886" s="70"/>
      <c r="K886" s="70"/>
      <c r="M886" s="3"/>
      <c r="N886" s="3"/>
      <c r="O886" s="3"/>
      <c r="P886" s="3"/>
      <c r="R886" s="3"/>
      <c r="S886" s="3"/>
      <c r="T886" s="3"/>
      <c r="U886" s="3"/>
    </row>
    <row r="887">
      <c r="A887" s="70"/>
      <c r="B887" s="3"/>
      <c r="C887" s="3"/>
      <c r="D887" s="70"/>
      <c r="E887" s="70"/>
      <c r="F887" s="70"/>
      <c r="G887" s="70"/>
      <c r="H887" s="70"/>
      <c r="I887" s="70"/>
      <c r="J887" s="70"/>
      <c r="K887" s="70"/>
      <c r="M887" s="3"/>
      <c r="N887" s="3"/>
      <c r="O887" s="3"/>
      <c r="P887" s="3"/>
      <c r="R887" s="3"/>
      <c r="S887" s="3"/>
      <c r="T887" s="3"/>
      <c r="U887" s="3"/>
    </row>
    <row r="888">
      <c r="A888" s="70"/>
      <c r="B888" s="3"/>
      <c r="C888" s="3"/>
      <c r="D888" s="70"/>
      <c r="E888" s="70"/>
      <c r="F888" s="70"/>
      <c r="G888" s="70"/>
      <c r="H888" s="70"/>
      <c r="I888" s="70"/>
      <c r="J888" s="70"/>
      <c r="K888" s="70"/>
      <c r="M888" s="3"/>
      <c r="N888" s="3"/>
      <c r="O888" s="3"/>
      <c r="P888" s="3"/>
      <c r="R888" s="3"/>
      <c r="S888" s="3"/>
      <c r="T888" s="3"/>
      <c r="U888" s="3"/>
    </row>
    <row r="889">
      <c r="A889" s="70"/>
      <c r="B889" s="3"/>
      <c r="C889" s="3"/>
      <c r="D889" s="70"/>
      <c r="E889" s="70"/>
      <c r="F889" s="70"/>
      <c r="G889" s="70"/>
      <c r="H889" s="70"/>
      <c r="I889" s="70"/>
      <c r="J889" s="70"/>
      <c r="K889" s="70"/>
      <c r="M889" s="3"/>
      <c r="N889" s="3"/>
      <c r="O889" s="3"/>
      <c r="P889" s="3"/>
      <c r="R889" s="3"/>
      <c r="S889" s="3"/>
      <c r="T889" s="3"/>
      <c r="U889" s="3"/>
    </row>
    <row r="890">
      <c r="A890" s="70"/>
      <c r="B890" s="3"/>
      <c r="C890" s="3"/>
      <c r="D890" s="70"/>
      <c r="E890" s="70"/>
      <c r="F890" s="70"/>
      <c r="G890" s="70"/>
      <c r="H890" s="70"/>
      <c r="I890" s="70"/>
      <c r="J890" s="70"/>
      <c r="K890" s="70"/>
      <c r="M890" s="3"/>
      <c r="N890" s="3"/>
      <c r="O890" s="3"/>
      <c r="P890" s="3"/>
      <c r="R890" s="3"/>
      <c r="S890" s="3"/>
      <c r="T890" s="3"/>
      <c r="U890" s="3"/>
    </row>
    <row r="891">
      <c r="A891" s="70"/>
      <c r="B891" s="3"/>
      <c r="C891" s="3"/>
      <c r="D891" s="70"/>
      <c r="E891" s="70"/>
      <c r="F891" s="70"/>
      <c r="G891" s="70"/>
      <c r="H891" s="70"/>
      <c r="I891" s="70"/>
      <c r="J891" s="70"/>
      <c r="K891" s="70"/>
      <c r="M891" s="3"/>
      <c r="N891" s="3"/>
      <c r="O891" s="3"/>
      <c r="P891" s="3"/>
      <c r="R891" s="3"/>
      <c r="S891" s="3"/>
      <c r="T891" s="3"/>
      <c r="U891" s="3"/>
    </row>
    <row r="892">
      <c r="A892" s="70"/>
      <c r="B892" s="3"/>
      <c r="C892" s="3"/>
      <c r="D892" s="70"/>
      <c r="E892" s="70"/>
      <c r="F892" s="70"/>
      <c r="G892" s="70"/>
      <c r="H892" s="70"/>
      <c r="I892" s="70"/>
      <c r="J892" s="70"/>
      <c r="K892" s="70"/>
      <c r="M892" s="3"/>
      <c r="N892" s="3"/>
      <c r="O892" s="3"/>
      <c r="P892" s="3"/>
      <c r="R892" s="3"/>
      <c r="S892" s="3"/>
      <c r="T892" s="3"/>
      <c r="U892" s="3"/>
    </row>
    <row r="893">
      <c r="A893" s="70"/>
      <c r="B893" s="3"/>
      <c r="C893" s="3"/>
      <c r="D893" s="70"/>
      <c r="E893" s="70"/>
      <c r="F893" s="70"/>
      <c r="G893" s="70"/>
      <c r="H893" s="70"/>
      <c r="I893" s="70"/>
      <c r="J893" s="70"/>
      <c r="K893" s="70"/>
      <c r="M893" s="3"/>
      <c r="N893" s="3"/>
      <c r="O893" s="3"/>
      <c r="P893" s="3"/>
      <c r="R893" s="3"/>
      <c r="S893" s="3"/>
      <c r="T893" s="3"/>
      <c r="U893" s="3"/>
    </row>
    <row r="894">
      <c r="A894" s="70"/>
      <c r="B894" s="3"/>
      <c r="C894" s="3"/>
      <c r="D894" s="70"/>
      <c r="E894" s="70"/>
      <c r="F894" s="70"/>
      <c r="G894" s="70"/>
      <c r="H894" s="70"/>
      <c r="I894" s="70"/>
      <c r="J894" s="70"/>
      <c r="K894" s="70"/>
      <c r="M894" s="3"/>
      <c r="N894" s="3"/>
      <c r="O894" s="3"/>
      <c r="P894" s="3"/>
      <c r="R894" s="3"/>
      <c r="S894" s="3"/>
      <c r="T894" s="3"/>
      <c r="U894" s="3"/>
    </row>
    <row r="895">
      <c r="A895" s="70"/>
      <c r="B895" s="3"/>
      <c r="C895" s="3"/>
      <c r="D895" s="70"/>
      <c r="E895" s="70"/>
      <c r="F895" s="70"/>
      <c r="G895" s="70"/>
      <c r="H895" s="70"/>
      <c r="I895" s="70"/>
      <c r="J895" s="70"/>
      <c r="K895" s="70"/>
      <c r="M895" s="3"/>
      <c r="N895" s="3"/>
      <c r="O895" s="3"/>
      <c r="P895" s="3"/>
      <c r="R895" s="3"/>
      <c r="S895" s="3"/>
      <c r="T895" s="3"/>
      <c r="U895" s="3"/>
    </row>
    <row r="896">
      <c r="A896" s="70"/>
      <c r="B896" s="3"/>
      <c r="C896" s="3"/>
      <c r="D896" s="70"/>
      <c r="E896" s="70"/>
      <c r="F896" s="70"/>
      <c r="G896" s="70"/>
      <c r="H896" s="70"/>
      <c r="I896" s="70"/>
      <c r="J896" s="70"/>
      <c r="K896" s="70"/>
      <c r="M896" s="3"/>
      <c r="N896" s="3"/>
      <c r="O896" s="3"/>
      <c r="P896" s="3"/>
      <c r="R896" s="3"/>
      <c r="S896" s="3"/>
      <c r="T896" s="3"/>
      <c r="U896" s="3"/>
    </row>
    <row r="897">
      <c r="A897" s="70"/>
      <c r="B897" s="3"/>
      <c r="C897" s="3"/>
      <c r="D897" s="70"/>
      <c r="E897" s="70"/>
      <c r="F897" s="70"/>
      <c r="G897" s="70"/>
      <c r="H897" s="70"/>
      <c r="I897" s="70"/>
      <c r="J897" s="70"/>
      <c r="K897" s="70"/>
      <c r="M897" s="3"/>
      <c r="N897" s="3"/>
      <c r="O897" s="3"/>
      <c r="P897" s="3"/>
      <c r="R897" s="3"/>
      <c r="S897" s="3"/>
      <c r="T897" s="3"/>
      <c r="U897" s="3"/>
    </row>
    <row r="898">
      <c r="A898" s="70"/>
      <c r="B898" s="3"/>
      <c r="C898" s="3"/>
      <c r="D898" s="70"/>
      <c r="E898" s="70"/>
      <c r="F898" s="70"/>
      <c r="G898" s="70"/>
      <c r="H898" s="70"/>
      <c r="I898" s="70"/>
      <c r="J898" s="70"/>
      <c r="K898" s="70"/>
      <c r="M898" s="3"/>
      <c r="N898" s="3"/>
      <c r="O898" s="3"/>
      <c r="P898" s="3"/>
      <c r="R898" s="3"/>
      <c r="S898" s="3"/>
      <c r="T898" s="3"/>
      <c r="U898" s="3"/>
    </row>
    <row r="899">
      <c r="A899" s="70"/>
      <c r="B899" s="3"/>
      <c r="C899" s="3"/>
      <c r="D899" s="70"/>
      <c r="E899" s="70"/>
      <c r="F899" s="70"/>
      <c r="G899" s="70"/>
      <c r="H899" s="70"/>
      <c r="I899" s="70"/>
      <c r="J899" s="70"/>
      <c r="K899" s="70"/>
      <c r="M899" s="3"/>
      <c r="N899" s="3"/>
      <c r="O899" s="3"/>
      <c r="P899" s="3"/>
      <c r="R899" s="3"/>
      <c r="S899" s="3"/>
      <c r="T899" s="3"/>
      <c r="U899" s="3"/>
    </row>
    <row r="900">
      <c r="A900" s="70"/>
      <c r="B900" s="3"/>
      <c r="C900" s="3"/>
      <c r="D900" s="70"/>
      <c r="E900" s="70"/>
      <c r="F900" s="70"/>
      <c r="G900" s="70"/>
      <c r="H900" s="70"/>
      <c r="I900" s="70"/>
      <c r="J900" s="70"/>
      <c r="K900" s="70"/>
      <c r="M900" s="3"/>
      <c r="N900" s="3"/>
      <c r="O900" s="3"/>
      <c r="P900" s="3"/>
      <c r="R900" s="3"/>
      <c r="S900" s="3"/>
      <c r="T900" s="3"/>
      <c r="U900" s="3"/>
    </row>
    <row r="901">
      <c r="A901" s="70"/>
      <c r="B901" s="3"/>
      <c r="C901" s="3"/>
      <c r="D901" s="70"/>
      <c r="E901" s="70"/>
      <c r="F901" s="70"/>
      <c r="G901" s="70"/>
      <c r="H901" s="70"/>
      <c r="I901" s="70"/>
      <c r="J901" s="70"/>
      <c r="K901" s="70"/>
      <c r="M901" s="3"/>
      <c r="N901" s="3"/>
      <c r="O901" s="3"/>
      <c r="P901" s="3"/>
      <c r="R901" s="3"/>
      <c r="S901" s="3"/>
      <c r="T901" s="3"/>
      <c r="U901" s="3"/>
    </row>
    <row r="902">
      <c r="A902" s="70"/>
      <c r="B902" s="3"/>
      <c r="C902" s="3"/>
      <c r="D902" s="70"/>
      <c r="E902" s="70"/>
      <c r="F902" s="70"/>
      <c r="G902" s="70"/>
      <c r="H902" s="70"/>
      <c r="I902" s="70"/>
      <c r="J902" s="70"/>
      <c r="K902" s="70"/>
      <c r="M902" s="3"/>
      <c r="N902" s="3"/>
      <c r="O902" s="3"/>
      <c r="P902" s="3"/>
      <c r="R902" s="3"/>
      <c r="S902" s="3"/>
      <c r="T902" s="3"/>
      <c r="U902" s="3"/>
    </row>
    <row r="903">
      <c r="A903" s="70"/>
      <c r="B903" s="3"/>
      <c r="C903" s="3"/>
      <c r="D903" s="70"/>
      <c r="E903" s="70"/>
      <c r="F903" s="70"/>
      <c r="G903" s="70"/>
      <c r="H903" s="70"/>
      <c r="I903" s="70"/>
      <c r="J903" s="70"/>
      <c r="K903" s="70"/>
      <c r="M903" s="3"/>
      <c r="N903" s="3"/>
      <c r="O903" s="3"/>
      <c r="P903" s="3"/>
      <c r="R903" s="3"/>
      <c r="S903" s="3"/>
      <c r="T903" s="3"/>
      <c r="U903" s="3"/>
    </row>
    <row r="904">
      <c r="A904" s="70"/>
      <c r="B904" s="3"/>
      <c r="C904" s="3"/>
      <c r="D904" s="70"/>
      <c r="E904" s="70"/>
      <c r="F904" s="70"/>
      <c r="G904" s="70"/>
      <c r="H904" s="70"/>
      <c r="I904" s="70"/>
      <c r="J904" s="70"/>
      <c r="K904" s="70"/>
      <c r="M904" s="3"/>
      <c r="N904" s="3"/>
      <c r="O904" s="3"/>
      <c r="P904" s="3"/>
      <c r="R904" s="3"/>
      <c r="S904" s="3"/>
      <c r="T904" s="3"/>
      <c r="U904" s="3"/>
    </row>
    <row r="905">
      <c r="A905" s="70"/>
      <c r="B905" s="3"/>
      <c r="C905" s="3"/>
      <c r="D905" s="70"/>
      <c r="E905" s="70"/>
      <c r="F905" s="70"/>
      <c r="G905" s="70"/>
      <c r="H905" s="70"/>
      <c r="I905" s="70"/>
      <c r="J905" s="70"/>
      <c r="K905" s="70"/>
      <c r="M905" s="3"/>
      <c r="N905" s="3"/>
      <c r="O905" s="3"/>
      <c r="P905" s="3"/>
      <c r="R905" s="3"/>
      <c r="S905" s="3"/>
      <c r="T905" s="3"/>
      <c r="U905" s="3"/>
    </row>
    <row r="906">
      <c r="A906" s="70"/>
      <c r="B906" s="3"/>
      <c r="C906" s="3"/>
      <c r="D906" s="70"/>
      <c r="E906" s="70"/>
      <c r="F906" s="70"/>
      <c r="G906" s="70"/>
      <c r="H906" s="70"/>
      <c r="I906" s="70"/>
      <c r="J906" s="70"/>
      <c r="K906" s="70"/>
      <c r="M906" s="3"/>
      <c r="N906" s="3"/>
      <c r="O906" s="3"/>
      <c r="P906" s="3"/>
      <c r="R906" s="3"/>
      <c r="S906" s="3"/>
      <c r="T906" s="3"/>
      <c r="U906" s="3"/>
    </row>
    <row r="907">
      <c r="A907" s="70"/>
      <c r="B907" s="3"/>
      <c r="C907" s="3"/>
      <c r="D907" s="70"/>
      <c r="E907" s="70"/>
      <c r="F907" s="70"/>
      <c r="G907" s="70"/>
      <c r="H907" s="70"/>
      <c r="I907" s="70"/>
      <c r="J907" s="70"/>
      <c r="K907" s="70"/>
      <c r="M907" s="3"/>
      <c r="N907" s="3"/>
      <c r="O907" s="3"/>
      <c r="P907" s="3"/>
      <c r="R907" s="3"/>
      <c r="S907" s="3"/>
      <c r="T907" s="3"/>
      <c r="U907" s="3"/>
    </row>
    <row r="908">
      <c r="A908" s="70"/>
      <c r="B908" s="3"/>
      <c r="C908" s="3"/>
      <c r="D908" s="70"/>
      <c r="E908" s="70"/>
      <c r="F908" s="70"/>
      <c r="G908" s="70"/>
      <c r="H908" s="70"/>
      <c r="I908" s="70"/>
      <c r="J908" s="70"/>
      <c r="K908" s="70"/>
      <c r="M908" s="3"/>
      <c r="N908" s="3"/>
      <c r="O908" s="3"/>
      <c r="P908" s="3"/>
      <c r="R908" s="3"/>
      <c r="S908" s="3"/>
      <c r="T908" s="3"/>
      <c r="U908" s="3"/>
    </row>
    <row r="909">
      <c r="A909" s="70"/>
      <c r="B909" s="3"/>
      <c r="C909" s="3"/>
      <c r="D909" s="70"/>
      <c r="E909" s="70"/>
      <c r="F909" s="70"/>
      <c r="G909" s="70"/>
      <c r="H909" s="70"/>
      <c r="I909" s="70"/>
      <c r="J909" s="70"/>
      <c r="K909" s="70"/>
      <c r="M909" s="3"/>
      <c r="N909" s="3"/>
      <c r="O909" s="3"/>
      <c r="P909" s="3"/>
      <c r="R909" s="3"/>
      <c r="S909" s="3"/>
      <c r="T909" s="3"/>
      <c r="U909" s="3"/>
    </row>
    <row r="910">
      <c r="A910" s="70"/>
      <c r="B910" s="3"/>
      <c r="C910" s="3"/>
      <c r="D910" s="70"/>
      <c r="E910" s="70"/>
      <c r="F910" s="70"/>
      <c r="G910" s="70"/>
      <c r="H910" s="70"/>
      <c r="I910" s="70"/>
      <c r="J910" s="70"/>
      <c r="K910" s="70"/>
      <c r="M910" s="3"/>
      <c r="N910" s="3"/>
      <c r="O910" s="3"/>
      <c r="P910" s="3"/>
      <c r="R910" s="3"/>
      <c r="S910" s="3"/>
      <c r="T910" s="3"/>
      <c r="U910" s="3"/>
    </row>
    <row r="911">
      <c r="A911" s="70"/>
      <c r="B911" s="3"/>
      <c r="C911" s="3"/>
      <c r="D911" s="70"/>
      <c r="E911" s="70"/>
      <c r="F911" s="70"/>
      <c r="G911" s="70"/>
      <c r="H911" s="70"/>
      <c r="I911" s="70"/>
      <c r="J911" s="70"/>
      <c r="K911" s="70"/>
      <c r="M911" s="3"/>
      <c r="N911" s="3"/>
      <c r="O911" s="3"/>
      <c r="P911" s="3"/>
      <c r="R911" s="3"/>
      <c r="S911" s="3"/>
      <c r="T911" s="3"/>
      <c r="U911" s="3"/>
    </row>
    <row r="912">
      <c r="A912" s="70"/>
      <c r="B912" s="3"/>
      <c r="C912" s="3"/>
      <c r="D912" s="70"/>
      <c r="E912" s="70"/>
      <c r="F912" s="70"/>
      <c r="G912" s="70"/>
      <c r="H912" s="70"/>
      <c r="I912" s="70"/>
      <c r="J912" s="70"/>
      <c r="K912" s="70"/>
      <c r="M912" s="3"/>
      <c r="N912" s="3"/>
      <c r="O912" s="3"/>
      <c r="P912" s="3"/>
      <c r="R912" s="3"/>
      <c r="S912" s="3"/>
      <c r="T912" s="3"/>
      <c r="U912" s="3"/>
    </row>
    <row r="913">
      <c r="A913" s="70"/>
      <c r="B913" s="3"/>
      <c r="C913" s="3"/>
      <c r="D913" s="70"/>
      <c r="E913" s="70"/>
      <c r="F913" s="70"/>
      <c r="G913" s="70"/>
      <c r="H913" s="70"/>
      <c r="I913" s="70"/>
      <c r="J913" s="70"/>
      <c r="K913" s="70"/>
      <c r="M913" s="3"/>
      <c r="N913" s="3"/>
      <c r="O913" s="3"/>
      <c r="P913" s="3"/>
      <c r="R913" s="3"/>
      <c r="S913" s="3"/>
      <c r="T913" s="3"/>
      <c r="U913" s="3"/>
    </row>
    <row r="914">
      <c r="A914" s="70"/>
      <c r="B914" s="3"/>
      <c r="C914" s="3"/>
      <c r="D914" s="70"/>
      <c r="E914" s="70"/>
      <c r="F914" s="70"/>
      <c r="G914" s="70"/>
      <c r="H914" s="70"/>
      <c r="I914" s="70"/>
      <c r="J914" s="70"/>
      <c r="K914" s="70"/>
      <c r="M914" s="3"/>
      <c r="N914" s="3"/>
      <c r="O914" s="3"/>
      <c r="P914" s="3"/>
      <c r="R914" s="3"/>
      <c r="S914" s="3"/>
      <c r="T914" s="3"/>
      <c r="U914" s="3"/>
    </row>
    <row r="915">
      <c r="A915" s="70"/>
      <c r="B915" s="3"/>
      <c r="C915" s="3"/>
      <c r="D915" s="70"/>
      <c r="E915" s="70"/>
      <c r="F915" s="70"/>
      <c r="G915" s="70"/>
      <c r="H915" s="70"/>
      <c r="I915" s="70"/>
      <c r="J915" s="70"/>
      <c r="K915" s="70"/>
      <c r="M915" s="3"/>
      <c r="N915" s="3"/>
      <c r="O915" s="3"/>
      <c r="P915" s="3"/>
      <c r="R915" s="3"/>
      <c r="S915" s="3"/>
      <c r="T915" s="3"/>
      <c r="U915" s="3"/>
    </row>
    <row r="916">
      <c r="A916" s="70"/>
      <c r="B916" s="3"/>
      <c r="C916" s="3"/>
      <c r="D916" s="70"/>
      <c r="E916" s="70"/>
      <c r="F916" s="70"/>
      <c r="G916" s="70"/>
      <c r="H916" s="70"/>
      <c r="I916" s="70"/>
      <c r="J916" s="70"/>
      <c r="K916" s="70"/>
      <c r="M916" s="3"/>
      <c r="N916" s="3"/>
      <c r="O916" s="3"/>
      <c r="P916" s="3"/>
      <c r="R916" s="3"/>
      <c r="S916" s="3"/>
      <c r="T916" s="3"/>
      <c r="U916" s="3"/>
    </row>
    <row r="917">
      <c r="A917" s="70"/>
      <c r="B917" s="3"/>
      <c r="C917" s="3"/>
      <c r="D917" s="70"/>
      <c r="E917" s="70"/>
      <c r="F917" s="70"/>
      <c r="G917" s="70"/>
      <c r="H917" s="70"/>
      <c r="I917" s="70"/>
      <c r="J917" s="70"/>
      <c r="K917" s="70"/>
      <c r="M917" s="3"/>
      <c r="N917" s="3"/>
      <c r="O917" s="3"/>
      <c r="P917" s="3"/>
      <c r="R917" s="3"/>
      <c r="S917" s="3"/>
      <c r="T917" s="3"/>
      <c r="U917" s="3"/>
    </row>
    <row r="918">
      <c r="A918" s="70"/>
      <c r="B918" s="3"/>
      <c r="C918" s="3"/>
      <c r="D918" s="70"/>
      <c r="E918" s="70"/>
      <c r="F918" s="70"/>
      <c r="G918" s="70"/>
      <c r="H918" s="70"/>
      <c r="I918" s="70"/>
      <c r="J918" s="70"/>
      <c r="K918" s="70"/>
      <c r="M918" s="3"/>
      <c r="N918" s="3"/>
      <c r="O918" s="3"/>
      <c r="P918" s="3"/>
      <c r="R918" s="3"/>
      <c r="S918" s="3"/>
      <c r="T918" s="3"/>
      <c r="U918" s="3"/>
    </row>
    <row r="919">
      <c r="A919" s="70"/>
      <c r="B919" s="3"/>
      <c r="C919" s="3"/>
      <c r="D919" s="70"/>
      <c r="E919" s="70"/>
      <c r="F919" s="70"/>
      <c r="G919" s="70"/>
      <c r="H919" s="70"/>
      <c r="I919" s="70"/>
      <c r="J919" s="70"/>
      <c r="K919" s="70"/>
      <c r="M919" s="3"/>
      <c r="N919" s="3"/>
      <c r="O919" s="3"/>
      <c r="P919" s="3"/>
      <c r="R919" s="3"/>
      <c r="S919" s="3"/>
      <c r="T919" s="3"/>
      <c r="U919" s="3"/>
    </row>
    <row r="920">
      <c r="A920" s="70"/>
      <c r="B920" s="3"/>
      <c r="C920" s="3"/>
      <c r="D920" s="70"/>
      <c r="E920" s="70"/>
      <c r="F920" s="70"/>
      <c r="G920" s="70"/>
      <c r="H920" s="70"/>
      <c r="I920" s="70"/>
      <c r="J920" s="70"/>
      <c r="K920" s="70"/>
      <c r="M920" s="3"/>
      <c r="N920" s="3"/>
      <c r="O920" s="3"/>
      <c r="P920" s="3"/>
      <c r="R920" s="3"/>
      <c r="S920" s="3"/>
      <c r="T920" s="3"/>
      <c r="U920" s="3"/>
    </row>
    <row r="921">
      <c r="A921" s="70"/>
      <c r="B921" s="3"/>
      <c r="C921" s="3"/>
      <c r="D921" s="70"/>
      <c r="E921" s="70"/>
      <c r="F921" s="70"/>
      <c r="G921" s="70"/>
      <c r="H921" s="70"/>
      <c r="I921" s="70"/>
      <c r="J921" s="70"/>
      <c r="K921" s="70"/>
      <c r="M921" s="3"/>
      <c r="N921" s="3"/>
      <c r="O921" s="3"/>
      <c r="P921" s="3"/>
      <c r="R921" s="3"/>
      <c r="S921" s="3"/>
      <c r="T921" s="3"/>
      <c r="U921" s="3"/>
    </row>
    <row r="922">
      <c r="A922" s="70"/>
      <c r="B922" s="3"/>
      <c r="C922" s="3"/>
      <c r="D922" s="70"/>
      <c r="E922" s="70"/>
      <c r="F922" s="70"/>
      <c r="G922" s="70"/>
      <c r="H922" s="70"/>
      <c r="I922" s="70"/>
      <c r="J922" s="70"/>
      <c r="K922" s="70"/>
      <c r="M922" s="3"/>
      <c r="N922" s="3"/>
      <c r="O922" s="3"/>
      <c r="P922" s="3"/>
      <c r="R922" s="3"/>
      <c r="S922" s="3"/>
      <c r="T922" s="3"/>
      <c r="U922" s="3"/>
    </row>
    <row r="923">
      <c r="A923" s="70"/>
      <c r="B923" s="3"/>
      <c r="C923" s="3"/>
      <c r="D923" s="70"/>
      <c r="E923" s="70"/>
      <c r="F923" s="70"/>
      <c r="G923" s="70"/>
      <c r="H923" s="70"/>
      <c r="I923" s="70"/>
      <c r="J923" s="70"/>
      <c r="K923" s="70"/>
      <c r="M923" s="3"/>
      <c r="N923" s="3"/>
      <c r="O923" s="3"/>
      <c r="P923" s="3"/>
      <c r="R923" s="3"/>
      <c r="S923" s="3"/>
      <c r="T923" s="3"/>
      <c r="U923" s="3"/>
    </row>
    <row r="924">
      <c r="A924" s="70"/>
      <c r="B924" s="3"/>
      <c r="C924" s="3"/>
      <c r="D924" s="70"/>
      <c r="E924" s="70"/>
      <c r="F924" s="70"/>
      <c r="G924" s="70"/>
      <c r="H924" s="70"/>
      <c r="I924" s="70"/>
      <c r="J924" s="70"/>
      <c r="K924" s="70"/>
      <c r="M924" s="3"/>
      <c r="N924" s="3"/>
      <c r="O924" s="3"/>
      <c r="P924" s="3"/>
      <c r="R924" s="3"/>
      <c r="S924" s="3"/>
      <c r="T924" s="3"/>
      <c r="U924" s="3"/>
    </row>
    <row r="925">
      <c r="A925" s="70"/>
      <c r="B925" s="3"/>
      <c r="C925" s="3"/>
      <c r="D925" s="70"/>
      <c r="E925" s="70"/>
      <c r="F925" s="70"/>
      <c r="G925" s="70"/>
      <c r="H925" s="70"/>
      <c r="I925" s="70"/>
      <c r="J925" s="70"/>
      <c r="K925" s="70"/>
      <c r="M925" s="3"/>
      <c r="N925" s="3"/>
      <c r="O925" s="3"/>
      <c r="P925" s="3"/>
      <c r="R925" s="3"/>
      <c r="S925" s="3"/>
      <c r="T925" s="3"/>
      <c r="U925" s="3"/>
    </row>
    <row r="926">
      <c r="A926" s="70"/>
      <c r="B926" s="3"/>
      <c r="C926" s="3"/>
      <c r="D926" s="70"/>
      <c r="E926" s="70"/>
      <c r="F926" s="70"/>
      <c r="G926" s="70"/>
      <c r="H926" s="70"/>
      <c r="I926" s="70"/>
      <c r="J926" s="70"/>
      <c r="K926" s="70"/>
      <c r="M926" s="3"/>
      <c r="N926" s="3"/>
      <c r="O926" s="3"/>
      <c r="P926" s="3"/>
      <c r="R926" s="3"/>
      <c r="S926" s="3"/>
      <c r="T926" s="3"/>
      <c r="U926" s="3"/>
    </row>
    <row r="927">
      <c r="A927" s="70"/>
      <c r="B927" s="3"/>
      <c r="C927" s="3"/>
      <c r="D927" s="70"/>
      <c r="E927" s="70"/>
      <c r="F927" s="70"/>
      <c r="G927" s="70"/>
      <c r="H927" s="70"/>
      <c r="I927" s="70"/>
      <c r="J927" s="70"/>
      <c r="K927" s="70"/>
      <c r="M927" s="3"/>
      <c r="N927" s="3"/>
      <c r="O927" s="3"/>
      <c r="P927" s="3"/>
      <c r="R927" s="3"/>
      <c r="S927" s="3"/>
      <c r="T927" s="3"/>
      <c r="U927" s="3"/>
    </row>
    <row r="928">
      <c r="A928" s="70"/>
      <c r="B928" s="3"/>
      <c r="C928" s="3"/>
      <c r="D928" s="70"/>
      <c r="E928" s="70"/>
      <c r="F928" s="70"/>
      <c r="G928" s="70"/>
      <c r="H928" s="70"/>
      <c r="I928" s="70"/>
      <c r="J928" s="70"/>
      <c r="K928" s="70"/>
      <c r="M928" s="3"/>
      <c r="N928" s="3"/>
      <c r="O928" s="3"/>
      <c r="P928" s="3"/>
      <c r="R928" s="3"/>
      <c r="S928" s="3"/>
      <c r="T928" s="3"/>
      <c r="U928" s="3"/>
    </row>
    <row r="929">
      <c r="A929" s="70"/>
      <c r="B929" s="3"/>
      <c r="C929" s="3"/>
      <c r="D929" s="70"/>
      <c r="E929" s="70"/>
      <c r="F929" s="70"/>
      <c r="G929" s="70"/>
      <c r="H929" s="70"/>
      <c r="I929" s="70"/>
      <c r="J929" s="70"/>
      <c r="K929" s="70"/>
      <c r="M929" s="3"/>
      <c r="N929" s="3"/>
      <c r="O929" s="3"/>
      <c r="P929" s="3"/>
      <c r="R929" s="3"/>
      <c r="S929" s="3"/>
      <c r="T929" s="3"/>
      <c r="U929" s="3"/>
    </row>
    <row r="930">
      <c r="A930" s="70"/>
      <c r="B930" s="3"/>
      <c r="C930" s="3"/>
      <c r="D930" s="70"/>
      <c r="E930" s="70"/>
      <c r="F930" s="70"/>
      <c r="G930" s="70"/>
      <c r="H930" s="70"/>
      <c r="I930" s="70"/>
      <c r="J930" s="70"/>
      <c r="K930" s="70"/>
      <c r="M930" s="3"/>
      <c r="N930" s="3"/>
      <c r="O930" s="3"/>
      <c r="P930" s="3"/>
      <c r="R930" s="3"/>
      <c r="S930" s="3"/>
      <c r="T930" s="3"/>
      <c r="U930" s="3"/>
    </row>
    <row r="931">
      <c r="A931" s="70"/>
      <c r="B931" s="3"/>
      <c r="C931" s="3"/>
      <c r="D931" s="70"/>
      <c r="E931" s="70"/>
      <c r="F931" s="70"/>
      <c r="G931" s="70"/>
      <c r="H931" s="70"/>
      <c r="I931" s="70"/>
      <c r="J931" s="70"/>
      <c r="K931" s="70"/>
      <c r="M931" s="3"/>
      <c r="N931" s="3"/>
      <c r="O931" s="3"/>
      <c r="P931" s="3"/>
      <c r="R931" s="3"/>
      <c r="S931" s="3"/>
      <c r="T931" s="3"/>
      <c r="U931" s="3"/>
    </row>
    <row r="932">
      <c r="A932" s="70"/>
      <c r="B932" s="3"/>
      <c r="C932" s="3"/>
      <c r="D932" s="70"/>
      <c r="E932" s="70"/>
      <c r="F932" s="70"/>
      <c r="G932" s="70"/>
      <c r="H932" s="70"/>
      <c r="I932" s="70"/>
      <c r="J932" s="70"/>
      <c r="K932" s="70"/>
      <c r="M932" s="3"/>
      <c r="N932" s="3"/>
      <c r="O932" s="3"/>
      <c r="P932" s="3"/>
      <c r="R932" s="3"/>
      <c r="S932" s="3"/>
      <c r="T932" s="3"/>
      <c r="U932" s="3"/>
    </row>
    <row r="933">
      <c r="A933" s="70"/>
      <c r="B933" s="3"/>
      <c r="C933" s="3"/>
      <c r="D933" s="70"/>
      <c r="E933" s="70"/>
      <c r="F933" s="70"/>
      <c r="G933" s="70"/>
      <c r="H933" s="70"/>
      <c r="I933" s="70"/>
      <c r="J933" s="70"/>
      <c r="K933" s="70"/>
      <c r="M933" s="3"/>
      <c r="N933" s="3"/>
      <c r="O933" s="3"/>
      <c r="P933" s="3"/>
      <c r="R933" s="3"/>
      <c r="S933" s="3"/>
      <c r="T933" s="3"/>
      <c r="U933" s="3"/>
    </row>
    <row r="934">
      <c r="A934" s="70"/>
      <c r="B934" s="3"/>
      <c r="C934" s="3"/>
      <c r="D934" s="70"/>
      <c r="E934" s="70"/>
      <c r="F934" s="70"/>
      <c r="G934" s="70"/>
      <c r="H934" s="70"/>
      <c r="I934" s="70"/>
      <c r="J934" s="70"/>
      <c r="K934" s="70"/>
      <c r="M934" s="3"/>
      <c r="N934" s="3"/>
      <c r="O934" s="3"/>
      <c r="P934" s="3"/>
      <c r="R934" s="3"/>
      <c r="S934" s="3"/>
      <c r="T934" s="3"/>
      <c r="U934" s="3"/>
    </row>
    <row r="935">
      <c r="A935" s="70"/>
      <c r="B935" s="3"/>
      <c r="C935" s="3"/>
      <c r="D935" s="70"/>
      <c r="E935" s="70"/>
      <c r="F935" s="70"/>
      <c r="G935" s="70"/>
      <c r="H935" s="70"/>
      <c r="I935" s="70"/>
      <c r="J935" s="70"/>
      <c r="K935" s="70"/>
      <c r="M935" s="3"/>
      <c r="N935" s="3"/>
      <c r="O935" s="3"/>
      <c r="P935" s="3"/>
      <c r="R935" s="3"/>
      <c r="S935" s="3"/>
      <c r="T935" s="3"/>
      <c r="U935" s="3"/>
    </row>
    <row r="936">
      <c r="A936" s="70"/>
      <c r="B936" s="3"/>
      <c r="C936" s="3"/>
      <c r="D936" s="70"/>
      <c r="E936" s="70"/>
      <c r="F936" s="70"/>
      <c r="G936" s="70"/>
      <c r="H936" s="70"/>
      <c r="I936" s="70"/>
      <c r="J936" s="70"/>
      <c r="K936" s="70"/>
      <c r="M936" s="3"/>
      <c r="N936" s="3"/>
      <c r="O936" s="3"/>
      <c r="P936" s="3"/>
      <c r="R936" s="3"/>
      <c r="S936" s="3"/>
      <c r="T936" s="3"/>
      <c r="U936" s="3"/>
    </row>
    <row r="937">
      <c r="A937" s="70"/>
      <c r="B937" s="3"/>
      <c r="C937" s="3"/>
      <c r="D937" s="70"/>
      <c r="E937" s="70"/>
      <c r="F937" s="70"/>
      <c r="G937" s="70"/>
      <c r="H937" s="70"/>
      <c r="I937" s="70"/>
      <c r="J937" s="70"/>
      <c r="K937" s="70"/>
      <c r="M937" s="3"/>
      <c r="N937" s="3"/>
      <c r="O937" s="3"/>
      <c r="P937" s="3"/>
      <c r="R937" s="3"/>
      <c r="S937" s="3"/>
      <c r="T937" s="3"/>
      <c r="U937" s="3"/>
    </row>
    <row r="938">
      <c r="A938" s="70"/>
      <c r="B938" s="3"/>
      <c r="C938" s="3"/>
      <c r="D938" s="70"/>
      <c r="E938" s="70"/>
      <c r="F938" s="70"/>
      <c r="G938" s="70"/>
      <c r="H938" s="70"/>
      <c r="I938" s="70"/>
      <c r="J938" s="70"/>
      <c r="K938" s="70"/>
      <c r="M938" s="3"/>
      <c r="N938" s="3"/>
      <c r="O938" s="3"/>
      <c r="P938" s="3"/>
      <c r="R938" s="3"/>
      <c r="S938" s="3"/>
      <c r="T938" s="3"/>
      <c r="U938" s="3"/>
    </row>
    <row r="939">
      <c r="A939" s="70"/>
      <c r="B939" s="3"/>
      <c r="C939" s="3"/>
      <c r="D939" s="70"/>
      <c r="E939" s="70"/>
      <c r="F939" s="70"/>
      <c r="G939" s="70"/>
      <c r="H939" s="70"/>
      <c r="I939" s="70"/>
      <c r="J939" s="70"/>
      <c r="K939" s="70"/>
      <c r="M939" s="3"/>
      <c r="N939" s="3"/>
      <c r="O939" s="3"/>
      <c r="P939" s="3"/>
      <c r="R939" s="3"/>
      <c r="S939" s="3"/>
      <c r="T939" s="3"/>
      <c r="U939" s="3"/>
    </row>
    <row r="940">
      <c r="A940" s="70"/>
      <c r="B940" s="3"/>
      <c r="C940" s="3"/>
      <c r="D940" s="70"/>
      <c r="E940" s="70"/>
      <c r="F940" s="70"/>
      <c r="G940" s="70"/>
      <c r="H940" s="70"/>
      <c r="I940" s="70"/>
      <c r="J940" s="70"/>
      <c r="K940" s="70"/>
      <c r="M940" s="3"/>
      <c r="N940" s="3"/>
      <c r="O940" s="3"/>
      <c r="P940" s="3"/>
      <c r="R940" s="3"/>
      <c r="S940" s="3"/>
      <c r="T940" s="3"/>
      <c r="U940" s="3"/>
    </row>
    <row r="941">
      <c r="A941" s="70"/>
      <c r="B941" s="3"/>
      <c r="C941" s="3"/>
      <c r="D941" s="70"/>
      <c r="E941" s="70"/>
      <c r="F941" s="70"/>
      <c r="G941" s="70"/>
      <c r="H941" s="70"/>
      <c r="I941" s="70"/>
      <c r="J941" s="70"/>
      <c r="K941" s="70"/>
      <c r="M941" s="3"/>
      <c r="N941" s="3"/>
      <c r="O941" s="3"/>
      <c r="P941" s="3"/>
      <c r="R941" s="3"/>
      <c r="S941" s="3"/>
      <c r="T941" s="3"/>
      <c r="U941" s="3"/>
    </row>
    <row r="942">
      <c r="A942" s="70"/>
      <c r="B942" s="3"/>
      <c r="C942" s="3"/>
      <c r="D942" s="70"/>
      <c r="E942" s="70"/>
      <c r="F942" s="70"/>
      <c r="G942" s="70"/>
      <c r="H942" s="70"/>
      <c r="I942" s="70"/>
      <c r="J942" s="70"/>
      <c r="K942" s="70"/>
      <c r="M942" s="3"/>
      <c r="N942" s="3"/>
      <c r="O942" s="3"/>
      <c r="P942" s="3"/>
      <c r="R942" s="3"/>
      <c r="S942" s="3"/>
      <c r="T942" s="3"/>
      <c r="U942" s="3"/>
    </row>
    <row r="943">
      <c r="A943" s="70"/>
      <c r="B943" s="3"/>
      <c r="C943" s="3"/>
      <c r="D943" s="70"/>
      <c r="E943" s="70"/>
      <c r="F943" s="70"/>
      <c r="G943" s="70"/>
      <c r="H943" s="70"/>
      <c r="I943" s="70"/>
      <c r="J943" s="70"/>
      <c r="K943" s="70"/>
      <c r="M943" s="3"/>
      <c r="N943" s="3"/>
      <c r="O943" s="3"/>
      <c r="P943" s="3"/>
      <c r="R943" s="3"/>
      <c r="S943" s="3"/>
      <c r="T943" s="3"/>
      <c r="U943" s="3"/>
    </row>
    <row r="944">
      <c r="A944" s="70"/>
      <c r="B944" s="3"/>
      <c r="C944" s="3"/>
      <c r="D944" s="70"/>
      <c r="E944" s="70"/>
      <c r="F944" s="70"/>
      <c r="G944" s="70"/>
      <c r="H944" s="70"/>
      <c r="I944" s="70"/>
      <c r="J944" s="70"/>
      <c r="K944" s="70"/>
      <c r="M944" s="3"/>
      <c r="N944" s="3"/>
      <c r="O944" s="3"/>
      <c r="P944" s="3"/>
      <c r="R944" s="3"/>
      <c r="S944" s="3"/>
      <c r="T944" s="3"/>
      <c r="U944" s="3"/>
    </row>
    <row r="945">
      <c r="A945" s="70"/>
      <c r="B945" s="3"/>
      <c r="C945" s="3"/>
      <c r="D945" s="70"/>
      <c r="E945" s="70"/>
      <c r="F945" s="70"/>
      <c r="G945" s="70"/>
      <c r="H945" s="70"/>
      <c r="I945" s="70"/>
      <c r="J945" s="70"/>
      <c r="K945" s="70"/>
      <c r="M945" s="3"/>
      <c r="N945" s="3"/>
      <c r="O945" s="3"/>
      <c r="P945" s="3"/>
      <c r="R945" s="3"/>
      <c r="S945" s="3"/>
      <c r="T945" s="3"/>
      <c r="U945" s="3"/>
    </row>
    <row r="946">
      <c r="A946" s="70"/>
      <c r="B946" s="3"/>
      <c r="C946" s="3"/>
      <c r="D946" s="70"/>
      <c r="E946" s="70"/>
      <c r="F946" s="70"/>
      <c r="G946" s="70"/>
      <c r="H946" s="70"/>
      <c r="I946" s="70"/>
      <c r="J946" s="70"/>
      <c r="K946" s="70"/>
      <c r="M946" s="3"/>
      <c r="N946" s="3"/>
      <c r="O946" s="3"/>
      <c r="P946" s="3"/>
      <c r="R946" s="3"/>
      <c r="S946" s="3"/>
      <c r="T946" s="3"/>
      <c r="U946" s="3"/>
    </row>
    <row r="947">
      <c r="A947" s="70"/>
      <c r="B947" s="3"/>
      <c r="C947" s="3"/>
      <c r="D947" s="70"/>
      <c r="E947" s="70"/>
      <c r="F947" s="70"/>
      <c r="G947" s="70"/>
      <c r="H947" s="70"/>
      <c r="I947" s="70"/>
      <c r="J947" s="70"/>
      <c r="K947" s="70"/>
      <c r="M947" s="3"/>
      <c r="N947" s="3"/>
      <c r="O947" s="3"/>
      <c r="P947" s="3"/>
      <c r="R947" s="3"/>
      <c r="S947" s="3"/>
      <c r="T947" s="3"/>
      <c r="U947" s="3"/>
    </row>
    <row r="948">
      <c r="A948" s="70"/>
      <c r="B948" s="3"/>
      <c r="C948" s="3"/>
      <c r="D948" s="70"/>
      <c r="E948" s="70"/>
      <c r="F948" s="70"/>
      <c r="G948" s="70"/>
      <c r="H948" s="70"/>
      <c r="I948" s="70"/>
      <c r="J948" s="70"/>
      <c r="K948" s="70"/>
      <c r="M948" s="3"/>
      <c r="N948" s="3"/>
      <c r="O948" s="3"/>
      <c r="P948" s="3"/>
      <c r="R948" s="3"/>
      <c r="S948" s="3"/>
      <c r="T948" s="3"/>
      <c r="U948" s="3"/>
    </row>
    <row r="949">
      <c r="A949" s="70"/>
      <c r="B949" s="3"/>
      <c r="C949" s="3"/>
      <c r="D949" s="70"/>
      <c r="E949" s="70"/>
      <c r="F949" s="70"/>
      <c r="G949" s="70"/>
      <c r="H949" s="70"/>
      <c r="I949" s="70"/>
      <c r="J949" s="70"/>
      <c r="K949" s="70"/>
      <c r="M949" s="3"/>
      <c r="N949" s="3"/>
      <c r="O949" s="3"/>
      <c r="P949" s="3"/>
      <c r="R949" s="3"/>
      <c r="S949" s="3"/>
      <c r="T949" s="3"/>
      <c r="U949" s="3"/>
    </row>
    <row r="950">
      <c r="A950" s="70"/>
      <c r="B950" s="3"/>
      <c r="C950" s="3"/>
      <c r="D950" s="70"/>
      <c r="E950" s="70"/>
      <c r="F950" s="70"/>
      <c r="G950" s="70"/>
      <c r="H950" s="70"/>
      <c r="I950" s="70"/>
      <c r="J950" s="70"/>
      <c r="K950" s="70"/>
      <c r="M950" s="3"/>
      <c r="N950" s="3"/>
      <c r="O950" s="3"/>
      <c r="P950" s="3"/>
      <c r="R950" s="3"/>
      <c r="S950" s="3"/>
      <c r="T950" s="3"/>
      <c r="U950" s="3"/>
    </row>
    <row r="951">
      <c r="A951" s="70"/>
      <c r="B951" s="3"/>
      <c r="C951" s="3"/>
      <c r="D951" s="70"/>
      <c r="E951" s="70"/>
      <c r="F951" s="70"/>
      <c r="G951" s="70"/>
      <c r="H951" s="70"/>
      <c r="I951" s="70"/>
      <c r="J951" s="70"/>
      <c r="K951" s="70"/>
      <c r="M951" s="3"/>
      <c r="N951" s="3"/>
      <c r="O951" s="3"/>
      <c r="P951" s="3"/>
      <c r="R951" s="3"/>
      <c r="S951" s="3"/>
      <c r="T951" s="3"/>
      <c r="U951" s="3"/>
    </row>
    <row r="952">
      <c r="A952" s="70"/>
      <c r="B952" s="3"/>
      <c r="C952" s="3"/>
      <c r="D952" s="70"/>
      <c r="E952" s="70"/>
      <c r="F952" s="70"/>
      <c r="G952" s="70"/>
      <c r="H952" s="70"/>
      <c r="I952" s="70"/>
      <c r="J952" s="70"/>
      <c r="K952" s="70"/>
      <c r="M952" s="3"/>
      <c r="N952" s="3"/>
      <c r="O952" s="3"/>
      <c r="P952" s="3"/>
      <c r="R952" s="3"/>
      <c r="S952" s="3"/>
      <c r="T952" s="3"/>
      <c r="U952" s="3"/>
    </row>
    <row r="953">
      <c r="A953" s="70"/>
      <c r="B953" s="3"/>
      <c r="C953" s="3"/>
      <c r="D953" s="70"/>
      <c r="E953" s="70"/>
      <c r="F953" s="70"/>
      <c r="G953" s="70"/>
      <c r="H953" s="70"/>
      <c r="I953" s="70"/>
      <c r="J953" s="70"/>
      <c r="K953" s="70"/>
      <c r="M953" s="3"/>
      <c r="N953" s="3"/>
      <c r="O953" s="3"/>
      <c r="P953" s="3"/>
      <c r="R953" s="3"/>
      <c r="S953" s="3"/>
      <c r="T953" s="3"/>
      <c r="U953" s="3"/>
    </row>
    <row r="954">
      <c r="A954" s="70"/>
      <c r="B954" s="3"/>
      <c r="C954" s="3"/>
      <c r="D954" s="70"/>
      <c r="E954" s="70"/>
      <c r="F954" s="70"/>
      <c r="G954" s="70"/>
      <c r="H954" s="70"/>
      <c r="I954" s="70"/>
      <c r="J954" s="70"/>
      <c r="K954" s="70"/>
      <c r="M954" s="3"/>
      <c r="N954" s="3"/>
      <c r="O954" s="3"/>
      <c r="P954" s="3"/>
      <c r="R954" s="3"/>
      <c r="S954" s="3"/>
      <c r="T954" s="3"/>
      <c r="U954" s="3"/>
    </row>
    <row r="955">
      <c r="A955" s="70"/>
      <c r="B955" s="3"/>
      <c r="C955" s="3"/>
      <c r="D955" s="70"/>
      <c r="E955" s="70"/>
      <c r="F955" s="70"/>
      <c r="G955" s="70"/>
      <c r="H955" s="70"/>
      <c r="I955" s="70"/>
      <c r="J955" s="70"/>
      <c r="K955" s="70"/>
      <c r="M955" s="3"/>
      <c r="N955" s="3"/>
      <c r="O955" s="3"/>
      <c r="P955" s="3"/>
      <c r="R955" s="3"/>
      <c r="S955" s="3"/>
      <c r="T955" s="3"/>
      <c r="U955" s="3"/>
    </row>
    <row r="956">
      <c r="A956" s="70"/>
      <c r="B956" s="3"/>
      <c r="C956" s="3"/>
      <c r="D956" s="70"/>
      <c r="E956" s="70"/>
      <c r="F956" s="70"/>
      <c r="G956" s="70"/>
      <c r="H956" s="70"/>
      <c r="I956" s="70"/>
      <c r="J956" s="70"/>
      <c r="K956" s="70"/>
      <c r="M956" s="3"/>
      <c r="N956" s="3"/>
      <c r="O956" s="3"/>
      <c r="P956" s="3"/>
      <c r="R956" s="3"/>
      <c r="S956" s="3"/>
      <c r="T956" s="3"/>
      <c r="U956" s="3"/>
    </row>
    <row r="957">
      <c r="A957" s="70"/>
      <c r="B957" s="3"/>
      <c r="C957" s="3"/>
      <c r="D957" s="70"/>
      <c r="E957" s="70"/>
      <c r="F957" s="70"/>
      <c r="G957" s="70"/>
      <c r="H957" s="70"/>
      <c r="I957" s="70"/>
      <c r="J957" s="70"/>
      <c r="K957" s="70"/>
      <c r="M957" s="3"/>
      <c r="N957" s="3"/>
      <c r="O957" s="3"/>
      <c r="P957" s="3"/>
      <c r="R957" s="3"/>
      <c r="S957" s="3"/>
      <c r="T957" s="3"/>
      <c r="U957" s="3"/>
    </row>
    <row r="958">
      <c r="A958" s="70"/>
      <c r="B958" s="3"/>
      <c r="C958" s="3"/>
      <c r="D958" s="70"/>
      <c r="E958" s="70"/>
      <c r="F958" s="70"/>
      <c r="G958" s="70"/>
      <c r="H958" s="70"/>
      <c r="I958" s="70"/>
      <c r="J958" s="70"/>
      <c r="K958" s="70"/>
      <c r="M958" s="3"/>
      <c r="N958" s="3"/>
      <c r="O958" s="3"/>
      <c r="P958" s="3"/>
      <c r="R958" s="3"/>
      <c r="S958" s="3"/>
      <c r="T958" s="3"/>
      <c r="U958" s="3"/>
    </row>
    <row r="959">
      <c r="A959" s="70"/>
      <c r="B959" s="3"/>
      <c r="C959" s="3"/>
      <c r="D959" s="70"/>
      <c r="E959" s="70"/>
      <c r="F959" s="70"/>
      <c r="G959" s="70"/>
      <c r="H959" s="70"/>
      <c r="I959" s="70"/>
      <c r="J959" s="70"/>
      <c r="K959" s="70"/>
      <c r="M959" s="3"/>
      <c r="N959" s="3"/>
      <c r="O959" s="3"/>
      <c r="P959" s="3"/>
      <c r="R959" s="3"/>
      <c r="S959" s="3"/>
      <c r="T959" s="3"/>
      <c r="U959" s="3"/>
    </row>
    <row r="960">
      <c r="A960" s="70"/>
      <c r="B960" s="3"/>
      <c r="C960" s="3"/>
      <c r="D960" s="70"/>
      <c r="E960" s="70"/>
      <c r="F960" s="70"/>
      <c r="G960" s="70"/>
      <c r="H960" s="70"/>
      <c r="I960" s="70"/>
      <c r="J960" s="70"/>
      <c r="K960" s="70"/>
      <c r="M960" s="3"/>
      <c r="N960" s="3"/>
      <c r="O960" s="3"/>
      <c r="P960" s="3"/>
      <c r="R960" s="3"/>
      <c r="S960" s="3"/>
      <c r="T960" s="3"/>
      <c r="U960" s="3"/>
    </row>
    <row r="961">
      <c r="A961" s="70"/>
      <c r="B961" s="3"/>
      <c r="C961" s="3"/>
      <c r="D961" s="70"/>
      <c r="E961" s="70"/>
      <c r="F961" s="70"/>
      <c r="G961" s="70"/>
      <c r="H961" s="70"/>
      <c r="I961" s="70"/>
      <c r="J961" s="70"/>
      <c r="K961" s="70"/>
      <c r="M961" s="3"/>
      <c r="N961" s="3"/>
      <c r="O961" s="3"/>
      <c r="P961" s="3"/>
      <c r="R961" s="3"/>
      <c r="S961" s="3"/>
      <c r="T961" s="3"/>
      <c r="U961" s="3"/>
    </row>
    <row r="962">
      <c r="A962" s="70"/>
      <c r="B962" s="3"/>
      <c r="C962" s="3"/>
      <c r="D962" s="70"/>
      <c r="E962" s="70"/>
      <c r="F962" s="70"/>
      <c r="G962" s="70"/>
      <c r="H962" s="70"/>
      <c r="I962" s="70"/>
      <c r="J962" s="70"/>
      <c r="K962" s="70"/>
      <c r="M962" s="3"/>
      <c r="N962" s="3"/>
      <c r="O962" s="3"/>
      <c r="P962" s="3"/>
      <c r="R962" s="3"/>
      <c r="S962" s="3"/>
      <c r="T962" s="3"/>
      <c r="U962" s="3"/>
    </row>
    <row r="963">
      <c r="A963" s="70"/>
      <c r="B963" s="3"/>
      <c r="C963" s="3"/>
      <c r="D963" s="70"/>
      <c r="E963" s="70"/>
      <c r="F963" s="70"/>
      <c r="G963" s="70"/>
      <c r="H963" s="70"/>
      <c r="I963" s="70"/>
      <c r="J963" s="70"/>
      <c r="K963" s="70"/>
      <c r="M963" s="3"/>
      <c r="N963" s="3"/>
      <c r="O963" s="3"/>
      <c r="P963" s="3"/>
      <c r="R963" s="3"/>
      <c r="S963" s="3"/>
      <c r="T963" s="3"/>
      <c r="U963" s="3"/>
    </row>
    <row r="964">
      <c r="A964" s="70"/>
      <c r="B964" s="3"/>
      <c r="C964" s="3"/>
      <c r="D964" s="70"/>
      <c r="E964" s="70"/>
      <c r="F964" s="70"/>
      <c r="G964" s="70"/>
      <c r="H964" s="70"/>
      <c r="I964" s="70"/>
      <c r="J964" s="70"/>
      <c r="K964" s="70"/>
      <c r="M964" s="3"/>
      <c r="N964" s="3"/>
      <c r="O964" s="3"/>
      <c r="P964" s="3"/>
      <c r="R964" s="3"/>
      <c r="S964" s="3"/>
      <c r="T964" s="3"/>
      <c r="U964" s="3"/>
    </row>
    <row r="965">
      <c r="A965" s="70"/>
      <c r="B965" s="3"/>
      <c r="C965" s="3"/>
      <c r="D965" s="70"/>
      <c r="E965" s="70"/>
      <c r="F965" s="70"/>
      <c r="G965" s="70"/>
      <c r="H965" s="70"/>
      <c r="I965" s="70"/>
      <c r="J965" s="70"/>
      <c r="K965" s="70"/>
      <c r="M965" s="3"/>
      <c r="N965" s="3"/>
      <c r="O965" s="3"/>
      <c r="P965" s="3"/>
      <c r="R965" s="3"/>
      <c r="S965" s="3"/>
      <c r="T965" s="3"/>
      <c r="U965" s="3"/>
    </row>
    <row r="966">
      <c r="A966" s="70"/>
      <c r="B966" s="3"/>
      <c r="C966" s="3"/>
      <c r="D966" s="70"/>
      <c r="E966" s="70"/>
      <c r="F966" s="70"/>
      <c r="G966" s="70"/>
      <c r="H966" s="70"/>
      <c r="I966" s="70"/>
      <c r="J966" s="70"/>
      <c r="K966" s="70"/>
      <c r="M966" s="3"/>
      <c r="N966" s="3"/>
      <c r="O966" s="3"/>
      <c r="P966" s="3"/>
      <c r="R966" s="3"/>
      <c r="S966" s="3"/>
      <c r="T966" s="3"/>
      <c r="U966" s="3"/>
    </row>
    <row r="967">
      <c r="A967" s="70"/>
      <c r="B967" s="3"/>
      <c r="C967" s="3"/>
      <c r="D967" s="70"/>
      <c r="E967" s="70"/>
      <c r="F967" s="70"/>
      <c r="G967" s="70"/>
      <c r="H967" s="70"/>
      <c r="I967" s="70"/>
      <c r="J967" s="70"/>
      <c r="K967" s="70"/>
      <c r="M967" s="3"/>
      <c r="N967" s="3"/>
      <c r="O967" s="3"/>
      <c r="P967" s="3"/>
      <c r="R967" s="3"/>
      <c r="S967" s="3"/>
      <c r="T967" s="3"/>
      <c r="U967" s="3"/>
    </row>
    <row r="968">
      <c r="A968" s="70"/>
      <c r="B968" s="3"/>
      <c r="C968" s="3"/>
      <c r="D968" s="70"/>
      <c r="E968" s="70"/>
      <c r="F968" s="70"/>
      <c r="G968" s="70"/>
      <c r="H968" s="70"/>
      <c r="I968" s="70"/>
      <c r="J968" s="70"/>
      <c r="K968" s="70"/>
      <c r="M968" s="3"/>
      <c r="N968" s="3"/>
      <c r="O968" s="3"/>
      <c r="P968" s="3"/>
      <c r="R968" s="3"/>
      <c r="S968" s="3"/>
      <c r="T968" s="3"/>
      <c r="U968" s="3"/>
    </row>
    <row r="969">
      <c r="A969" s="70"/>
      <c r="B969" s="3"/>
      <c r="C969" s="3"/>
      <c r="D969" s="70"/>
      <c r="E969" s="70"/>
      <c r="F969" s="70"/>
      <c r="G969" s="70"/>
      <c r="H969" s="70"/>
      <c r="I969" s="70"/>
      <c r="J969" s="70"/>
      <c r="K969" s="70"/>
      <c r="M969" s="3"/>
      <c r="N969" s="3"/>
      <c r="O969" s="3"/>
      <c r="P969" s="3"/>
      <c r="R969" s="3"/>
      <c r="S969" s="3"/>
      <c r="T969" s="3"/>
      <c r="U969" s="3"/>
    </row>
    <row r="970">
      <c r="A970" s="70"/>
      <c r="B970" s="3"/>
      <c r="C970" s="3"/>
      <c r="D970" s="70"/>
      <c r="E970" s="70"/>
      <c r="F970" s="70"/>
      <c r="G970" s="70"/>
      <c r="H970" s="70"/>
      <c r="I970" s="70"/>
      <c r="J970" s="70"/>
      <c r="K970" s="70"/>
      <c r="M970" s="3"/>
      <c r="N970" s="3"/>
      <c r="O970" s="3"/>
      <c r="P970" s="3"/>
      <c r="R970" s="3"/>
      <c r="S970" s="3"/>
      <c r="T970" s="3"/>
      <c r="U970" s="3"/>
    </row>
    <row r="971">
      <c r="A971" s="70"/>
      <c r="B971" s="3"/>
      <c r="C971" s="3"/>
      <c r="D971" s="70"/>
      <c r="E971" s="70"/>
      <c r="F971" s="70"/>
      <c r="G971" s="70"/>
      <c r="H971" s="70"/>
      <c r="I971" s="70"/>
      <c r="J971" s="70"/>
      <c r="K971" s="70"/>
      <c r="M971" s="3"/>
      <c r="N971" s="3"/>
      <c r="O971" s="3"/>
      <c r="P971" s="3"/>
      <c r="R971" s="3"/>
      <c r="S971" s="3"/>
      <c r="T971" s="3"/>
      <c r="U971" s="3"/>
    </row>
    <row r="972">
      <c r="A972" s="70"/>
      <c r="B972" s="3"/>
      <c r="C972" s="3"/>
      <c r="D972" s="70"/>
      <c r="E972" s="70"/>
      <c r="F972" s="70"/>
      <c r="G972" s="70"/>
      <c r="H972" s="70"/>
      <c r="I972" s="70"/>
      <c r="J972" s="70"/>
      <c r="K972" s="70"/>
      <c r="M972" s="3"/>
      <c r="N972" s="3"/>
      <c r="O972" s="3"/>
      <c r="P972" s="3"/>
      <c r="R972" s="3"/>
      <c r="S972" s="3"/>
      <c r="T972" s="3"/>
      <c r="U972" s="3"/>
    </row>
    <row r="973">
      <c r="A973" s="70"/>
      <c r="B973" s="3"/>
      <c r="C973" s="3"/>
      <c r="D973" s="70"/>
      <c r="E973" s="70"/>
      <c r="F973" s="70"/>
      <c r="G973" s="70"/>
      <c r="H973" s="70"/>
      <c r="I973" s="70"/>
      <c r="J973" s="70"/>
      <c r="K973" s="70"/>
      <c r="M973" s="3"/>
      <c r="N973" s="3"/>
      <c r="O973" s="3"/>
      <c r="P973" s="3"/>
      <c r="R973" s="3"/>
      <c r="S973" s="3"/>
      <c r="T973" s="3"/>
      <c r="U973" s="3"/>
    </row>
    <row r="974">
      <c r="A974" s="70"/>
      <c r="B974" s="3"/>
      <c r="C974" s="3"/>
      <c r="D974" s="70"/>
      <c r="E974" s="70"/>
      <c r="F974" s="70"/>
      <c r="G974" s="70"/>
      <c r="H974" s="70"/>
      <c r="I974" s="70"/>
      <c r="J974" s="70"/>
      <c r="K974" s="70"/>
      <c r="M974" s="3"/>
      <c r="N974" s="3"/>
      <c r="O974" s="3"/>
      <c r="P974" s="3"/>
      <c r="R974" s="3"/>
      <c r="S974" s="3"/>
      <c r="T974" s="3"/>
      <c r="U974" s="3"/>
    </row>
    <row r="975">
      <c r="A975" s="70"/>
      <c r="B975" s="3"/>
      <c r="C975" s="3"/>
      <c r="D975" s="70"/>
      <c r="E975" s="70"/>
      <c r="F975" s="70"/>
      <c r="G975" s="70"/>
      <c r="H975" s="70"/>
      <c r="I975" s="70"/>
      <c r="J975" s="70"/>
      <c r="K975" s="70"/>
      <c r="M975" s="3"/>
      <c r="N975" s="3"/>
      <c r="O975" s="3"/>
      <c r="P975" s="3"/>
      <c r="R975" s="3"/>
      <c r="S975" s="3"/>
      <c r="T975" s="3"/>
      <c r="U975" s="3"/>
    </row>
    <row r="976">
      <c r="A976" s="70"/>
      <c r="B976" s="3"/>
      <c r="C976" s="3"/>
      <c r="D976" s="70"/>
      <c r="E976" s="70"/>
      <c r="F976" s="70"/>
      <c r="G976" s="70"/>
      <c r="H976" s="70"/>
      <c r="I976" s="70"/>
      <c r="J976" s="70"/>
      <c r="K976" s="70"/>
      <c r="M976" s="3"/>
      <c r="N976" s="3"/>
      <c r="O976" s="3"/>
      <c r="P976" s="3"/>
      <c r="R976" s="3"/>
      <c r="S976" s="3"/>
      <c r="T976" s="3"/>
      <c r="U976" s="3"/>
    </row>
    <row r="977">
      <c r="A977" s="70"/>
      <c r="B977" s="3"/>
      <c r="C977" s="3"/>
      <c r="D977" s="70"/>
      <c r="E977" s="70"/>
      <c r="F977" s="70"/>
      <c r="G977" s="70"/>
      <c r="H977" s="70"/>
      <c r="I977" s="70"/>
      <c r="J977" s="70"/>
      <c r="K977" s="70"/>
      <c r="M977" s="3"/>
      <c r="N977" s="3"/>
      <c r="O977" s="3"/>
      <c r="P977" s="3"/>
      <c r="R977" s="3"/>
      <c r="S977" s="3"/>
      <c r="T977" s="3"/>
      <c r="U977" s="3"/>
    </row>
    <row r="978">
      <c r="A978" s="70"/>
      <c r="B978" s="3"/>
      <c r="C978" s="3"/>
      <c r="D978" s="70"/>
      <c r="E978" s="70"/>
      <c r="F978" s="70"/>
      <c r="G978" s="70"/>
      <c r="H978" s="70"/>
      <c r="I978" s="70"/>
      <c r="J978" s="70"/>
      <c r="K978" s="70"/>
      <c r="M978" s="3"/>
      <c r="N978" s="3"/>
      <c r="O978" s="3"/>
      <c r="P978" s="3"/>
      <c r="R978" s="3"/>
      <c r="S978" s="3"/>
      <c r="T978" s="3"/>
      <c r="U978" s="3"/>
    </row>
    <row r="979">
      <c r="A979" s="70"/>
      <c r="B979" s="3"/>
      <c r="C979" s="3"/>
      <c r="D979" s="70"/>
      <c r="E979" s="70"/>
      <c r="F979" s="70"/>
      <c r="G979" s="70"/>
      <c r="H979" s="70"/>
      <c r="I979" s="70"/>
      <c r="J979" s="70"/>
      <c r="K979" s="70"/>
      <c r="M979" s="3"/>
      <c r="N979" s="3"/>
      <c r="O979" s="3"/>
      <c r="P979" s="3"/>
      <c r="R979" s="3"/>
      <c r="S979" s="3"/>
      <c r="T979" s="3"/>
      <c r="U979" s="3"/>
    </row>
    <row r="980">
      <c r="A980" s="70"/>
      <c r="B980" s="3"/>
      <c r="C980" s="3"/>
      <c r="D980" s="70"/>
      <c r="E980" s="70"/>
      <c r="F980" s="70"/>
      <c r="G980" s="70"/>
      <c r="H980" s="70"/>
      <c r="I980" s="70"/>
      <c r="J980" s="70"/>
      <c r="K980" s="70"/>
      <c r="M980" s="3"/>
      <c r="N980" s="3"/>
      <c r="O980" s="3"/>
      <c r="P980" s="3"/>
      <c r="R980" s="3"/>
      <c r="S980" s="3"/>
      <c r="T980" s="3"/>
      <c r="U980" s="3"/>
    </row>
    <row r="981">
      <c r="A981" s="70"/>
      <c r="B981" s="3"/>
      <c r="C981" s="3"/>
      <c r="D981" s="70"/>
      <c r="E981" s="70"/>
      <c r="F981" s="70"/>
      <c r="G981" s="70"/>
      <c r="H981" s="70"/>
      <c r="I981" s="70"/>
      <c r="J981" s="70"/>
      <c r="K981" s="70"/>
      <c r="M981" s="3"/>
      <c r="N981" s="3"/>
      <c r="O981" s="3"/>
      <c r="P981" s="3"/>
      <c r="R981" s="3"/>
      <c r="S981" s="3"/>
      <c r="T981" s="3"/>
      <c r="U981" s="3"/>
    </row>
    <row r="982">
      <c r="A982" s="70"/>
      <c r="B982" s="3"/>
      <c r="C982" s="3"/>
      <c r="D982" s="70"/>
      <c r="E982" s="70"/>
      <c r="F982" s="70"/>
      <c r="G982" s="70"/>
      <c r="H982" s="70"/>
      <c r="I982" s="70"/>
      <c r="J982" s="70"/>
      <c r="K982" s="70"/>
      <c r="M982" s="3"/>
      <c r="N982" s="3"/>
      <c r="O982" s="3"/>
      <c r="P982" s="3"/>
      <c r="R982" s="3"/>
      <c r="S982" s="3"/>
      <c r="T982" s="3"/>
      <c r="U982" s="3"/>
    </row>
    <row r="983">
      <c r="A983" s="70"/>
      <c r="B983" s="3"/>
      <c r="C983" s="3"/>
      <c r="D983" s="70"/>
      <c r="E983" s="70"/>
      <c r="F983" s="70"/>
      <c r="G983" s="70"/>
      <c r="H983" s="70"/>
      <c r="I983" s="70"/>
      <c r="J983" s="70"/>
      <c r="K983" s="70"/>
      <c r="M983" s="3"/>
      <c r="N983" s="3"/>
      <c r="O983" s="3"/>
      <c r="P983" s="3"/>
      <c r="R983" s="3"/>
      <c r="S983" s="3"/>
      <c r="T983" s="3"/>
      <c r="U983" s="3"/>
    </row>
    <row r="984">
      <c r="A984" s="70"/>
      <c r="B984" s="3"/>
      <c r="C984" s="3"/>
      <c r="D984" s="70"/>
      <c r="E984" s="70"/>
      <c r="F984" s="70"/>
      <c r="G984" s="70"/>
      <c r="H984" s="70"/>
      <c r="I984" s="70"/>
      <c r="J984" s="70"/>
      <c r="K984" s="70"/>
      <c r="M984" s="3"/>
      <c r="N984" s="3"/>
      <c r="O984" s="3"/>
      <c r="P984" s="3"/>
      <c r="R984" s="3"/>
      <c r="S984" s="3"/>
      <c r="T984" s="3"/>
      <c r="U984" s="3"/>
    </row>
    <row r="985">
      <c r="A985" s="70"/>
      <c r="B985" s="3"/>
      <c r="C985" s="3"/>
      <c r="D985" s="70"/>
      <c r="E985" s="70"/>
      <c r="F985" s="70"/>
      <c r="G985" s="70"/>
      <c r="H985" s="70"/>
      <c r="I985" s="70"/>
      <c r="J985" s="70"/>
      <c r="K985" s="70"/>
      <c r="M985" s="3"/>
      <c r="N985" s="3"/>
      <c r="O985" s="3"/>
      <c r="P985" s="3"/>
      <c r="R985" s="3"/>
      <c r="S985" s="3"/>
      <c r="T985" s="3"/>
      <c r="U985" s="3"/>
    </row>
    <row r="986">
      <c r="A986" s="70"/>
      <c r="B986" s="3"/>
      <c r="C986" s="3"/>
      <c r="D986" s="70"/>
      <c r="E986" s="70"/>
      <c r="F986" s="70"/>
      <c r="G986" s="70"/>
      <c r="H986" s="70"/>
      <c r="I986" s="70"/>
      <c r="J986" s="70"/>
      <c r="K986" s="70"/>
      <c r="M986" s="3"/>
      <c r="N986" s="3"/>
      <c r="O986" s="3"/>
      <c r="P986" s="3"/>
      <c r="R986" s="3"/>
      <c r="S986" s="3"/>
      <c r="T986" s="3"/>
      <c r="U986" s="3"/>
    </row>
    <row r="987">
      <c r="A987" s="70"/>
      <c r="B987" s="3"/>
      <c r="C987" s="3"/>
      <c r="D987" s="70"/>
      <c r="E987" s="70"/>
      <c r="F987" s="70"/>
      <c r="G987" s="70"/>
      <c r="H987" s="70"/>
      <c r="I987" s="70"/>
      <c r="J987" s="70"/>
      <c r="K987" s="70"/>
      <c r="M987" s="3"/>
      <c r="N987" s="3"/>
      <c r="O987" s="3"/>
      <c r="P987" s="3"/>
      <c r="R987" s="3"/>
      <c r="S987" s="3"/>
      <c r="T987" s="3"/>
      <c r="U987" s="3"/>
    </row>
    <row r="988">
      <c r="A988" s="70"/>
      <c r="B988" s="3"/>
      <c r="C988" s="3"/>
      <c r="D988" s="70"/>
      <c r="E988" s="70"/>
      <c r="F988" s="70"/>
      <c r="G988" s="70"/>
      <c r="H988" s="70"/>
      <c r="I988" s="70"/>
      <c r="J988" s="70"/>
      <c r="K988" s="70"/>
      <c r="M988" s="3"/>
      <c r="N988" s="3"/>
      <c r="O988" s="3"/>
      <c r="P988" s="3"/>
      <c r="R988" s="3"/>
      <c r="S988" s="3"/>
      <c r="T988" s="3"/>
      <c r="U988" s="3"/>
    </row>
    <row r="989">
      <c r="A989" s="70"/>
      <c r="B989" s="3"/>
      <c r="C989" s="3"/>
      <c r="D989" s="70"/>
      <c r="E989" s="70"/>
      <c r="F989" s="70"/>
      <c r="G989" s="70"/>
      <c r="H989" s="70"/>
      <c r="I989" s="70"/>
      <c r="J989" s="70"/>
      <c r="K989" s="70"/>
      <c r="M989" s="3"/>
      <c r="N989" s="3"/>
      <c r="O989" s="3"/>
      <c r="P989" s="3"/>
      <c r="R989" s="3"/>
      <c r="S989" s="3"/>
      <c r="T989" s="3"/>
      <c r="U989" s="3"/>
    </row>
    <row r="990">
      <c r="A990" s="70"/>
      <c r="B990" s="3"/>
      <c r="C990" s="3"/>
      <c r="D990" s="70"/>
      <c r="E990" s="70"/>
      <c r="F990" s="70"/>
      <c r="G990" s="70"/>
      <c r="H990" s="70"/>
      <c r="I990" s="70"/>
      <c r="J990" s="70"/>
      <c r="K990" s="70"/>
      <c r="M990" s="3"/>
      <c r="N990" s="3"/>
      <c r="O990" s="3"/>
      <c r="P990" s="3"/>
      <c r="R990" s="3"/>
      <c r="S990" s="3"/>
      <c r="T990" s="3"/>
      <c r="U990" s="3"/>
    </row>
    <row r="991">
      <c r="A991" s="70"/>
      <c r="B991" s="3"/>
      <c r="C991" s="3"/>
      <c r="D991" s="70"/>
      <c r="E991" s="70"/>
      <c r="F991" s="70"/>
      <c r="G991" s="70"/>
      <c r="H991" s="70"/>
      <c r="I991" s="70"/>
      <c r="J991" s="70"/>
      <c r="K991" s="70"/>
      <c r="M991" s="3"/>
      <c r="N991" s="3"/>
      <c r="O991" s="3"/>
      <c r="P991" s="3"/>
      <c r="R991" s="3"/>
      <c r="S991" s="3"/>
      <c r="T991" s="3"/>
      <c r="U991" s="3"/>
    </row>
    <row r="992">
      <c r="A992" s="70"/>
      <c r="B992" s="3"/>
      <c r="C992" s="3"/>
      <c r="D992" s="70"/>
      <c r="E992" s="70"/>
      <c r="F992" s="70"/>
      <c r="G992" s="70"/>
      <c r="H992" s="70"/>
      <c r="I992" s="70"/>
      <c r="J992" s="70"/>
      <c r="K992" s="70"/>
      <c r="M992" s="3"/>
      <c r="N992" s="3"/>
      <c r="O992" s="3"/>
      <c r="P992" s="3"/>
      <c r="R992" s="3"/>
      <c r="S992" s="3"/>
      <c r="T992" s="3"/>
      <c r="U992" s="3"/>
    </row>
    <row r="993">
      <c r="A993" s="70"/>
      <c r="B993" s="3"/>
      <c r="C993" s="3"/>
      <c r="D993" s="70"/>
      <c r="E993" s="70"/>
      <c r="F993" s="70"/>
      <c r="G993" s="70"/>
      <c r="H993" s="70"/>
      <c r="I993" s="70"/>
      <c r="J993" s="70"/>
      <c r="K993" s="70"/>
      <c r="M993" s="3"/>
      <c r="N993" s="3"/>
      <c r="O993" s="3"/>
      <c r="P993" s="3"/>
      <c r="R993" s="3"/>
      <c r="S993" s="3"/>
      <c r="T993" s="3"/>
      <c r="U993" s="3"/>
    </row>
    <row r="994">
      <c r="A994" s="70"/>
      <c r="B994" s="3"/>
      <c r="C994" s="3"/>
      <c r="D994" s="70"/>
      <c r="E994" s="70"/>
      <c r="F994" s="70"/>
      <c r="G994" s="70"/>
      <c r="H994" s="70"/>
      <c r="I994" s="70"/>
      <c r="J994" s="70"/>
      <c r="K994" s="70"/>
      <c r="M994" s="3"/>
      <c r="N994" s="3"/>
      <c r="O994" s="3"/>
      <c r="P994" s="3"/>
      <c r="R994" s="3"/>
      <c r="S994" s="3"/>
      <c r="T994" s="3"/>
      <c r="U994" s="3"/>
    </row>
    <row r="995">
      <c r="A995" s="70"/>
      <c r="B995" s="3"/>
      <c r="C995" s="3"/>
      <c r="D995" s="70"/>
      <c r="E995" s="70"/>
      <c r="F995" s="70"/>
      <c r="G995" s="70"/>
      <c r="H995" s="70"/>
      <c r="I995" s="70"/>
      <c r="J995" s="70"/>
      <c r="K995" s="70"/>
      <c r="M995" s="3"/>
      <c r="N995" s="3"/>
      <c r="O995" s="3"/>
      <c r="P995" s="3"/>
      <c r="R995" s="3"/>
      <c r="S995" s="3"/>
      <c r="T995" s="3"/>
      <c r="U995" s="3"/>
    </row>
    <row r="996">
      <c r="A996" s="70"/>
      <c r="B996" s="3"/>
      <c r="C996" s="3"/>
      <c r="D996" s="70"/>
      <c r="E996" s="70"/>
      <c r="F996" s="70"/>
      <c r="G996" s="70"/>
      <c r="H996" s="70"/>
      <c r="I996" s="70"/>
      <c r="J996" s="70"/>
      <c r="K996" s="70"/>
      <c r="M996" s="3"/>
      <c r="N996" s="3"/>
      <c r="O996" s="3"/>
      <c r="P996" s="3"/>
      <c r="R996" s="3"/>
      <c r="S996" s="3"/>
      <c r="T996" s="3"/>
      <c r="U996" s="3"/>
    </row>
    <row r="997">
      <c r="A997" s="70"/>
      <c r="B997" s="3"/>
      <c r="C997" s="3"/>
      <c r="D997" s="70"/>
      <c r="E997" s="70"/>
      <c r="F997" s="70"/>
      <c r="G997" s="70"/>
      <c r="H997" s="70"/>
      <c r="I997" s="70"/>
      <c r="J997" s="70"/>
      <c r="K997" s="70"/>
      <c r="M997" s="3"/>
      <c r="N997" s="3"/>
      <c r="O997" s="3"/>
      <c r="P997" s="3"/>
      <c r="R997" s="3"/>
      <c r="S997" s="3"/>
      <c r="T997" s="3"/>
      <c r="U997" s="3"/>
    </row>
    <row r="998">
      <c r="A998" s="70"/>
      <c r="B998" s="3"/>
      <c r="C998" s="3"/>
      <c r="D998" s="70"/>
      <c r="E998" s="70"/>
      <c r="F998" s="70"/>
      <c r="G998" s="70"/>
      <c r="H998" s="70"/>
      <c r="I998" s="70"/>
      <c r="J998" s="70"/>
      <c r="K998" s="70"/>
      <c r="M998" s="3"/>
      <c r="N998" s="3"/>
      <c r="O998" s="3"/>
      <c r="P998" s="3"/>
      <c r="R998" s="3"/>
      <c r="S998" s="3"/>
      <c r="T998" s="3"/>
      <c r="U998" s="3"/>
    </row>
    <row r="999">
      <c r="A999" s="70"/>
      <c r="B999" s="3"/>
      <c r="C999" s="3"/>
      <c r="D999" s="70"/>
      <c r="E999" s="70"/>
      <c r="F999" s="70"/>
      <c r="G999" s="70"/>
      <c r="H999" s="70"/>
      <c r="I999" s="70"/>
      <c r="J999" s="70"/>
      <c r="K999" s="70"/>
      <c r="M999" s="3"/>
      <c r="N999" s="3"/>
      <c r="O999" s="3"/>
      <c r="P999" s="3"/>
      <c r="R999" s="3"/>
      <c r="S999" s="3"/>
      <c r="T999" s="3"/>
      <c r="U999" s="3"/>
    </row>
    <row r="1000">
      <c r="A1000" s="70"/>
      <c r="B1000" s="3"/>
      <c r="C1000" s="3"/>
      <c r="D1000" s="70"/>
      <c r="E1000" s="70"/>
      <c r="F1000" s="70"/>
      <c r="G1000" s="70"/>
      <c r="H1000" s="70"/>
      <c r="I1000" s="70"/>
      <c r="J1000" s="70"/>
      <c r="K1000" s="70"/>
      <c r="M1000" s="3"/>
      <c r="N1000" s="3"/>
      <c r="O1000" s="3"/>
      <c r="P1000" s="3"/>
      <c r="R1000" s="3"/>
      <c r="S1000" s="3"/>
      <c r="T1000" s="3"/>
      <c r="U1000" s="3"/>
    </row>
  </sheetData>
  <autoFilter ref="$A$1:$U$1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outlinePr summaryBelow="0" summaryRight="0"/>
  </sheetPr>
  <sheetViews>
    <sheetView workbookViewId="0"/>
  </sheetViews>
  <sheetFormatPr customHeight="1" defaultColWidth="17.29" defaultRowHeight="15.0"/>
  <cols>
    <col customWidth="1" min="1" max="1" width="6.43"/>
    <col customWidth="1" min="2" max="2" width="45.43"/>
    <col customWidth="1" min="3" max="3" width="38.14"/>
    <col customWidth="1" min="4" max="4" width="10.71"/>
    <col customWidth="1" min="5" max="5" width="15.14"/>
    <col customWidth="1" min="6" max="7" width="17.71"/>
    <col customWidth="1" min="8" max="8" width="11.86"/>
    <col customWidth="1" min="9" max="9" width="15.29"/>
    <col customWidth="1" min="10" max="10" width="13.71"/>
    <col customWidth="1" min="11" max="11" width="18.43"/>
    <col customWidth="1" min="12" max="12" width="13.57"/>
    <col customWidth="1" min="13" max="13" width="25.14"/>
    <col customWidth="1" min="14" max="14" width="37.86"/>
    <col customWidth="1" min="15" max="15" width="11.43"/>
    <col customWidth="1" min="16" max="16" width="17.86"/>
    <col customWidth="1" min="17" max="17" width="11.43"/>
    <col customWidth="1" min="18" max="18" width="22.43"/>
    <col customWidth="1" min="19" max="19" width="27.57"/>
    <col customWidth="1" min="20" max="20" width="24.0"/>
    <col customWidth="1" min="21" max="26" width="10.71"/>
  </cols>
  <sheetData>
    <row r="1" ht="40.5" customHeight="1">
      <c r="A1" s="89" t="s">
        <v>1587</v>
      </c>
      <c r="B1" s="89" t="s">
        <v>1685</v>
      </c>
      <c r="C1" s="89" t="s">
        <v>1588</v>
      </c>
      <c r="D1" s="89" t="s">
        <v>1589</v>
      </c>
      <c r="E1" s="89" t="s">
        <v>1551</v>
      </c>
      <c r="F1" s="89" t="s">
        <v>1552</v>
      </c>
      <c r="G1" s="89" t="s">
        <v>1553</v>
      </c>
      <c r="H1" s="89" t="s">
        <v>1554</v>
      </c>
      <c r="I1" s="89" t="s">
        <v>1555</v>
      </c>
      <c r="J1" s="89" t="s">
        <v>1554</v>
      </c>
      <c r="K1" s="89" t="s">
        <v>1559</v>
      </c>
      <c r="L1" s="89" t="s">
        <v>1560</v>
      </c>
      <c r="M1" s="89" t="s">
        <v>1561</v>
      </c>
      <c r="N1" s="89" t="s">
        <v>1562</v>
      </c>
      <c r="O1" s="89" t="s">
        <v>1567</v>
      </c>
      <c r="P1" s="89" t="s">
        <v>1568</v>
      </c>
      <c r="Q1" s="89" t="s">
        <v>1569</v>
      </c>
      <c r="R1" s="89" t="s">
        <v>1570</v>
      </c>
      <c r="S1" s="89" t="s">
        <v>1572</v>
      </c>
      <c r="T1" s="89" t="s">
        <v>1573</v>
      </c>
      <c r="U1" s="90"/>
    </row>
    <row r="2" ht="25.5" customHeight="1">
      <c r="A2" s="59">
        <v>1.0</v>
      </c>
      <c r="B2" s="60" t="s">
        <v>15</v>
      </c>
      <c r="C2" s="60" t="s">
        <v>1631</v>
      </c>
      <c r="D2" s="59">
        <v>12.0</v>
      </c>
      <c r="E2" s="59" t="s">
        <v>112</v>
      </c>
      <c r="F2" s="59" t="s">
        <v>114</v>
      </c>
      <c r="G2" s="59" t="s">
        <v>117</v>
      </c>
      <c r="H2" s="59">
        <v>6.0</v>
      </c>
      <c r="I2" s="64" t="s">
        <v>122</v>
      </c>
      <c r="J2" s="59" t="s">
        <v>1592</v>
      </c>
      <c r="K2" s="59" t="s">
        <v>115</v>
      </c>
      <c r="L2" s="62">
        <v>41051.0</v>
      </c>
      <c r="M2" s="84" t="s">
        <v>1811</v>
      </c>
      <c r="N2" s="60" t="s">
        <v>1592</v>
      </c>
      <c r="O2" s="62">
        <v>41026.0</v>
      </c>
      <c r="P2" s="62">
        <v>41036.0</v>
      </c>
      <c r="Q2" s="59">
        <v>14.0</v>
      </c>
      <c r="R2" s="84" t="s">
        <v>114</v>
      </c>
      <c r="S2" s="84" t="s">
        <v>1812</v>
      </c>
      <c r="T2" s="59" t="s">
        <v>1592</v>
      </c>
      <c r="U2" s="90"/>
      <c r="V2" s="5"/>
      <c r="W2" s="5"/>
      <c r="X2" s="5"/>
      <c r="Y2" s="5"/>
      <c r="Z2" s="5"/>
    </row>
    <row r="3" ht="25.5" customHeight="1">
      <c r="A3" s="59">
        <v>2.0</v>
      </c>
      <c r="B3" s="60" t="s">
        <v>15</v>
      </c>
      <c r="C3" s="60" t="s">
        <v>1813</v>
      </c>
      <c r="D3" s="59">
        <v>19.0</v>
      </c>
      <c r="E3" s="59" t="s">
        <v>112</v>
      </c>
      <c r="F3" s="59" t="s">
        <v>125</v>
      </c>
      <c r="G3" s="59" t="s">
        <v>116</v>
      </c>
      <c r="H3" s="64">
        <v>1.0</v>
      </c>
      <c r="I3" s="64" t="s">
        <v>122</v>
      </c>
      <c r="J3" s="59" t="s">
        <v>1592</v>
      </c>
      <c r="K3" s="59" t="s">
        <v>115</v>
      </c>
      <c r="L3" s="62">
        <v>41051.0</v>
      </c>
      <c r="M3" s="64" t="s">
        <v>1592</v>
      </c>
      <c r="N3" s="60" t="s">
        <v>1814</v>
      </c>
      <c r="O3" s="62">
        <v>41024.0</v>
      </c>
      <c r="P3" s="62">
        <v>41036.0</v>
      </c>
      <c r="Q3" s="59" t="s">
        <v>1592</v>
      </c>
      <c r="R3" s="59" t="s">
        <v>1592</v>
      </c>
      <c r="S3" s="59" t="s">
        <v>1592</v>
      </c>
      <c r="T3" s="59" t="s">
        <v>1592</v>
      </c>
      <c r="U3" s="90"/>
      <c r="V3" s="5"/>
      <c r="W3" s="5"/>
      <c r="X3" s="5"/>
      <c r="Y3" s="5"/>
      <c r="Z3" s="5"/>
    </row>
    <row r="4" ht="25.5" customHeight="1">
      <c r="A4" s="59">
        <v>3.0</v>
      </c>
      <c r="B4" s="63" t="s">
        <v>1661</v>
      </c>
      <c r="C4" s="63" t="s">
        <v>1815</v>
      </c>
      <c r="D4" s="59" t="s">
        <v>1674</v>
      </c>
      <c r="E4" s="59" t="s">
        <v>112</v>
      </c>
      <c r="F4" s="59" t="s">
        <v>1675</v>
      </c>
      <c r="G4" s="59" t="s">
        <v>116</v>
      </c>
      <c r="H4" s="59">
        <v>0.0</v>
      </c>
      <c r="I4" s="64" t="s">
        <v>1592</v>
      </c>
      <c r="J4" s="59" t="s">
        <v>1592</v>
      </c>
      <c r="K4" s="59" t="s">
        <v>1596</v>
      </c>
      <c r="L4" s="62" t="s">
        <v>1592</v>
      </c>
      <c r="M4" s="59" t="s">
        <v>1592</v>
      </c>
      <c r="N4" s="60" t="s">
        <v>1592</v>
      </c>
      <c r="O4" s="62">
        <v>41071.0</v>
      </c>
      <c r="P4" s="62">
        <v>41075.0</v>
      </c>
      <c r="Q4" s="59" t="s">
        <v>1592</v>
      </c>
      <c r="R4" s="61" t="s">
        <v>1592</v>
      </c>
      <c r="S4" s="61" t="s">
        <v>1592</v>
      </c>
      <c r="T4" s="59" t="s">
        <v>1592</v>
      </c>
      <c r="U4" s="90"/>
      <c r="V4" s="5"/>
      <c r="W4" s="5"/>
      <c r="X4" s="5"/>
      <c r="Y4" s="5"/>
      <c r="Z4" s="5"/>
    </row>
    <row r="5" ht="25.5" customHeight="1">
      <c r="A5" s="59">
        <v>4.0</v>
      </c>
      <c r="B5" s="63" t="s">
        <v>75</v>
      </c>
      <c r="C5" s="63" t="s">
        <v>1816</v>
      </c>
      <c r="D5" s="59">
        <v>21.0</v>
      </c>
      <c r="E5" s="59" t="s">
        <v>112</v>
      </c>
      <c r="F5" s="59" t="s">
        <v>120</v>
      </c>
      <c r="G5" s="59" t="s">
        <v>117</v>
      </c>
      <c r="H5" s="59">
        <v>0.0</v>
      </c>
      <c r="I5" s="64" t="s">
        <v>116</v>
      </c>
      <c r="J5" s="59">
        <v>6.0</v>
      </c>
      <c r="K5" s="59" t="s">
        <v>115</v>
      </c>
      <c r="L5" s="62">
        <v>41071.0</v>
      </c>
      <c r="M5" s="59" t="s">
        <v>1592</v>
      </c>
      <c r="N5" s="91" t="s">
        <v>1817</v>
      </c>
      <c r="O5" s="62">
        <v>41044.0</v>
      </c>
      <c r="P5" s="62">
        <v>41051.0</v>
      </c>
      <c r="Q5" s="59" t="s">
        <v>1592</v>
      </c>
      <c r="R5" s="61" t="s">
        <v>1592</v>
      </c>
      <c r="S5" s="61" t="s">
        <v>1592</v>
      </c>
      <c r="T5" s="59" t="s">
        <v>1592</v>
      </c>
      <c r="U5" s="90"/>
      <c r="V5" s="5"/>
      <c r="W5" s="5"/>
      <c r="X5" s="5"/>
      <c r="Y5" s="5"/>
      <c r="Z5" s="5"/>
    </row>
    <row r="6" ht="25.5" customHeight="1">
      <c r="A6" s="59">
        <v>5.0</v>
      </c>
      <c r="B6" s="60" t="s">
        <v>98</v>
      </c>
      <c r="C6" s="60" t="s">
        <v>1816</v>
      </c>
      <c r="D6" s="59">
        <v>21.0</v>
      </c>
      <c r="E6" s="59" t="s">
        <v>112</v>
      </c>
      <c r="F6" s="59" t="s">
        <v>120</v>
      </c>
      <c r="G6" s="59" t="s">
        <v>116</v>
      </c>
      <c r="H6" s="64" t="s">
        <v>1592</v>
      </c>
      <c r="I6" s="64" t="s">
        <v>1592</v>
      </c>
      <c r="J6" s="59">
        <v>6.0</v>
      </c>
      <c r="K6" s="59" t="s">
        <v>115</v>
      </c>
      <c r="L6" s="62">
        <v>41071.0</v>
      </c>
      <c r="M6" s="64" t="s">
        <v>1592</v>
      </c>
      <c r="N6" s="60" t="s">
        <v>1818</v>
      </c>
      <c r="O6" s="62">
        <v>41044.0</v>
      </c>
      <c r="P6" s="62">
        <v>41051.0</v>
      </c>
      <c r="Q6" s="59" t="s">
        <v>1592</v>
      </c>
      <c r="R6" s="59" t="s">
        <v>1592</v>
      </c>
      <c r="S6" s="59" t="s">
        <v>1592</v>
      </c>
      <c r="T6" s="59" t="s">
        <v>1592</v>
      </c>
      <c r="U6" s="90"/>
    </row>
    <row r="7" ht="25.5" customHeight="1">
      <c r="A7" s="59">
        <v>6.0</v>
      </c>
      <c r="B7" s="60" t="s">
        <v>1819</v>
      </c>
      <c r="C7" s="60" t="s">
        <v>1611</v>
      </c>
      <c r="D7" s="59">
        <v>14.0</v>
      </c>
      <c r="E7" s="59" t="s">
        <v>112</v>
      </c>
      <c r="F7" s="59" t="s">
        <v>114</v>
      </c>
      <c r="G7" s="59" t="s">
        <v>116</v>
      </c>
      <c r="H7" s="64">
        <v>6.0</v>
      </c>
      <c r="I7" s="64" t="s">
        <v>122</v>
      </c>
      <c r="J7" s="59" t="s">
        <v>1592</v>
      </c>
      <c r="K7" s="59" t="s">
        <v>115</v>
      </c>
      <c r="L7" s="62">
        <v>41061.0</v>
      </c>
      <c r="M7" s="61" t="s">
        <v>1592</v>
      </c>
      <c r="N7" s="60" t="s">
        <v>1820</v>
      </c>
      <c r="O7" s="62">
        <v>41029.0</v>
      </c>
      <c r="P7" s="62">
        <v>41033.0</v>
      </c>
      <c r="Q7" s="59" t="s">
        <v>1592</v>
      </c>
      <c r="R7" s="59" t="s">
        <v>1592</v>
      </c>
      <c r="S7" s="59" t="s">
        <v>1592</v>
      </c>
      <c r="T7" s="59" t="s">
        <v>1592</v>
      </c>
      <c r="U7" s="90"/>
      <c r="V7" s="5"/>
      <c r="W7" s="5"/>
      <c r="X7" s="5"/>
      <c r="Y7" s="5"/>
      <c r="Z7" s="5"/>
    </row>
    <row r="8" ht="25.5" customHeight="1">
      <c r="A8" s="59">
        <v>7.0</v>
      </c>
      <c r="B8" s="60" t="s">
        <v>1819</v>
      </c>
      <c r="C8" s="60" t="s">
        <v>1821</v>
      </c>
      <c r="D8" s="59">
        <v>18.0</v>
      </c>
      <c r="E8" s="59" t="s">
        <v>112</v>
      </c>
      <c r="F8" s="59" t="s">
        <v>125</v>
      </c>
      <c r="G8" s="59" t="s">
        <v>116</v>
      </c>
      <c r="H8" s="64">
        <v>8.0</v>
      </c>
      <c r="I8" s="64" t="s">
        <v>122</v>
      </c>
      <c r="J8" s="59" t="s">
        <v>1592</v>
      </c>
      <c r="K8" s="59" t="s">
        <v>115</v>
      </c>
      <c r="L8" s="62" t="s">
        <v>1822</v>
      </c>
      <c r="M8" s="64" t="s">
        <v>1592</v>
      </c>
      <c r="N8" s="60" t="s">
        <v>1823</v>
      </c>
      <c r="O8" s="62">
        <v>41030.0</v>
      </c>
      <c r="P8" s="62">
        <v>41089.0</v>
      </c>
      <c r="Q8" s="59" t="s">
        <v>1592</v>
      </c>
      <c r="R8" s="59" t="s">
        <v>1592</v>
      </c>
      <c r="S8" s="59" t="s">
        <v>1592</v>
      </c>
      <c r="T8" s="59" t="s">
        <v>1592</v>
      </c>
      <c r="U8" s="90"/>
      <c r="V8" s="5"/>
      <c r="W8" s="5"/>
      <c r="X8" s="5"/>
      <c r="Y8" s="5"/>
      <c r="Z8" s="5"/>
    </row>
    <row r="9" ht="25.5" customHeight="1">
      <c r="A9" s="59">
        <v>8.0</v>
      </c>
      <c r="B9" s="63" t="s">
        <v>1819</v>
      </c>
      <c r="C9" s="63" t="s">
        <v>1824</v>
      </c>
      <c r="D9" s="59">
        <v>21.0</v>
      </c>
      <c r="E9" s="59" t="s">
        <v>112</v>
      </c>
      <c r="F9" s="59" t="s">
        <v>120</v>
      </c>
      <c r="G9" s="59" t="s">
        <v>117</v>
      </c>
      <c r="H9" s="59">
        <v>0.0</v>
      </c>
      <c r="I9" s="64" t="s">
        <v>122</v>
      </c>
      <c r="J9" s="59">
        <v>0.0</v>
      </c>
      <c r="K9" s="59" t="s">
        <v>1596</v>
      </c>
      <c r="L9" s="62" t="s">
        <v>1592</v>
      </c>
      <c r="M9" s="59" t="s">
        <v>1592</v>
      </c>
      <c r="N9" s="91"/>
      <c r="O9" s="62">
        <v>41128.0</v>
      </c>
      <c r="P9" s="62">
        <v>41136.0</v>
      </c>
      <c r="Q9" s="59" t="s">
        <v>1592</v>
      </c>
      <c r="R9" s="61" t="s">
        <v>1592</v>
      </c>
      <c r="S9" s="61" t="s">
        <v>1592</v>
      </c>
      <c r="T9" s="59" t="s">
        <v>1592</v>
      </c>
      <c r="U9" s="90"/>
    </row>
    <row r="10" ht="25.5" customHeight="1">
      <c r="A10" s="59">
        <v>9.0</v>
      </c>
      <c r="B10" s="60" t="s">
        <v>1825</v>
      </c>
      <c r="C10" s="60" t="s">
        <v>1729</v>
      </c>
      <c r="D10" s="59">
        <v>10.0</v>
      </c>
      <c r="E10" s="59" t="s">
        <v>112</v>
      </c>
      <c r="F10" s="59" t="s">
        <v>114</v>
      </c>
      <c r="G10" s="59" t="s">
        <v>117</v>
      </c>
      <c r="H10" s="59">
        <v>8.0</v>
      </c>
      <c r="I10" s="61" t="s">
        <v>116</v>
      </c>
      <c r="J10" s="59">
        <v>4.0</v>
      </c>
      <c r="K10" s="59" t="s">
        <v>1596</v>
      </c>
      <c r="L10" s="62">
        <v>41337.0</v>
      </c>
      <c r="M10" s="61" t="s">
        <v>1592</v>
      </c>
      <c r="N10" s="60" t="s">
        <v>1826</v>
      </c>
      <c r="O10" s="62">
        <v>41260.0</v>
      </c>
      <c r="P10" s="62">
        <v>41281.0</v>
      </c>
      <c r="Q10" s="59" t="s">
        <v>1592</v>
      </c>
      <c r="R10" s="59" t="s">
        <v>1592</v>
      </c>
      <c r="S10" s="59" t="s">
        <v>1592</v>
      </c>
      <c r="T10" s="59" t="s">
        <v>1592</v>
      </c>
      <c r="U10" s="90"/>
      <c r="V10" s="5"/>
      <c r="W10" s="5"/>
      <c r="X10" s="5"/>
      <c r="Y10" s="5"/>
      <c r="Z10" s="5"/>
    </row>
    <row r="11" ht="25.5" customHeight="1">
      <c r="A11" s="59">
        <v>10.0</v>
      </c>
      <c r="B11" s="60" t="s">
        <v>1825</v>
      </c>
      <c r="C11" s="60" t="s">
        <v>1827</v>
      </c>
      <c r="D11" s="59">
        <v>8.0</v>
      </c>
      <c r="E11" s="59" t="s">
        <v>112</v>
      </c>
      <c r="F11" s="59" t="s">
        <v>114</v>
      </c>
      <c r="G11" s="59" t="s">
        <v>117</v>
      </c>
      <c r="H11" s="59">
        <v>6.0</v>
      </c>
      <c r="I11" s="64" t="s">
        <v>122</v>
      </c>
      <c r="J11" s="59" t="s">
        <v>1592</v>
      </c>
      <c r="K11" s="59" t="s">
        <v>115</v>
      </c>
      <c r="L11" s="62">
        <v>41337.0</v>
      </c>
      <c r="M11" s="84" t="s">
        <v>1828</v>
      </c>
      <c r="N11" s="60" t="s">
        <v>1592</v>
      </c>
      <c r="O11" s="62">
        <v>41248.0</v>
      </c>
      <c r="P11" s="62">
        <v>41253.0</v>
      </c>
      <c r="Q11" s="59" t="s">
        <v>1592</v>
      </c>
      <c r="R11" s="84" t="s">
        <v>1829</v>
      </c>
      <c r="S11" s="84" t="s">
        <v>1830</v>
      </c>
      <c r="T11" s="59" t="s">
        <v>1592</v>
      </c>
      <c r="U11" s="90"/>
      <c r="V11" s="5"/>
      <c r="W11" s="5"/>
      <c r="X11" s="5"/>
      <c r="Y11" s="5"/>
      <c r="Z11" s="5"/>
    </row>
    <row r="12" ht="25.5" customHeight="1">
      <c r="A12" s="59">
        <v>11.0</v>
      </c>
      <c r="B12" s="60" t="s">
        <v>1831</v>
      </c>
      <c r="C12" s="60" t="s">
        <v>1832</v>
      </c>
      <c r="D12" s="59">
        <v>8.0</v>
      </c>
      <c r="E12" s="59" t="s">
        <v>112</v>
      </c>
      <c r="F12" s="59" t="s">
        <v>114</v>
      </c>
      <c r="G12" s="59" t="s">
        <v>116</v>
      </c>
      <c r="H12" s="64">
        <v>4.0</v>
      </c>
      <c r="I12" s="64" t="s">
        <v>122</v>
      </c>
      <c r="J12" s="59" t="s">
        <v>1592</v>
      </c>
      <c r="K12" s="59" t="s">
        <v>115</v>
      </c>
      <c r="L12" s="62">
        <v>41246.0</v>
      </c>
      <c r="M12" s="64" t="s">
        <v>1592</v>
      </c>
      <c r="N12" s="60" t="s">
        <v>1833</v>
      </c>
      <c r="O12" s="62">
        <v>41221.0</v>
      </c>
      <c r="P12" s="62">
        <v>41227.0</v>
      </c>
      <c r="Q12" s="59" t="s">
        <v>1592</v>
      </c>
      <c r="R12" s="59" t="s">
        <v>1592</v>
      </c>
      <c r="S12" s="59" t="s">
        <v>1592</v>
      </c>
      <c r="T12" s="59" t="s">
        <v>1592</v>
      </c>
      <c r="U12" s="90"/>
      <c r="V12" s="5"/>
      <c r="W12" s="5"/>
      <c r="X12" s="5"/>
      <c r="Y12" s="5"/>
      <c r="Z12" s="5"/>
    </row>
    <row r="13" ht="25.5" customHeight="1">
      <c r="A13" s="59">
        <v>12.0</v>
      </c>
      <c r="B13" s="60" t="s">
        <v>1834</v>
      </c>
      <c r="C13" s="60" t="s">
        <v>1835</v>
      </c>
      <c r="D13" s="59">
        <v>8.0</v>
      </c>
      <c r="E13" s="59" t="s">
        <v>112</v>
      </c>
      <c r="F13" s="59" t="s">
        <v>114</v>
      </c>
      <c r="G13" s="59" t="s">
        <v>117</v>
      </c>
      <c r="H13" s="59">
        <v>5.0</v>
      </c>
      <c r="I13" s="64" t="s">
        <v>122</v>
      </c>
      <c r="J13" s="59" t="s">
        <v>1592</v>
      </c>
      <c r="K13" s="59" t="s">
        <v>115</v>
      </c>
      <c r="L13" s="62">
        <v>41289.0</v>
      </c>
      <c r="M13" s="84" t="s">
        <v>1836</v>
      </c>
      <c r="N13" s="60" t="s">
        <v>1592</v>
      </c>
      <c r="O13" s="62">
        <v>40944.0</v>
      </c>
      <c r="P13" s="62">
        <v>41253.0</v>
      </c>
      <c r="Q13" s="59">
        <v>14.0</v>
      </c>
      <c r="R13" s="84" t="s">
        <v>114</v>
      </c>
      <c r="S13" s="84" t="s">
        <v>1837</v>
      </c>
      <c r="T13" s="59" t="s">
        <v>1592</v>
      </c>
      <c r="U13" s="90"/>
    </row>
    <row r="14" ht="25.5" customHeight="1">
      <c r="A14" s="59">
        <v>13.0</v>
      </c>
      <c r="B14" s="60" t="s">
        <v>1834</v>
      </c>
      <c r="C14" s="60" t="s">
        <v>1838</v>
      </c>
      <c r="D14" s="59">
        <v>8.0</v>
      </c>
      <c r="E14" s="59" t="s">
        <v>112</v>
      </c>
      <c r="F14" s="59" t="s">
        <v>114</v>
      </c>
      <c r="G14" s="59" t="s">
        <v>117</v>
      </c>
      <c r="H14" s="59">
        <v>4.0</v>
      </c>
      <c r="I14" s="64" t="s">
        <v>122</v>
      </c>
      <c r="J14" s="59" t="s">
        <v>1592</v>
      </c>
      <c r="K14" s="59" t="s">
        <v>115</v>
      </c>
      <c r="L14" s="62">
        <v>41289.0</v>
      </c>
      <c r="M14" s="84" t="s">
        <v>637</v>
      </c>
      <c r="N14" s="60" t="s">
        <v>1592</v>
      </c>
      <c r="O14" s="62">
        <v>41248.0</v>
      </c>
      <c r="P14" s="62">
        <v>41253.0</v>
      </c>
      <c r="Q14" s="59" t="s">
        <v>1592</v>
      </c>
      <c r="R14" s="84" t="s">
        <v>1829</v>
      </c>
      <c r="S14" s="84" t="s">
        <v>1618</v>
      </c>
      <c r="T14" s="59" t="s">
        <v>1592</v>
      </c>
      <c r="U14" s="90"/>
    </row>
    <row r="15" ht="25.5" customHeight="1">
      <c r="A15" s="59">
        <v>14.0</v>
      </c>
      <c r="B15" s="60" t="s">
        <v>1834</v>
      </c>
      <c r="C15" s="60" t="s">
        <v>1839</v>
      </c>
      <c r="D15" s="59">
        <v>8.0</v>
      </c>
      <c r="E15" s="59" t="s">
        <v>112</v>
      </c>
      <c r="F15" s="59" t="s">
        <v>114</v>
      </c>
      <c r="G15" s="59" t="s">
        <v>116</v>
      </c>
      <c r="H15" s="64">
        <v>3.0</v>
      </c>
      <c r="I15" s="64" t="s">
        <v>122</v>
      </c>
      <c r="J15" s="59" t="s">
        <v>1592</v>
      </c>
      <c r="K15" s="59" t="s">
        <v>115</v>
      </c>
      <c r="L15" s="62">
        <v>41334.0</v>
      </c>
      <c r="M15" s="64" t="s">
        <v>1592</v>
      </c>
      <c r="N15" s="60" t="s">
        <v>1840</v>
      </c>
      <c r="O15" s="62">
        <v>41260.0</v>
      </c>
      <c r="P15" s="62">
        <v>41267.0</v>
      </c>
      <c r="Q15" s="59" t="s">
        <v>1592</v>
      </c>
      <c r="R15" s="59" t="s">
        <v>1592</v>
      </c>
      <c r="S15" s="59" t="s">
        <v>1592</v>
      </c>
      <c r="T15" s="59" t="s">
        <v>1592</v>
      </c>
      <c r="U15" s="90" t="s">
        <v>1796</v>
      </c>
    </row>
    <row r="16" ht="25.5" customHeight="1">
      <c r="A16" s="59">
        <v>15.0</v>
      </c>
      <c r="B16" s="60" t="s">
        <v>1628</v>
      </c>
      <c r="C16" s="60" t="s">
        <v>1841</v>
      </c>
      <c r="D16" s="59">
        <v>8.0</v>
      </c>
      <c r="E16" s="59" t="s">
        <v>112</v>
      </c>
      <c r="F16" s="59" t="s">
        <v>114</v>
      </c>
      <c r="G16" s="59" t="s">
        <v>117</v>
      </c>
      <c r="H16" s="64">
        <v>0.0</v>
      </c>
      <c r="I16" s="64" t="s">
        <v>116</v>
      </c>
      <c r="J16" s="59">
        <v>4.0</v>
      </c>
      <c r="K16" s="59" t="s">
        <v>1842</v>
      </c>
      <c r="L16" s="62">
        <v>41337.0</v>
      </c>
      <c r="M16" s="92" t="s">
        <v>1592</v>
      </c>
      <c r="N16" s="60" t="s">
        <v>1843</v>
      </c>
      <c r="O16" s="62">
        <v>41260.0</v>
      </c>
      <c r="P16" s="62">
        <v>41281.0</v>
      </c>
      <c r="Q16" s="59" t="s">
        <v>1592</v>
      </c>
      <c r="R16" s="59" t="s">
        <v>1592</v>
      </c>
      <c r="S16" s="59" t="s">
        <v>1592</v>
      </c>
      <c r="T16" s="59" t="s">
        <v>1592</v>
      </c>
      <c r="U16" s="90"/>
    </row>
    <row r="17" ht="25.5" customHeight="1">
      <c r="A17" s="59">
        <v>16.0</v>
      </c>
      <c r="B17" s="60" t="s">
        <v>1628</v>
      </c>
      <c r="C17" s="60" t="s">
        <v>1844</v>
      </c>
      <c r="D17" s="59">
        <v>8.0</v>
      </c>
      <c r="E17" s="59" t="s">
        <v>112</v>
      </c>
      <c r="F17" s="59" t="s">
        <v>114</v>
      </c>
      <c r="G17" s="59" t="s">
        <v>116</v>
      </c>
      <c r="H17" s="64">
        <v>11.0</v>
      </c>
      <c r="I17" s="64" t="s">
        <v>1592</v>
      </c>
      <c r="J17" s="93" t="s">
        <v>1592</v>
      </c>
      <c r="K17" s="59" t="s">
        <v>115</v>
      </c>
      <c r="L17" s="62">
        <v>41365.0</v>
      </c>
      <c r="M17" s="64" t="s">
        <v>1592</v>
      </c>
      <c r="N17" s="60" t="s">
        <v>1845</v>
      </c>
      <c r="O17" s="62">
        <v>41260.0</v>
      </c>
      <c r="P17" s="62">
        <v>41281.0</v>
      </c>
      <c r="Q17" s="59" t="s">
        <v>1592</v>
      </c>
      <c r="R17" s="59" t="s">
        <v>1592</v>
      </c>
      <c r="S17" s="59" t="s">
        <v>1592</v>
      </c>
      <c r="T17" s="59" t="s">
        <v>1592</v>
      </c>
      <c r="U17" s="90"/>
    </row>
    <row r="18" ht="25.5" customHeight="1">
      <c r="A18" s="59">
        <v>17.0</v>
      </c>
      <c r="B18" s="60" t="s">
        <v>1846</v>
      </c>
      <c r="C18" s="60" t="s">
        <v>1847</v>
      </c>
      <c r="D18" s="59">
        <v>13.0</v>
      </c>
      <c r="E18" s="59" t="s">
        <v>112</v>
      </c>
      <c r="F18" s="59" t="s">
        <v>125</v>
      </c>
      <c r="G18" s="59" t="s">
        <v>117</v>
      </c>
      <c r="H18" s="59">
        <v>4.0</v>
      </c>
      <c r="I18" s="64" t="s">
        <v>122</v>
      </c>
      <c r="J18" s="59" t="s">
        <v>1592</v>
      </c>
      <c r="K18" s="59" t="s">
        <v>115</v>
      </c>
      <c r="L18" s="62">
        <v>41051.0</v>
      </c>
      <c r="M18" s="84" t="s">
        <v>1848</v>
      </c>
      <c r="N18" s="60" t="s">
        <v>1592</v>
      </c>
      <c r="O18" s="62">
        <v>41029.0</v>
      </c>
      <c r="P18" s="62">
        <v>41033.0</v>
      </c>
      <c r="Q18" s="59">
        <v>24.0</v>
      </c>
      <c r="R18" s="84" t="s">
        <v>127</v>
      </c>
      <c r="S18" s="84" t="s">
        <v>1849</v>
      </c>
      <c r="T18" s="59" t="s">
        <v>1592</v>
      </c>
      <c r="U18" s="90"/>
      <c r="V18" s="5"/>
      <c r="W18" s="5"/>
      <c r="X18" s="5"/>
      <c r="Y18" s="5"/>
      <c r="Z18" s="5"/>
    </row>
    <row r="19" ht="25.5" customHeight="1">
      <c r="A19" s="59">
        <v>18.0</v>
      </c>
      <c r="B19" s="60" t="s">
        <v>1850</v>
      </c>
      <c r="C19" s="60" t="s">
        <v>1851</v>
      </c>
      <c r="D19" s="59">
        <v>18.0</v>
      </c>
      <c r="E19" s="59" t="s">
        <v>112</v>
      </c>
      <c r="F19" s="59" t="s">
        <v>125</v>
      </c>
      <c r="G19" s="59" t="s">
        <v>117</v>
      </c>
      <c r="H19" s="64">
        <v>0.0</v>
      </c>
      <c r="I19" s="64" t="s">
        <v>116</v>
      </c>
      <c r="J19" s="59">
        <v>2.0</v>
      </c>
      <c r="K19" s="59" t="s">
        <v>115</v>
      </c>
      <c r="L19" s="62">
        <v>41204.0</v>
      </c>
      <c r="M19" s="84" t="s">
        <v>1592</v>
      </c>
      <c r="N19" s="60" t="s">
        <v>1852</v>
      </c>
      <c r="O19" s="62">
        <v>41137.0</v>
      </c>
      <c r="P19" s="62">
        <v>41143.0</v>
      </c>
      <c r="Q19" s="59" t="s">
        <v>1592</v>
      </c>
      <c r="R19" s="59" t="s">
        <v>1592</v>
      </c>
      <c r="S19" s="59" t="s">
        <v>1592</v>
      </c>
      <c r="T19" s="59" t="s">
        <v>1592</v>
      </c>
      <c r="U19" s="90"/>
      <c r="V19" s="5"/>
      <c r="W19" s="5"/>
      <c r="X19" s="5"/>
      <c r="Y19" s="5"/>
      <c r="Z19" s="5"/>
    </row>
    <row r="20" ht="25.5" customHeight="1">
      <c r="A20" s="59">
        <v>19.0</v>
      </c>
      <c r="B20" s="84" t="s">
        <v>1850</v>
      </c>
      <c r="C20" s="84" t="s">
        <v>1853</v>
      </c>
      <c r="D20" s="59">
        <v>13.0</v>
      </c>
      <c r="E20" s="59" t="s">
        <v>112</v>
      </c>
      <c r="F20" s="59" t="s">
        <v>114</v>
      </c>
      <c r="G20" s="59" t="s">
        <v>117</v>
      </c>
      <c r="H20" s="59">
        <v>2.0</v>
      </c>
      <c r="I20" s="64" t="s">
        <v>1592</v>
      </c>
      <c r="J20" s="59" t="s">
        <v>1592</v>
      </c>
      <c r="K20" s="59" t="s">
        <v>1596</v>
      </c>
      <c r="L20" s="62" t="s">
        <v>1592</v>
      </c>
      <c r="M20" s="84" t="s">
        <v>1592</v>
      </c>
      <c r="N20" s="60" t="s">
        <v>1592</v>
      </c>
      <c r="O20" s="62">
        <v>41052.0</v>
      </c>
      <c r="P20" s="62">
        <v>41059.0</v>
      </c>
      <c r="Q20" s="59" t="s">
        <v>1592</v>
      </c>
      <c r="R20" s="61" t="s">
        <v>1592</v>
      </c>
      <c r="S20" s="61" t="s">
        <v>1592</v>
      </c>
      <c r="T20" s="59" t="s">
        <v>1592</v>
      </c>
      <c r="U20" s="90"/>
      <c r="V20" s="5"/>
      <c r="W20" s="5"/>
      <c r="X20" s="5"/>
      <c r="Y20" s="5"/>
      <c r="Z20" s="5"/>
    </row>
    <row r="21" ht="25.5" customHeight="1">
      <c r="A21" s="59">
        <v>20.0</v>
      </c>
      <c r="B21" s="60" t="s">
        <v>1854</v>
      </c>
      <c r="C21" s="60" t="s">
        <v>1855</v>
      </c>
      <c r="D21" s="59">
        <v>10.0</v>
      </c>
      <c r="E21" s="59" t="s">
        <v>112</v>
      </c>
      <c r="F21" s="64" t="s">
        <v>120</v>
      </c>
      <c r="G21" s="64" t="s">
        <v>117</v>
      </c>
      <c r="H21" s="64">
        <v>12.0</v>
      </c>
      <c r="I21" s="64" t="s">
        <v>122</v>
      </c>
      <c r="J21" s="64" t="s">
        <v>1592</v>
      </c>
      <c r="K21" s="64" t="s">
        <v>115</v>
      </c>
      <c r="L21" s="62">
        <v>41337.0</v>
      </c>
      <c r="M21" s="84" t="s">
        <v>1856</v>
      </c>
      <c r="N21" s="60" t="s">
        <v>1592</v>
      </c>
      <c r="O21" s="62">
        <v>41145.0</v>
      </c>
      <c r="P21" s="62">
        <v>41152.0</v>
      </c>
      <c r="Q21" s="59">
        <v>15.0</v>
      </c>
      <c r="R21" s="84" t="s">
        <v>120</v>
      </c>
      <c r="S21" s="84" t="s">
        <v>75</v>
      </c>
      <c r="T21" s="59" t="s">
        <v>1592</v>
      </c>
      <c r="U21" s="90"/>
      <c r="V21" s="5"/>
      <c r="W21" s="5"/>
      <c r="X21" s="5"/>
      <c r="Y21" s="5"/>
      <c r="Z21" s="5"/>
    </row>
    <row r="22" ht="25.5" customHeight="1">
      <c r="A22" s="59">
        <v>21.0</v>
      </c>
      <c r="B22" s="60" t="s">
        <v>1857</v>
      </c>
      <c r="C22" s="60" t="s">
        <v>1664</v>
      </c>
      <c r="D22" s="59">
        <v>11.0</v>
      </c>
      <c r="E22" s="59" t="s">
        <v>112</v>
      </c>
      <c r="F22" s="59" t="s">
        <v>120</v>
      </c>
      <c r="G22" s="59" t="s">
        <v>117</v>
      </c>
      <c r="H22" s="59">
        <v>12.0</v>
      </c>
      <c r="I22" s="81" t="s">
        <v>122</v>
      </c>
      <c r="J22" s="59" t="s">
        <v>1592</v>
      </c>
      <c r="K22" s="59" t="s">
        <v>115</v>
      </c>
      <c r="L22" s="62">
        <v>40915.0</v>
      </c>
      <c r="M22" s="84" t="s">
        <v>1858</v>
      </c>
      <c r="N22" s="60" t="s">
        <v>1592</v>
      </c>
      <c r="O22" s="62">
        <v>41239.0</v>
      </c>
      <c r="P22" s="62">
        <v>41248.0</v>
      </c>
      <c r="Q22" s="59">
        <v>15.0</v>
      </c>
      <c r="R22" s="84" t="s">
        <v>120</v>
      </c>
      <c r="S22" s="84" t="s">
        <v>1643</v>
      </c>
      <c r="T22" s="59" t="s">
        <v>1592</v>
      </c>
      <c r="U22" s="90"/>
      <c r="V22" s="5"/>
      <c r="W22" s="5"/>
      <c r="X22" s="5"/>
      <c r="Y22" s="5"/>
      <c r="Z22" s="5"/>
    </row>
    <row r="23" ht="25.5" customHeight="1">
      <c r="A23" s="59">
        <v>22.0</v>
      </c>
      <c r="B23" s="60" t="s">
        <v>1859</v>
      </c>
      <c r="C23" s="60" t="s">
        <v>1860</v>
      </c>
      <c r="D23" s="94">
        <v>18.75</v>
      </c>
      <c r="E23" s="59" t="s">
        <v>112</v>
      </c>
      <c r="F23" s="59" t="s">
        <v>125</v>
      </c>
      <c r="G23" s="59" t="s">
        <v>116</v>
      </c>
      <c r="H23" s="64">
        <v>6.0</v>
      </c>
      <c r="I23" s="81" t="s">
        <v>122</v>
      </c>
      <c r="J23" s="59" t="s">
        <v>1592</v>
      </c>
      <c r="K23" s="59" t="s">
        <v>115</v>
      </c>
      <c r="L23" s="62">
        <v>41107.0</v>
      </c>
      <c r="M23" s="64" t="s">
        <v>1592</v>
      </c>
      <c r="N23" s="60" t="s">
        <v>1861</v>
      </c>
      <c r="O23" s="62" t="s">
        <v>1592</v>
      </c>
      <c r="P23" s="62">
        <v>41099.0</v>
      </c>
      <c r="Q23" s="59" t="s">
        <v>1592</v>
      </c>
      <c r="R23" s="59" t="s">
        <v>1592</v>
      </c>
      <c r="S23" s="59" t="s">
        <v>1592</v>
      </c>
      <c r="T23" s="59" t="s">
        <v>1592</v>
      </c>
      <c r="U23" s="90"/>
      <c r="V23" s="5"/>
      <c r="W23" s="5"/>
      <c r="X23" s="5"/>
      <c r="Y23" s="5"/>
      <c r="Z23" s="5"/>
    </row>
    <row r="24" ht="25.5" customHeight="1">
      <c r="A24" s="59">
        <v>23.0</v>
      </c>
      <c r="B24" s="63" t="s">
        <v>1812</v>
      </c>
      <c r="C24" s="63" t="s">
        <v>1862</v>
      </c>
      <c r="D24" s="59">
        <v>17.0</v>
      </c>
      <c r="E24" s="59" t="s">
        <v>112</v>
      </c>
      <c r="F24" s="59" t="s">
        <v>125</v>
      </c>
      <c r="G24" s="59" t="s">
        <v>117</v>
      </c>
      <c r="H24" s="59">
        <v>4.0</v>
      </c>
      <c r="I24" s="81" t="s">
        <v>1592</v>
      </c>
      <c r="J24" s="59" t="s">
        <v>1592</v>
      </c>
      <c r="K24" s="59" t="s">
        <v>1863</v>
      </c>
      <c r="L24" s="62" t="s">
        <v>1592</v>
      </c>
      <c r="M24" s="63" t="s">
        <v>1592</v>
      </c>
      <c r="N24" s="91" t="s">
        <v>1592</v>
      </c>
      <c r="O24" s="62">
        <v>41130.0</v>
      </c>
      <c r="P24" s="62">
        <v>41138.0</v>
      </c>
      <c r="Q24" s="59" t="s">
        <v>1592</v>
      </c>
      <c r="R24" s="61" t="s">
        <v>1592</v>
      </c>
      <c r="S24" s="61" t="s">
        <v>1592</v>
      </c>
      <c r="T24" s="59" t="s">
        <v>1592</v>
      </c>
      <c r="U24" s="90"/>
      <c r="V24" s="5"/>
      <c r="W24" s="5"/>
      <c r="X24" s="5"/>
      <c r="Y24" s="5"/>
      <c r="Z24" s="5"/>
    </row>
    <row r="25" ht="25.5" customHeight="1">
      <c r="A25" s="59">
        <v>24.0</v>
      </c>
      <c r="B25" s="60" t="s">
        <v>1864</v>
      </c>
      <c r="C25" s="60" t="s">
        <v>1706</v>
      </c>
      <c r="D25" s="59">
        <v>14.0</v>
      </c>
      <c r="E25" s="59" t="s">
        <v>112</v>
      </c>
      <c r="F25" s="59" t="s">
        <v>114</v>
      </c>
      <c r="G25" s="59" t="s">
        <v>117</v>
      </c>
      <c r="H25" s="59">
        <v>8.0</v>
      </c>
      <c r="I25" s="81" t="s">
        <v>122</v>
      </c>
      <c r="J25" s="64" t="s">
        <v>1592</v>
      </c>
      <c r="K25" s="64" t="s">
        <v>115</v>
      </c>
      <c r="L25" s="62">
        <v>41043.0</v>
      </c>
      <c r="M25" s="84" t="s">
        <v>400</v>
      </c>
      <c r="N25" s="60" t="s">
        <v>1592</v>
      </c>
      <c r="O25" s="62">
        <v>41022.0</v>
      </c>
      <c r="P25" s="62">
        <v>41026.0</v>
      </c>
      <c r="Q25" s="59">
        <v>17.0</v>
      </c>
      <c r="R25" s="84" t="s">
        <v>120</v>
      </c>
      <c r="S25" s="84" t="s">
        <v>1594</v>
      </c>
      <c r="T25" s="59" t="s">
        <v>1592</v>
      </c>
      <c r="U25" s="90"/>
      <c r="V25" s="5"/>
      <c r="W25" s="5"/>
      <c r="X25" s="5"/>
      <c r="Y25" s="5"/>
      <c r="Z25" s="5"/>
    </row>
    <row r="26" ht="25.5" customHeight="1">
      <c r="A26" s="59">
        <v>25.0</v>
      </c>
      <c r="B26" s="60" t="s">
        <v>1794</v>
      </c>
      <c r="C26" s="60" t="s">
        <v>1664</v>
      </c>
      <c r="D26" s="59">
        <v>15.0</v>
      </c>
      <c r="E26" s="59" t="s">
        <v>112</v>
      </c>
      <c r="F26" s="59" t="s">
        <v>120</v>
      </c>
      <c r="G26" s="59" t="s">
        <v>117</v>
      </c>
      <c r="H26" s="59">
        <v>2.0</v>
      </c>
      <c r="I26" s="81" t="s">
        <v>122</v>
      </c>
      <c r="J26" s="59" t="s">
        <v>1592</v>
      </c>
      <c r="K26" s="59" t="s">
        <v>115</v>
      </c>
      <c r="L26" s="62">
        <v>40931.0</v>
      </c>
      <c r="M26" s="84" t="s">
        <v>1865</v>
      </c>
      <c r="N26" s="60" t="s">
        <v>1592</v>
      </c>
      <c r="O26" s="59" t="s">
        <v>1592</v>
      </c>
      <c r="P26" s="62">
        <v>40898.0</v>
      </c>
      <c r="Q26" s="59">
        <v>17.0</v>
      </c>
      <c r="R26" s="84" t="s">
        <v>120</v>
      </c>
      <c r="S26" s="84" t="s">
        <v>1866</v>
      </c>
      <c r="T26" s="59" t="s">
        <v>1592</v>
      </c>
      <c r="U26" s="90"/>
      <c r="V26" s="5"/>
      <c r="W26" s="5"/>
      <c r="X26" s="5"/>
      <c r="Y26" s="5"/>
      <c r="Z26" s="5"/>
    </row>
    <row r="27" ht="25.5" customHeight="1">
      <c r="A27" s="59">
        <v>26.0</v>
      </c>
      <c r="B27" s="60" t="s">
        <v>1867</v>
      </c>
      <c r="C27" s="60" t="s">
        <v>1868</v>
      </c>
      <c r="D27" s="59">
        <v>8.0</v>
      </c>
      <c r="E27" s="59" t="s">
        <v>112</v>
      </c>
      <c r="F27" s="59" t="s">
        <v>114</v>
      </c>
      <c r="G27" s="59" t="s">
        <v>117</v>
      </c>
      <c r="H27" s="59">
        <v>5.0</v>
      </c>
      <c r="I27" s="81" t="s">
        <v>122</v>
      </c>
      <c r="J27" s="59" t="s">
        <v>1592</v>
      </c>
      <c r="K27" s="59" t="s">
        <v>115</v>
      </c>
      <c r="L27" s="62">
        <v>41051.0</v>
      </c>
      <c r="M27" s="84" t="s">
        <v>1712</v>
      </c>
      <c r="N27" s="60" t="s">
        <v>1592</v>
      </c>
      <c r="O27" s="62">
        <v>41029.0</v>
      </c>
      <c r="P27" s="62">
        <v>41033.0</v>
      </c>
      <c r="Q27" s="59">
        <v>14.0</v>
      </c>
      <c r="R27" s="84" t="s">
        <v>114</v>
      </c>
      <c r="S27" s="84" t="s">
        <v>1837</v>
      </c>
      <c r="T27" s="59" t="s">
        <v>1592</v>
      </c>
      <c r="U27" s="90"/>
      <c r="V27" s="5"/>
      <c r="W27" s="5"/>
      <c r="X27" s="5"/>
      <c r="Y27" s="5"/>
      <c r="Z27" s="5"/>
    </row>
    <row r="28" ht="25.5" customHeight="1">
      <c r="A28" s="59">
        <v>27.0</v>
      </c>
      <c r="B28" s="60" t="s">
        <v>1598</v>
      </c>
      <c r="C28" s="60" t="s">
        <v>1869</v>
      </c>
      <c r="D28" s="59">
        <v>17.0</v>
      </c>
      <c r="E28" s="59" t="s">
        <v>112</v>
      </c>
      <c r="F28" s="59" t="s">
        <v>120</v>
      </c>
      <c r="G28" s="59" t="s">
        <v>117</v>
      </c>
      <c r="H28" s="59">
        <v>5.0</v>
      </c>
      <c r="I28" s="81" t="s">
        <v>122</v>
      </c>
      <c r="J28" s="59" t="s">
        <v>1592</v>
      </c>
      <c r="K28" s="59" t="s">
        <v>115</v>
      </c>
      <c r="L28" s="62">
        <v>41351.0</v>
      </c>
      <c r="M28" s="84" t="s">
        <v>1870</v>
      </c>
      <c r="N28" s="60" t="s">
        <v>1592</v>
      </c>
      <c r="O28" s="62">
        <v>41256.0</v>
      </c>
      <c r="P28" s="62">
        <v>41262.0</v>
      </c>
      <c r="Q28" s="59">
        <v>21.0</v>
      </c>
      <c r="R28" s="84" t="s">
        <v>120</v>
      </c>
      <c r="S28" s="84" t="s">
        <v>1871</v>
      </c>
      <c r="T28" s="59" t="s">
        <v>1592</v>
      </c>
      <c r="U28" s="90"/>
      <c r="V28" s="5"/>
      <c r="W28" s="5"/>
      <c r="X28" s="5"/>
      <c r="Y28" s="5"/>
      <c r="Z28" s="5"/>
    </row>
    <row r="29" ht="25.5" customHeight="1">
      <c r="A29" s="59">
        <v>28.0</v>
      </c>
      <c r="B29" s="60" t="s">
        <v>1740</v>
      </c>
      <c r="C29" s="60" t="s">
        <v>1872</v>
      </c>
      <c r="D29" s="59">
        <v>14.0</v>
      </c>
      <c r="E29" s="59" t="s">
        <v>112</v>
      </c>
      <c r="F29" s="59" t="s">
        <v>114</v>
      </c>
      <c r="G29" s="59" t="s">
        <v>116</v>
      </c>
      <c r="H29" s="64">
        <v>1.0</v>
      </c>
      <c r="I29" s="81" t="s">
        <v>122</v>
      </c>
      <c r="J29" s="59" t="s">
        <v>1592</v>
      </c>
      <c r="K29" s="59" t="s">
        <v>115</v>
      </c>
      <c r="L29" s="62">
        <v>41122.0</v>
      </c>
      <c r="M29" s="61" t="s">
        <v>1592</v>
      </c>
      <c r="N29" s="60" t="s">
        <v>1873</v>
      </c>
      <c r="O29" s="62">
        <v>41128.0</v>
      </c>
      <c r="P29" s="62">
        <v>41135.0</v>
      </c>
      <c r="Q29" s="59" t="s">
        <v>1592</v>
      </c>
      <c r="R29" s="59" t="s">
        <v>1592</v>
      </c>
      <c r="S29" s="59" t="s">
        <v>1592</v>
      </c>
      <c r="T29" s="59" t="s">
        <v>1592</v>
      </c>
      <c r="U29" s="90"/>
      <c r="V29" s="5"/>
      <c r="W29" s="5"/>
      <c r="X29" s="5"/>
      <c r="Y29" s="5"/>
      <c r="Z29" s="5"/>
    </row>
    <row r="30" ht="25.5" customHeight="1">
      <c r="A30" s="59">
        <v>29.0</v>
      </c>
      <c r="B30" s="60" t="s">
        <v>1618</v>
      </c>
      <c r="C30" s="60" t="s">
        <v>1874</v>
      </c>
      <c r="D30" s="59">
        <v>13.0</v>
      </c>
      <c r="E30" s="59" t="s">
        <v>112</v>
      </c>
      <c r="F30" s="59" t="s">
        <v>120</v>
      </c>
      <c r="G30" s="59" t="s">
        <v>117</v>
      </c>
      <c r="H30" s="59">
        <v>3.0</v>
      </c>
      <c r="I30" s="81" t="s">
        <v>122</v>
      </c>
      <c r="J30" s="59" t="s">
        <v>1592</v>
      </c>
      <c r="K30" s="59" t="s">
        <v>115</v>
      </c>
      <c r="L30" s="62">
        <v>40938.0</v>
      </c>
      <c r="M30" s="84" t="s">
        <v>1875</v>
      </c>
      <c r="N30" s="60" t="s">
        <v>1592</v>
      </c>
      <c r="O30" s="62">
        <v>40911.0</v>
      </c>
      <c r="P30" s="62">
        <v>40926.0</v>
      </c>
      <c r="Q30" s="59">
        <v>21.0</v>
      </c>
      <c r="R30" s="84" t="s">
        <v>120</v>
      </c>
      <c r="S30" s="84" t="s">
        <v>1602</v>
      </c>
      <c r="T30" s="59" t="s">
        <v>1592</v>
      </c>
      <c r="U30" s="90"/>
      <c r="V30" s="5"/>
      <c r="W30" s="5"/>
      <c r="X30" s="5"/>
      <c r="Y30" s="5"/>
      <c r="Z30" s="5"/>
    </row>
    <row r="31" ht="25.5" customHeight="1">
      <c r="A31" s="59">
        <v>30.0</v>
      </c>
      <c r="B31" s="60" t="s">
        <v>1876</v>
      </c>
      <c r="C31" s="60" t="s">
        <v>1664</v>
      </c>
      <c r="D31" s="59">
        <v>17.0</v>
      </c>
      <c r="E31" s="59" t="s">
        <v>112</v>
      </c>
      <c r="F31" s="59" t="s">
        <v>120</v>
      </c>
      <c r="G31" s="59" t="s">
        <v>117</v>
      </c>
      <c r="H31" s="59">
        <v>3.0</v>
      </c>
      <c r="I31" s="81" t="s">
        <v>122</v>
      </c>
      <c r="J31" s="59" t="s">
        <v>1592</v>
      </c>
      <c r="K31" s="59" t="s">
        <v>115</v>
      </c>
      <c r="L31" s="62">
        <v>41218.0</v>
      </c>
      <c r="M31" s="84" t="s">
        <v>1877</v>
      </c>
      <c r="N31" s="60" t="s">
        <v>1592</v>
      </c>
      <c r="O31" s="62">
        <v>41155.0</v>
      </c>
      <c r="P31" s="62">
        <v>41159.0</v>
      </c>
      <c r="Q31" s="59">
        <v>21.0</v>
      </c>
      <c r="R31" s="84" t="s">
        <v>120</v>
      </c>
      <c r="S31" s="84" t="s">
        <v>1876</v>
      </c>
      <c r="T31" s="59" t="s">
        <v>1592</v>
      </c>
      <c r="U31" s="90"/>
      <c r="V31" s="5"/>
      <c r="W31" s="5"/>
      <c r="X31" s="5"/>
      <c r="Y31" s="5"/>
      <c r="Z31" s="5"/>
    </row>
    <row r="32" ht="25.5" customHeight="1">
      <c r="A32" s="59">
        <v>31.0</v>
      </c>
      <c r="B32" s="60" t="s">
        <v>1627</v>
      </c>
      <c r="C32" s="60" t="s">
        <v>1629</v>
      </c>
      <c r="D32" s="59">
        <v>8.0</v>
      </c>
      <c r="E32" s="59" t="s">
        <v>112</v>
      </c>
      <c r="F32" s="59" t="s">
        <v>114</v>
      </c>
      <c r="G32" s="59" t="s">
        <v>116</v>
      </c>
      <c r="H32" s="64">
        <v>4.0</v>
      </c>
      <c r="I32" s="81" t="s">
        <v>122</v>
      </c>
      <c r="J32" s="59" t="s">
        <v>1592</v>
      </c>
      <c r="K32" s="59" t="s">
        <v>115</v>
      </c>
      <c r="L32" s="62">
        <v>41064.0</v>
      </c>
      <c r="M32" s="61" t="s">
        <v>1592</v>
      </c>
      <c r="N32" s="60" t="s">
        <v>1878</v>
      </c>
      <c r="O32" s="62">
        <v>41008.0</v>
      </c>
      <c r="P32" s="62">
        <v>41012.0</v>
      </c>
      <c r="Q32" s="59" t="s">
        <v>1592</v>
      </c>
      <c r="R32" s="59" t="s">
        <v>1592</v>
      </c>
      <c r="S32" s="59" t="s">
        <v>1592</v>
      </c>
      <c r="T32" s="59" t="s">
        <v>1592</v>
      </c>
      <c r="U32" s="90"/>
      <c r="V32" s="5"/>
      <c r="W32" s="5"/>
      <c r="X32" s="5"/>
      <c r="Y32" s="5"/>
      <c r="Z32" s="5"/>
    </row>
    <row r="33" ht="25.5" customHeight="1">
      <c r="A33" s="59">
        <v>32.0</v>
      </c>
      <c r="B33" s="63" t="s">
        <v>1637</v>
      </c>
      <c r="C33" s="63" t="s">
        <v>1879</v>
      </c>
      <c r="D33" s="59">
        <v>21.0</v>
      </c>
      <c r="E33" s="59" t="s">
        <v>112</v>
      </c>
      <c r="F33" s="59" t="s">
        <v>120</v>
      </c>
      <c r="G33" s="59" t="s">
        <v>117</v>
      </c>
      <c r="H33" s="59">
        <v>2.0</v>
      </c>
      <c r="I33" s="81" t="s">
        <v>1592</v>
      </c>
      <c r="J33" s="59" t="s">
        <v>1592</v>
      </c>
      <c r="K33" s="59" t="s">
        <v>1596</v>
      </c>
      <c r="L33" s="62" t="s">
        <v>1592</v>
      </c>
      <c r="M33" s="63" t="s">
        <v>1592</v>
      </c>
      <c r="N33" s="91" t="s">
        <v>1592</v>
      </c>
      <c r="O33" s="62">
        <v>41036.0</v>
      </c>
      <c r="P33" s="62">
        <v>41040.0</v>
      </c>
      <c r="Q33" s="59" t="s">
        <v>1592</v>
      </c>
      <c r="R33" s="61" t="s">
        <v>1592</v>
      </c>
      <c r="S33" s="61" t="s">
        <v>1592</v>
      </c>
      <c r="T33" s="59" t="s">
        <v>1592</v>
      </c>
      <c r="U33" s="95"/>
      <c r="V33" s="5"/>
      <c r="W33" s="5"/>
      <c r="X33" s="5"/>
      <c r="Y33" s="5"/>
      <c r="Z33" s="5"/>
    </row>
    <row r="34" ht="27.0" customHeight="1">
      <c r="A34" s="59">
        <v>33.0</v>
      </c>
      <c r="B34" s="60" t="s">
        <v>1650</v>
      </c>
      <c r="C34" s="60" t="s">
        <v>1880</v>
      </c>
      <c r="D34" s="59">
        <v>21.0</v>
      </c>
      <c r="E34" s="59" t="s">
        <v>112</v>
      </c>
      <c r="F34" s="59" t="s">
        <v>125</v>
      </c>
      <c r="G34" s="59" t="s">
        <v>116</v>
      </c>
      <c r="H34" s="64">
        <v>7.0</v>
      </c>
      <c r="I34" s="81" t="s">
        <v>122</v>
      </c>
      <c r="J34" s="59">
        <v>7.0</v>
      </c>
      <c r="K34" s="59" t="s">
        <v>115</v>
      </c>
      <c r="L34" s="62">
        <v>41183.0</v>
      </c>
      <c r="M34" s="61" t="s">
        <v>1592</v>
      </c>
      <c r="N34" s="60" t="s">
        <v>1881</v>
      </c>
      <c r="O34" s="62">
        <v>41017.0</v>
      </c>
      <c r="P34" s="62">
        <v>41023.0</v>
      </c>
      <c r="Q34" s="59">
        <v>21.0</v>
      </c>
      <c r="R34" s="84" t="s">
        <v>125</v>
      </c>
      <c r="S34" s="84"/>
      <c r="T34" s="59" t="s">
        <v>1592</v>
      </c>
      <c r="U34" s="95"/>
      <c r="V34" s="5"/>
      <c r="W34" s="5"/>
      <c r="X34" s="5"/>
      <c r="Y34" s="5"/>
      <c r="Z34" s="5"/>
    </row>
    <row r="35">
      <c r="A35" s="59">
        <v>35.0</v>
      </c>
      <c r="B35" s="60" t="s">
        <v>1882</v>
      </c>
      <c r="C35" s="60" t="s">
        <v>1611</v>
      </c>
      <c r="D35" s="59">
        <v>14.0</v>
      </c>
      <c r="E35" s="59" t="s">
        <v>112</v>
      </c>
      <c r="F35" s="59" t="s">
        <v>114</v>
      </c>
      <c r="G35" s="59" t="s">
        <v>116</v>
      </c>
      <c r="H35" s="59">
        <v>11.0</v>
      </c>
      <c r="I35" s="81" t="s">
        <v>1592</v>
      </c>
      <c r="J35" s="59" t="s">
        <v>1592</v>
      </c>
      <c r="K35" s="59" t="s">
        <v>115</v>
      </c>
      <c r="L35" s="62">
        <v>41348.0</v>
      </c>
      <c r="M35" s="64" t="s">
        <v>1592</v>
      </c>
      <c r="N35" s="60" t="s">
        <v>1883</v>
      </c>
      <c r="O35" s="62">
        <v>41241.0</v>
      </c>
      <c r="P35" s="62">
        <v>41246.0</v>
      </c>
      <c r="Q35" s="59" t="s">
        <v>1592</v>
      </c>
      <c r="R35" s="59" t="s">
        <v>1592</v>
      </c>
      <c r="S35" s="59" t="s">
        <v>1592</v>
      </c>
      <c r="T35" s="59" t="s">
        <v>1592</v>
      </c>
      <c r="U35" s="95"/>
      <c r="V35" s="5"/>
      <c r="W35" s="5"/>
      <c r="X35" s="5"/>
      <c r="Y35" s="5"/>
      <c r="Z35" s="5"/>
    </row>
    <row r="36" ht="25.5" customHeight="1">
      <c r="A36" s="59">
        <v>36.0</v>
      </c>
      <c r="B36" s="60" t="s">
        <v>1884</v>
      </c>
      <c r="C36" s="60" t="s">
        <v>1885</v>
      </c>
      <c r="D36" s="59">
        <v>19.0</v>
      </c>
      <c r="E36" s="59" t="s">
        <v>112</v>
      </c>
      <c r="F36" s="59" t="s">
        <v>125</v>
      </c>
      <c r="G36" s="59" t="s">
        <v>117</v>
      </c>
      <c r="H36" s="59">
        <v>1.0</v>
      </c>
      <c r="I36" s="81" t="s">
        <v>1592</v>
      </c>
      <c r="J36" s="59" t="s">
        <v>1592</v>
      </c>
      <c r="K36" s="59" t="s">
        <v>115</v>
      </c>
      <c r="L36" s="62">
        <v>41334.0</v>
      </c>
      <c r="M36" s="84" t="s">
        <v>1886</v>
      </c>
      <c r="N36" s="60" t="s">
        <v>1592</v>
      </c>
      <c r="O36" s="62">
        <v>41248.0</v>
      </c>
      <c r="P36" s="62">
        <v>41254.0</v>
      </c>
      <c r="Q36" s="59">
        <v>20.0</v>
      </c>
      <c r="R36" s="84" t="s">
        <v>125</v>
      </c>
      <c r="S36" s="84" t="s">
        <v>1884</v>
      </c>
      <c r="T36" s="59" t="s">
        <v>1592</v>
      </c>
      <c r="U36" s="95"/>
      <c r="V36" s="5"/>
      <c r="W36" s="5"/>
      <c r="X36" s="5"/>
      <c r="Y36" s="5"/>
      <c r="Z36" s="5"/>
    </row>
    <row r="37" ht="25.5" customHeight="1">
      <c r="A37" s="59">
        <v>37.0</v>
      </c>
      <c r="B37" s="84" t="s">
        <v>1887</v>
      </c>
      <c r="C37" s="84" t="s">
        <v>1888</v>
      </c>
      <c r="D37" s="59">
        <v>17.0</v>
      </c>
      <c r="E37" s="59" t="s">
        <v>112</v>
      </c>
      <c r="F37" s="59" t="s">
        <v>120</v>
      </c>
      <c r="G37" s="59" t="s">
        <v>117</v>
      </c>
      <c r="H37" s="59">
        <v>4.0</v>
      </c>
      <c r="I37" s="81" t="s">
        <v>1592</v>
      </c>
      <c r="J37" s="59" t="s">
        <v>1592</v>
      </c>
      <c r="K37" s="59" t="s">
        <v>1596</v>
      </c>
      <c r="L37" s="62" t="s">
        <v>1592</v>
      </c>
      <c r="M37" s="84" t="s">
        <v>1592</v>
      </c>
      <c r="N37" s="60" t="s">
        <v>1592</v>
      </c>
      <c r="O37" s="62">
        <v>41144.0</v>
      </c>
      <c r="P37" s="62">
        <v>41151.0</v>
      </c>
      <c r="Q37" s="59" t="s">
        <v>1592</v>
      </c>
      <c r="R37" s="61" t="s">
        <v>1592</v>
      </c>
      <c r="S37" s="61" t="s">
        <v>1592</v>
      </c>
      <c r="T37" s="59" t="s">
        <v>1592</v>
      </c>
      <c r="U37" s="95"/>
      <c r="V37" s="5"/>
      <c r="W37" s="5"/>
      <c r="X37" s="5"/>
      <c r="Y37" s="5"/>
      <c r="Z37" s="5"/>
    </row>
    <row r="38" ht="23.25" customHeight="1">
      <c r="A38" s="59">
        <v>38.0</v>
      </c>
      <c r="B38" s="91" t="s">
        <v>1889</v>
      </c>
      <c r="C38" s="91" t="s">
        <v>1890</v>
      </c>
      <c r="D38" s="94">
        <v>12.5</v>
      </c>
      <c r="E38" s="59" t="s">
        <v>112</v>
      </c>
      <c r="F38" s="59" t="s">
        <v>114</v>
      </c>
      <c r="G38" s="59" t="s">
        <v>116</v>
      </c>
      <c r="H38" s="59">
        <v>3.0</v>
      </c>
      <c r="I38" s="59" t="s">
        <v>122</v>
      </c>
      <c r="J38" s="59" t="s">
        <v>1592</v>
      </c>
      <c r="K38" s="59" t="s">
        <v>115</v>
      </c>
      <c r="L38" s="62">
        <v>41025.0</v>
      </c>
      <c r="M38" s="59" t="s">
        <v>1592</v>
      </c>
      <c r="N38" s="63" t="s">
        <v>1891</v>
      </c>
      <c r="O38" s="82">
        <v>41030.0</v>
      </c>
      <c r="P38" s="82">
        <v>41030.0</v>
      </c>
      <c r="Q38" s="96"/>
      <c r="R38" s="61" t="s">
        <v>1592</v>
      </c>
      <c r="S38" s="61" t="s">
        <v>1592</v>
      </c>
      <c r="T38" s="61" t="s">
        <v>1592</v>
      </c>
      <c r="U38" s="95"/>
      <c r="V38" s="5"/>
      <c r="W38" s="5"/>
      <c r="X38" s="5"/>
      <c r="Y38" s="5"/>
      <c r="Z38" s="5"/>
    </row>
    <row r="39" ht="25.5" customHeight="1">
      <c r="A39" s="59">
        <v>39.0</v>
      </c>
      <c r="B39" s="60" t="s">
        <v>1892</v>
      </c>
      <c r="C39" s="60" t="s">
        <v>1893</v>
      </c>
      <c r="D39" s="59">
        <v>10.0</v>
      </c>
      <c r="E39" s="59" t="s">
        <v>112</v>
      </c>
      <c r="F39" s="59" t="s">
        <v>120</v>
      </c>
      <c r="G39" s="59" t="s">
        <v>117</v>
      </c>
      <c r="H39" s="59">
        <v>3.0</v>
      </c>
      <c r="I39" s="61" t="s">
        <v>122</v>
      </c>
      <c r="J39" s="59" t="s">
        <v>1592</v>
      </c>
      <c r="K39" s="59" t="s">
        <v>115</v>
      </c>
      <c r="L39" s="62">
        <v>41248.0</v>
      </c>
      <c r="M39" s="84" t="s">
        <v>1894</v>
      </c>
      <c r="N39" s="60" t="s">
        <v>1592</v>
      </c>
      <c r="O39" s="62">
        <v>41201.0</v>
      </c>
      <c r="P39" s="62">
        <v>41204.0</v>
      </c>
      <c r="Q39" s="59">
        <v>19.0</v>
      </c>
      <c r="R39" s="84" t="s">
        <v>120</v>
      </c>
      <c r="S39" s="84" t="s">
        <v>1642</v>
      </c>
      <c r="T39" s="59" t="s">
        <v>1592</v>
      </c>
      <c r="U39" s="5"/>
      <c r="V39" s="5"/>
      <c r="W39" s="5"/>
      <c r="X39" s="5"/>
      <c r="Y39" s="5"/>
      <c r="Z39" s="5"/>
    </row>
    <row r="40">
      <c r="A40" s="5"/>
      <c r="B40" s="97"/>
      <c r="C40" s="97"/>
      <c r="D40" s="66"/>
      <c r="E40" s="66"/>
      <c r="F40" s="66"/>
      <c r="G40" s="66"/>
      <c r="H40" s="66"/>
      <c r="I40" s="66"/>
      <c r="J40" s="66"/>
      <c r="K40" s="66"/>
      <c r="L40" s="98"/>
      <c r="M40" s="66"/>
      <c r="N40" s="97"/>
      <c r="O40" s="99"/>
      <c r="P40" s="99"/>
      <c r="Q40" s="66"/>
      <c r="R40" s="100"/>
      <c r="S40" s="100"/>
      <c r="T40" s="100"/>
      <c r="U40" s="5"/>
      <c r="V40" s="5"/>
      <c r="W40" s="5"/>
      <c r="X40" s="5"/>
      <c r="Y40" s="5"/>
      <c r="Z40" s="5"/>
    </row>
    <row r="41">
      <c r="A41" s="5"/>
      <c r="B41" s="97"/>
      <c r="C41" s="97"/>
      <c r="D41" s="66"/>
      <c r="E41" s="66"/>
      <c r="F41" s="66"/>
      <c r="G41" s="66"/>
      <c r="H41" s="66"/>
      <c r="I41" s="66"/>
      <c r="J41" s="66"/>
      <c r="K41" s="66"/>
      <c r="L41" s="98"/>
      <c r="M41" s="66"/>
      <c r="N41" s="97"/>
      <c r="O41" s="99"/>
      <c r="P41" s="99"/>
      <c r="Q41" s="66"/>
      <c r="R41" s="100"/>
      <c r="S41" s="100"/>
      <c r="T41" s="100"/>
      <c r="U41" s="5"/>
      <c r="V41" s="5"/>
      <c r="W41" s="5"/>
      <c r="X41" s="5"/>
      <c r="Y41" s="5"/>
      <c r="Z41" s="5"/>
    </row>
    <row r="42">
      <c r="A42" s="5"/>
      <c r="B42" s="97"/>
      <c r="C42" s="97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97"/>
      <c r="O42" s="99"/>
      <c r="P42" s="99"/>
      <c r="Q42" s="66"/>
      <c r="R42" s="100"/>
      <c r="S42" s="100"/>
      <c r="T42" s="100"/>
      <c r="U42" s="5"/>
      <c r="V42" s="5"/>
      <c r="W42" s="5"/>
      <c r="X42" s="5"/>
      <c r="Y42" s="5"/>
      <c r="Z42" s="5"/>
    </row>
    <row r="43">
      <c r="A43" s="5"/>
      <c r="B43" s="97"/>
      <c r="C43" s="97"/>
      <c r="D43" s="66"/>
      <c r="E43" s="66"/>
      <c r="F43" s="66"/>
      <c r="G43" s="66"/>
      <c r="H43" s="66"/>
      <c r="I43" s="66"/>
      <c r="J43" s="66"/>
      <c r="K43" s="66"/>
      <c r="L43" s="98"/>
      <c r="M43" s="66"/>
      <c r="N43" s="97"/>
      <c r="O43" s="99"/>
      <c r="P43" s="99"/>
      <c r="Q43" s="66"/>
      <c r="R43" s="100"/>
      <c r="S43" s="100"/>
      <c r="T43" s="100"/>
      <c r="U43" s="5"/>
      <c r="V43" s="5"/>
      <c r="W43" s="5"/>
      <c r="X43" s="5"/>
      <c r="Y43" s="5"/>
      <c r="Z43" s="5"/>
    </row>
    <row r="44">
      <c r="A44" s="5"/>
      <c r="B44" s="97"/>
      <c r="C44" s="97"/>
      <c r="D44" s="66"/>
      <c r="E44" s="66"/>
      <c r="F44" s="66"/>
      <c r="G44" s="66"/>
      <c r="H44" s="66"/>
      <c r="I44" s="66"/>
      <c r="J44" s="66"/>
      <c r="K44" s="66"/>
      <c r="L44" s="98"/>
      <c r="M44" s="66"/>
      <c r="N44" s="97"/>
      <c r="O44" s="99"/>
      <c r="P44" s="99"/>
      <c r="Q44" s="66"/>
      <c r="R44" s="100"/>
      <c r="S44" s="100"/>
      <c r="T44" s="100"/>
      <c r="U44" s="5"/>
      <c r="V44" s="5"/>
      <c r="W44" s="5"/>
      <c r="X44" s="5"/>
      <c r="Y44" s="5"/>
      <c r="Z44" s="5"/>
    </row>
    <row r="45">
      <c r="A45" s="5"/>
      <c r="B45" s="97"/>
      <c r="C45" s="97"/>
      <c r="D45" s="66"/>
      <c r="E45" s="66"/>
      <c r="F45" s="100"/>
      <c r="G45" s="100"/>
      <c r="H45" s="66"/>
      <c r="I45" s="66"/>
      <c r="J45" s="66"/>
      <c r="K45" s="66"/>
      <c r="L45" s="98"/>
      <c r="M45" s="100"/>
      <c r="N45" s="97"/>
      <c r="O45" s="98"/>
      <c r="P45" s="98"/>
      <c r="Q45" s="66"/>
      <c r="R45" s="100"/>
      <c r="S45" s="100"/>
      <c r="T45" s="100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9"/>
      <c r="G46" s="9"/>
      <c r="H46" s="70"/>
      <c r="I46" s="70"/>
      <c r="J46" s="70"/>
      <c r="K46" s="70"/>
      <c r="L46" s="5"/>
      <c r="M46" s="9"/>
      <c r="N46" s="5"/>
      <c r="O46" s="70"/>
      <c r="P46" s="70"/>
      <c r="Q46" s="70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/>
      <c r="B48" s="3"/>
      <c r="C48" s="3"/>
      <c r="E48" s="3"/>
      <c r="F48" s="9"/>
      <c r="G48" s="9"/>
      <c r="H48" s="70"/>
      <c r="I48" s="70"/>
      <c r="J48" s="70"/>
      <c r="K48" s="70"/>
      <c r="L48" s="3"/>
      <c r="M48" s="9"/>
      <c r="N48" s="5"/>
      <c r="O48" s="70"/>
      <c r="P48" s="70"/>
      <c r="Q48" s="70"/>
      <c r="R48" s="3"/>
      <c r="S48" s="3"/>
      <c r="T48" s="3"/>
    </row>
    <row r="49">
      <c r="A49" s="3"/>
      <c r="B49" s="3"/>
      <c r="C49" s="3"/>
      <c r="E49" s="3"/>
      <c r="F49" s="9"/>
      <c r="G49" s="9"/>
      <c r="H49" s="70"/>
      <c r="I49" s="70"/>
      <c r="J49" s="70"/>
      <c r="K49" s="70"/>
      <c r="L49" s="3"/>
      <c r="M49" s="9"/>
      <c r="N49" s="5"/>
      <c r="O49" s="70"/>
      <c r="P49" s="70"/>
      <c r="Q49" s="70"/>
      <c r="R49" s="3"/>
      <c r="S49" s="3"/>
      <c r="T49" s="3"/>
    </row>
    <row r="50">
      <c r="A50" s="3"/>
      <c r="B50" s="3"/>
      <c r="C50" s="3"/>
      <c r="E50" s="3"/>
      <c r="F50" s="9"/>
      <c r="G50" s="9"/>
      <c r="H50" s="70"/>
      <c r="I50" s="70"/>
      <c r="J50" s="70"/>
      <c r="K50" s="70"/>
      <c r="L50" s="3"/>
      <c r="M50" s="9"/>
      <c r="N50" s="5"/>
      <c r="O50" s="70"/>
      <c r="P50" s="70"/>
      <c r="Q50" s="70"/>
      <c r="R50" s="3"/>
      <c r="S50" s="3"/>
      <c r="T50" s="3"/>
    </row>
    <row r="51">
      <c r="A51" s="3"/>
      <c r="B51" s="3"/>
      <c r="C51" s="3"/>
      <c r="E51" s="3"/>
      <c r="F51" s="9"/>
      <c r="G51" s="9"/>
      <c r="H51" s="70"/>
      <c r="I51" s="70"/>
      <c r="J51" s="70"/>
      <c r="K51" s="70"/>
      <c r="L51" s="3"/>
      <c r="M51" s="9"/>
      <c r="N51" s="5"/>
      <c r="O51" s="70"/>
      <c r="P51" s="70"/>
      <c r="Q51" s="70"/>
      <c r="R51" s="3"/>
      <c r="S51" s="3"/>
      <c r="T51" s="3"/>
    </row>
    <row r="52">
      <c r="A52" s="3"/>
      <c r="B52" s="3"/>
      <c r="C52" s="3"/>
      <c r="E52" s="3"/>
      <c r="F52" s="9"/>
      <c r="G52" s="9"/>
      <c r="H52" s="70"/>
      <c r="I52" s="70"/>
      <c r="J52" s="70"/>
      <c r="K52" s="70"/>
      <c r="L52" s="3"/>
      <c r="M52" s="9"/>
      <c r="N52" s="5"/>
      <c r="O52" s="70"/>
      <c r="P52" s="70"/>
      <c r="Q52" s="70"/>
      <c r="R52" s="3"/>
      <c r="S52" s="3"/>
      <c r="T52" s="3"/>
    </row>
    <row r="53">
      <c r="A53" s="3"/>
      <c r="B53" s="3"/>
      <c r="C53" s="3"/>
      <c r="E53" s="3"/>
      <c r="F53" s="9"/>
      <c r="G53" s="9"/>
      <c r="H53" s="70"/>
      <c r="I53" s="70"/>
      <c r="J53" s="70"/>
      <c r="K53" s="70"/>
      <c r="L53" s="3"/>
      <c r="M53" s="9"/>
      <c r="N53" s="5"/>
      <c r="O53" s="70"/>
      <c r="P53" s="70"/>
      <c r="Q53" s="70"/>
      <c r="R53" s="3"/>
      <c r="S53" s="3"/>
      <c r="T53" s="3"/>
    </row>
    <row r="54">
      <c r="A54" s="3"/>
      <c r="B54" s="3"/>
      <c r="C54" s="3"/>
      <c r="E54" s="3"/>
      <c r="F54" s="9"/>
      <c r="G54" s="9"/>
      <c r="H54" s="70"/>
      <c r="I54" s="70"/>
      <c r="J54" s="70"/>
      <c r="K54" s="70"/>
      <c r="L54" s="3"/>
      <c r="M54" s="9"/>
      <c r="N54" s="5"/>
      <c r="O54" s="70"/>
      <c r="P54" s="70"/>
      <c r="Q54" s="70"/>
      <c r="R54" s="3"/>
      <c r="S54" s="3"/>
      <c r="T54" s="3"/>
    </row>
    <row r="55">
      <c r="A55" s="3"/>
      <c r="B55" s="3"/>
      <c r="C55" s="3"/>
      <c r="E55" s="3"/>
      <c r="F55" s="9"/>
      <c r="G55" s="9"/>
      <c r="H55" s="70"/>
      <c r="I55" s="70"/>
      <c r="J55" s="70"/>
      <c r="K55" s="70"/>
      <c r="L55" s="3"/>
      <c r="M55" s="9"/>
      <c r="N55" s="5"/>
      <c r="O55" s="70"/>
      <c r="P55" s="70"/>
      <c r="Q55" s="70"/>
      <c r="R55" s="3"/>
      <c r="S55" s="3"/>
      <c r="T55" s="3"/>
    </row>
    <row r="56">
      <c r="A56" s="3"/>
      <c r="B56" s="3"/>
      <c r="C56" s="3"/>
      <c r="E56" s="3"/>
      <c r="F56" s="9"/>
      <c r="G56" s="9"/>
      <c r="H56" s="70"/>
      <c r="I56" s="70"/>
      <c r="J56" s="70"/>
      <c r="K56" s="70"/>
      <c r="L56" s="3"/>
      <c r="M56" s="9"/>
      <c r="N56" s="5"/>
      <c r="O56" s="70"/>
      <c r="P56" s="70"/>
      <c r="Q56" s="70"/>
      <c r="R56" s="3"/>
      <c r="S56" s="3"/>
      <c r="T56" s="3"/>
    </row>
    <row r="57">
      <c r="A57" s="3"/>
      <c r="B57" s="3"/>
      <c r="C57" s="3"/>
      <c r="E57" s="3"/>
      <c r="F57" s="9"/>
      <c r="G57" s="9"/>
      <c r="H57" s="70"/>
      <c r="I57" s="70"/>
      <c r="J57" s="70"/>
      <c r="K57" s="70"/>
      <c r="L57" s="3"/>
      <c r="M57" s="9"/>
      <c r="N57" s="5"/>
      <c r="O57" s="70"/>
      <c r="P57" s="70"/>
      <c r="Q57" s="70"/>
      <c r="R57" s="3"/>
      <c r="S57" s="3"/>
      <c r="T57" s="3"/>
    </row>
    <row r="58">
      <c r="A58" s="3"/>
      <c r="B58" s="3"/>
      <c r="C58" s="3"/>
      <c r="E58" s="3"/>
      <c r="F58" s="9"/>
      <c r="G58" s="9"/>
      <c r="H58" s="70"/>
      <c r="I58" s="70"/>
      <c r="J58" s="70"/>
      <c r="K58" s="70"/>
      <c r="L58" s="3"/>
      <c r="M58" s="9"/>
      <c r="N58" s="5"/>
      <c r="O58" s="70"/>
      <c r="P58" s="70"/>
      <c r="Q58" s="70"/>
      <c r="R58" s="3"/>
      <c r="S58" s="3"/>
      <c r="T58" s="3"/>
    </row>
    <row r="59">
      <c r="A59" s="3"/>
      <c r="B59" s="3"/>
      <c r="C59" s="3"/>
      <c r="E59" s="3"/>
      <c r="F59" s="9"/>
      <c r="G59" s="9"/>
      <c r="H59" s="70"/>
      <c r="I59" s="70"/>
      <c r="J59" s="70"/>
      <c r="K59" s="70"/>
      <c r="L59" s="3"/>
      <c r="M59" s="9"/>
      <c r="N59" s="5"/>
      <c r="O59" s="70"/>
      <c r="P59" s="70"/>
      <c r="Q59" s="70"/>
      <c r="R59" s="3"/>
      <c r="S59" s="3"/>
      <c r="T59" s="3"/>
    </row>
    <row r="60">
      <c r="A60" s="3"/>
      <c r="B60" s="3"/>
      <c r="C60" s="3"/>
      <c r="E60" s="3"/>
      <c r="F60" s="9"/>
      <c r="G60" s="9"/>
      <c r="H60" s="70"/>
      <c r="I60" s="70"/>
      <c r="J60" s="70"/>
      <c r="K60" s="70"/>
      <c r="L60" s="3"/>
      <c r="M60" s="9"/>
      <c r="N60" s="5"/>
      <c r="O60" s="70"/>
      <c r="P60" s="70"/>
      <c r="Q60" s="70"/>
      <c r="R60" s="3"/>
      <c r="S60" s="3"/>
      <c r="T60" s="3"/>
    </row>
    <row r="61">
      <c r="A61" s="3"/>
      <c r="B61" s="3"/>
      <c r="C61" s="3"/>
      <c r="E61" s="3"/>
      <c r="F61" s="9"/>
      <c r="G61" s="9"/>
      <c r="H61" s="70"/>
      <c r="I61" s="70"/>
      <c r="J61" s="70"/>
      <c r="K61" s="70"/>
      <c r="L61" s="3"/>
      <c r="M61" s="9"/>
      <c r="N61" s="5"/>
      <c r="O61" s="70"/>
      <c r="P61" s="70"/>
      <c r="Q61" s="70"/>
      <c r="R61" s="3"/>
      <c r="S61" s="3"/>
      <c r="T61" s="3"/>
    </row>
    <row r="62">
      <c r="A62" s="3"/>
      <c r="B62" s="3"/>
      <c r="C62" s="3"/>
      <c r="E62" s="3"/>
      <c r="F62" s="9"/>
      <c r="G62" s="9"/>
      <c r="H62" s="70"/>
      <c r="I62" s="70"/>
      <c r="J62" s="70"/>
      <c r="K62" s="70"/>
      <c r="L62" s="3"/>
      <c r="M62" s="9"/>
      <c r="N62" s="5"/>
      <c r="O62" s="70"/>
      <c r="P62" s="70"/>
      <c r="Q62" s="70"/>
      <c r="R62" s="3"/>
      <c r="S62" s="3"/>
      <c r="T62" s="3"/>
    </row>
    <row r="63">
      <c r="A63" s="3"/>
      <c r="B63" s="3"/>
      <c r="C63" s="3"/>
      <c r="E63" s="3"/>
      <c r="F63" s="9"/>
      <c r="G63" s="9"/>
      <c r="H63" s="70"/>
      <c r="I63" s="70"/>
      <c r="J63" s="70"/>
      <c r="K63" s="70"/>
      <c r="L63" s="3"/>
      <c r="M63" s="9"/>
      <c r="N63" s="5"/>
      <c r="O63" s="70"/>
      <c r="P63" s="70"/>
      <c r="Q63" s="70"/>
      <c r="R63" s="3"/>
      <c r="S63" s="3"/>
      <c r="T63" s="3"/>
    </row>
    <row r="64">
      <c r="A64" s="3"/>
      <c r="B64" s="3"/>
      <c r="C64" s="3"/>
      <c r="E64" s="3"/>
      <c r="F64" s="9"/>
      <c r="G64" s="9"/>
      <c r="H64" s="70"/>
      <c r="I64" s="70"/>
      <c r="J64" s="70"/>
      <c r="K64" s="70"/>
      <c r="L64" s="3"/>
      <c r="M64" s="9"/>
      <c r="N64" s="5"/>
      <c r="O64" s="70"/>
      <c r="P64" s="70"/>
      <c r="Q64" s="70"/>
      <c r="R64" s="3"/>
      <c r="S64" s="3"/>
      <c r="T64" s="3"/>
    </row>
    <row r="65">
      <c r="A65" s="3"/>
      <c r="B65" s="3"/>
      <c r="C65" s="3"/>
      <c r="E65" s="3"/>
      <c r="F65" s="9"/>
      <c r="G65" s="9"/>
      <c r="H65" s="70"/>
      <c r="I65" s="70"/>
      <c r="J65" s="70"/>
      <c r="K65" s="70"/>
      <c r="L65" s="3"/>
      <c r="M65" s="9"/>
      <c r="N65" s="5"/>
      <c r="O65" s="70"/>
      <c r="P65" s="70"/>
      <c r="Q65" s="70"/>
      <c r="R65" s="3"/>
      <c r="S65" s="3"/>
      <c r="T65" s="3"/>
    </row>
    <row r="66">
      <c r="A66" s="3"/>
      <c r="B66" s="3"/>
      <c r="C66" s="3"/>
      <c r="E66" s="3"/>
      <c r="F66" s="9"/>
      <c r="G66" s="9"/>
      <c r="H66" s="70"/>
      <c r="I66" s="70"/>
      <c r="J66" s="70"/>
      <c r="K66" s="70"/>
      <c r="L66" s="3"/>
      <c r="M66" s="9"/>
      <c r="N66" s="5"/>
      <c r="O66" s="70"/>
      <c r="P66" s="70"/>
      <c r="Q66" s="70"/>
      <c r="R66" s="3"/>
      <c r="S66" s="3"/>
      <c r="T66" s="3"/>
    </row>
    <row r="67">
      <c r="A67" s="3"/>
      <c r="B67" s="3"/>
      <c r="C67" s="3"/>
      <c r="E67" s="3"/>
      <c r="F67" s="9"/>
      <c r="G67" s="9"/>
      <c r="H67" s="70"/>
      <c r="I67" s="70"/>
      <c r="J67" s="70"/>
      <c r="K67" s="70"/>
      <c r="L67" s="3"/>
      <c r="M67" s="9"/>
      <c r="N67" s="5"/>
      <c r="O67" s="70"/>
      <c r="P67" s="70"/>
      <c r="Q67" s="70"/>
      <c r="R67" s="3"/>
      <c r="S67" s="3"/>
      <c r="T67" s="3"/>
    </row>
    <row r="68">
      <c r="A68" s="3"/>
      <c r="B68" s="3"/>
      <c r="C68" s="3"/>
      <c r="E68" s="3"/>
      <c r="F68" s="9"/>
      <c r="G68" s="9"/>
      <c r="H68" s="70"/>
      <c r="I68" s="70"/>
      <c r="J68" s="70"/>
      <c r="K68" s="70"/>
      <c r="L68" s="3"/>
      <c r="M68" s="9"/>
      <c r="N68" s="5"/>
      <c r="O68" s="70"/>
      <c r="P68" s="70"/>
      <c r="Q68" s="70"/>
      <c r="R68" s="3"/>
      <c r="S68" s="3"/>
      <c r="T68" s="3"/>
    </row>
    <row r="69">
      <c r="A69" s="3"/>
      <c r="B69" s="3"/>
      <c r="C69" s="3"/>
      <c r="E69" s="3"/>
      <c r="F69" s="9"/>
      <c r="G69" s="9"/>
      <c r="H69" s="70"/>
      <c r="I69" s="70"/>
      <c r="J69" s="70"/>
      <c r="K69" s="70"/>
      <c r="L69" s="3"/>
      <c r="M69" s="9"/>
      <c r="N69" s="5"/>
      <c r="O69" s="70"/>
      <c r="P69" s="70"/>
      <c r="Q69" s="70"/>
      <c r="R69" s="3"/>
      <c r="S69" s="3"/>
      <c r="T69" s="3"/>
    </row>
    <row r="70">
      <c r="A70" s="3"/>
      <c r="B70" s="3"/>
      <c r="C70" s="3"/>
      <c r="E70" s="3"/>
      <c r="F70" s="9"/>
      <c r="G70" s="9"/>
      <c r="H70" s="70"/>
      <c r="I70" s="70"/>
      <c r="J70" s="70"/>
      <c r="K70" s="70"/>
      <c r="L70" s="3"/>
      <c r="M70" s="9"/>
      <c r="N70" s="5"/>
      <c r="O70" s="70"/>
      <c r="P70" s="70"/>
      <c r="Q70" s="70"/>
      <c r="R70" s="3"/>
      <c r="S70" s="3"/>
      <c r="T70" s="3"/>
    </row>
    <row r="71">
      <c r="A71" s="3"/>
      <c r="B71" s="3"/>
      <c r="C71" s="3"/>
      <c r="E71" s="3"/>
      <c r="F71" s="9"/>
      <c r="G71" s="9"/>
      <c r="H71" s="70"/>
      <c r="I71" s="70"/>
      <c r="J71" s="70"/>
      <c r="K71" s="70"/>
      <c r="L71" s="3"/>
      <c r="M71" s="9"/>
      <c r="N71" s="5"/>
      <c r="O71" s="70"/>
      <c r="P71" s="70"/>
      <c r="Q71" s="70"/>
      <c r="R71" s="3"/>
      <c r="S71" s="3"/>
      <c r="T71" s="3"/>
    </row>
    <row r="72">
      <c r="A72" s="3"/>
      <c r="B72" s="3"/>
      <c r="C72" s="3"/>
      <c r="E72" s="3"/>
      <c r="F72" s="9"/>
      <c r="G72" s="9"/>
      <c r="H72" s="70"/>
      <c r="I72" s="70"/>
      <c r="J72" s="70"/>
      <c r="K72" s="70"/>
      <c r="L72" s="3"/>
      <c r="M72" s="9"/>
      <c r="N72" s="5"/>
      <c r="O72" s="70"/>
      <c r="P72" s="70"/>
      <c r="Q72" s="70"/>
      <c r="R72" s="3"/>
      <c r="S72" s="3"/>
      <c r="T72" s="3"/>
    </row>
    <row r="73">
      <c r="A73" s="3"/>
      <c r="B73" s="3"/>
      <c r="C73" s="3"/>
      <c r="E73" s="3"/>
      <c r="F73" s="9"/>
      <c r="G73" s="9"/>
      <c r="H73" s="70"/>
      <c r="I73" s="70"/>
      <c r="J73" s="70"/>
      <c r="K73" s="70"/>
      <c r="L73" s="3"/>
      <c r="M73" s="9"/>
      <c r="N73" s="5"/>
      <c r="O73" s="70"/>
      <c r="P73" s="70"/>
      <c r="Q73" s="70"/>
      <c r="R73" s="3"/>
      <c r="S73" s="3"/>
      <c r="T73" s="3"/>
    </row>
    <row r="74">
      <c r="A74" s="3"/>
      <c r="B74" s="3"/>
      <c r="C74" s="3"/>
      <c r="E74" s="3"/>
      <c r="F74" s="9"/>
      <c r="G74" s="9"/>
      <c r="H74" s="70"/>
      <c r="I74" s="70"/>
      <c r="J74" s="70"/>
      <c r="K74" s="70"/>
      <c r="L74" s="3"/>
      <c r="M74" s="9"/>
      <c r="N74" s="5"/>
      <c r="O74" s="70"/>
      <c r="P74" s="70"/>
      <c r="Q74" s="70"/>
      <c r="R74" s="3"/>
      <c r="S74" s="3"/>
      <c r="T74" s="3"/>
    </row>
    <row r="75">
      <c r="A75" s="3"/>
      <c r="B75" s="3"/>
      <c r="C75" s="3"/>
      <c r="E75" s="3"/>
      <c r="F75" s="9"/>
      <c r="G75" s="9"/>
      <c r="H75" s="70"/>
      <c r="I75" s="70"/>
      <c r="J75" s="70"/>
      <c r="K75" s="70"/>
      <c r="L75" s="3"/>
      <c r="M75" s="9"/>
      <c r="N75" s="5"/>
      <c r="O75" s="70"/>
      <c r="P75" s="70"/>
      <c r="Q75" s="70"/>
      <c r="R75" s="3"/>
      <c r="S75" s="3"/>
      <c r="T75" s="3"/>
    </row>
    <row r="76">
      <c r="A76" s="3"/>
      <c r="B76" s="3"/>
      <c r="C76" s="3"/>
      <c r="E76" s="3"/>
      <c r="F76" s="9"/>
      <c r="G76" s="9"/>
      <c r="H76" s="70"/>
      <c r="I76" s="70"/>
      <c r="J76" s="70"/>
      <c r="K76" s="70"/>
      <c r="L76" s="3"/>
      <c r="M76" s="9"/>
      <c r="N76" s="5"/>
      <c r="O76" s="70"/>
      <c r="P76" s="70"/>
      <c r="Q76" s="70"/>
      <c r="R76" s="3"/>
      <c r="S76" s="3"/>
      <c r="T76" s="3"/>
    </row>
    <row r="77">
      <c r="A77" s="3"/>
      <c r="B77" s="3"/>
      <c r="C77" s="3"/>
      <c r="E77" s="3"/>
      <c r="F77" s="9"/>
      <c r="G77" s="9"/>
      <c r="H77" s="70"/>
      <c r="I77" s="70"/>
      <c r="J77" s="70"/>
      <c r="K77" s="70"/>
      <c r="L77" s="3"/>
      <c r="M77" s="9"/>
      <c r="N77" s="5"/>
      <c r="O77" s="70"/>
      <c r="P77" s="70"/>
      <c r="Q77" s="70"/>
      <c r="R77" s="3"/>
      <c r="S77" s="3"/>
      <c r="T77" s="3"/>
    </row>
    <row r="78">
      <c r="A78" s="3"/>
      <c r="B78" s="3"/>
      <c r="C78" s="3"/>
      <c r="E78" s="3"/>
      <c r="F78" s="9"/>
      <c r="G78" s="9"/>
      <c r="H78" s="70"/>
      <c r="I78" s="70"/>
      <c r="J78" s="70"/>
      <c r="K78" s="70"/>
      <c r="L78" s="3"/>
      <c r="M78" s="9"/>
      <c r="N78" s="5"/>
      <c r="O78" s="70"/>
      <c r="P78" s="70"/>
      <c r="Q78" s="70"/>
      <c r="R78" s="3"/>
      <c r="S78" s="3"/>
      <c r="T78" s="3"/>
    </row>
    <row r="79">
      <c r="A79" s="3"/>
      <c r="B79" s="3"/>
      <c r="C79" s="3"/>
      <c r="E79" s="3"/>
      <c r="F79" s="9"/>
      <c r="G79" s="9"/>
      <c r="H79" s="70"/>
      <c r="I79" s="70"/>
      <c r="J79" s="70"/>
      <c r="K79" s="70"/>
      <c r="L79" s="3"/>
      <c r="M79" s="9"/>
      <c r="N79" s="5"/>
      <c r="O79" s="70"/>
      <c r="P79" s="70"/>
      <c r="Q79" s="70"/>
      <c r="R79" s="3"/>
      <c r="S79" s="3"/>
      <c r="T79" s="3"/>
    </row>
    <row r="80">
      <c r="A80" s="3"/>
      <c r="B80" s="3"/>
      <c r="C80" s="3"/>
      <c r="E80" s="3"/>
      <c r="F80" s="9"/>
      <c r="G80" s="9"/>
      <c r="H80" s="70"/>
      <c r="I80" s="70"/>
      <c r="J80" s="70"/>
      <c r="K80" s="70"/>
      <c r="L80" s="3"/>
      <c r="M80" s="9"/>
      <c r="N80" s="5"/>
      <c r="O80" s="70"/>
      <c r="P80" s="70"/>
      <c r="Q80" s="70"/>
      <c r="R80" s="3"/>
      <c r="S80" s="3"/>
      <c r="T80" s="3"/>
    </row>
    <row r="81">
      <c r="A81" s="3"/>
      <c r="B81" s="3"/>
      <c r="C81" s="3"/>
      <c r="E81" s="3"/>
      <c r="F81" s="9"/>
      <c r="G81" s="9"/>
      <c r="H81" s="70"/>
      <c r="I81" s="70"/>
      <c r="J81" s="70"/>
      <c r="K81" s="70"/>
      <c r="L81" s="3"/>
      <c r="M81" s="9"/>
      <c r="N81" s="5"/>
      <c r="O81" s="70"/>
      <c r="P81" s="70"/>
      <c r="Q81" s="70"/>
      <c r="R81" s="3"/>
      <c r="S81" s="3"/>
      <c r="T81" s="3"/>
    </row>
    <row r="82">
      <c r="A82" s="3"/>
      <c r="B82" s="3"/>
      <c r="C82" s="3"/>
      <c r="E82" s="3"/>
      <c r="F82" s="9"/>
      <c r="G82" s="9"/>
      <c r="H82" s="70"/>
      <c r="I82" s="70"/>
      <c r="J82" s="70"/>
      <c r="K82" s="70"/>
      <c r="L82" s="3"/>
      <c r="M82" s="9"/>
      <c r="N82" s="5"/>
      <c r="O82" s="70"/>
      <c r="P82" s="70"/>
      <c r="Q82" s="70"/>
      <c r="R82" s="3"/>
      <c r="S82" s="3"/>
      <c r="T82" s="3"/>
    </row>
    <row r="83">
      <c r="A83" s="3"/>
      <c r="B83" s="3"/>
      <c r="C83" s="3"/>
      <c r="E83" s="3"/>
      <c r="F83" s="9"/>
      <c r="G83" s="9"/>
      <c r="H83" s="70"/>
      <c r="I83" s="70"/>
      <c r="J83" s="70"/>
      <c r="K83" s="70"/>
      <c r="L83" s="3"/>
      <c r="M83" s="9"/>
      <c r="N83" s="5"/>
      <c r="O83" s="70"/>
      <c r="P83" s="70"/>
      <c r="Q83" s="70"/>
      <c r="R83" s="3"/>
      <c r="S83" s="3"/>
      <c r="T83" s="3"/>
    </row>
    <row r="84">
      <c r="A84" s="3"/>
      <c r="B84" s="3"/>
      <c r="C84" s="3"/>
      <c r="E84" s="3"/>
      <c r="F84" s="9"/>
      <c r="G84" s="9"/>
      <c r="H84" s="70"/>
      <c r="I84" s="70"/>
      <c r="J84" s="70"/>
      <c r="K84" s="70"/>
      <c r="L84" s="3"/>
      <c r="M84" s="9"/>
      <c r="N84" s="5"/>
      <c r="O84" s="70"/>
      <c r="P84" s="70"/>
      <c r="Q84" s="70"/>
      <c r="R84" s="3"/>
      <c r="S84" s="3"/>
      <c r="T84" s="3"/>
    </row>
    <row r="85">
      <c r="A85" s="3"/>
      <c r="B85" s="3"/>
      <c r="C85" s="3"/>
      <c r="E85" s="3"/>
      <c r="F85" s="9"/>
      <c r="G85" s="9"/>
      <c r="H85" s="70"/>
      <c r="I85" s="70"/>
      <c r="J85" s="70"/>
      <c r="K85" s="70"/>
      <c r="L85" s="3"/>
      <c r="M85" s="9"/>
      <c r="N85" s="5"/>
      <c r="O85" s="70"/>
      <c r="P85" s="70"/>
      <c r="Q85" s="70"/>
      <c r="R85" s="3"/>
      <c r="S85" s="3"/>
      <c r="T85" s="3"/>
    </row>
    <row r="86">
      <c r="A86" s="3"/>
      <c r="B86" s="3"/>
      <c r="C86" s="3"/>
      <c r="E86" s="3"/>
      <c r="F86" s="9"/>
      <c r="G86" s="9"/>
      <c r="H86" s="70"/>
      <c r="I86" s="70"/>
      <c r="J86" s="70"/>
      <c r="K86" s="70"/>
      <c r="L86" s="3"/>
      <c r="M86" s="9"/>
      <c r="N86" s="5"/>
      <c r="O86" s="70"/>
      <c r="P86" s="70"/>
      <c r="Q86" s="70"/>
      <c r="R86" s="3"/>
      <c r="S86" s="3"/>
      <c r="T86" s="3"/>
    </row>
    <row r="87">
      <c r="A87" s="3"/>
      <c r="B87" s="3"/>
      <c r="C87" s="3"/>
      <c r="E87" s="3"/>
      <c r="F87" s="9"/>
      <c r="G87" s="9"/>
      <c r="H87" s="70"/>
      <c r="I87" s="70"/>
      <c r="J87" s="70"/>
      <c r="K87" s="70"/>
      <c r="L87" s="3"/>
      <c r="M87" s="9"/>
      <c r="N87" s="5"/>
      <c r="O87" s="70"/>
      <c r="P87" s="70"/>
      <c r="Q87" s="70"/>
      <c r="R87" s="3"/>
      <c r="S87" s="3"/>
      <c r="T87" s="3"/>
    </row>
    <row r="88">
      <c r="A88" s="3"/>
      <c r="B88" s="3"/>
      <c r="C88" s="3"/>
      <c r="E88" s="3"/>
      <c r="F88" s="9"/>
      <c r="G88" s="9"/>
      <c r="H88" s="70"/>
      <c r="I88" s="70"/>
      <c r="J88" s="70"/>
      <c r="K88" s="70"/>
      <c r="L88" s="3"/>
      <c r="M88" s="9"/>
      <c r="N88" s="5"/>
      <c r="O88" s="70"/>
      <c r="P88" s="70"/>
      <c r="Q88" s="70"/>
      <c r="R88" s="3"/>
      <c r="S88" s="3"/>
      <c r="T88" s="3"/>
    </row>
    <row r="89">
      <c r="A89" s="3"/>
      <c r="B89" s="3"/>
      <c r="C89" s="3"/>
      <c r="E89" s="3"/>
      <c r="F89" s="9"/>
      <c r="G89" s="9"/>
      <c r="H89" s="70"/>
      <c r="I89" s="70"/>
      <c r="J89" s="70"/>
      <c r="K89" s="70"/>
      <c r="L89" s="3"/>
      <c r="M89" s="9"/>
      <c r="N89" s="5"/>
      <c r="O89" s="70"/>
      <c r="P89" s="70"/>
      <c r="Q89" s="70"/>
      <c r="R89" s="3"/>
      <c r="S89" s="3"/>
      <c r="T89" s="3"/>
    </row>
    <row r="90">
      <c r="A90" s="3"/>
      <c r="B90" s="3"/>
      <c r="C90" s="3"/>
      <c r="E90" s="3"/>
      <c r="F90" s="9"/>
      <c r="G90" s="9"/>
      <c r="H90" s="70"/>
      <c r="I90" s="70"/>
      <c r="J90" s="70"/>
      <c r="K90" s="70"/>
      <c r="L90" s="3"/>
      <c r="M90" s="9"/>
      <c r="N90" s="5"/>
      <c r="O90" s="70"/>
      <c r="P90" s="70"/>
      <c r="Q90" s="70"/>
      <c r="R90" s="3"/>
      <c r="S90" s="3"/>
      <c r="T90" s="3"/>
    </row>
    <row r="91">
      <c r="A91" s="3"/>
      <c r="B91" s="3"/>
      <c r="C91" s="3"/>
      <c r="E91" s="3"/>
      <c r="F91" s="9"/>
      <c r="G91" s="9"/>
      <c r="H91" s="70"/>
      <c r="I91" s="70"/>
      <c r="J91" s="70"/>
      <c r="K91" s="70"/>
      <c r="L91" s="3"/>
      <c r="M91" s="9"/>
      <c r="N91" s="5"/>
      <c r="O91" s="70"/>
      <c r="P91" s="70"/>
      <c r="Q91" s="70"/>
      <c r="R91" s="3"/>
      <c r="S91" s="3"/>
      <c r="T91" s="3"/>
    </row>
    <row r="92">
      <c r="A92" s="3"/>
      <c r="B92" s="3"/>
      <c r="C92" s="3"/>
      <c r="E92" s="3"/>
      <c r="F92" s="9"/>
      <c r="G92" s="9"/>
      <c r="H92" s="70"/>
      <c r="I92" s="70"/>
      <c r="J92" s="70"/>
      <c r="K92" s="70"/>
      <c r="L92" s="3"/>
      <c r="M92" s="9"/>
      <c r="N92" s="5"/>
      <c r="O92" s="70"/>
      <c r="P92" s="70"/>
      <c r="Q92" s="70"/>
      <c r="R92" s="3"/>
      <c r="S92" s="3"/>
      <c r="T92" s="3"/>
    </row>
    <row r="93">
      <c r="A93" s="3"/>
      <c r="B93" s="3"/>
      <c r="C93" s="3"/>
      <c r="E93" s="3"/>
      <c r="F93" s="9"/>
      <c r="G93" s="9"/>
      <c r="H93" s="70"/>
      <c r="I93" s="70"/>
      <c r="J93" s="70"/>
      <c r="K93" s="70"/>
      <c r="L93" s="3"/>
      <c r="M93" s="9"/>
      <c r="N93" s="5"/>
      <c r="O93" s="70"/>
      <c r="P93" s="70"/>
      <c r="Q93" s="70"/>
      <c r="R93" s="3"/>
      <c r="S93" s="3"/>
      <c r="T93" s="3"/>
    </row>
    <row r="94">
      <c r="A94" s="3"/>
      <c r="B94" s="3"/>
      <c r="C94" s="3"/>
      <c r="E94" s="3"/>
      <c r="F94" s="9"/>
      <c r="G94" s="9"/>
      <c r="H94" s="70"/>
      <c r="I94" s="70"/>
      <c r="J94" s="70"/>
      <c r="K94" s="70"/>
      <c r="L94" s="3"/>
      <c r="M94" s="9"/>
      <c r="N94" s="5"/>
      <c r="O94" s="70"/>
      <c r="P94" s="70"/>
      <c r="Q94" s="70"/>
      <c r="R94" s="3"/>
      <c r="S94" s="3"/>
      <c r="T94" s="3"/>
    </row>
    <row r="95">
      <c r="A95" s="3"/>
      <c r="B95" s="3"/>
      <c r="C95" s="3"/>
      <c r="E95" s="3"/>
      <c r="F95" s="9"/>
      <c r="G95" s="9"/>
      <c r="H95" s="70"/>
      <c r="I95" s="70"/>
      <c r="J95" s="70"/>
      <c r="K95" s="70"/>
      <c r="L95" s="3"/>
      <c r="M95" s="9"/>
      <c r="N95" s="5"/>
      <c r="O95" s="70"/>
      <c r="P95" s="70"/>
      <c r="Q95" s="70"/>
      <c r="R95" s="3"/>
      <c r="S95" s="3"/>
      <c r="T95" s="3"/>
    </row>
    <row r="96">
      <c r="A96" s="3"/>
      <c r="B96" s="3"/>
      <c r="C96" s="3"/>
      <c r="E96" s="3"/>
      <c r="F96" s="9"/>
      <c r="G96" s="9"/>
      <c r="H96" s="70"/>
      <c r="I96" s="70"/>
      <c r="J96" s="70"/>
      <c r="K96" s="70"/>
      <c r="L96" s="3"/>
      <c r="M96" s="9"/>
      <c r="N96" s="5"/>
      <c r="O96" s="70"/>
      <c r="P96" s="70"/>
      <c r="Q96" s="70"/>
      <c r="R96" s="3"/>
      <c r="S96" s="3"/>
      <c r="T96" s="3"/>
    </row>
    <row r="97">
      <c r="A97" s="3"/>
      <c r="B97" s="3"/>
      <c r="C97" s="3"/>
      <c r="E97" s="3"/>
      <c r="F97" s="9"/>
      <c r="G97" s="9"/>
      <c r="H97" s="70"/>
      <c r="I97" s="70"/>
      <c r="J97" s="70"/>
      <c r="K97" s="70"/>
      <c r="L97" s="3"/>
      <c r="M97" s="9"/>
      <c r="N97" s="5"/>
      <c r="O97" s="70"/>
      <c r="P97" s="70"/>
      <c r="Q97" s="70"/>
      <c r="R97" s="3"/>
      <c r="S97" s="3"/>
      <c r="T97" s="3"/>
    </row>
    <row r="98">
      <c r="A98" s="3"/>
      <c r="B98" s="3"/>
      <c r="C98" s="3"/>
      <c r="E98" s="3"/>
      <c r="F98" s="9"/>
      <c r="G98" s="9"/>
      <c r="H98" s="70"/>
      <c r="I98" s="70"/>
      <c r="J98" s="70"/>
      <c r="K98" s="70"/>
      <c r="L98" s="3"/>
      <c r="M98" s="9"/>
      <c r="N98" s="5"/>
      <c r="O98" s="70"/>
      <c r="P98" s="70"/>
      <c r="Q98" s="70"/>
      <c r="R98" s="3"/>
      <c r="S98" s="3"/>
      <c r="T98" s="3"/>
    </row>
    <row r="99">
      <c r="A99" s="3"/>
      <c r="B99" s="3"/>
      <c r="C99" s="3"/>
      <c r="E99" s="3"/>
      <c r="F99" s="9"/>
      <c r="G99" s="9"/>
      <c r="H99" s="70"/>
      <c r="I99" s="70"/>
      <c r="J99" s="70"/>
      <c r="K99" s="70"/>
      <c r="L99" s="3"/>
      <c r="M99" s="9"/>
      <c r="N99" s="5"/>
      <c r="O99" s="70"/>
      <c r="P99" s="70"/>
      <c r="Q99" s="70"/>
      <c r="R99" s="3"/>
      <c r="S99" s="3"/>
      <c r="T99" s="3"/>
    </row>
    <row r="100">
      <c r="A100" s="3"/>
      <c r="B100" s="3"/>
      <c r="C100" s="3"/>
      <c r="E100" s="3"/>
      <c r="F100" s="9"/>
      <c r="G100" s="9"/>
      <c r="H100" s="70"/>
      <c r="I100" s="70"/>
      <c r="J100" s="70"/>
      <c r="K100" s="70"/>
      <c r="L100" s="3"/>
      <c r="M100" s="9"/>
      <c r="N100" s="5"/>
      <c r="O100" s="70"/>
      <c r="P100" s="70"/>
      <c r="Q100" s="70"/>
      <c r="R100" s="3"/>
      <c r="S100" s="3"/>
      <c r="T100" s="3"/>
    </row>
    <row r="101">
      <c r="A101" s="3"/>
      <c r="B101" s="3"/>
      <c r="C101" s="3"/>
      <c r="E101" s="3"/>
      <c r="F101" s="9"/>
      <c r="G101" s="9"/>
      <c r="H101" s="70"/>
      <c r="I101" s="70"/>
      <c r="J101" s="70"/>
      <c r="K101" s="70"/>
      <c r="L101" s="3"/>
      <c r="M101" s="9"/>
      <c r="N101" s="5"/>
      <c r="O101" s="70"/>
      <c r="P101" s="70"/>
      <c r="Q101" s="70"/>
      <c r="R101" s="3"/>
      <c r="S101" s="3"/>
      <c r="T101" s="3"/>
    </row>
    <row r="102">
      <c r="A102" s="3"/>
      <c r="B102" s="3"/>
      <c r="C102" s="3"/>
      <c r="E102" s="3"/>
      <c r="F102" s="9"/>
      <c r="G102" s="9"/>
      <c r="H102" s="70"/>
      <c r="I102" s="70"/>
      <c r="J102" s="70"/>
      <c r="K102" s="70"/>
      <c r="L102" s="3"/>
      <c r="M102" s="9"/>
      <c r="N102" s="5"/>
      <c r="O102" s="70"/>
      <c r="P102" s="70"/>
      <c r="Q102" s="70"/>
      <c r="R102" s="3"/>
      <c r="S102" s="3"/>
      <c r="T102" s="3"/>
    </row>
    <row r="103">
      <c r="A103" s="3"/>
      <c r="B103" s="3"/>
      <c r="C103" s="3"/>
      <c r="E103" s="3"/>
      <c r="F103" s="9"/>
      <c r="G103" s="9"/>
      <c r="H103" s="70"/>
      <c r="I103" s="70"/>
      <c r="J103" s="70"/>
      <c r="K103" s="70"/>
      <c r="L103" s="3"/>
      <c r="M103" s="9"/>
      <c r="N103" s="5"/>
      <c r="O103" s="70"/>
      <c r="P103" s="70"/>
      <c r="Q103" s="70"/>
      <c r="R103" s="3"/>
      <c r="S103" s="3"/>
      <c r="T103" s="3"/>
    </row>
    <row r="104">
      <c r="A104" s="3"/>
      <c r="B104" s="3"/>
      <c r="C104" s="3"/>
      <c r="E104" s="3"/>
      <c r="F104" s="9"/>
      <c r="G104" s="9"/>
      <c r="H104" s="70"/>
      <c r="I104" s="70"/>
      <c r="J104" s="70"/>
      <c r="K104" s="70"/>
      <c r="L104" s="3"/>
      <c r="M104" s="9"/>
      <c r="N104" s="5"/>
      <c r="O104" s="70"/>
      <c r="P104" s="70"/>
      <c r="Q104" s="70"/>
      <c r="R104" s="3"/>
      <c r="S104" s="3"/>
      <c r="T104" s="3"/>
    </row>
    <row r="105">
      <c r="A105" s="3"/>
      <c r="B105" s="3"/>
      <c r="C105" s="3"/>
      <c r="E105" s="3"/>
      <c r="F105" s="9"/>
      <c r="G105" s="9"/>
      <c r="H105" s="70"/>
      <c r="I105" s="70"/>
      <c r="J105" s="70"/>
      <c r="K105" s="70"/>
      <c r="L105" s="3"/>
      <c r="M105" s="9"/>
      <c r="N105" s="5"/>
      <c r="O105" s="70"/>
      <c r="P105" s="70"/>
      <c r="Q105" s="70"/>
      <c r="R105" s="3"/>
      <c r="S105" s="3"/>
      <c r="T105" s="3"/>
    </row>
    <row r="106">
      <c r="A106" s="3"/>
      <c r="B106" s="3"/>
      <c r="C106" s="3"/>
      <c r="E106" s="3"/>
      <c r="F106" s="9"/>
      <c r="G106" s="9"/>
      <c r="H106" s="70"/>
      <c r="I106" s="70"/>
      <c r="J106" s="70"/>
      <c r="K106" s="70"/>
      <c r="L106" s="3"/>
      <c r="M106" s="9"/>
      <c r="N106" s="5"/>
      <c r="O106" s="70"/>
      <c r="P106" s="70"/>
      <c r="Q106" s="70"/>
      <c r="R106" s="3"/>
      <c r="S106" s="3"/>
      <c r="T106" s="3"/>
    </row>
    <row r="107">
      <c r="A107" s="3"/>
      <c r="B107" s="3"/>
      <c r="C107" s="3"/>
      <c r="E107" s="3"/>
      <c r="F107" s="9"/>
      <c r="G107" s="9"/>
      <c r="H107" s="70"/>
      <c r="I107" s="70"/>
      <c r="J107" s="70"/>
      <c r="K107" s="70"/>
      <c r="L107" s="3"/>
      <c r="M107" s="9"/>
      <c r="N107" s="5"/>
      <c r="O107" s="70"/>
      <c r="P107" s="70"/>
      <c r="Q107" s="70"/>
      <c r="R107" s="3"/>
      <c r="S107" s="3"/>
      <c r="T107" s="3"/>
    </row>
    <row r="108">
      <c r="A108" s="3"/>
      <c r="B108" s="3"/>
      <c r="C108" s="3"/>
      <c r="E108" s="3"/>
      <c r="F108" s="9"/>
      <c r="G108" s="9"/>
      <c r="H108" s="70"/>
      <c r="I108" s="70"/>
      <c r="J108" s="70"/>
      <c r="K108" s="70"/>
      <c r="L108" s="3"/>
      <c r="M108" s="9"/>
      <c r="N108" s="5"/>
      <c r="O108" s="70"/>
      <c r="P108" s="70"/>
      <c r="Q108" s="70"/>
      <c r="R108" s="3"/>
      <c r="S108" s="3"/>
      <c r="T108" s="3"/>
    </row>
    <row r="109">
      <c r="A109" s="3"/>
      <c r="B109" s="3"/>
      <c r="C109" s="3"/>
      <c r="E109" s="3"/>
      <c r="F109" s="9"/>
      <c r="G109" s="9"/>
      <c r="H109" s="70"/>
      <c r="I109" s="70"/>
      <c r="J109" s="70"/>
      <c r="K109" s="70"/>
      <c r="L109" s="3"/>
      <c r="M109" s="9"/>
      <c r="N109" s="5"/>
      <c r="O109" s="70"/>
      <c r="P109" s="70"/>
      <c r="Q109" s="70"/>
      <c r="R109" s="3"/>
      <c r="S109" s="3"/>
      <c r="T109" s="3"/>
    </row>
    <row r="110">
      <c r="A110" s="3"/>
      <c r="B110" s="3"/>
      <c r="C110" s="3"/>
      <c r="E110" s="3"/>
      <c r="F110" s="9"/>
      <c r="G110" s="9"/>
      <c r="H110" s="70"/>
      <c r="I110" s="70"/>
      <c r="J110" s="70"/>
      <c r="K110" s="70"/>
      <c r="L110" s="3"/>
      <c r="M110" s="9"/>
      <c r="N110" s="5"/>
      <c r="O110" s="70"/>
      <c r="P110" s="70"/>
      <c r="Q110" s="70"/>
      <c r="R110" s="3"/>
      <c r="S110" s="3"/>
      <c r="T110" s="3"/>
    </row>
    <row r="111">
      <c r="A111" s="3"/>
      <c r="B111" s="3"/>
      <c r="C111" s="3"/>
      <c r="E111" s="3"/>
      <c r="F111" s="9"/>
      <c r="G111" s="9"/>
      <c r="H111" s="70"/>
      <c r="I111" s="70"/>
      <c r="J111" s="70"/>
      <c r="K111" s="70"/>
      <c r="L111" s="3"/>
      <c r="M111" s="9"/>
      <c r="N111" s="5"/>
      <c r="O111" s="70"/>
      <c r="P111" s="70"/>
      <c r="Q111" s="70"/>
      <c r="R111" s="3"/>
      <c r="S111" s="3"/>
      <c r="T111" s="3"/>
    </row>
    <row r="112">
      <c r="A112" s="3"/>
      <c r="B112" s="3"/>
      <c r="C112" s="3"/>
      <c r="E112" s="3"/>
      <c r="F112" s="9"/>
      <c r="G112" s="9"/>
      <c r="H112" s="70"/>
      <c r="I112" s="70"/>
      <c r="J112" s="70"/>
      <c r="K112" s="70"/>
      <c r="L112" s="3"/>
      <c r="M112" s="9"/>
      <c r="N112" s="5"/>
      <c r="O112" s="70"/>
      <c r="P112" s="70"/>
      <c r="Q112" s="70"/>
      <c r="R112" s="3"/>
      <c r="S112" s="3"/>
      <c r="T112" s="3"/>
    </row>
    <row r="113">
      <c r="A113" s="3"/>
      <c r="B113" s="3"/>
      <c r="C113" s="3"/>
      <c r="E113" s="3"/>
      <c r="F113" s="9"/>
      <c r="G113" s="9"/>
      <c r="H113" s="70"/>
      <c r="I113" s="70"/>
      <c r="J113" s="70"/>
      <c r="K113" s="70"/>
      <c r="L113" s="3"/>
      <c r="M113" s="9"/>
      <c r="N113" s="5"/>
      <c r="O113" s="70"/>
      <c r="P113" s="70"/>
      <c r="Q113" s="70"/>
      <c r="R113" s="3"/>
      <c r="S113" s="3"/>
      <c r="T113" s="3"/>
    </row>
    <row r="114">
      <c r="A114" s="3"/>
      <c r="B114" s="3"/>
      <c r="C114" s="3"/>
      <c r="E114" s="3"/>
      <c r="F114" s="9"/>
      <c r="G114" s="9"/>
      <c r="H114" s="70"/>
      <c r="I114" s="70"/>
      <c r="J114" s="70"/>
      <c r="K114" s="70"/>
      <c r="L114" s="3"/>
      <c r="M114" s="9"/>
      <c r="N114" s="5"/>
      <c r="O114" s="70"/>
      <c r="P114" s="70"/>
      <c r="Q114" s="70"/>
      <c r="R114" s="3"/>
      <c r="S114" s="3"/>
      <c r="T114" s="3"/>
    </row>
    <row r="115">
      <c r="A115" s="3"/>
      <c r="B115" s="3"/>
      <c r="C115" s="3"/>
      <c r="E115" s="3"/>
      <c r="F115" s="9"/>
      <c r="G115" s="9"/>
      <c r="H115" s="70"/>
      <c r="I115" s="70"/>
      <c r="J115" s="70"/>
      <c r="K115" s="70"/>
      <c r="L115" s="3"/>
      <c r="M115" s="9"/>
      <c r="N115" s="5"/>
      <c r="O115" s="70"/>
      <c r="P115" s="70"/>
      <c r="Q115" s="70"/>
      <c r="R115" s="3"/>
      <c r="S115" s="3"/>
      <c r="T115" s="3"/>
    </row>
    <row r="116">
      <c r="A116" s="3"/>
      <c r="B116" s="3"/>
      <c r="C116" s="3"/>
      <c r="E116" s="3"/>
      <c r="F116" s="9"/>
      <c r="G116" s="9"/>
      <c r="H116" s="70"/>
      <c r="I116" s="70"/>
      <c r="J116" s="70"/>
      <c r="K116" s="70"/>
      <c r="L116" s="3"/>
      <c r="M116" s="9"/>
      <c r="N116" s="5"/>
      <c r="O116" s="70"/>
      <c r="P116" s="70"/>
      <c r="Q116" s="70"/>
      <c r="R116" s="3"/>
      <c r="S116" s="3"/>
      <c r="T116" s="3"/>
    </row>
    <row r="117">
      <c r="A117" s="3"/>
      <c r="B117" s="3"/>
      <c r="C117" s="3"/>
      <c r="E117" s="3"/>
      <c r="F117" s="9"/>
      <c r="G117" s="9"/>
      <c r="H117" s="70"/>
      <c r="I117" s="70"/>
      <c r="J117" s="70"/>
      <c r="K117" s="70"/>
      <c r="L117" s="3"/>
      <c r="M117" s="9"/>
      <c r="N117" s="5"/>
      <c r="O117" s="70"/>
      <c r="P117" s="70"/>
      <c r="Q117" s="70"/>
      <c r="R117" s="3"/>
      <c r="S117" s="3"/>
      <c r="T117" s="3"/>
    </row>
    <row r="118">
      <c r="A118" s="3"/>
      <c r="B118" s="3"/>
      <c r="C118" s="3"/>
      <c r="E118" s="3"/>
      <c r="F118" s="9"/>
      <c r="G118" s="9"/>
      <c r="H118" s="70"/>
      <c r="I118" s="70"/>
      <c r="J118" s="70"/>
      <c r="K118" s="70"/>
      <c r="L118" s="3"/>
      <c r="M118" s="9"/>
      <c r="N118" s="5"/>
      <c r="O118" s="70"/>
      <c r="P118" s="70"/>
      <c r="Q118" s="70"/>
      <c r="R118" s="3"/>
      <c r="S118" s="3"/>
      <c r="T118" s="3"/>
    </row>
    <row r="119">
      <c r="A119" s="3"/>
      <c r="B119" s="3"/>
      <c r="C119" s="3"/>
      <c r="E119" s="3"/>
      <c r="F119" s="9"/>
      <c r="G119" s="9"/>
      <c r="H119" s="70"/>
      <c r="I119" s="70"/>
      <c r="J119" s="70"/>
      <c r="K119" s="70"/>
      <c r="L119" s="3"/>
      <c r="M119" s="9"/>
      <c r="N119" s="5"/>
      <c r="O119" s="70"/>
      <c r="P119" s="70"/>
      <c r="Q119" s="70"/>
      <c r="R119" s="3"/>
      <c r="S119" s="3"/>
      <c r="T119" s="3"/>
    </row>
    <row r="120">
      <c r="A120" s="3"/>
      <c r="B120" s="3"/>
      <c r="C120" s="3"/>
      <c r="E120" s="3"/>
      <c r="F120" s="9"/>
      <c r="G120" s="9"/>
      <c r="H120" s="70"/>
      <c r="I120" s="70"/>
      <c r="J120" s="70"/>
      <c r="K120" s="70"/>
      <c r="L120" s="3"/>
      <c r="M120" s="9"/>
      <c r="N120" s="5"/>
      <c r="O120" s="70"/>
      <c r="P120" s="70"/>
      <c r="Q120" s="70"/>
      <c r="R120" s="3"/>
      <c r="S120" s="3"/>
      <c r="T120" s="3"/>
    </row>
    <row r="121">
      <c r="A121" s="3"/>
      <c r="B121" s="3"/>
      <c r="C121" s="3"/>
      <c r="E121" s="3"/>
      <c r="F121" s="9"/>
      <c r="G121" s="9"/>
      <c r="H121" s="70"/>
      <c r="I121" s="70"/>
      <c r="J121" s="70"/>
      <c r="K121" s="70"/>
      <c r="L121" s="3"/>
      <c r="M121" s="9"/>
      <c r="N121" s="5"/>
      <c r="O121" s="70"/>
      <c r="P121" s="70"/>
      <c r="Q121" s="70"/>
      <c r="R121" s="3"/>
      <c r="S121" s="3"/>
      <c r="T121" s="3"/>
    </row>
    <row r="122">
      <c r="A122" s="3"/>
      <c r="B122" s="3"/>
      <c r="C122" s="3"/>
      <c r="E122" s="3"/>
      <c r="F122" s="9"/>
      <c r="G122" s="9"/>
      <c r="H122" s="70"/>
      <c r="I122" s="70"/>
      <c r="J122" s="70"/>
      <c r="K122" s="70"/>
      <c r="L122" s="3"/>
      <c r="M122" s="9"/>
      <c r="N122" s="5"/>
      <c r="O122" s="70"/>
      <c r="P122" s="70"/>
      <c r="Q122" s="70"/>
      <c r="R122" s="3"/>
      <c r="S122" s="3"/>
      <c r="T122" s="3"/>
    </row>
    <row r="123">
      <c r="A123" s="3"/>
      <c r="B123" s="3"/>
      <c r="C123" s="3"/>
      <c r="E123" s="3"/>
      <c r="F123" s="9"/>
      <c r="G123" s="9"/>
      <c r="H123" s="70"/>
      <c r="I123" s="70"/>
      <c r="J123" s="70"/>
      <c r="K123" s="70"/>
      <c r="L123" s="3"/>
      <c r="M123" s="9"/>
      <c r="N123" s="5"/>
      <c r="O123" s="70"/>
      <c r="P123" s="70"/>
      <c r="Q123" s="70"/>
      <c r="R123" s="3"/>
      <c r="S123" s="3"/>
      <c r="T123" s="3"/>
    </row>
    <row r="124">
      <c r="A124" s="3"/>
      <c r="B124" s="3"/>
      <c r="C124" s="3"/>
      <c r="E124" s="3"/>
      <c r="F124" s="9"/>
      <c r="G124" s="9"/>
      <c r="H124" s="70"/>
      <c r="I124" s="70"/>
      <c r="J124" s="70"/>
      <c r="K124" s="70"/>
      <c r="L124" s="3"/>
      <c r="M124" s="9"/>
      <c r="N124" s="5"/>
      <c r="O124" s="70"/>
      <c r="P124" s="70"/>
      <c r="Q124" s="70"/>
      <c r="R124" s="3"/>
      <c r="S124" s="3"/>
      <c r="T124" s="3"/>
    </row>
    <row r="125">
      <c r="A125" s="3"/>
      <c r="B125" s="3"/>
      <c r="C125" s="3"/>
      <c r="E125" s="3"/>
      <c r="F125" s="9"/>
      <c r="G125" s="9"/>
      <c r="H125" s="70"/>
      <c r="I125" s="70"/>
      <c r="J125" s="70"/>
      <c r="K125" s="70"/>
      <c r="L125" s="3"/>
      <c r="M125" s="9"/>
      <c r="N125" s="5"/>
      <c r="O125" s="70"/>
      <c r="P125" s="70"/>
      <c r="Q125" s="70"/>
      <c r="R125" s="3"/>
      <c r="S125" s="3"/>
      <c r="T125" s="3"/>
    </row>
    <row r="126">
      <c r="A126" s="3"/>
      <c r="B126" s="3"/>
      <c r="C126" s="3"/>
      <c r="E126" s="3"/>
      <c r="F126" s="9"/>
      <c r="G126" s="9"/>
      <c r="H126" s="70"/>
      <c r="I126" s="70"/>
      <c r="J126" s="70"/>
      <c r="K126" s="70"/>
      <c r="L126" s="3"/>
      <c r="M126" s="9"/>
      <c r="N126" s="5"/>
      <c r="O126" s="70"/>
      <c r="P126" s="70"/>
      <c r="Q126" s="70"/>
      <c r="R126" s="3"/>
      <c r="S126" s="3"/>
      <c r="T126" s="3"/>
    </row>
    <row r="127">
      <c r="A127" s="3"/>
      <c r="B127" s="3"/>
      <c r="C127" s="3"/>
      <c r="E127" s="3"/>
      <c r="F127" s="9"/>
      <c r="G127" s="9"/>
      <c r="H127" s="70"/>
      <c r="I127" s="70"/>
      <c r="J127" s="70"/>
      <c r="K127" s="70"/>
      <c r="L127" s="3"/>
      <c r="M127" s="9"/>
      <c r="N127" s="5"/>
      <c r="O127" s="70"/>
      <c r="P127" s="70"/>
      <c r="Q127" s="70"/>
      <c r="R127" s="3"/>
      <c r="S127" s="3"/>
      <c r="T127" s="3"/>
    </row>
    <row r="128">
      <c r="A128" s="3"/>
      <c r="B128" s="3"/>
      <c r="C128" s="3"/>
      <c r="E128" s="3"/>
      <c r="F128" s="9"/>
      <c r="G128" s="9"/>
      <c r="H128" s="70"/>
      <c r="I128" s="70"/>
      <c r="J128" s="70"/>
      <c r="K128" s="70"/>
      <c r="L128" s="3"/>
      <c r="M128" s="9"/>
      <c r="N128" s="5"/>
      <c r="O128" s="70"/>
      <c r="P128" s="70"/>
      <c r="Q128" s="70"/>
      <c r="R128" s="3"/>
      <c r="S128" s="3"/>
      <c r="T128" s="3"/>
    </row>
    <row r="129">
      <c r="A129" s="3"/>
      <c r="B129" s="3"/>
      <c r="C129" s="3"/>
      <c r="E129" s="3"/>
      <c r="F129" s="9"/>
      <c r="G129" s="9"/>
      <c r="H129" s="70"/>
      <c r="I129" s="70"/>
      <c r="J129" s="70"/>
      <c r="K129" s="70"/>
      <c r="L129" s="3"/>
      <c r="M129" s="9"/>
      <c r="N129" s="5"/>
      <c r="O129" s="70"/>
      <c r="P129" s="70"/>
      <c r="Q129" s="70"/>
      <c r="R129" s="3"/>
      <c r="S129" s="3"/>
      <c r="T129" s="3"/>
    </row>
    <row r="130">
      <c r="A130" s="3"/>
      <c r="B130" s="3"/>
      <c r="C130" s="3"/>
      <c r="E130" s="3"/>
      <c r="F130" s="9"/>
      <c r="G130" s="9"/>
      <c r="H130" s="70"/>
      <c r="I130" s="70"/>
      <c r="J130" s="70"/>
      <c r="K130" s="70"/>
      <c r="L130" s="3"/>
      <c r="M130" s="9"/>
      <c r="N130" s="5"/>
      <c r="O130" s="70"/>
      <c r="P130" s="70"/>
      <c r="Q130" s="70"/>
      <c r="R130" s="3"/>
      <c r="S130" s="3"/>
      <c r="T130" s="3"/>
    </row>
    <row r="131">
      <c r="A131" s="3"/>
      <c r="B131" s="3"/>
      <c r="C131" s="3"/>
      <c r="E131" s="3"/>
      <c r="F131" s="9"/>
      <c r="G131" s="9"/>
      <c r="H131" s="70"/>
      <c r="I131" s="70"/>
      <c r="J131" s="70"/>
      <c r="K131" s="70"/>
      <c r="L131" s="3"/>
      <c r="M131" s="9"/>
      <c r="N131" s="5"/>
      <c r="O131" s="70"/>
      <c r="P131" s="70"/>
      <c r="Q131" s="70"/>
      <c r="R131" s="3"/>
      <c r="S131" s="3"/>
      <c r="T131" s="3"/>
    </row>
    <row r="132">
      <c r="A132" s="3"/>
      <c r="B132" s="3"/>
      <c r="C132" s="3"/>
      <c r="E132" s="3"/>
      <c r="F132" s="9"/>
      <c r="G132" s="9"/>
      <c r="H132" s="70"/>
      <c r="I132" s="70"/>
      <c r="J132" s="70"/>
      <c r="K132" s="70"/>
      <c r="L132" s="3"/>
      <c r="M132" s="9"/>
      <c r="N132" s="5"/>
      <c r="O132" s="70"/>
      <c r="P132" s="70"/>
      <c r="Q132" s="70"/>
      <c r="R132" s="3"/>
      <c r="S132" s="3"/>
      <c r="T132" s="3"/>
    </row>
    <row r="133">
      <c r="A133" s="3"/>
      <c r="B133" s="3"/>
      <c r="C133" s="3"/>
      <c r="E133" s="3"/>
      <c r="F133" s="9"/>
      <c r="G133" s="9"/>
      <c r="H133" s="70"/>
      <c r="I133" s="70"/>
      <c r="J133" s="70"/>
      <c r="K133" s="70"/>
      <c r="L133" s="3"/>
      <c r="M133" s="9"/>
      <c r="N133" s="5"/>
      <c r="O133" s="70"/>
      <c r="P133" s="70"/>
      <c r="Q133" s="70"/>
      <c r="R133" s="3"/>
      <c r="S133" s="3"/>
      <c r="T133" s="3"/>
    </row>
    <row r="134">
      <c r="A134" s="3"/>
      <c r="B134" s="3"/>
      <c r="C134" s="3"/>
      <c r="E134" s="3"/>
      <c r="F134" s="9"/>
      <c r="G134" s="9"/>
      <c r="H134" s="70"/>
      <c r="I134" s="70"/>
      <c r="J134" s="70"/>
      <c r="K134" s="70"/>
      <c r="L134" s="3"/>
      <c r="M134" s="9"/>
      <c r="N134" s="5"/>
      <c r="O134" s="70"/>
      <c r="P134" s="70"/>
      <c r="Q134" s="70"/>
      <c r="R134" s="3"/>
      <c r="S134" s="3"/>
      <c r="T134" s="3"/>
    </row>
    <row r="135">
      <c r="A135" s="3"/>
      <c r="B135" s="3"/>
      <c r="C135" s="3"/>
      <c r="E135" s="3"/>
      <c r="F135" s="9"/>
      <c r="G135" s="9"/>
      <c r="H135" s="70"/>
      <c r="I135" s="70"/>
      <c r="J135" s="70"/>
      <c r="K135" s="70"/>
      <c r="L135" s="3"/>
      <c r="M135" s="9"/>
      <c r="N135" s="5"/>
      <c r="O135" s="70"/>
      <c r="P135" s="70"/>
      <c r="Q135" s="70"/>
      <c r="R135" s="3"/>
      <c r="S135" s="3"/>
      <c r="T135" s="3"/>
    </row>
    <row r="136">
      <c r="A136" s="3"/>
      <c r="B136" s="3"/>
      <c r="C136" s="3"/>
      <c r="E136" s="3"/>
      <c r="F136" s="9"/>
      <c r="G136" s="9"/>
      <c r="H136" s="70"/>
      <c r="I136" s="70"/>
      <c r="J136" s="70"/>
      <c r="K136" s="70"/>
      <c r="L136" s="3"/>
      <c r="M136" s="9"/>
      <c r="N136" s="5"/>
      <c r="O136" s="70"/>
      <c r="P136" s="70"/>
      <c r="Q136" s="70"/>
      <c r="R136" s="3"/>
      <c r="S136" s="3"/>
      <c r="T136" s="3"/>
    </row>
    <row r="137">
      <c r="A137" s="3"/>
      <c r="B137" s="3"/>
      <c r="C137" s="3"/>
      <c r="E137" s="3"/>
      <c r="F137" s="9"/>
      <c r="G137" s="9"/>
      <c r="H137" s="70"/>
      <c r="I137" s="70"/>
      <c r="J137" s="70"/>
      <c r="K137" s="70"/>
      <c r="L137" s="3"/>
      <c r="M137" s="9"/>
      <c r="N137" s="5"/>
      <c r="O137" s="70"/>
      <c r="P137" s="70"/>
      <c r="Q137" s="70"/>
      <c r="R137" s="3"/>
      <c r="S137" s="3"/>
      <c r="T137" s="3"/>
    </row>
    <row r="138">
      <c r="A138" s="3"/>
      <c r="B138" s="3"/>
      <c r="C138" s="3"/>
      <c r="E138" s="3"/>
      <c r="F138" s="9"/>
      <c r="G138" s="9"/>
      <c r="H138" s="70"/>
      <c r="I138" s="70"/>
      <c r="J138" s="70"/>
      <c r="K138" s="70"/>
      <c r="L138" s="3"/>
      <c r="M138" s="9"/>
      <c r="N138" s="5"/>
      <c r="O138" s="70"/>
      <c r="P138" s="70"/>
      <c r="Q138" s="70"/>
      <c r="R138" s="3"/>
      <c r="S138" s="3"/>
      <c r="T138" s="3"/>
    </row>
    <row r="139">
      <c r="A139" s="3"/>
      <c r="B139" s="3"/>
      <c r="C139" s="3"/>
      <c r="E139" s="3"/>
      <c r="F139" s="9"/>
      <c r="G139" s="9"/>
      <c r="H139" s="70"/>
      <c r="I139" s="70"/>
      <c r="J139" s="70"/>
      <c r="K139" s="70"/>
      <c r="L139" s="3"/>
      <c r="M139" s="9"/>
      <c r="N139" s="5"/>
      <c r="O139" s="70"/>
      <c r="P139" s="70"/>
      <c r="Q139" s="70"/>
      <c r="R139" s="3"/>
      <c r="S139" s="3"/>
      <c r="T139" s="3"/>
    </row>
    <row r="140">
      <c r="A140" s="3"/>
      <c r="B140" s="3"/>
      <c r="C140" s="3"/>
      <c r="E140" s="3"/>
      <c r="F140" s="9"/>
      <c r="G140" s="9"/>
      <c r="H140" s="70"/>
      <c r="I140" s="70"/>
      <c r="J140" s="70"/>
      <c r="K140" s="70"/>
      <c r="L140" s="3"/>
      <c r="M140" s="9"/>
      <c r="N140" s="5"/>
      <c r="O140" s="70"/>
      <c r="P140" s="70"/>
      <c r="Q140" s="70"/>
      <c r="R140" s="3"/>
      <c r="S140" s="3"/>
      <c r="T140" s="3"/>
    </row>
    <row r="141">
      <c r="A141" s="3"/>
      <c r="B141" s="3"/>
      <c r="C141" s="3"/>
      <c r="E141" s="3"/>
      <c r="F141" s="9"/>
      <c r="G141" s="9"/>
      <c r="H141" s="70"/>
      <c r="I141" s="70"/>
      <c r="J141" s="70"/>
      <c r="K141" s="70"/>
      <c r="L141" s="3"/>
      <c r="M141" s="9"/>
      <c r="N141" s="5"/>
      <c r="O141" s="70"/>
      <c r="P141" s="70"/>
      <c r="Q141" s="70"/>
      <c r="R141" s="3"/>
      <c r="S141" s="3"/>
      <c r="T141" s="3"/>
    </row>
    <row r="142">
      <c r="A142" s="3"/>
      <c r="B142" s="3"/>
      <c r="C142" s="3"/>
      <c r="E142" s="3"/>
      <c r="F142" s="9"/>
      <c r="G142" s="9"/>
      <c r="H142" s="70"/>
      <c r="I142" s="70"/>
      <c r="J142" s="70"/>
      <c r="K142" s="70"/>
      <c r="L142" s="3"/>
      <c r="M142" s="9"/>
      <c r="N142" s="5"/>
      <c r="O142" s="70"/>
      <c r="P142" s="70"/>
      <c r="Q142" s="70"/>
      <c r="R142" s="3"/>
      <c r="S142" s="3"/>
      <c r="T142" s="3"/>
    </row>
    <row r="143">
      <c r="A143" s="3"/>
      <c r="B143" s="3"/>
      <c r="C143" s="3"/>
      <c r="E143" s="3"/>
      <c r="F143" s="9"/>
      <c r="G143" s="9"/>
      <c r="H143" s="70"/>
      <c r="I143" s="70"/>
      <c r="J143" s="70"/>
      <c r="K143" s="70"/>
      <c r="L143" s="3"/>
      <c r="M143" s="9"/>
      <c r="N143" s="5"/>
      <c r="O143" s="70"/>
      <c r="P143" s="70"/>
      <c r="Q143" s="70"/>
      <c r="R143" s="3"/>
      <c r="S143" s="3"/>
      <c r="T143" s="3"/>
    </row>
    <row r="144">
      <c r="A144" s="3"/>
      <c r="B144" s="3"/>
      <c r="C144" s="3"/>
      <c r="E144" s="3"/>
      <c r="F144" s="9"/>
      <c r="G144" s="9"/>
      <c r="H144" s="70"/>
      <c r="I144" s="70"/>
      <c r="J144" s="70"/>
      <c r="K144" s="70"/>
      <c r="L144" s="3"/>
      <c r="M144" s="9"/>
      <c r="N144" s="5"/>
      <c r="O144" s="70"/>
      <c r="P144" s="70"/>
      <c r="Q144" s="70"/>
      <c r="R144" s="3"/>
      <c r="S144" s="3"/>
      <c r="T144" s="3"/>
    </row>
    <row r="145">
      <c r="A145" s="3"/>
      <c r="B145" s="3"/>
      <c r="C145" s="3"/>
      <c r="E145" s="3"/>
      <c r="F145" s="9"/>
      <c r="G145" s="9"/>
      <c r="H145" s="70"/>
      <c r="I145" s="70"/>
      <c r="J145" s="70"/>
      <c r="K145" s="70"/>
      <c r="L145" s="3"/>
      <c r="M145" s="9"/>
      <c r="N145" s="5"/>
      <c r="O145" s="70"/>
      <c r="P145" s="70"/>
      <c r="Q145" s="70"/>
      <c r="R145" s="3"/>
      <c r="S145" s="3"/>
      <c r="T145" s="3"/>
    </row>
    <row r="146">
      <c r="A146" s="3"/>
      <c r="B146" s="3"/>
      <c r="C146" s="3"/>
      <c r="E146" s="3"/>
      <c r="F146" s="9"/>
      <c r="G146" s="9"/>
      <c r="H146" s="70"/>
      <c r="I146" s="70"/>
      <c r="J146" s="70"/>
      <c r="K146" s="70"/>
      <c r="L146" s="3"/>
      <c r="M146" s="9"/>
      <c r="N146" s="5"/>
      <c r="O146" s="70"/>
      <c r="P146" s="70"/>
      <c r="Q146" s="70"/>
      <c r="R146" s="3"/>
      <c r="S146" s="3"/>
      <c r="T146" s="3"/>
    </row>
    <row r="147">
      <c r="A147" s="3"/>
      <c r="B147" s="3"/>
      <c r="C147" s="3"/>
      <c r="E147" s="3"/>
      <c r="F147" s="9"/>
      <c r="G147" s="9"/>
      <c r="H147" s="70"/>
      <c r="I147" s="70"/>
      <c r="J147" s="70"/>
      <c r="K147" s="70"/>
      <c r="L147" s="3"/>
      <c r="M147" s="9"/>
      <c r="N147" s="5"/>
      <c r="O147" s="70"/>
      <c r="P147" s="70"/>
      <c r="Q147" s="70"/>
      <c r="R147" s="3"/>
      <c r="S147" s="3"/>
      <c r="T147" s="3"/>
    </row>
    <row r="148">
      <c r="A148" s="3"/>
      <c r="B148" s="3"/>
      <c r="C148" s="3"/>
      <c r="E148" s="3"/>
      <c r="F148" s="9"/>
      <c r="G148" s="9"/>
      <c r="H148" s="70"/>
      <c r="I148" s="70"/>
      <c r="J148" s="70"/>
      <c r="K148" s="70"/>
      <c r="L148" s="3"/>
      <c r="M148" s="9"/>
      <c r="N148" s="5"/>
      <c r="O148" s="70"/>
      <c r="P148" s="70"/>
      <c r="Q148" s="70"/>
      <c r="R148" s="3"/>
      <c r="S148" s="3"/>
      <c r="T148" s="3"/>
    </row>
    <row r="149">
      <c r="A149" s="3"/>
      <c r="B149" s="3"/>
      <c r="C149" s="3"/>
      <c r="E149" s="3"/>
      <c r="F149" s="9"/>
      <c r="G149" s="9"/>
      <c r="H149" s="70"/>
      <c r="I149" s="70"/>
      <c r="J149" s="70"/>
      <c r="K149" s="70"/>
      <c r="L149" s="3"/>
      <c r="M149" s="9"/>
      <c r="N149" s="5"/>
      <c r="O149" s="70"/>
      <c r="P149" s="70"/>
      <c r="Q149" s="70"/>
      <c r="R149" s="3"/>
      <c r="S149" s="3"/>
      <c r="T149" s="3"/>
    </row>
    <row r="150">
      <c r="A150" s="3"/>
      <c r="B150" s="3"/>
      <c r="C150" s="3"/>
      <c r="E150" s="3"/>
      <c r="F150" s="9"/>
      <c r="G150" s="9"/>
      <c r="H150" s="70"/>
      <c r="I150" s="70"/>
      <c r="J150" s="70"/>
      <c r="K150" s="70"/>
      <c r="L150" s="3"/>
      <c r="M150" s="9"/>
      <c r="N150" s="5"/>
      <c r="O150" s="70"/>
      <c r="P150" s="70"/>
      <c r="Q150" s="70"/>
      <c r="R150" s="3"/>
      <c r="S150" s="3"/>
      <c r="T150" s="3"/>
    </row>
    <row r="151">
      <c r="A151" s="3"/>
      <c r="B151" s="3"/>
      <c r="C151" s="3"/>
      <c r="E151" s="3"/>
      <c r="F151" s="9"/>
      <c r="G151" s="9"/>
      <c r="H151" s="70"/>
      <c r="I151" s="70"/>
      <c r="J151" s="70"/>
      <c r="K151" s="70"/>
      <c r="L151" s="3"/>
      <c r="M151" s="9"/>
      <c r="N151" s="5"/>
      <c r="O151" s="70"/>
      <c r="P151" s="70"/>
      <c r="Q151" s="70"/>
      <c r="R151" s="3"/>
      <c r="S151" s="3"/>
      <c r="T151" s="3"/>
    </row>
    <row r="152">
      <c r="A152" s="3"/>
      <c r="B152" s="3"/>
      <c r="C152" s="3"/>
      <c r="E152" s="3"/>
      <c r="F152" s="9"/>
      <c r="G152" s="9"/>
      <c r="H152" s="70"/>
      <c r="I152" s="70"/>
      <c r="J152" s="70"/>
      <c r="K152" s="70"/>
      <c r="L152" s="3"/>
      <c r="M152" s="9"/>
      <c r="N152" s="5"/>
      <c r="O152" s="70"/>
      <c r="P152" s="70"/>
      <c r="Q152" s="70"/>
      <c r="R152" s="3"/>
      <c r="S152" s="3"/>
      <c r="T152" s="3"/>
    </row>
    <row r="153">
      <c r="A153" s="3"/>
      <c r="B153" s="3"/>
      <c r="C153" s="3"/>
      <c r="E153" s="3"/>
      <c r="F153" s="9"/>
      <c r="G153" s="9"/>
      <c r="H153" s="70"/>
      <c r="I153" s="70"/>
      <c r="J153" s="70"/>
      <c r="K153" s="70"/>
      <c r="L153" s="3"/>
      <c r="M153" s="9"/>
      <c r="N153" s="5"/>
      <c r="O153" s="70"/>
      <c r="P153" s="70"/>
      <c r="Q153" s="70"/>
      <c r="R153" s="3"/>
      <c r="S153" s="3"/>
      <c r="T153" s="3"/>
    </row>
    <row r="154">
      <c r="A154" s="3"/>
      <c r="B154" s="3"/>
      <c r="C154" s="3"/>
      <c r="E154" s="3"/>
      <c r="F154" s="9"/>
      <c r="G154" s="9"/>
      <c r="H154" s="70"/>
      <c r="I154" s="70"/>
      <c r="J154" s="70"/>
      <c r="K154" s="70"/>
      <c r="L154" s="3"/>
      <c r="M154" s="9"/>
      <c r="N154" s="5"/>
      <c r="O154" s="70"/>
      <c r="P154" s="70"/>
      <c r="Q154" s="70"/>
      <c r="R154" s="3"/>
      <c r="S154" s="3"/>
      <c r="T154" s="3"/>
    </row>
    <row r="155">
      <c r="A155" s="3"/>
      <c r="B155" s="3"/>
      <c r="C155" s="3"/>
      <c r="E155" s="3"/>
      <c r="F155" s="9"/>
      <c r="G155" s="9"/>
      <c r="H155" s="70"/>
      <c r="I155" s="70"/>
      <c r="J155" s="70"/>
      <c r="K155" s="70"/>
      <c r="L155" s="3"/>
      <c r="M155" s="9"/>
      <c r="N155" s="5"/>
      <c r="O155" s="70"/>
      <c r="P155" s="70"/>
      <c r="Q155" s="70"/>
      <c r="R155" s="3"/>
      <c r="S155" s="3"/>
      <c r="T155" s="3"/>
    </row>
    <row r="156">
      <c r="A156" s="3"/>
      <c r="B156" s="3"/>
      <c r="C156" s="3"/>
      <c r="E156" s="3"/>
      <c r="F156" s="9"/>
      <c r="G156" s="9"/>
      <c r="H156" s="70"/>
      <c r="I156" s="70"/>
      <c r="J156" s="70"/>
      <c r="K156" s="70"/>
      <c r="L156" s="3"/>
      <c r="M156" s="9"/>
      <c r="N156" s="5"/>
      <c r="O156" s="70"/>
      <c r="P156" s="70"/>
      <c r="Q156" s="70"/>
      <c r="R156" s="3"/>
      <c r="S156" s="3"/>
      <c r="T156" s="3"/>
    </row>
    <row r="157">
      <c r="A157" s="3"/>
      <c r="B157" s="3"/>
      <c r="C157" s="3"/>
      <c r="E157" s="3"/>
      <c r="F157" s="9"/>
      <c r="G157" s="9"/>
      <c r="H157" s="70"/>
      <c r="I157" s="70"/>
      <c r="J157" s="70"/>
      <c r="K157" s="70"/>
      <c r="L157" s="3"/>
      <c r="M157" s="9"/>
      <c r="N157" s="5"/>
      <c r="O157" s="70"/>
      <c r="P157" s="70"/>
      <c r="Q157" s="70"/>
      <c r="R157" s="3"/>
      <c r="S157" s="3"/>
      <c r="T157" s="3"/>
    </row>
    <row r="158">
      <c r="A158" s="3"/>
      <c r="B158" s="3"/>
      <c r="C158" s="3"/>
      <c r="E158" s="3"/>
      <c r="F158" s="9"/>
      <c r="G158" s="9"/>
      <c r="H158" s="70"/>
      <c r="I158" s="70"/>
      <c r="J158" s="70"/>
      <c r="K158" s="70"/>
      <c r="L158" s="3"/>
      <c r="M158" s="9"/>
      <c r="N158" s="5"/>
      <c r="O158" s="70"/>
      <c r="P158" s="70"/>
      <c r="Q158" s="70"/>
      <c r="R158" s="3"/>
      <c r="S158" s="3"/>
      <c r="T158" s="3"/>
    </row>
    <row r="159">
      <c r="A159" s="3"/>
      <c r="B159" s="3"/>
      <c r="C159" s="3"/>
      <c r="E159" s="3"/>
      <c r="F159" s="9"/>
      <c r="G159" s="9"/>
      <c r="H159" s="70"/>
      <c r="I159" s="70"/>
      <c r="J159" s="70"/>
      <c r="K159" s="70"/>
      <c r="L159" s="3"/>
      <c r="M159" s="9"/>
      <c r="N159" s="5"/>
      <c r="O159" s="70"/>
      <c r="P159" s="70"/>
      <c r="Q159" s="70"/>
      <c r="R159" s="3"/>
      <c r="S159" s="3"/>
      <c r="T159" s="3"/>
    </row>
    <row r="160">
      <c r="A160" s="3"/>
      <c r="B160" s="3"/>
      <c r="C160" s="3"/>
      <c r="E160" s="3"/>
      <c r="F160" s="9"/>
      <c r="G160" s="9"/>
      <c r="H160" s="70"/>
      <c r="I160" s="70"/>
      <c r="J160" s="70"/>
      <c r="K160" s="70"/>
      <c r="L160" s="3"/>
      <c r="M160" s="9"/>
      <c r="N160" s="5"/>
      <c r="O160" s="70"/>
      <c r="P160" s="70"/>
      <c r="Q160" s="70"/>
      <c r="R160" s="3"/>
      <c r="S160" s="3"/>
      <c r="T160" s="3"/>
    </row>
    <row r="161">
      <c r="A161" s="3"/>
      <c r="B161" s="3"/>
      <c r="C161" s="3"/>
      <c r="E161" s="3"/>
      <c r="F161" s="9"/>
      <c r="G161" s="9"/>
      <c r="H161" s="70"/>
      <c r="I161" s="70"/>
      <c r="J161" s="70"/>
      <c r="K161" s="70"/>
      <c r="L161" s="3"/>
      <c r="M161" s="9"/>
      <c r="N161" s="5"/>
      <c r="O161" s="70"/>
      <c r="P161" s="70"/>
      <c r="Q161" s="70"/>
      <c r="R161" s="3"/>
      <c r="S161" s="3"/>
      <c r="T161" s="3"/>
    </row>
    <row r="162">
      <c r="A162" s="3"/>
      <c r="B162" s="3"/>
      <c r="C162" s="3"/>
      <c r="E162" s="3"/>
      <c r="F162" s="9"/>
      <c r="G162" s="9"/>
      <c r="H162" s="70"/>
      <c r="I162" s="70"/>
      <c r="J162" s="70"/>
      <c r="K162" s="70"/>
      <c r="L162" s="3"/>
      <c r="M162" s="9"/>
      <c r="N162" s="5"/>
      <c r="O162" s="70"/>
      <c r="P162" s="70"/>
      <c r="Q162" s="70"/>
      <c r="R162" s="3"/>
      <c r="S162" s="3"/>
      <c r="T162" s="3"/>
    </row>
    <row r="163">
      <c r="A163" s="3"/>
      <c r="B163" s="3"/>
      <c r="C163" s="3"/>
      <c r="E163" s="3"/>
      <c r="F163" s="9"/>
      <c r="G163" s="9"/>
      <c r="H163" s="70"/>
      <c r="I163" s="70"/>
      <c r="J163" s="70"/>
      <c r="K163" s="70"/>
      <c r="L163" s="3"/>
      <c r="M163" s="9"/>
      <c r="N163" s="5"/>
      <c r="O163" s="70"/>
      <c r="P163" s="70"/>
      <c r="Q163" s="70"/>
      <c r="R163" s="3"/>
      <c r="S163" s="3"/>
      <c r="T163" s="3"/>
    </row>
    <row r="164">
      <c r="A164" s="3"/>
      <c r="B164" s="3"/>
      <c r="C164" s="3"/>
      <c r="E164" s="3"/>
      <c r="F164" s="9"/>
      <c r="G164" s="9"/>
      <c r="H164" s="70"/>
      <c r="I164" s="70"/>
      <c r="J164" s="70"/>
      <c r="K164" s="70"/>
      <c r="L164" s="3"/>
      <c r="M164" s="9"/>
      <c r="N164" s="5"/>
      <c r="O164" s="70"/>
      <c r="P164" s="70"/>
      <c r="Q164" s="70"/>
      <c r="R164" s="3"/>
      <c r="S164" s="3"/>
      <c r="T164" s="3"/>
    </row>
    <row r="165">
      <c r="A165" s="3"/>
      <c r="B165" s="3"/>
      <c r="C165" s="3"/>
      <c r="E165" s="3"/>
      <c r="F165" s="9"/>
      <c r="G165" s="9"/>
      <c r="H165" s="70"/>
      <c r="I165" s="70"/>
      <c r="J165" s="70"/>
      <c r="K165" s="70"/>
      <c r="L165" s="3"/>
      <c r="M165" s="9"/>
      <c r="N165" s="5"/>
      <c r="O165" s="70"/>
      <c r="P165" s="70"/>
      <c r="Q165" s="70"/>
      <c r="R165" s="3"/>
      <c r="S165" s="3"/>
      <c r="T165" s="3"/>
    </row>
    <row r="166">
      <c r="A166" s="3"/>
      <c r="B166" s="3"/>
      <c r="C166" s="3"/>
      <c r="E166" s="3"/>
      <c r="F166" s="9"/>
      <c r="G166" s="9"/>
      <c r="H166" s="70"/>
      <c r="I166" s="70"/>
      <c r="J166" s="70"/>
      <c r="K166" s="70"/>
      <c r="L166" s="3"/>
      <c r="M166" s="9"/>
      <c r="N166" s="5"/>
      <c r="O166" s="70"/>
      <c r="P166" s="70"/>
      <c r="Q166" s="70"/>
      <c r="R166" s="3"/>
      <c r="S166" s="3"/>
      <c r="T166" s="3"/>
    </row>
    <row r="167">
      <c r="A167" s="3"/>
      <c r="B167" s="3"/>
      <c r="C167" s="3"/>
      <c r="E167" s="3"/>
      <c r="F167" s="9"/>
      <c r="G167" s="9"/>
      <c r="H167" s="70"/>
      <c r="I167" s="70"/>
      <c r="J167" s="70"/>
      <c r="K167" s="70"/>
      <c r="L167" s="3"/>
      <c r="M167" s="9"/>
      <c r="N167" s="5"/>
      <c r="O167" s="70"/>
      <c r="P167" s="70"/>
      <c r="Q167" s="70"/>
      <c r="R167" s="3"/>
      <c r="S167" s="3"/>
      <c r="T167" s="3"/>
    </row>
    <row r="168">
      <c r="A168" s="3"/>
      <c r="B168" s="3"/>
      <c r="C168" s="3"/>
      <c r="E168" s="3"/>
      <c r="F168" s="9"/>
      <c r="G168" s="9"/>
      <c r="H168" s="70"/>
      <c r="I168" s="70"/>
      <c r="J168" s="70"/>
      <c r="K168" s="70"/>
      <c r="L168" s="3"/>
      <c r="M168" s="9"/>
      <c r="N168" s="5"/>
      <c r="O168" s="70"/>
      <c r="P168" s="70"/>
      <c r="Q168" s="70"/>
      <c r="R168" s="3"/>
      <c r="S168" s="3"/>
      <c r="T168" s="3"/>
    </row>
    <row r="169">
      <c r="A169" s="3"/>
      <c r="B169" s="3"/>
      <c r="C169" s="3"/>
      <c r="E169" s="3"/>
      <c r="F169" s="9"/>
      <c r="G169" s="9"/>
      <c r="H169" s="70"/>
      <c r="I169" s="70"/>
      <c r="J169" s="70"/>
      <c r="K169" s="70"/>
      <c r="L169" s="3"/>
      <c r="M169" s="9"/>
      <c r="N169" s="5"/>
      <c r="O169" s="70"/>
      <c r="P169" s="70"/>
      <c r="Q169" s="70"/>
      <c r="R169" s="3"/>
      <c r="S169" s="3"/>
      <c r="T169" s="3"/>
    </row>
    <row r="170">
      <c r="A170" s="3"/>
      <c r="B170" s="3"/>
      <c r="C170" s="3"/>
      <c r="E170" s="3"/>
      <c r="F170" s="9"/>
      <c r="G170" s="9"/>
      <c r="H170" s="70"/>
      <c r="I170" s="70"/>
      <c r="J170" s="70"/>
      <c r="K170" s="70"/>
      <c r="L170" s="3"/>
      <c r="M170" s="9"/>
      <c r="N170" s="5"/>
      <c r="O170" s="70"/>
      <c r="P170" s="70"/>
      <c r="Q170" s="70"/>
      <c r="R170" s="3"/>
      <c r="S170" s="3"/>
      <c r="T170" s="3"/>
    </row>
    <row r="171">
      <c r="A171" s="3"/>
      <c r="B171" s="3"/>
      <c r="C171" s="3"/>
      <c r="E171" s="3"/>
      <c r="F171" s="9"/>
      <c r="G171" s="9"/>
      <c r="H171" s="70"/>
      <c r="I171" s="70"/>
      <c r="J171" s="70"/>
      <c r="K171" s="70"/>
      <c r="L171" s="3"/>
      <c r="M171" s="9"/>
      <c r="N171" s="5"/>
      <c r="O171" s="70"/>
      <c r="P171" s="70"/>
      <c r="Q171" s="70"/>
      <c r="R171" s="3"/>
      <c r="S171" s="3"/>
      <c r="T171" s="3"/>
    </row>
    <row r="172">
      <c r="A172" s="3"/>
      <c r="B172" s="3"/>
      <c r="C172" s="3"/>
      <c r="E172" s="3"/>
      <c r="F172" s="9"/>
      <c r="G172" s="9"/>
      <c r="H172" s="70"/>
      <c r="I172" s="70"/>
      <c r="J172" s="70"/>
      <c r="K172" s="70"/>
      <c r="L172" s="3"/>
      <c r="M172" s="9"/>
      <c r="N172" s="5"/>
      <c r="O172" s="70"/>
      <c r="P172" s="70"/>
      <c r="Q172" s="70"/>
      <c r="R172" s="3"/>
      <c r="S172" s="3"/>
      <c r="T172" s="3"/>
    </row>
    <row r="173">
      <c r="A173" s="3"/>
      <c r="B173" s="3"/>
      <c r="C173" s="3"/>
      <c r="E173" s="3"/>
      <c r="F173" s="9"/>
      <c r="G173" s="9"/>
      <c r="H173" s="70"/>
      <c r="I173" s="70"/>
      <c r="J173" s="70"/>
      <c r="K173" s="70"/>
      <c r="L173" s="3"/>
      <c r="M173" s="9"/>
      <c r="N173" s="5"/>
      <c r="O173" s="70"/>
      <c r="P173" s="70"/>
      <c r="Q173" s="70"/>
      <c r="R173" s="3"/>
      <c r="S173" s="3"/>
      <c r="T173" s="3"/>
    </row>
    <row r="174">
      <c r="A174" s="3"/>
      <c r="B174" s="3"/>
      <c r="C174" s="3"/>
      <c r="E174" s="3"/>
      <c r="F174" s="9"/>
      <c r="G174" s="9"/>
      <c r="H174" s="70"/>
      <c r="I174" s="70"/>
      <c r="J174" s="70"/>
      <c r="K174" s="70"/>
      <c r="L174" s="3"/>
      <c r="M174" s="9"/>
      <c r="N174" s="5"/>
      <c r="O174" s="70"/>
      <c r="P174" s="70"/>
      <c r="Q174" s="70"/>
      <c r="R174" s="3"/>
      <c r="S174" s="3"/>
      <c r="T174" s="3"/>
    </row>
    <row r="175">
      <c r="A175" s="3"/>
      <c r="B175" s="3"/>
      <c r="C175" s="3"/>
      <c r="E175" s="3"/>
      <c r="F175" s="9"/>
      <c r="G175" s="9"/>
      <c r="H175" s="70"/>
      <c r="I175" s="70"/>
      <c r="J175" s="70"/>
      <c r="K175" s="70"/>
      <c r="L175" s="3"/>
      <c r="M175" s="9"/>
      <c r="N175" s="5"/>
      <c r="O175" s="70"/>
      <c r="P175" s="70"/>
      <c r="Q175" s="70"/>
      <c r="R175" s="3"/>
      <c r="S175" s="3"/>
      <c r="T175" s="3"/>
    </row>
    <row r="176">
      <c r="A176" s="3"/>
      <c r="B176" s="3"/>
      <c r="C176" s="3"/>
      <c r="E176" s="3"/>
      <c r="F176" s="9"/>
      <c r="G176" s="9"/>
      <c r="H176" s="70"/>
      <c r="I176" s="70"/>
      <c r="J176" s="70"/>
      <c r="K176" s="70"/>
      <c r="L176" s="3"/>
      <c r="M176" s="9"/>
      <c r="N176" s="5"/>
      <c r="O176" s="70"/>
      <c r="P176" s="70"/>
      <c r="Q176" s="70"/>
      <c r="R176" s="3"/>
      <c r="S176" s="3"/>
      <c r="T176" s="3"/>
    </row>
    <row r="177">
      <c r="A177" s="3"/>
      <c r="B177" s="3"/>
      <c r="C177" s="3"/>
      <c r="E177" s="3"/>
      <c r="F177" s="9"/>
      <c r="G177" s="9"/>
      <c r="H177" s="70"/>
      <c r="I177" s="70"/>
      <c r="J177" s="70"/>
      <c r="K177" s="70"/>
      <c r="L177" s="3"/>
      <c r="M177" s="9"/>
      <c r="N177" s="5"/>
      <c r="O177" s="70"/>
      <c r="P177" s="70"/>
      <c r="Q177" s="70"/>
      <c r="R177" s="3"/>
      <c r="S177" s="3"/>
      <c r="T177" s="3"/>
    </row>
    <row r="178">
      <c r="A178" s="3"/>
      <c r="B178" s="3"/>
      <c r="C178" s="3"/>
      <c r="E178" s="3"/>
      <c r="F178" s="9"/>
      <c r="G178" s="9"/>
      <c r="H178" s="70"/>
      <c r="I178" s="70"/>
      <c r="J178" s="70"/>
      <c r="K178" s="70"/>
      <c r="L178" s="3"/>
      <c r="M178" s="9"/>
      <c r="N178" s="5"/>
      <c r="O178" s="70"/>
      <c r="P178" s="70"/>
      <c r="Q178" s="70"/>
      <c r="R178" s="3"/>
      <c r="S178" s="3"/>
      <c r="T178" s="3"/>
    </row>
    <row r="179">
      <c r="A179" s="3"/>
      <c r="B179" s="3"/>
      <c r="C179" s="3"/>
      <c r="E179" s="3"/>
      <c r="F179" s="9"/>
      <c r="G179" s="9"/>
      <c r="H179" s="70"/>
      <c r="I179" s="70"/>
      <c r="J179" s="70"/>
      <c r="K179" s="70"/>
      <c r="L179" s="3"/>
      <c r="M179" s="9"/>
      <c r="N179" s="5"/>
      <c r="O179" s="70"/>
      <c r="P179" s="70"/>
      <c r="Q179" s="70"/>
      <c r="R179" s="3"/>
      <c r="S179" s="3"/>
      <c r="T179" s="3"/>
    </row>
    <row r="180">
      <c r="A180" s="3"/>
      <c r="B180" s="3"/>
      <c r="C180" s="3"/>
      <c r="E180" s="3"/>
      <c r="F180" s="9"/>
      <c r="G180" s="9"/>
      <c r="H180" s="70"/>
      <c r="I180" s="70"/>
      <c r="J180" s="70"/>
      <c r="K180" s="70"/>
      <c r="L180" s="3"/>
      <c r="M180" s="9"/>
      <c r="N180" s="5"/>
      <c r="O180" s="70"/>
      <c r="P180" s="70"/>
      <c r="Q180" s="70"/>
      <c r="R180" s="3"/>
      <c r="S180" s="3"/>
      <c r="T180" s="3"/>
    </row>
    <row r="181">
      <c r="A181" s="3"/>
      <c r="B181" s="3"/>
      <c r="C181" s="3"/>
      <c r="E181" s="3"/>
      <c r="F181" s="9"/>
      <c r="G181" s="9"/>
      <c r="H181" s="70"/>
      <c r="I181" s="70"/>
      <c r="J181" s="70"/>
      <c r="K181" s="70"/>
      <c r="L181" s="3"/>
      <c r="M181" s="9"/>
      <c r="N181" s="5"/>
      <c r="O181" s="70"/>
      <c r="P181" s="70"/>
      <c r="Q181" s="70"/>
      <c r="R181" s="3"/>
      <c r="S181" s="3"/>
      <c r="T181" s="3"/>
    </row>
    <row r="182">
      <c r="A182" s="3"/>
      <c r="B182" s="3"/>
      <c r="C182" s="3"/>
      <c r="E182" s="3"/>
      <c r="F182" s="9"/>
      <c r="G182" s="9"/>
      <c r="H182" s="70"/>
      <c r="I182" s="70"/>
      <c r="J182" s="70"/>
      <c r="K182" s="70"/>
      <c r="L182" s="3"/>
      <c r="M182" s="9"/>
      <c r="N182" s="5"/>
      <c r="O182" s="70"/>
      <c r="P182" s="70"/>
      <c r="Q182" s="70"/>
      <c r="R182" s="3"/>
      <c r="S182" s="3"/>
      <c r="T182" s="3"/>
    </row>
    <row r="183">
      <c r="A183" s="3"/>
      <c r="B183" s="3"/>
      <c r="C183" s="3"/>
      <c r="E183" s="3"/>
      <c r="F183" s="9"/>
      <c r="G183" s="9"/>
      <c r="H183" s="70"/>
      <c r="I183" s="70"/>
      <c r="J183" s="70"/>
      <c r="K183" s="70"/>
      <c r="L183" s="3"/>
      <c r="M183" s="9"/>
      <c r="N183" s="5"/>
      <c r="O183" s="70"/>
      <c r="P183" s="70"/>
      <c r="Q183" s="70"/>
      <c r="R183" s="3"/>
      <c r="S183" s="3"/>
      <c r="T183" s="3"/>
    </row>
    <row r="184">
      <c r="A184" s="3"/>
      <c r="B184" s="3"/>
      <c r="C184" s="3"/>
      <c r="E184" s="3"/>
      <c r="F184" s="9"/>
      <c r="G184" s="9"/>
      <c r="H184" s="70"/>
      <c r="I184" s="70"/>
      <c r="J184" s="70"/>
      <c r="K184" s="70"/>
      <c r="L184" s="3"/>
      <c r="M184" s="9"/>
      <c r="N184" s="5"/>
      <c r="O184" s="70"/>
      <c r="P184" s="70"/>
      <c r="Q184" s="70"/>
      <c r="R184" s="3"/>
      <c r="S184" s="3"/>
      <c r="T184" s="3"/>
    </row>
    <row r="185">
      <c r="A185" s="3"/>
      <c r="B185" s="3"/>
      <c r="C185" s="3"/>
      <c r="E185" s="3"/>
      <c r="F185" s="9"/>
      <c r="G185" s="9"/>
      <c r="H185" s="70"/>
      <c r="I185" s="70"/>
      <c r="J185" s="70"/>
      <c r="K185" s="70"/>
      <c r="L185" s="3"/>
      <c r="M185" s="9"/>
      <c r="N185" s="5"/>
      <c r="O185" s="70"/>
      <c r="P185" s="70"/>
      <c r="Q185" s="70"/>
      <c r="R185" s="3"/>
      <c r="S185" s="3"/>
      <c r="T185" s="3"/>
    </row>
    <row r="186">
      <c r="A186" s="3"/>
      <c r="B186" s="3"/>
      <c r="C186" s="3"/>
      <c r="E186" s="3"/>
      <c r="F186" s="9"/>
      <c r="G186" s="9"/>
      <c r="H186" s="70"/>
      <c r="I186" s="70"/>
      <c r="J186" s="70"/>
      <c r="K186" s="70"/>
      <c r="L186" s="3"/>
      <c r="M186" s="9"/>
      <c r="N186" s="5"/>
      <c r="O186" s="70"/>
      <c r="P186" s="70"/>
      <c r="Q186" s="70"/>
      <c r="R186" s="3"/>
      <c r="S186" s="3"/>
      <c r="T186" s="3"/>
    </row>
    <row r="187">
      <c r="A187" s="3"/>
      <c r="B187" s="3"/>
      <c r="C187" s="3"/>
      <c r="E187" s="3"/>
      <c r="F187" s="9"/>
      <c r="G187" s="9"/>
      <c r="H187" s="70"/>
      <c r="I187" s="70"/>
      <c r="J187" s="70"/>
      <c r="K187" s="70"/>
      <c r="L187" s="3"/>
      <c r="M187" s="9"/>
      <c r="N187" s="5"/>
      <c r="O187" s="70"/>
      <c r="P187" s="70"/>
      <c r="Q187" s="70"/>
      <c r="R187" s="3"/>
      <c r="S187" s="3"/>
      <c r="T187" s="3"/>
    </row>
    <row r="188">
      <c r="A188" s="3"/>
      <c r="B188" s="3"/>
      <c r="C188" s="3"/>
      <c r="E188" s="3"/>
      <c r="F188" s="9"/>
      <c r="G188" s="9"/>
      <c r="H188" s="70"/>
      <c r="I188" s="70"/>
      <c r="J188" s="70"/>
      <c r="K188" s="70"/>
      <c r="L188" s="3"/>
      <c r="M188" s="9"/>
      <c r="N188" s="5"/>
      <c r="O188" s="70"/>
      <c r="P188" s="70"/>
      <c r="Q188" s="70"/>
      <c r="R188" s="3"/>
      <c r="S188" s="3"/>
      <c r="T188" s="3"/>
    </row>
    <row r="189">
      <c r="A189" s="3"/>
      <c r="B189" s="3"/>
      <c r="C189" s="3"/>
      <c r="E189" s="3"/>
      <c r="F189" s="9"/>
      <c r="G189" s="9"/>
      <c r="H189" s="70"/>
      <c r="I189" s="70"/>
      <c r="J189" s="70"/>
      <c r="K189" s="70"/>
      <c r="L189" s="3"/>
      <c r="M189" s="9"/>
      <c r="N189" s="5"/>
      <c r="O189" s="70"/>
      <c r="P189" s="70"/>
      <c r="Q189" s="70"/>
      <c r="R189" s="3"/>
      <c r="S189" s="3"/>
      <c r="T189" s="3"/>
    </row>
    <row r="190">
      <c r="A190" s="3"/>
      <c r="B190" s="3"/>
      <c r="C190" s="3"/>
      <c r="E190" s="3"/>
      <c r="F190" s="9"/>
      <c r="G190" s="9"/>
      <c r="H190" s="70"/>
      <c r="I190" s="70"/>
      <c r="J190" s="70"/>
      <c r="K190" s="70"/>
      <c r="L190" s="3"/>
      <c r="M190" s="9"/>
      <c r="N190" s="5"/>
      <c r="O190" s="70"/>
      <c r="P190" s="70"/>
      <c r="Q190" s="70"/>
      <c r="R190" s="3"/>
      <c r="S190" s="3"/>
      <c r="T190" s="3"/>
    </row>
    <row r="191">
      <c r="A191" s="3"/>
      <c r="B191" s="3"/>
      <c r="C191" s="3"/>
      <c r="E191" s="3"/>
      <c r="F191" s="9"/>
      <c r="G191" s="9"/>
      <c r="H191" s="70"/>
      <c r="I191" s="70"/>
      <c r="J191" s="70"/>
      <c r="K191" s="70"/>
      <c r="L191" s="3"/>
      <c r="M191" s="9"/>
      <c r="N191" s="5"/>
      <c r="O191" s="70"/>
      <c r="P191" s="70"/>
      <c r="Q191" s="70"/>
      <c r="R191" s="3"/>
      <c r="S191" s="3"/>
      <c r="T191" s="3"/>
    </row>
    <row r="192">
      <c r="A192" s="3"/>
      <c r="B192" s="3"/>
      <c r="C192" s="3"/>
      <c r="E192" s="3"/>
      <c r="F192" s="9"/>
      <c r="G192" s="9"/>
      <c r="H192" s="70"/>
      <c r="I192" s="70"/>
      <c r="J192" s="70"/>
      <c r="K192" s="70"/>
      <c r="L192" s="3"/>
      <c r="M192" s="9"/>
      <c r="N192" s="5"/>
      <c r="O192" s="70"/>
      <c r="P192" s="70"/>
      <c r="Q192" s="70"/>
      <c r="R192" s="3"/>
      <c r="S192" s="3"/>
      <c r="T192" s="3"/>
    </row>
    <row r="193">
      <c r="A193" s="3"/>
      <c r="B193" s="3"/>
      <c r="C193" s="3"/>
      <c r="E193" s="3"/>
      <c r="F193" s="9"/>
      <c r="G193" s="9"/>
      <c r="H193" s="70"/>
      <c r="I193" s="70"/>
      <c r="J193" s="70"/>
      <c r="K193" s="70"/>
      <c r="L193" s="3"/>
      <c r="M193" s="9"/>
      <c r="N193" s="5"/>
      <c r="O193" s="70"/>
      <c r="P193" s="70"/>
      <c r="Q193" s="70"/>
      <c r="R193" s="3"/>
      <c r="S193" s="3"/>
      <c r="T193" s="3"/>
    </row>
    <row r="194">
      <c r="A194" s="3"/>
      <c r="B194" s="3"/>
      <c r="C194" s="3"/>
      <c r="E194" s="3"/>
      <c r="F194" s="9"/>
      <c r="G194" s="9"/>
      <c r="H194" s="70"/>
      <c r="I194" s="70"/>
      <c r="J194" s="70"/>
      <c r="K194" s="70"/>
      <c r="L194" s="3"/>
      <c r="M194" s="9"/>
      <c r="N194" s="5"/>
      <c r="O194" s="70"/>
      <c r="P194" s="70"/>
      <c r="Q194" s="70"/>
      <c r="R194" s="3"/>
      <c r="S194" s="3"/>
      <c r="T194" s="3"/>
    </row>
    <row r="195">
      <c r="A195" s="3"/>
      <c r="B195" s="3"/>
      <c r="C195" s="3"/>
      <c r="E195" s="3"/>
      <c r="F195" s="9"/>
      <c r="G195" s="9"/>
      <c r="H195" s="70"/>
      <c r="I195" s="70"/>
      <c r="J195" s="70"/>
      <c r="K195" s="70"/>
      <c r="L195" s="3"/>
      <c r="M195" s="9"/>
      <c r="N195" s="5"/>
      <c r="O195" s="70"/>
      <c r="P195" s="70"/>
      <c r="Q195" s="70"/>
      <c r="R195" s="3"/>
      <c r="S195" s="3"/>
      <c r="T195" s="3"/>
    </row>
    <row r="196">
      <c r="A196" s="3"/>
      <c r="B196" s="3"/>
      <c r="C196" s="3"/>
      <c r="E196" s="3"/>
      <c r="F196" s="9"/>
      <c r="G196" s="9"/>
      <c r="H196" s="70"/>
      <c r="I196" s="70"/>
      <c r="J196" s="70"/>
      <c r="K196" s="70"/>
      <c r="L196" s="3"/>
      <c r="M196" s="9"/>
      <c r="N196" s="5"/>
      <c r="O196" s="70"/>
      <c r="P196" s="70"/>
      <c r="Q196" s="70"/>
      <c r="R196" s="3"/>
      <c r="S196" s="3"/>
      <c r="T196" s="3"/>
    </row>
    <row r="197">
      <c r="A197" s="3"/>
      <c r="B197" s="3"/>
      <c r="C197" s="3"/>
      <c r="E197" s="3"/>
      <c r="F197" s="9"/>
      <c r="G197" s="9"/>
      <c r="H197" s="70"/>
      <c r="I197" s="70"/>
      <c r="J197" s="70"/>
      <c r="K197" s="70"/>
      <c r="L197" s="3"/>
      <c r="M197" s="9"/>
      <c r="N197" s="5"/>
      <c r="O197" s="70"/>
      <c r="P197" s="70"/>
      <c r="Q197" s="70"/>
      <c r="R197" s="3"/>
      <c r="S197" s="3"/>
      <c r="T197" s="3"/>
    </row>
    <row r="198">
      <c r="A198" s="3"/>
      <c r="B198" s="3"/>
      <c r="C198" s="3"/>
      <c r="E198" s="3"/>
      <c r="F198" s="9"/>
      <c r="G198" s="9"/>
      <c r="H198" s="70"/>
      <c r="I198" s="70"/>
      <c r="J198" s="70"/>
      <c r="K198" s="70"/>
      <c r="L198" s="3"/>
      <c r="M198" s="9"/>
      <c r="N198" s="5"/>
      <c r="O198" s="70"/>
      <c r="P198" s="70"/>
      <c r="Q198" s="70"/>
      <c r="R198" s="3"/>
      <c r="S198" s="3"/>
      <c r="T198" s="3"/>
    </row>
    <row r="199">
      <c r="A199" s="3"/>
      <c r="B199" s="3"/>
      <c r="C199" s="3"/>
      <c r="E199" s="3"/>
      <c r="F199" s="9"/>
      <c r="G199" s="9"/>
      <c r="H199" s="70"/>
      <c r="I199" s="70"/>
      <c r="J199" s="70"/>
      <c r="K199" s="70"/>
      <c r="L199" s="3"/>
      <c r="M199" s="9"/>
      <c r="N199" s="5"/>
      <c r="O199" s="70"/>
      <c r="P199" s="70"/>
      <c r="Q199" s="70"/>
      <c r="R199" s="3"/>
      <c r="S199" s="3"/>
      <c r="T199" s="3"/>
    </row>
    <row r="200">
      <c r="A200" s="3"/>
      <c r="B200" s="3"/>
      <c r="C200" s="3"/>
      <c r="E200" s="3"/>
      <c r="F200" s="9"/>
      <c r="G200" s="9"/>
      <c r="H200" s="70"/>
      <c r="I200" s="70"/>
      <c r="J200" s="70"/>
      <c r="K200" s="70"/>
      <c r="L200" s="3"/>
      <c r="M200" s="9"/>
      <c r="N200" s="5"/>
      <c r="O200" s="70"/>
      <c r="P200" s="70"/>
      <c r="Q200" s="70"/>
      <c r="R200" s="3"/>
      <c r="S200" s="3"/>
      <c r="T200" s="3"/>
    </row>
    <row r="201">
      <c r="A201" s="3"/>
      <c r="B201" s="3"/>
      <c r="C201" s="3"/>
      <c r="E201" s="3"/>
      <c r="F201" s="9"/>
      <c r="G201" s="9"/>
      <c r="H201" s="70"/>
      <c r="I201" s="70"/>
      <c r="J201" s="70"/>
      <c r="K201" s="70"/>
      <c r="L201" s="3"/>
      <c r="M201" s="9"/>
      <c r="N201" s="5"/>
      <c r="O201" s="70"/>
      <c r="P201" s="70"/>
      <c r="Q201" s="70"/>
      <c r="R201" s="3"/>
      <c r="S201" s="3"/>
      <c r="T201" s="3"/>
    </row>
    <row r="202">
      <c r="A202" s="3"/>
      <c r="B202" s="3"/>
      <c r="C202" s="3"/>
      <c r="E202" s="3"/>
      <c r="F202" s="9"/>
      <c r="G202" s="9"/>
      <c r="H202" s="70"/>
      <c r="I202" s="70"/>
      <c r="J202" s="70"/>
      <c r="K202" s="70"/>
      <c r="L202" s="3"/>
      <c r="M202" s="9"/>
      <c r="N202" s="5"/>
      <c r="O202" s="70"/>
      <c r="P202" s="70"/>
      <c r="Q202" s="70"/>
      <c r="R202" s="3"/>
      <c r="S202" s="3"/>
      <c r="T202" s="3"/>
    </row>
    <row r="203">
      <c r="A203" s="3"/>
      <c r="B203" s="3"/>
      <c r="C203" s="3"/>
      <c r="E203" s="3"/>
      <c r="F203" s="9"/>
      <c r="G203" s="9"/>
      <c r="H203" s="70"/>
      <c r="I203" s="70"/>
      <c r="J203" s="70"/>
      <c r="K203" s="70"/>
      <c r="L203" s="3"/>
      <c r="M203" s="9"/>
      <c r="N203" s="5"/>
      <c r="O203" s="70"/>
      <c r="P203" s="70"/>
      <c r="Q203" s="70"/>
      <c r="R203" s="3"/>
      <c r="S203" s="3"/>
      <c r="T203" s="3"/>
    </row>
    <row r="204">
      <c r="A204" s="3"/>
      <c r="B204" s="3"/>
      <c r="C204" s="3"/>
      <c r="E204" s="3"/>
      <c r="F204" s="9"/>
      <c r="G204" s="9"/>
      <c r="H204" s="70"/>
      <c r="I204" s="70"/>
      <c r="J204" s="70"/>
      <c r="K204" s="70"/>
      <c r="L204" s="3"/>
      <c r="M204" s="9"/>
      <c r="N204" s="5"/>
      <c r="O204" s="70"/>
      <c r="P204" s="70"/>
      <c r="Q204" s="70"/>
      <c r="R204" s="3"/>
      <c r="S204" s="3"/>
      <c r="T204" s="3"/>
    </row>
    <row r="205">
      <c r="A205" s="3"/>
      <c r="B205" s="3"/>
      <c r="C205" s="3"/>
      <c r="E205" s="3"/>
      <c r="F205" s="9"/>
      <c r="G205" s="9"/>
      <c r="H205" s="70"/>
      <c r="I205" s="70"/>
      <c r="J205" s="70"/>
      <c r="K205" s="70"/>
      <c r="L205" s="3"/>
      <c r="M205" s="9"/>
      <c r="N205" s="5"/>
      <c r="O205" s="70"/>
      <c r="P205" s="70"/>
      <c r="Q205" s="70"/>
      <c r="R205" s="3"/>
      <c r="S205" s="3"/>
      <c r="T205" s="3"/>
    </row>
    <row r="206">
      <c r="A206" s="3"/>
      <c r="B206" s="3"/>
      <c r="C206" s="3"/>
      <c r="E206" s="3"/>
      <c r="F206" s="9"/>
      <c r="G206" s="9"/>
      <c r="H206" s="70"/>
      <c r="I206" s="70"/>
      <c r="J206" s="70"/>
      <c r="K206" s="70"/>
      <c r="L206" s="3"/>
      <c r="M206" s="9"/>
      <c r="N206" s="5"/>
      <c r="O206" s="70"/>
      <c r="P206" s="70"/>
      <c r="Q206" s="70"/>
      <c r="R206" s="3"/>
      <c r="S206" s="3"/>
      <c r="T206" s="3"/>
    </row>
    <row r="207">
      <c r="A207" s="3"/>
      <c r="B207" s="3"/>
      <c r="C207" s="3"/>
      <c r="E207" s="3"/>
      <c r="F207" s="9"/>
      <c r="G207" s="9"/>
      <c r="H207" s="70"/>
      <c r="I207" s="70"/>
      <c r="J207" s="70"/>
      <c r="K207" s="70"/>
      <c r="L207" s="3"/>
      <c r="M207" s="9"/>
      <c r="N207" s="5"/>
      <c r="O207" s="70"/>
      <c r="P207" s="70"/>
      <c r="Q207" s="70"/>
      <c r="R207" s="3"/>
      <c r="S207" s="3"/>
      <c r="T207" s="3"/>
    </row>
    <row r="208">
      <c r="A208" s="3"/>
      <c r="B208" s="3"/>
      <c r="C208" s="3"/>
      <c r="E208" s="3"/>
      <c r="F208" s="9"/>
      <c r="G208" s="9"/>
      <c r="H208" s="70"/>
      <c r="I208" s="70"/>
      <c r="J208" s="70"/>
      <c r="K208" s="70"/>
      <c r="L208" s="3"/>
      <c r="M208" s="9"/>
      <c r="N208" s="5"/>
      <c r="O208" s="70"/>
      <c r="P208" s="70"/>
      <c r="Q208" s="70"/>
      <c r="R208" s="3"/>
      <c r="S208" s="3"/>
      <c r="T208" s="3"/>
    </row>
    <row r="209">
      <c r="A209" s="3"/>
      <c r="B209" s="3"/>
      <c r="C209" s="3"/>
      <c r="E209" s="3"/>
      <c r="F209" s="9"/>
      <c r="G209" s="9"/>
      <c r="H209" s="70"/>
      <c r="I209" s="70"/>
      <c r="J209" s="70"/>
      <c r="K209" s="70"/>
      <c r="L209" s="3"/>
      <c r="M209" s="9"/>
      <c r="N209" s="5"/>
      <c r="O209" s="70"/>
      <c r="P209" s="70"/>
      <c r="Q209" s="70"/>
      <c r="R209" s="3"/>
      <c r="S209" s="3"/>
      <c r="T209" s="3"/>
    </row>
    <row r="210">
      <c r="A210" s="3"/>
      <c r="B210" s="3"/>
      <c r="C210" s="3"/>
      <c r="E210" s="3"/>
      <c r="F210" s="9"/>
      <c r="G210" s="9"/>
      <c r="H210" s="70"/>
      <c r="I210" s="70"/>
      <c r="J210" s="70"/>
      <c r="K210" s="70"/>
      <c r="L210" s="3"/>
      <c r="M210" s="9"/>
      <c r="N210" s="5"/>
      <c r="O210" s="70"/>
      <c r="P210" s="70"/>
      <c r="Q210" s="70"/>
      <c r="R210" s="3"/>
      <c r="S210" s="3"/>
      <c r="T210" s="3"/>
    </row>
    <row r="211">
      <c r="A211" s="3"/>
      <c r="B211" s="3"/>
      <c r="C211" s="3"/>
      <c r="E211" s="3"/>
      <c r="F211" s="9"/>
      <c r="G211" s="9"/>
      <c r="H211" s="70"/>
      <c r="I211" s="70"/>
      <c r="J211" s="70"/>
      <c r="K211" s="70"/>
      <c r="L211" s="3"/>
      <c r="M211" s="9"/>
      <c r="N211" s="5"/>
      <c r="O211" s="70"/>
      <c r="P211" s="70"/>
      <c r="Q211" s="70"/>
      <c r="R211" s="3"/>
      <c r="S211" s="3"/>
      <c r="T211" s="3"/>
    </row>
    <row r="212">
      <c r="A212" s="3"/>
      <c r="B212" s="3"/>
      <c r="C212" s="3"/>
      <c r="E212" s="3"/>
      <c r="F212" s="9"/>
      <c r="G212" s="9"/>
      <c r="H212" s="70"/>
      <c r="I212" s="70"/>
      <c r="J212" s="70"/>
      <c r="K212" s="70"/>
      <c r="L212" s="3"/>
      <c r="M212" s="9"/>
      <c r="N212" s="5"/>
      <c r="O212" s="70"/>
      <c r="P212" s="70"/>
      <c r="Q212" s="70"/>
      <c r="R212" s="3"/>
      <c r="S212" s="3"/>
      <c r="T212" s="3"/>
    </row>
    <row r="213">
      <c r="A213" s="3"/>
      <c r="B213" s="3"/>
      <c r="C213" s="3"/>
      <c r="E213" s="3"/>
      <c r="F213" s="9"/>
      <c r="G213" s="9"/>
      <c r="H213" s="70"/>
      <c r="I213" s="70"/>
      <c r="J213" s="70"/>
      <c r="K213" s="70"/>
      <c r="L213" s="3"/>
      <c r="M213" s="9"/>
      <c r="N213" s="5"/>
      <c r="O213" s="70"/>
      <c r="P213" s="70"/>
      <c r="Q213" s="70"/>
      <c r="R213" s="3"/>
      <c r="S213" s="3"/>
      <c r="T213" s="3"/>
    </row>
    <row r="214">
      <c r="A214" s="3"/>
      <c r="B214" s="3"/>
      <c r="C214" s="3"/>
      <c r="E214" s="3"/>
      <c r="F214" s="9"/>
      <c r="G214" s="9"/>
      <c r="H214" s="70"/>
      <c r="I214" s="70"/>
      <c r="J214" s="70"/>
      <c r="K214" s="70"/>
      <c r="L214" s="3"/>
      <c r="M214" s="9"/>
      <c r="N214" s="5"/>
      <c r="O214" s="70"/>
      <c r="P214" s="70"/>
      <c r="Q214" s="70"/>
      <c r="R214" s="3"/>
      <c r="S214" s="3"/>
      <c r="T214" s="3"/>
    </row>
    <row r="215">
      <c r="A215" s="3"/>
      <c r="B215" s="3"/>
      <c r="C215" s="3"/>
      <c r="E215" s="3"/>
      <c r="F215" s="9"/>
      <c r="G215" s="9"/>
      <c r="H215" s="70"/>
      <c r="I215" s="70"/>
      <c r="J215" s="70"/>
      <c r="K215" s="70"/>
      <c r="L215" s="3"/>
      <c r="M215" s="9"/>
      <c r="N215" s="5"/>
      <c r="O215" s="70"/>
      <c r="P215" s="70"/>
      <c r="Q215" s="70"/>
      <c r="R215" s="3"/>
      <c r="S215" s="3"/>
      <c r="T215" s="3"/>
    </row>
    <row r="216">
      <c r="A216" s="3"/>
      <c r="B216" s="3"/>
      <c r="C216" s="3"/>
      <c r="E216" s="3"/>
      <c r="F216" s="9"/>
      <c r="G216" s="9"/>
      <c r="H216" s="70"/>
      <c r="I216" s="70"/>
      <c r="J216" s="70"/>
      <c r="K216" s="70"/>
      <c r="L216" s="3"/>
      <c r="M216" s="9"/>
      <c r="N216" s="5"/>
      <c r="O216" s="70"/>
      <c r="P216" s="70"/>
      <c r="Q216" s="70"/>
      <c r="R216" s="3"/>
      <c r="S216" s="3"/>
      <c r="T216" s="3"/>
    </row>
    <row r="217">
      <c r="A217" s="3"/>
      <c r="B217" s="3"/>
      <c r="C217" s="3"/>
      <c r="E217" s="3"/>
      <c r="F217" s="9"/>
      <c r="G217" s="9"/>
      <c r="H217" s="70"/>
      <c r="I217" s="70"/>
      <c r="J217" s="70"/>
      <c r="K217" s="70"/>
      <c r="L217" s="3"/>
      <c r="M217" s="9"/>
      <c r="N217" s="5"/>
      <c r="O217" s="70"/>
      <c r="P217" s="70"/>
      <c r="Q217" s="70"/>
      <c r="R217" s="3"/>
      <c r="S217" s="3"/>
      <c r="T217" s="3"/>
    </row>
    <row r="218">
      <c r="A218" s="3"/>
      <c r="B218" s="3"/>
      <c r="C218" s="3"/>
      <c r="E218" s="3"/>
      <c r="F218" s="9"/>
      <c r="G218" s="9"/>
      <c r="H218" s="70"/>
      <c r="I218" s="70"/>
      <c r="J218" s="70"/>
      <c r="K218" s="70"/>
      <c r="L218" s="3"/>
      <c r="M218" s="9"/>
      <c r="N218" s="5"/>
      <c r="O218" s="70"/>
      <c r="P218" s="70"/>
      <c r="Q218" s="70"/>
      <c r="R218" s="3"/>
      <c r="S218" s="3"/>
      <c r="T218" s="3"/>
    </row>
    <row r="219">
      <c r="A219" s="3"/>
      <c r="B219" s="3"/>
      <c r="C219" s="3"/>
      <c r="E219" s="3"/>
      <c r="F219" s="9"/>
      <c r="G219" s="9"/>
      <c r="H219" s="70"/>
      <c r="I219" s="70"/>
      <c r="J219" s="70"/>
      <c r="K219" s="70"/>
      <c r="L219" s="3"/>
      <c r="M219" s="9"/>
      <c r="N219" s="5"/>
      <c r="O219" s="70"/>
      <c r="P219" s="70"/>
      <c r="Q219" s="70"/>
      <c r="R219" s="3"/>
      <c r="S219" s="3"/>
      <c r="T219" s="3"/>
    </row>
    <row r="220">
      <c r="A220" s="3"/>
      <c r="B220" s="3"/>
      <c r="C220" s="3"/>
      <c r="E220" s="3"/>
      <c r="F220" s="9"/>
      <c r="G220" s="9"/>
      <c r="H220" s="70"/>
      <c r="I220" s="70"/>
      <c r="J220" s="70"/>
      <c r="K220" s="70"/>
      <c r="L220" s="3"/>
      <c r="M220" s="9"/>
      <c r="N220" s="5"/>
      <c r="O220" s="70"/>
      <c r="P220" s="70"/>
      <c r="Q220" s="70"/>
      <c r="R220" s="3"/>
      <c r="S220" s="3"/>
      <c r="T220" s="3"/>
    </row>
    <row r="221">
      <c r="A221" s="3"/>
      <c r="B221" s="3"/>
      <c r="C221" s="3"/>
      <c r="E221" s="3"/>
      <c r="F221" s="9"/>
      <c r="G221" s="9"/>
      <c r="H221" s="70"/>
      <c r="I221" s="70"/>
      <c r="J221" s="70"/>
      <c r="K221" s="70"/>
      <c r="L221" s="3"/>
      <c r="M221" s="9"/>
      <c r="N221" s="5"/>
      <c r="O221" s="70"/>
      <c r="P221" s="70"/>
      <c r="Q221" s="70"/>
      <c r="R221" s="3"/>
      <c r="S221" s="3"/>
      <c r="T221" s="3"/>
    </row>
    <row r="222">
      <c r="A222" s="3"/>
      <c r="B222" s="3"/>
      <c r="C222" s="3"/>
      <c r="E222" s="3"/>
      <c r="F222" s="9"/>
      <c r="G222" s="9"/>
      <c r="H222" s="70"/>
      <c r="I222" s="70"/>
      <c r="J222" s="70"/>
      <c r="K222" s="70"/>
      <c r="L222" s="3"/>
      <c r="M222" s="9"/>
      <c r="N222" s="5"/>
      <c r="O222" s="70"/>
      <c r="P222" s="70"/>
      <c r="Q222" s="70"/>
      <c r="R222" s="3"/>
      <c r="S222" s="3"/>
      <c r="T222" s="3"/>
    </row>
    <row r="223">
      <c r="A223" s="3"/>
      <c r="B223" s="3"/>
      <c r="C223" s="3"/>
      <c r="E223" s="3"/>
      <c r="F223" s="9"/>
      <c r="G223" s="9"/>
      <c r="H223" s="70"/>
      <c r="I223" s="70"/>
      <c r="J223" s="70"/>
      <c r="K223" s="70"/>
      <c r="L223" s="3"/>
      <c r="M223" s="9"/>
      <c r="N223" s="5"/>
      <c r="O223" s="70"/>
      <c r="P223" s="70"/>
      <c r="Q223" s="70"/>
      <c r="R223" s="3"/>
      <c r="S223" s="3"/>
      <c r="T223" s="3"/>
    </row>
    <row r="224">
      <c r="A224" s="3"/>
      <c r="B224" s="3"/>
      <c r="C224" s="3"/>
      <c r="E224" s="3"/>
      <c r="F224" s="9"/>
      <c r="G224" s="9"/>
      <c r="H224" s="70"/>
      <c r="I224" s="70"/>
      <c r="J224" s="70"/>
      <c r="K224" s="70"/>
      <c r="L224" s="3"/>
      <c r="M224" s="9"/>
      <c r="N224" s="5"/>
      <c r="O224" s="70"/>
      <c r="P224" s="70"/>
      <c r="Q224" s="70"/>
      <c r="R224" s="3"/>
      <c r="S224" s="3"/>
      <c r="T224" s="3"/>
    </row>
    <row r="225">
      <c r="A225" s="3"/>
      <c r="B225" s="3"/>
      <c r="C225" s="3"/>
      <c r="E225" s="3"/>
      <c r="F225" s="9"/>
      <c r="G225" s="9"/>
      <c r="H225" s="70"/>
      <c r="I225" s="70"/>
      <c r="J225" s="70"/>
      <c r="K225" s="70"/>
      <c r="L225" s="3"/>
      <c r="M225" s="9"/>
      <c r="N225" s="5"/>
      <c r="O225" s="70"/>
      <c r="P225" s="70"/>
      <c r="Q225" s="70"/>
      <c r="R225" s="3"/>
      <c r="S225" s="3"/>
      <c r="T225" s="3"/>
    </row>
    <row r="226">
      <c r="A226" s="3"/>
      <c r="B226" s="3"/>
      <c r="C226" s="3"/>
      <c r="E226" s="3"/>
      <c r="F226" s="9"/>
      <c r="G226" s="9"/>
      <c r="H226" s="70"/>
      <c r="I226" s="70"/>
      <c r="J226" s="70"/>
      <c r="K226" s="70"/>
      <c r="L226" s="3"/>
      <c r="M226" s="9"/>
      <c r="N226" s="5"/>
      <c r="O226" s="70"/>
      <c r="P226" s="70"/>
      <c r="Q226" s="70"/>
      <c r="R226" s="3"/>
      <c r="S226" s="3"/>
      <c r="T226" s="3"/>
    </row>
    <row r="227">
      <c r="A227" s="3"/>
      <c r="B227" s="3"/>
      <c r="C227" s="3"/>
      <c r="E227" s="3"/>
      <c r="F227" s="9"/>
      <c r="G227" s="9"/>
      <c r="H227" s="70"/>
      <c r="I227" s="70"/>
      <c r="J227" s="70"/>
      <c r="K227" s="70"/>
      <c r="L227" s="3"/>
      <c r="M227" s="9"/>
      <c r="N227" s="5"/>
      <c r="O227" s="70"/>
      <c r="P227" s="70"/>
      <c r="Q227" s="70"/>
      <c r="R227" s="3"/>
      <c r="S227" s="3"/>
      <c r="T227" s="3"/>
    </row>
    <row r="228">
      <c r="A228" s="3"/>
      <c r="B228" s="3"/>
      <c r="C228" s="3"/>
      <c r="E228" s="3"/>
      <c r="F228" s="9"/>
      <c r="G228" s="9"/>
      <c r="H228" s="70"/>
      <c r="I228" s="70"/>
      <c r="J228" s="70"/>
      <c r="K228" s="70"/>
      <c r="L228" s="3"/>
      <c r="M228" s="9"/>
      <c r="N228" s="5"/>
      <c r="O228" s="70"/>
      <c r="P228" s="70"/>
      <c r="Q228" s="70"/>
      <c r="R228" s="3"/>
      <c r="S228" s="3"/>
      <c r="T228" s="3"/>
    </row>
    <row r="229">
      <c r="A229" s="3"/>
      <c r="B229" s="3"/>
      <c r="C229" s="3"/>
      <c r="E229" s="3"/>
      <c r="F229" s="9"/>
      <c r="G229" s="9"/>
      <c r="H229" s="70"/>
      <c r="I229" s="70"/>
      <c r="J229" s="70"/>
      <c r="K229" s="70"/>
      <c r="L229" s="3"/>
      <c r="M229" s="9"/>
      <c r="N229" s="5"/>
      <c r="O229" s="70"/>
      <c r="P229" s="70"/>
      <c r="Q229" s="70"/>
      <c r="R229" s="3"/>
      <c r="S229" s="3"/>
      <c r="T229" s="3"/>
    </row>
    <row r="230">
      <c r="A230" s="3"/>
      <c r="B230" s="3"/>
      <c r="C230" s="3"/>
      <c r="E230" s="3"/>
      <c r="F230" s="9"/>
      <c r="G230" s="9"/>
      <c r="H230" s="70"/>
      <c r="I230" s="70"/>
      <c r="J230" s="70"/>
      <c r="K230" s="70"/>
      <c r="L230" s="3"/>
      <c r="M230" s="9"/>
      <c r="N230" s="5"/>
      <c r="O230" s="70"/>
      <c r="P230" s="70"/>
      <c r="Q230" s="70"/>
      <c r="R230" s="3"/>
      <c r="S230" s="3"/>
      <c r="T230" s="3"/>
    </row>
    <row r="231">
      <c r="A231" s="3"/>
      <c r="B231" s="3"/>
      <c r="C231" s="3"/>
      <c r="E231" s="3"/>
      <c r="F231" s="9"/>
      <c r="G231" s="9"/>
      <c r="H231" s="70"/>
      <c r="I231" s="70"/>
      <c r="J231" s="70"/>
      <c r="K231" s="70"/>
      <c r="L231" s="3"/>
      <c r="M231" s="9"/>
      <c r="N231" s="5"/>
      <c r="O231" s="70"/>
      <c r="P231" s="70"/>
      <c r="Q231" s="70"/>
      <c r="R231" s="3"/>
      <c r="S231" s="3"/>
      <c r="T231" s="3"/>
    </row>
    <row r="232">
      <c r="A232" s="3"/>
      <c r="B232" s="3"/>
      <c r="C232" s="3"/>
      <c r="E232" s="3"/>
      <c r="F232" s="9"/>
      <c r="G232" s="9"/>
      <c r="H232" s="70"/>
      <c r="I232" s="70"/>
      <c r="J232" s="70"/>
      <c r="K232" s="70"/>
      <c r="L232" s="3"/>
      <c r="M232" s="9"/>
      <c r="N232" s="5"/>
      <c r="O232" s="70"/>
      <c r="P232" s="70"/>
      <c r="Q232" s="70"/>
      <c r="R232" s="3"/>
      <c r="S232" s="3"/>
      <c r="T232" s="3"/>
    </row>
    <row r="233">
      <c r="A233" s="3"/>
      <c r="B233" s="3"/>
      <c r="C233" s="3"/>
      <c r="E233" s="3"/>
      <c r="F233" s="9"/>
      <c r="G233" s="9"/>
      <c r="H233" s="70"/>
      <c r="I233" s="70"/>
      <c r="J233" s="70"/>
      <c r="K233" s="70"/>
      <c r="L233" s="3"/>
      <c r="M233" s="9"/>
      <c r="N233" s="5"/>
      <c r="O233" s="70"/>
      <c r="P233" s="70"/>
      <c r="Q233" s="70"/>
      <c r="R233" s="3"/>
      <c r="S233" s="3"/>
      <c r="T233" s="3"/>
    </row>
    <row r="234">
      <c r="A234" s="3"/>
      <c r="B234" s="3"/>
      <c r="C234" s="3"/>
      <c r="E234" s="3"/>
      <c r="F234" s="9"/>
      <c r="G234" s="9"/>
      <c r="H234" s="70"/>
      <c r="I234" s="70"/>
      <c r="J234" s="70"/>
      <c r="K234" s="70"/>
      <c r="L234" s="3"/>
      <c r="M234" s="9"/>
      <c r="N234" s="5"/>
      <c r="O234" s="70"/>
      <c r="P234" s="70"/>
      <c r="Q234" s="70"/>
      <c r="R234" s="3"/>
      <c r="S234" s="3"/>
      <c r="T234" s="3"/>
    </row>
    <row r="235">
      <c r="A235" s="3"/>
      <c r="B235" s="3"/>
      <c r="C235" s="3"/>
      <c r="E235" s="3"/>
      <c r="F235" s="9"/>
      <c r="G235" s="9"/>
      <c r="H235" s="70"/>
      <c r="I235" s="70"/>
      <c r="J235" s="70"/>
      <c r="K235" s="70"/>
      <c r="L235" s="3"/>
      <c r="M235" s="9"/>
      <c r="N235" s="5"/>
      <c r="O235" s="70"/>
      <c r="P235" s="70"/>
      <c r="Q235" s="70"/>
      <c r="R235" s="3"/>
      <c r="S235" s="3"/>
      <c r="T235" s="3"/>
    </row>
    <row r="236">
      <c r="A236" s="3"/>
      <c r="B236" s="3"/>
      <c r="C236" s="3"/>
      <c r="E236" s="3"/>
      <c r="F236" s="9"/>
      <c r="G236" s="9"/>
      <c r="H236" s="70"/>
      <c r="I236" s="70"/>
      <c r="J236" s="70"/>
      <c r="K236" s="70"/>
      <c r="L236" s="3"/>
      <c r="M236" s="9"/>
      <c r="N236" s="5"/>
      <c r="O236" s="70"/>
      <c r="P236" s="70"/>
      <c r="Q236" s="70"/>
      <c r="R236" s="3"/>
      <c r="S236" s="3"/>
      <c r="T236" s="3"/>
    </row>
    <row r="237">
      <c r="A237" s="3"/>
      <c r="B237" s="3"/>
      <c r="C237" s="3"/>
      <c r="E237" s="3"/>
      <c r="F237" s="9"/>
      <c r="G237" s="9"/>
      <c r="H237" s="70"/>
      <c r="I237" s="70"/>
      <c r="J237" s="70"/>
      <c r="K237" s="70"/>
      <c r="L237" s="3"/>
      <c r="M237" s="9"/>
      <c r="N237" s="5"/>
      <c r="O237" s="70"/>
      <c r="P237" s="70"/>
      <c r="Q237" s="70"/>
      <c r="R237" s="3"/>
      <c r="S237" s="3"/>
      <c r="T237" s="3"/>
    </row>
    <row r="238">
      <c r="A238" s="3"/>
      <c r="B238" s="3"/>
      <c r="C238" s="3"/>
      <c r="E238" s="3"/>
      <c r="F238" s="9"/>
      <c r="G238" s="9"/>
      <c r="H238" s="70"/>
      <c r="I238" s="70"/>
      <c r="J238" s="70"/>
      <c r="K238" s="70"/>
      <c r="L238" s="3"/>
      <c r="M238" s="9"/>
      <c r="N238" s="5"/>
      <c r="O238" s="70"/>
      <c r="P238" s="70"/>
      <c r="Q238" s="70"/>
      <c r="R238" s="3"/>
      <c r="S238" s="3"/>
      <c r="T238" s="3"/>
    </row>
    <row r="239">
      <c r="A239" s="3"/>
      <c r="B239" s="3"/>
      <c r="C239" s="3"/>
      <c r="E239" s="3"/>
      <c r="F239" s="9"/>
      <c r="G239" s="9"/>
      <c r="H239" s="70"/>
      <c r="I239" s="70"/>
      <c r="J239" s="70"/>
      <c r="K239" s="70"/>
      <c r="L239" s="3"/>
      <c r="M239" s="9"/>
      <c r="N239" s="5"/>
      <c r="O239" s="70"/>
      <c r="P239" s="70"/>
      <c r="Q239" s="70"/>
      <c r="R239" s="3"/>
      <c r="S239" s="3"/>
      <c r="T239" s="3"/>
    </row>
    <row r="240">
      <c r="A240" s="3"/>
      <c r="B240" s="3"/>
      <c r="C240" s="3"/>
      <c r="E240" s="3"/>
      <c r="F240" s="9"/>
      <c r="G240" s="9"/>
      <c r="H240" s="70"/>
      <c r="I240" s="70"/>
      <c r="J240" s="70"/>
      <c r="K240" s="70"/>
      <c r="L240" s="3"/>
      <c r="M240" s="9"/>
      <c r="N240" s="5"/>
      <c r="O240" s="70"/>
      <c r="P240" s="70"/>
      <c r="Q240" s="70"/>
      <c r="R240" s="3"/>
      <c r="S240" s="3"/>
      <c r="T240" s="3"/>
    </row>
    <row r="241">
      <c r="A241" s="3"/>
      <c r="B241" s="3"/>
      <c r="C241" s="3"/>
      <c r="E241" s="3"/>
      <c r="F241" s="9"/>
      <c r="G241" s="9"/>
      <c r="H241" s="70"/>
      <c r="I241" s="70"/>
      <c r="J241" s="70"/>
      <c r="K241" s="70"/>
      <c r="L241" s="3"/>
      <c r="M241" s="9"/>
      <c r="N241" s="5"/>
      <c r="O241" s="70"/>
      <c r="P241" s="70"/>
      <c r="Q241" s="70"/>
      <c r="R241" s="3"/>
      <c r="S241" s="3"/>
      <c r="T241" s="3"/>
    </row>
    <row r="242">
      <c r="A242" s="3"/>
      <c r="B242" s="3"/>
      <c r="C242" s="3"/>
      <c r="E242" s="3"/>
      <c r="F242" s="9"/>
      <c r="G242" s="9"/>
      <c r="H242" s="70"/>
      <c r="I242" s="70"/>
      <c r="J242" s="70"/>
      <c r="K242" s="70"/>
      <c r="L242" s="3"/>
      <c r="M242" s="9"/>
      <c r="N242" s="5"/>
      <c r="O242" s="70"/>
      <c r="P242" s="70"/>
      <c r="Q242" s="70"/>
      <c r="R242" s="3"/>
      <c r="S242" s="3"/>
      <c r="T242" s="3"/>
    </row>
    <row r="243">
      <c r="A243" s="3"/>
      <c r="B243" s="3"/>
      <c r="C243" s="3"/>
      <c r="E243" s="3"/>
      <c r="F243" s="9"/>
      <c r="G243" s="9"/>
      <c r="H243" s="70"/>
      <c r="I243" s="70"/>
      <c r="J243" s="70"/>
      <c r="K243" s="70"/>
      <c r="L243" s="3"/>
      <c r="M243" s="9"/>
      <c r="N243" s="5"/>
      <c r="O243" s="70"/>
      <c r="P243" s="70"/>
      <c r="Q243" s="70"/>
      <c r="R243" s="3"/>
      <c r="S243" s="3"/>
      <c r="T243" s="3"/>
    </row>
    <row r="244">
      <c r="A244" s="3"/>
      <c r="B244" s="3"/>
      <c r="C244" s="3"/>
      <c r="E244" s="3"/>
      <c r="F244" s="9"/>
      <c r="G244" s="9"/>
      <c r="H244" s="70"/>
      <c r="I244" s="70"/>
      <c r="J244" s="70"/>
      <c r="K244" s="70"/>
      <c r="L244" s="3"/>
      <c r="M244" s="9"/>
      <c r="N244" s="5"/>
      <c r="O244" s="70"/>
      <c r="P244" s="70"/>
      <c r="Q244" s="70"/>
      <c r="R244" s="3"/>
      <c r="S244" s="3"/>
      <c r="T244" s="3"/>
    </row>
    <row r="245">
      <c r="A245" s="3"/>
      <c r="B245" s="3"/>
      <c r="C245" s="3"/>
      <c r="E245" s="3"/>
      <c r="F245" s="9"/>
      <c r="G245" s="9"/>
      <c r="H245" s="70"/>
      <c r="I245" s="70"/>
      <c r="J245" s="70"/>
      <c r="K245" s="70"/>
      <c r="L245" s="3"/>
      <c r="M245" s="9"/>
      <c r="N245" s="5"/>
      <c r="O245" s="70"/>
      <c r="P245" s="70"/>
      <c r="Q245" s="70"/>
      <c r="R245" s="3"/>
      <c r="S245" s="3"/>
      <c r="T245" s="3"/>
    </row>
    <row r="246">
      <c r="A246" s="3"/>
      <c r="B246" s="3"/>
      <c r="C246" s="3"/>
      <c r="E246" s="3"/>
      <c r="F246" s="9"/>
      <c r="G246" s="9"/>
      <c r="H246" s="70"/>
      <c r="I246" s="70"/>
      <c r="J246" s="70"/>
      <c r="K246" s="70"/>
      <c r="L246" s="3"/>
      <c r="M246" s="9"/>
      <c r="N246" s="5"/>
      <c r="O246" s="70"/>
      <c r="P246" s="70"/>
      <c r="Q246" s="70"/>
      <c r="R246" s="3"/>
      <c r="S246" s="3"/>
      <c r="T246" s="3"/>
    </row>
    <row r="247">
      <c r="A247" s="3"/>
      <c r="B247" s="3"/>
      <c r="C247" s="3"/>
      <c r="E247" s="3"/>
      <c r="F247" s="9"/>
      <c r="G247" s="9"/>
      <c r="H247" s="70"/>
      <c r="I247" s="70"/>
      <c r="J247" s="70"/>
      <c r="K247" s="70"/>
      <c r="L247" s="3"/>
      <c r="M247" s="9"/>
      <c r="N247" s="5"/>
      <c r="O247" s="70"/>
      <c r="P247" s="70"/>
      <c r="Q247" s="70"/>
      <c r="R247" s="3"/>
      <c r="S247" s="3"/>
      <c r="T247" s="3"/>
    </row>
    <row r="248">
      <c r="A248" s="3"/>
      <c r="B248" s="3"/>
      <c r="C248" s="3"/>
      <c r="E248" s="3"/>
      <c r="F248" s="9"/>
      <c r="G248" s="9"/>
      <c r="H248" s="70"/>
      <c r="I248" s="70"/>
      <c r="J248" s="70"/>
      <c r="K248" s="70"/>
      <c r="L248" s="3"/>
      <c r="M248" s="9"/>
      <c r="N248" s="5"/>
      <c r="O248" s="70"/>
      <c r="P248" s="70"/>
      <c r="Q248" s="70"/>
      <c r="R248" s="3"/>
      <c r="S248" s="3"/>
      <c r="T248" s="3"/>
    </row>
    <row r="249">
      <c r="A249" s="3"/>
      <c r="B249" s="3"/>
      <c r="C249" s="3"/>
      <c r="E249" s="3"/>
      <c r="F249" s="9"/>
      <c r="G249" s="9"/>
      <c r="H249" s="70"/>
      <c r="I249" s="70"/>
      <c r="J249" s="70"/>
      <c r="K249" s="70"/>
      <c r="L249" s="3"/>
      <c r="M249" s="9"/>
      <c r="N249" s="5"/>
      <c r="O249" s="70"/>
      <c r="P249" s="70"/>
      <c r="Q249" s="70"/>
      <c r="R249" s="3"/>
      <c r="S249" s="3"/>
      <c r="T249" s="3"/>
    </row>
    <row r="250">
      <c r="A250" s="3"/>
      <c r="B250" s="3"/>
      <c r="C250" s="3"/>
      <c r="E250" s="3"/>
      <c r="F250" s="9"/>
      <c r="G250" s="9"/>
      <c r="H250" s="70"/>
      <c r="I250" s="70"/>
      <c r="J250" s="70"/>
      <c r="K250" s="70"/>
      <c r="L250" s="3"/>
      <c r="M250" s="9"/>
      <c r="N250" s="5"/>
      <c r="O250" s="70"/>
      <c r="P250" s="70"/>
      <c r="Q250" s="70"/>
      <c r="R250" s="3"/>
      <c r="S250" s="3"/>
      <c r="T250" s="3"/>
    </row>
    <row r="251">
      <c r="A251" s="3"/>
      <c r="B251" s="3"/>
      <c r="C251" s="3"/>
      <c r="E251" s="3"/>
      <c r="F251" s="9"/>
      <c r="G251" s="9"/>
      <c r="H251" s="70"/>
      <c r="I251" s="70"/>
      <c r="J251" s="70"/>
      <c r="K251" s="70"/>
      <c r="L251" s="3"/>
      <c r="M251" s="9"/>
      <c r="N251" s="5"/>
      <c r="O251" s="70"/>
      <c r="P251" s="70"/>
      <c r="Q251" s="70"/>
      <c r="R251" s="3"/>
      <c r="S251" s="3"/>
      <c r="T251" s="3"/>
    </row>
    <row r="252">
      <c r="A252" s="3"/>
      <c r="B252" s="3"/>
      <c r="C252" s="3"/>
      <c r="E252" s="3"/>
      <c r="F252" s="9"/>
      <c r="G252" s="9"/>
      <c r="H252" s="70"/>
      <c r="I252" s="70"/>
      <c r="J252" s="70"/>
      <c r="K252" s="70"/>
      <c r="L252" s="3"/>
      <c r="M252" s="9"/>
      <c r="N252" s="5"/>
      <c r="O252" s="70"/>
      <c r="P252" s="70"/>
      <c r="Q252" s="70"/>
      <c r="R252" s="3"/>
      <c r="S252" s="3"/>
      <c r="T252" s="3"/>
    </row>
    <row r="253">
      <c r="A253" s="3"/>
      <c r="B253" s="3"/>
      <c r="C253" s="3"/>
      <c r="E253" s="3"/>
      <c r="F253" s="9"/>
      <c r="G253" s="9"/>
      <c r="H253" s="70"/>
      <c r="I253" s="70"/>
      <c r="J253" s="70"/>
      <c r="K253" s="70"/>
      <c r="L253" s="3"/>
      <c r="M253" s="9"/>
      <c r="N253" s="5"/>
      <c r="O253" s="70"/>
      <c r="P253" s="70"/>
      <c r="Q253" s="70"/>
      <c r="R253" s="3"/>
      <c r="S253" s="3"/>
      <c r="T253" s="3"/>
    </row>
    <row r="254">
      <c r="A254" s="3"/>
      <c r="B254" s="3"/>
      <c r="C254" s="3"/>
      <c r="E254" s="3"/>
      <c r="F254" s="9"/>
      <c r="G254" s="9"/>
      <c r="H254" s="70"/>
      <c r="I254" s="70"/>
      <c r="J254" s="70"/>
      <c r="K254" s="70"/>
      <c r="L254" s="3"/>
      <c r="M254" s="9"/>
      <c r="N254" s="5"/>
      <c r="O254" s="70"/>
      <c r="P254" s="70"/>
      <c r="Q254" s="70"/>
      <c r="R254" s="3"/>
      <c r="S254" s="3"/>
      <c r="T254" s="3"/>
    </row>
    <row r="255">
      <c r="A255" s="3"/>
      <c r="B255" s="3"/>
      <c r="C255" s="3"/>
      <c r="E255" s="3"/>
      <c r="F255" s="9"/>
      <c r="G255" s="9"/>
      <c r="H255" s="70"/>
      <c r="I255" s="70"/>
      <c r="J255" s="70"/>
      <c r="K255" s="70"/>
      <c r="L255" s="3"/>
      <c r="M255" s="9"/>
      <c r="N255" s="5"/>
      <c r="O255" s="70"/>
      <c r="P255" s="70"/>
      <c r="Q255" s="70"/>
      <c r="R255" s="3"/>
      <c r="S255" s="3"/>
      <c r="T255" s="3"/>
    </row>
    <row r="256">
      <c r="A256" s="3"/>
      <c r="B256" s="3"/>
      <c r="C256" s="3"/>
      <c r="E256" s="3"/>
      <c r="F256" s="9"/>
      <c r="G256" s="9"/>
      <c r="H256" s="70"/>
      <c r="I256" s="70"/>
      <c r="J256" s="70"/>
      <c r="K256" s="70"/>
      <c r="L256" s="3"/>
      <c r="M256" s="9"/>
      <c r="N256" s="5"/>
      <c r="O256" s="70"/>
      <c r="P256" s="70"/>
      <c r="Q256" s="70"/>
      <c r="R256" s="3"/>
      <c r="S256" s="3"/>
      <c r="T256" s="3"/>
    </row>
    <row r="257">
      <c r="A257" s="3"/>
      <c r="B257" s="3"/>
      <c r="C257" s="3"/>
      <c r="E257" s="3"/>
      <c r="F257" s="9"/>
      <c r="G257" s="9"/>
      <c r="H257" s="70"/>
      <c r="I257" s="70"/>
      <c r="J257" s="70"/>
      <c r="K257" s="70"/>
      <c r="L257" s="3"/>
      <c r="M257" s="9"/>
      <c r="N257" s="5"/>
      <c r="O257" s="70"/>
      <c r="P257" s="70"/>
      <c r="Q257" s="70"/>
      <c r="R257" s="3"/>
      <c r="S257" s="3"/>
      <c r="T257" s="3"/>
    </row>
    <row r="258">
      <c r="A258" s="3"/>
      <c r="B258" s="3"/>
      <c r="C258" s="3"/>
      <c r="E258" s="3"/>
      <c r="F258" s="9"/>
      <c r="G258" s="9"/>
      <c r="H258" s="70"/>
      <c r="I258" s="70"/>
      <c r="J258" s="70"/>
      <c r="K258" s="70"/>
      <c r="L258" s="3"/>
      <c r="M258" s="9"/>
      <c r="N258" s="5"/>
      <c r="O258" s="70"/>
      <c r="P258" s="70"/>
      <c r="Q258" s="70"/>
      <c r="R258" s="3"/>
      <c r="S258" s="3"/>
      <c r="T258" s="3"/>
    </row>
    <row r="259">
      <c r="A259" s="3"/>
      <c r="B259" s="3"/>
      <c r="C259" s="3"/>
      <c r="E259" s="3"/>
      <c r="F259" s="9"/>
      <c r="G259" s="9"/>
      <c r="H259" s="70"/>
      <c r="I259" s="70"/>
      <c r="J259" s="70"/>
      <c r="K259" s="70"/>
      <c r="L259" s="3"/>
      <c r="M259" s="9"/>
      <c r="N259" s="5"/>
      <c r="O259" s="70"/>
      <c r="P259" s="70"/>
      <c r="Q259" s="70"/>
      <c r="R259" s="3"/>
      <c r="S259" s="3"/>
      <c r="T259" s="3"/>
    </row>
    <row r="260">
      <c r="A260" s="3"/>
      <c r="B260" s="3"/>
      <c r="C260" s="3"/>
      <c r="E260" s="3"/>
      <c r="F260" s="9"/>
      <c r="G260" s="9"/>
      <c r="H260" s="70"/>
      <c r="I260" s="70"/>
      <c r="J260" s="70"/>
      <c r="K260" s="70"/>
      <c r="L260" s="3"/>
      <c r="M260" s="9"/>
      <c r="N260" s="5"/>
      <c r="O260" s="70"/>
      <c r="P260" s="70"/>
      <c r="Q260" s="70"/>
      <c r="R260" s="3"/>
      <c r="S260" s="3"/>
      <c r="T260" s="3"/>
    </row>
    <row r="261">
      <c r="A261" s="3"/>
      <c r="B261" s="3"/>
      <c r="C261" s="3"/>
      <c r="E261" s="3"/>
      <c r="F261" s="9"/>
      <c r="G261" s="9"/>
      <c r="H261" s="70"/>
      <c r="I261" s="70"/>
      <c r="J261" s="70"/>
      <c r="K261" s="70"/>
      <c r="L261" s="3"/>
      <c r="M261" s="9"/>
      <c r="N261" s="5"/>
      <c r="O261" s="70"/>
      <c r="P261" s="70"/>
      <c r="Q261" s="70"/>
      <c r="R261" s="3"/>
      <c r="S261" s="3"/>
      <c r="T261" s="3"/>
    </row>
    <row r="262">
      <c r="A262" s="3"/>
      <c r="B262" s="3"/>
      <c r="C262" s="3"/>
      <c r="E262" s="3"/>
      <c r="F262" s="9"/>
      <c r="G262" s="9"/>
      <c r="H262" s="70"/>
      <c r="I262" s="70"/>
      <c r="J262" s="70"/>
      <c r="K262" s="70"/>
      <c r="L262" s="3"/>
      <c r="M262" s="9"/>
      <c r="N262" s="5"/>
      <c r="O262" s="70"/>
      <c r="P262" s="70"/>
      <c r="Q262" s="70"/>
      <c r="R262" s="3"/>
      <c r="S262" s="3"/>
      <c r="T262" s="3"/>
    </row>
    <row r="263">
      <c r="A263" s="3"/>
      <c r="B263" s="3"/>
      <c r="C263" s="3"/>
      <c r="E263" s="3"/>
      <c r="F263" s="9"/>
      <c r="G263" s="9"/>
      <c r="H263" s="70"/>
      <c r="I263" s="70"/>
      <c r="J263" s="70"/>
      <c r="K263" s="70"/>
      <c r="L263" s="3"/>
      <c r="M263" s="9"/>
      <c r="N263" s="5"/>
      <c r="O263" s="70"/>
      <c r="P263" s="70"/>
      <c r="Q263" s="70"/>
      <c r="R263" s="3"/>
      <c r="S263" s="3"/>
      <c r="T263" s="3"/>
    </row>
    <row r="264">
      <c r="A264" s="3"/>
      <c r="B264" s="3"/>
      <c r="C264" s="3"/>
      <c r="E264" s="3"/>
      <c r="F264" s="9"/>
      <c r="G264" s="9"/>
      <c r="H264" s="70"/>
      <c r="I264" s="70"/>
      <c r="J264" s="70"/>
      <c r="K264" s="70"/>
      <c r="L264" s="3"/>
      <c r="M264" s="9"/>
      <c r="N264" s="5"/>
      <c r="O264" s="70"/>
      <c r="P264" s="70"/>
      <c r="Q264" s="70"/>
      <c r="R264" s="3"/>
      <c r="S264" s="3"/>
      <c r="T264" s="3"/>
    </row>
    <row r="265">
      <c r="A265" s="3"/>
      <c r="B265" s="3"/>
      <c r="C265" s="3"/>
      <c r="E265" s="3"/>
      <c r="F265" s="9"/>
      <c r="G265" s="9"/>
      <c r="H265" s="70"/>
      <c r="I265" s="70"/>
      <c r="J265" s="70"/>
      <c r="K265" s="70"/>
      <c r="L265" s="3"/>
      <c r="M265" s="9"/>
      <c r="N265" s="5"/>
      <c r="O265" s="70"/>
      <c r="P265" s="70"/>
      <c r="Q265" s="70"/>
      <c r="R265" s="3"/>
      <c r="S265" s="3"/>
      <c r="T265" s="3"/>
    </row>
    <row r="266">
      <c r="A266" s="3"/>
      <c r="B266" s="3"/>
      <c r="C266" s="3"/>
      <c r="E266" s="3"/>
      <c r="F266" s="9"/>
      <c r="G266" s="9"/>
      <c r="H266" s="70"/>
      <c r="I266" s="70"/>
      <c r="J266" s="70"/>
      <c r="K266" s="70"/>
      <c r="L266" s="3"/>
      <c r="M266" s="9"/>
      <c r="N266" s="5"/>
      <c r="O266" s="70"/>
      <c r="P266" s="70"/>
      <c r="Q266" s="70"/>
      <c r="R266" s="3"/>
      <c r="S266" s="3"/>
      <c r="T266" s="3"/>
    </row>
    <row r="267">
      <c r="A267" s="3"/>
      <c r="B267" s="3"/>
      <c r="C267" s="3"/>
      <c r="E267" s="3"/>
      <c r="F267" s="9"/>
      <c r="G267" s="9"/>
      <c r="H267" s="70"/>
      <c r="I267" s="70"/>
      <c r="J267" s="70"/>
      <c r="K267" s="70"/>
      <c r="L267" s="3"/>
      <c r="M267" s="9"/>
      <c r="N267" s="5"/>
      <c r="O267" s="70"/>
      <c r="P267" s="70"/>
      <c r="Q267" s="70"/>
      <c r="R267" s="3"/>
      <c r="S267" s="3"/>
      <c r="T267" s="3"/>
    </row>
    <row r="268">
      <c r="A268" s="3"/>
      <c r="B268" s="3"/>
      <c r="C268" s="3"/>
      <c r="E268" s="3"/>
      <c r="F268" s="9"/>
      <c r="G268" s="9"/>
      <c r="H268" s="70"/>
      <c r="I268" s="70"/>
      <c r="J268" s="70"/>
      <c r="K268" s="70"/>
      <c r="L268" s="3"/>
      <c r="M268" s="9"/>
      <c r="N268" s="5"/>
      <c r="O268" s="70"/>
      <c r="P268" s="70"/>
      <c r="Q268" s="70"/>
      <c r="R268" s="3"/>
      <c r="S268" s="3"/>
      <c r="T268" s="3"/>
    </row>
    <row r="269">
      <c r="A269" s="3"/>
      <c r="B269" s="3"/>
      <c r="C269" s="3"/>
      <c r="E269" s="3"/>
      <c r="F269" s="9"/>
      <c r="G269" s="9"/>
      <c r="H269" s="70"/>
      <c r="I269" s="70"/>
      <c r="J269" s="70"/>
      <c r="K269" s="70"/>
      <c r="L269" s="3"/>
      <c r="M269" s="9"/>
      <c r="N269" s="5"/>
      <c r="O269" s="70"/>
      <c r="P269" s="70"/>
      <c r="Q269" s="70"/>
      <c r="R269" s="3"/>
      <c r="S269" s="3"/>
      <c r="T269" s="3"/>
    </row>
    <row r="270">
      <c r="A270" s="3"/>
      <c r="B270" s="3"/>
      <c r="C270" s="3"/>
      <c r="E270" s="3"/>
      <c r="F270" s="9"/>
      <c r="G270" s="9"/>
      <c r="H270" s="70"/>
      <c r="I270" s="70"/>
      <c r="J270" s="70"/>
      <c r="K270" s="70"/>
      <c r="L270" s="3"/>
      <c r="M270" s="9"/>
      <c r="N270" s="5"/>
      <c r="O270" s="70"/>
      <c r="P270" s="70"/>
      <c r="Q270" s="70"/>
      <c r="R270" s="3"/>
      <c r="S270" s="3"/>
      <c r="T270" s="3"/>
    </row>
    <row r="271">
      <c r="A271" s="3"/>
      <c r="B271" s="3"/>
      <c r="C271" s="3"/>
      <c r="E271" s="3"/>
      <c r="F271" s="9"/>
      <c r="G271" s="9"/>
      <c r="H271" s="70"/>
      <c r="I271" s="70"/>
      <c r="J271" s="70"/>
      <c r="K271" s="70"/>
      <c r="L271" s="3"/>
      <c r="M271" s="9"/>
      <c r="N271" s="5"/>
      <c r="O271" s="70"/>
      <c r="P271" s="70"/>
      <c r="Q271" s="70"/>
      <c r="R271" s="3"/>
      <c r="S271" s="3"/>
      <c r="T271" s="3"/>
    </row>
    <row r="272">
      <c r="A272" s="3"/>
      <c r="B272" s="3"/>
      <c r="C272" s="3"/>
      <c r="E272" s="3"/>
      <c r="F272" s="9"/>
      <c r="G272" s="9"/>
      <c r="H272" s="70"/>
      <c r="I272" s="70"/>
      <c r="J272" s="70"/>
      <c r="K272" s="70"/>
      <c r="L272" s="3"/>
      <c r="M272" s="9"/>
      <c r="N272" s="5"/>
      <c r="O272" s="70"/>
      <c r="P272" s="70"/>
      <c r="Q272" s="70"/>
      <c r="R272" s="3"/>
      <c r="S272" s="3"/>
      <c r="T272" s="3"/>
    </row>
    <row r="273">
      <c r="A273" s="3"/>
      <c r="B273" s="3"/>
      <c r="C273" s="3"/>
      <c r="E273" s="3"/>
      <c r="F273" s="9"/>
      <c r="G273" s="9"/>
      <c r="H273" s="70"/>
      <c r="I273" s="70"/>
      <c r="J273" s="70"/>
      <c r="K273" s="70"/>
      <c r="L273" s="3"/>
      <c r="M273" s="9"/>
      <c r="N273" s="5"/>
      <c r="O273" s="70"/>
      <c r="P273" s="70"/>
      <c r="Q273" s="70"/>
      <c r="R273" s="3"/>
      <c r="S273" s="3"/>
      <c r="T273" s="3"/>
    </row>
    <row r="274">
      <c r="A274" s="3"/>
      <c r="B274" s="3"/>
      <c r="C274" s="3"/>
      <c r="E274" s="3"/>
      <c r="F274" s="9"/>
      <c r="G274" s="9"/>
      <c r="H274" s="70"/>
      <c r="I274" s="70"/>
      <c r="J274" s="70"/>
      <c r="K274" s="70"/>
      <c r="L274" s="3"/>
      <c r="M274" s="9"/>
      <c r="N274" s="5"/>
      <c r="O274" s="70"/>
      <c r="P274" s="70"/>
      <c r="Q274" s="70"/>
      <c r="R274" s="3"/>
      <c r="S274" s="3"/>
      <c r="T274" s="3"/>
    </row>
    <row r="275">
      <c r="A275" s="3"/>
      <c r="B275" s="3"/>
      <c r="C275" s="3"/>
      <c r="E275" s="3"/>
      <c r="F275" s="9"/>
      <c r="G275" s="9"/>
      <c r="H275" s="70"/>
      <c r="I275" s="70"/>
      <c r="J275" s="70"/>
      <c r="K275" s="70"/>
      <c r="L275" s="3"/>
      <c r="M275" s="9"/>
      <c r="N275" s="5"/>
      <c r="O275" s="70"/>
      <c r="P275" s="70"/>
      <c r="Q275" s="70"/>
      <c r="R275" s="3"/>
      <c r="S275" s="3"/>
      <c r="T275" s="3"/>
    </row>
    <row r="276">
      <c r="A276" s="3"/>
      <c r="B276" s="3"/>
      <c r="C276" s="3"/>
      <c r="E276" s="3"/>
      <c r="F276" s="9"/>
      <c r="G276" s="9"/>
      <c r="H276" s="70"/>
      <c r="I276" s="70"/>
      <c r="J276" s="70"/>
      <c r="K276" s="70"/>
      <c r="L276" s="3"/>
      <c r="M276" s="9"/>
      <c r="N276" s="5"/>
      <c r="O276" s="70"/>
      <c r="P276" s="70"/>
      <c r="Q276" s="70"/>
      <c r="R276" s="3"/>
      <c r="S276" s="3"/>
      <c r="T276" s="3"/>
    </row>
    <row r="277">
      <c r="A277" s="3"/>
      <c r="B277" s="3"/>
      <c r="C277" s="3"/>
      <c r="E277" s="3"/>
      <c r="F277" s="9"/>
      <c r="G277" s="9"/>
      <c r="H277" s="70"/>
      <c r="I277" s="70"/>
      <c r="J277" s="70"/>
      <c r="K277" s="70"/>
      <c r="L277" s="3"/>
      <c r="M277" s="9"/>
      <c r="N277" s="5"/>
      <c r="O277" s="70"/>
      <c r="P277" s="70"/>
      <c r="Q277" s="70"/>
      <c r="R277" s="3"/>
      <c r="S277" s="3"/>
      <c r="T277" s="3"/>
    </row>
    <row r="278">
      <c r="A278" s="3"/>
      <c r="B278" s="3"/>
      <c r="C278" s="3"/>
      <c r="E278" s="3"/>
      <c r="F278" s="9"/>
      <c r="G278" s="9"/>
      <c r="H278" s="70"/>
      <c r="I278" s="70"/>
      <c r="J278" s="70"/>
      <c r="K278" s="70"/>
      <c r="L278" s="3"/>
      <c r="M278" s="9"/>
      <c r="N278" s="5"/>
      <c r="O278" s="70"/>
      <c r="P278" s="70"/>
      <c r="Q278" s="70"/>
      <c r="R278" s="3"/>
      <c r="S278" s="3"/>
      <c r="T278" s="3"/>
    </row>
    <row r="279">
      <c r="A279" s="3"/>
      <c r="B279" s="3"/>
      <c r="C279" s="3"/>
      <c r="E279" s="3"/>
      <c r="F279" s="9"/>
      <c r="G279" s="9"/>
      <c r="H279" s="70"/>
      <c r="I279" s="70"/>
      <c r="J279" s="70"/>
      <c r="K279" s="70"/>
      <c r="L279" s="3"/>
      <c r="M279" s="9"/>
      <c r="N279" s="5"/>
      <c r="O279" s="70"/>
      <c r="P279" s="70"/>
      <c r="Q279" s="70"/>
      <c r="R279" s="3"/>
      <c r="S279" s="3"/>
      <c r="T279" s="3"/>
    </row>
    <row r="280">
      <c r="A280" s="3"/>
      <c r="B280" s="3"/>
      <c r="C280" s="3"/>
      <c r="E280" s="3"/>
      <c r="F280" s="9"/>
      <c r="G280" s="9"/>
      <c r="H280" s="70"/>
      <c r="I280" s="70"/>
      <c r="J280" s="70"/>
      <c r="K280" s="70"/>
      <c r="L280" s="3"/>
      <c r="M280" s="9"/>
      <c r="N280" s="5"/>
      <c r="O280" s="70"/>
      <c r="P280" s="70"/>
      <c r="Q280" s="70"/>
      <c r="R280" s="3"/>
      <c r="S280" s="3"/>
      <c r="T280" s="3"/>
    </row>
    <row r="281">
      <c r="A281" s="3"/>
      <c r="B281" s="3"/>
      <c r="C281" s="3"/>
      <c r="E281" s="3"/>
      <c r="F281" s="9"/>
      <c r="G281" s="9"/>
      <c r="H281" s="70"/>
      <c r="I281" s="70"/>
      <c r="J281" s="70"/>
      <c r="K281" s="70"/>
      <c r="L281" s="3"/>
      <c r="M281" s="9"/>
      <c r="N281" s="5"/>
      <c r="O281" s="70"/>
      <c r="P281" s="70"/>
      <c r="Q281" s="70"/>
      <c r="R281" s="3"/>
      <c r="S281" s="3"/>
      <c r="T281" s="3"/>
    </row>
    <row r="282">
      <c r="A282" s="3"/>
      <c r="B282" s="3"/>
      <c r="C282" s="3"/>
      <c r="E282" s="3"/>
      <c r="F282" s="9"/>
      <c r="G282" s="9"/>
      <c r="H282" s="70"/>
      <c r="I282" s="70"/>
      <c r="J282" s="70"/>
      <c r="K282" s="70"/>
      <c r="L282" s="3"/>
      <c r="M282" s="9"/>
      <c r="N282" s="5"/>
      <c r="O282" s="70"/>
      <c r="P282" s="70"/>
      <c r="Q282" s="70"/>
      <c r="R282" s="3"/>
      <c r="S282" s="3"/>
      <c r="T282" s="3"/>
    </row>
    <row r="283">
      <c r="A283" s="3"/>
      <c r="B283" s="3"/>
      <c r="C283" s="3"/>
      <c r="E283" s="3"/>
      <c r="F283" s="9"/>
      <c r="G283" s="9"/>
      <c r="H283" s="70"/>
      <c r="I283" s="70"/>
      <c r="J283" s="70"/>
      <c r="K283" s="70"/>
      <c r="L283" s="3"/>
      <c r="M283" s="9"/>
      <c r="N283" s="5"/>
      <c r="O283" s="70"/>
      <c r="P283" s="70"/>
      <c r="Q283" s="70"/>
      <c r="R283" s="3"/>
      <c r="S283" s="3"/>
      <c r="T283" s="3"/>
    </row>
    <row r="284">
      <c r="A284" s="3"/>
      <c r="B284" s="3"/>
      <c r="C284" s="3"/>
      <c r="E284" s="3"/>
      <c r="F284" s="9"/>
      <c r="G284" s="9"/>
      <c r="H284" s="70"/>
      <c r="I284" s="70"/>
      <c r="J284" s="70"/>
      <c r="K284" s="70"/>
      <c r="L284" s="3"/>
      <c r="M284" s="9"/>
      <c r="N284" s="5"/>
      <c r="O284" s="70"/>
      <c r="P284" s="70"/>
      <c r="Q284" s="70"/>
      <c r="R284" s="3"/>
      <c r="S284" s="3"/>
      <c r="T284" s="3"/>
    </row>
    <row r="285">
      <c r="A285" s="3"/>
      <c r="B285" s="3"/>
      <c r="C285" s="3"/>
      <c r="E285" s="3"/>
      <c r="F285" s="9"/>
      <c r="G285" s="9"/>
      <c r="H285" s="70"/>
      <c r="I285" s="70"/>
      <c r="J285" s="70"/>
      <c r="K285" s="70"/>
      <c r="L285" s="3"/>
      <c r="M285" s="9"/>
      <c r="N285" s="5"/>
      <c r="O285" s="70"/>
      <c r="P285" s="70"/>
      <c r="Q285" s="70"/>
      <c r="R285" s="3"/>
      <c r="S285" s="3"/>
      <c r="T285" s="3"/>
    </row>
    <row r="286">
      <c r="A286" s="3"/>
      <c r="B286" s="3"/>
      <c r="C286" s="3"/>
      <c r="E286" s="3"/>
      <c r="F286" s="9"/>
      <c r="G286" s="9"/>
      <c r="H286" s="70"/>
      <c r="I286" s="70"/>
      <c r="J286" s="70"/>
      <c r="K286" s="70"/>
      <c r="L286" s="3"/>
      <c r="M286" s="9"/>
      <c r="N286" s="5"/>
      <c r="O286" s="70"/>
      <c r="P286" s="70"/>
      <c r="Q286" s="70"/>
      <c r="R286" s="3"/>
      <c r="S286" s="3"/>
      <c r="T286" s="3"/>
    </row>
    <row r="287">
      <c r="A287" s="3"/>
      <c r="B287" s="3"/>
      <c r="C287" s="3"/>
      <c r="E287" s="3"/>
      <c r="F287" s="9"/>
      <c r="G287" s="9"/>
      <c r="H287" s="70"/>
      <c r="I287" s="70"/>
      <c r="J287" s="70"/>
      <c r="K287" s="70"/>
      <c r="L287" s="3"/>
      <c r="M287" s="9"/>
      <c r="N287" s="5"/>
      <c r="O287" s="70"/>
      <c r="P287" s="70"/>
      <c r="Q287" s="70"/>
      <c r="R287" s="3"/>
      <c r="S287" s="3"/>
      <c r="T287" s="3"/>
    </row>
    <row r="288">
      <c r="A288" s="3"/>
      <c r="B288" s="3"/>
      <c r="C288" s="3"/>
      <c r="E288" s="3"/>
      <c r="F288" s="9"/>
      <c r="G288" s="9"/>
      <c r="H288" s="70"/>
      <c r="I288" s="70"/>
      <c r="J288" s="70"/>
      <c r="K288" s="70"/>
      <c r="L288" s="3"/>
      <c r="M288" s="9"/>
      <c r="N288" s="5"/>
      <c r="O288" s="70"/>
      <c r="P288" s="70"/>
      <c r="Q288" s="70"/>
      <c r="R288" s="3"/>
      <c r="S288" s="3"/>
      <c r="T288" s="3"/>
    </row>
    <row r="289">
      <c r="A289" s="3"/>
      <c r="B289" s="3"/>
      <c r="C289" s="3"/>
      <c r="E289" s="3"/>
      <c r="F289" s="9"/>
      <c r="G289" s="9"/>
      <c r="H289" s="70"/>
      <c r="I289" s="70"/>
      <c r="J289" s="70"/>
      <c r="K289" s="70"/>
      <c r="L289" s="3"/>
      <c r="M289" s="9"/>
      <c r="N289" s="5"/>
      <c r="O289" s="70"/>
      <c r="P289" s="70"/>
      <c r="Q289" s="70"/>
      <c r="R289" s="3"/>
      <c r="S289" s="3"/>
      <c r="T289" s="3"/>
    </row>
    <row r="290">
      <c r="A290" s="3"/>
      <c r="B290" s="3"/>
      <c r="C290" s="3"/>
      <c r="E290" s="3"/>
      <c r="F290" s="9"/>
      <c r="G290" s="9"/>
      <c r="H290" s="70"/>
      <c r="I290" s="70"/>
      <c r="J290" s="70"/>
      <c r="K290" s="70"/>
      <c r="L290" s="3"/>
      <c r="M290" s="9"/>
      <c r="N290" s="5"/>
      <c r="O290" s="70"/>
      <c r="P290" s="70"/>
      <c r="Q290" s="70"/>
      <c r="R290" s="3"/>
      <c r="S290" s="3"/>
      <c r="T290" s="3"/>
    </row>
    <row r="291">
      <c r="A291" s="3"/>
      <c r="B291" s="3"/>
      <c r="C291" s="3"/>
      <c r="E291" s="3"/>
      <c r="F291" s="9"/>
      <c r="G291" s="9"/>
      <c r="H291" s="70"/>
      <c r="I291" s="70"/>
      <c r="J291" s="70"/>
      <c r="K291" s="70"/>
      <c r="L291" s="3"/>
      <c r="M291" s="9"/>
      <c r="N291" s="5"/>
      <c r="O291" s="70"/>
      <c r="P291" s="70"/>
      <c r="Q291" s="70"/>
      <c r="R291" s="3"/>
      <c r="S291" s="3"/>
      <c r="T291" s="3"/>
    </row>
    <row r="292">
      <c r="A292" s="3"/>
      <c r="B292" s="3"/>
      <c r="C292" s="3"/>
      <c r="E292" s="3"/>
      <c r="F292" s="9"/>
      <c r="G292" s="9"/>
      <c r="H292" s="70"/>
      <c r="I292" s="70"/>
      <c r="J292" s="70"/>
      <c r="K292" s="70"/>
      <c r="L292" s="3"/>
      <c r="M292" s="9"/>
      <c r="N292" s="5"/>
      <c r="O292" s="70"/>
      <c r="P292" s="70"/>
      <c r="Q292" s="70"/>
      <c r="R292" s="3"/>
      <c r="S292" s="3"/>
      <c r="T292" s="3"/>
    </row>
    <row r="293">
      <c r="A293" s="3"/>
      <c r="B293" s="3"/>
      <c r="C293" s="3"/>
      <c r="E293" s="3"/>
      <c r="F293" s="9"/>
      <c r="G293" s="9"/>
      <c r="H293" s="70"/>
      <c r="I293" s="70"/>
      <c r="J293" s="70"/>
      <c r="K293" s="70"/>
      <c r="L293" s="3"/>
      <c r="M293" s="9"/>
      <c r="N293" s="5"/>
      <c r="O293" s="70"/>
      <c r="P293" s="70"/>
      <c r="Q293" s="70"/>
      <c r="R293" s="3"/>
      <c r="S293" s="3"/>
      <c r="T293" s="3"/>
    </row>
    <row r="294">
      <c r="A294" s="3"/>
      <c r="B294" s="3"/>
      <c r="C294" s="3"/>
      <c r="E294" s="3"/>
      <c r="F294" s="9"/>
      <c r="G294" s="9"/>
      <c r="H294" s="70"/>
      <c r="I294" s="70"/>
      <c r="J294" s="70"/>
      <c r="K294" s="70"/>
      <c r="L294" s="3"/>
      <c r="M294" s="9"/>
      <c r="N294" s="5"/>
      <c r="O294" s="70"/>
      <c r="P294" s="70"/>
      <c r="Q294" s="70"/>
      <c r="R294" s="3"/>
      <c r="S294" s="3"/>
      <c r="T294" s="3"/>
    </row>
    <row r="295">
      <c r="A295" s="3"/>
      <c r="B295" s="3"/>
      <c r="C295" s="3"/>
      <c r="E295" s="3"/>
      <c r="F295" s="9"/>
      <c r="G295" s="9"/>
      <c r="H295" s="70"/>
      <c r="I295" s="70"/>
      <c r="J295" s="70"/>
      <c r="K295" s="70"/>
      <c r="L295" s="3"/>
      <c r="M295" s="9"/>
      <c r="N295" s="5"/>
      <c r="O295" s="70"/>
      <c r="P295" s="70"/>
      <c r="Q295" s="70"/>
      <c r="R295" s="3"/>
      <c r="S295" s="3"/>
      <c r="T295" s="3"/>
    </row>
    <row r="296">
      <c r="A296" s="3"/>
      <c r="B296" s="3"/>
      <c r="C296" s="3"/>
      <c r="E296" s="3"/>
      <c r="F296" s="9"/>
      <c r="G296" s="9"/>
      <c r="H296" s="70"/>
      <c r="I296" s="70"/>
      <c r="J296" s="70"/>
      <c r="K296" s="70"/>
      <c r="L296" s="3"/>
      <c r="M296" s="9"/>
      <c r="N296" s="5"/>
      <c r="O296" s="70"/>
      <c r="P296" s="70"/>
      <c r="Q296" s="70"/>
      <c r="R296" s="3"/>
      <c r="S296" s="3"/>
      <c r="T296" s="3"/>
    </row>
    <row r="297">
      <c r="A297" s="3"/>
      <c r="B297" s="3"/>
      <c r="C297" s="3"/>
      <c r="E297" s="3"/>
      <c r="F297" s="9"/>
      <c r="G297" s="9"/>
      <c r="H297" s="70"/>
      <c r="I297" s="70"/>
      <c r="J297" s="70"/>
      <c r="K297" s="70"/>
      <c r="L297" s="3"/>
      <c r="M297" s="9"/>
      <c r="N297" s="5"/>
      <c r="O297" s="70"/>
      <c r="P297" s="70"/>
      <c r="Q297" s="70"/>
      <c r="R297" s="3"/>
      <c r="S297" s="3"/>
      <c r="T297" s="3"/>
    </row>
    <row r="298">
      <c r="A298" s="3"/>
      <c r="B298" s="3"/>
      <c r="C298" s="3"/>
      <c r="E298" s="3"/>
      <c r="F298" s="9"/>
      <c r="G298" s="9"/>
      <c r="H298" s="70"/>
      <c r="I298" s="70"/>
      <c r="J298" s="70"/>
      <c r="K298" s="70"/>
      <c r="L298" s="3"/>
      <c r="M298" s="9"/>
      <c r="N298" s="5"/>
      <c r="O298" s="70"/>
      <c r="P298" s="70"/>
      <c r="Q298" s="70"/>
      <c r="R298" s="3"/>
      <c r="S298" s="3"/>
      <c r="T298" s="3"/>
    </row>
    <row r="299">
      <c r="A299" s="3"/>
      <c r="B299" s="3"/>
      <c r="C299" s="3"/>
      <c r="E299" s="3"/>
      <c r="F299" s="9"/>
      <c r="G299" s="9"/>
      <c r="H299" s="70"/>
      <c r="I299" s="70"/>
      <c r="J299" s="70"/>
      <c r="K299" s="70"/>
      <c r="L299" s="3"/>
      <c r="M299" s="9"/>
      <c r="N299" s="5"/>
      <c r="O299" s="70"/>
      <c r="P299" s="70"/>
      <c r="Q299" s="70"/>
      <c r="R299" s="3"/>
      <c r="S299" s="3"/>
      <c r="T299" s="3"/>
    </row>
    <row r="300">
      <c r="A300" s="3"/>
      <c r="B300" s="3"/>
      <c r="C300" s="3"/>
      <c r="E300" s="3"/>
      <c r="F300" s="9"/>
      <c r="G300" s="9"/>
      <c r="H300" s="70"/>
      <c r="I300" s="70"/>
      <c r="J300" s="70"/>
      <c r="K300" s="70"/>
      <c r="L300" s="3"/>
      <c r="M300" s="9"/>
      <c r="N300" s="5"/>
      <c r="O300" s="70"/>
      <c r="P300" s="70"/>
      <c r="Q300" s="70"/>
      <c r="R300" s="3"/>
      <c r="S300" s="3"/>
      <c r="T300" s="3"/>
    </row>
    <row r="301">
      <c r="A301" s="3"/>
      <c r="B301" s="3"/>
      <c r="C301" s="3"/>
      <c r="E301" s="3"/>
      <c r="F301" s="9"/>
      <c r="G301" s="9"/>
      <c r="H301" s="70"/>
      <c r="I301" s="70"/>
      <c r="J301" s="70"/>
      <c r="K301" s="70"/>
      <c r="L301" s="3"/>
      <c r="M301" s="9"/>
      <c r="N301" s="5"/>
      <c r="O301" s="70"/>
      <c r="P301" s="70"/>
      <c r="Q301" s="70"/>
      <c r="R301" s="3"/>
      <c r="S301" s="3"/>
      <c r="T301" s="3"/>
    </row>
    <row r="302">
      <c r="A302" s="3"/>
      <c r="B302" s="3"/>
      <c r="C302" s="3"/>
      <c r="E302" s="3"/>
      <c r="F302" s="9"/>
      <c r="G302" s="9"/>
      <c r="H302" s="70"/>
      <c r="I302" s="70"/>
      <c r="J302" s="70"/>
      <c r="K302" s="70"/>
      <c r="L302" s="3"/>
      <c r="M302" s="9"/>
      <c r="N302" s="5"/>
      <c r="O302" s="70"/>
      <c r="P302" s="70"/>
      <c r="Q302" s="70"/>
      <c r="R302" s="3"/>
      <c r="S302" s="3"/>
      <c r="T302" s="3"/>
    </row>
    <row r="303">
      <c r="A303" s="3"/>
      <c r="B303" s="3"/>
      <c r="C303" s="3"/>
      <c r="E303" s="3"/>
      <c r="F303" s="9"/>
      <c r="G303" s="9"/>
      <c r="H303" s="70"/>
      <c r="I303" s="70"/>
      <c r="J303" s="70"/>
      <c r="K303" s="70"/>
      <c r="L303" s="3"/>
      <c r="M303" s="9"/>
      <c r="N303" s="5"/>
      <c r="O303" s="70"/>
      <c r="P303" s="70"/>
      <c r="Q303" s="70"/>
      <c r="R303" s="3"/>
      <c r="S303" s="3"/>
      <c r="T303" s="3"/>
    </row>
    <row r="304">
      <c r="A304" s="3"/>
      <c r="B304" s="3"/>
      <c r="C304" s="3"/>
      <c r="E304" s="3"/>
      <c r="F304" s="9"/>
      <c r="G304" s="9"/>
      <c r="H304" s="70"/>
      <c r="I304" s="70"/>
      <c r="J304" s="70"/>
      <c r="K304" s="70"/>
      <c r="L304" s="3"/>
      <c r="M304" s="9"/>
      <c r="N304" s="5"/>
      <c r="O304" s="70"/>
      <c r="P304" s="70"/>
      <c r="Q304" s="70"/>
      <c r="R304" s="3"/>
      <c r="S304" s="3"/>
      <c r="T304" s="3"/>
    </row>
    <row r="305">
      <c r="A305" s="3"/>
      <c r="B305" s="3"/>
      <c r="C305" s="3"/>
      <c r="E305" s="3"/>
      <c r="F305" s="9"/>
      <c r="G305" s="9"/>
      <c r="H305" s="70"/>
      <c r="I305" s="70"/>
      <c r="J305" s="70"/>
      <c r="K305" s="70"/>
      <c r="L305" s="3"/>
      <c r="M305" s="9"/>
      <c r="N305" s="5"/>
      <c r="O305" s="70"/>
      <c r="P305" s="70"/>
      <c r="Q305" s="70"/>
      <c r="R305" s="3"/>
      <c r="S305" s="3"/>
      <c r="T305" s="3"/>
    </row>
    <row r="306">
      <c r="A306" s="3"/>
      <c r="B306" s="3"/>
      <c r="C306" s="3"/>
      <c r="E306" s="3"/>
      <c r="F306" s="9"/>
      <c r="G306" s="9"/>
      <c r="H306" s="70"/>
      <c r="I306" s="70"/>
      <c r="J306" s="70"/>
      <c r="K306" s="70"/>
      <c r="L306" s="3"/>
      <c r="M306" s="9"/>
      <c r="N306" s="5"/>
      <c r="O306" s="70"/>
      <c r="P306" s="70"/>
      <c r="Q306" s="70"/>
      <c r="R306" s="3"/>
      <c r="S306" s="3"/>
      <c r="T306" s="3"/>
    </row>
    <row r="307">
      <c r="A307" s="3"/>
      <c r="B307" s="3"/>
      <c r="C307" s="3"/>
      <c r="E307" s="3"/>
      <c r="F307" s="9"/>
      <c r="G307" s="9"/>
      <c r="H307" s="70"/>
      <c r="I307" s="70"/>
      <c r="J307" s="70"/>
      <c r="K307" s="70"/>
      <c r="L307" s="3"/>
      <c r="M307" s="9"/>
      <c r="N307" s="5"/>
      <c r="O307" s="70"/>
      <c r="P307" s="70"/>
      <c r="Q307" s="70"/>
      <c r="R307" s="3"/>
      <c r="S307" s="3"/>
      <c r="T307" s="3"/>
    </row>
    <row r="308">
      <c r="A308" s="3"/>
      <c r="B308" s="3"/>
      <c r="C308" s="3"/>
      <c r="E308" s="3"/>
      <c r="F308" s="9"/>
      <c r="G308" s="9"/>
      <c r="H308" s="70"/>
      <c r="I308" s="70"/>
      <c r="J308" s="70"/>
      <c r="K308" s="70"/>
      <c r="L308" s="3"/>
      <c r="M308" s="9"/>
      <c r="N308" s="5"/>
      <c r="O308" s="70"/>
      <c r="P308" s="70"/>
      <c r="Q308" s="70"/>
      <c r="R308" s="3"/>
      <c r="S308" s="3"/>
      <c r="T308" s="3"/>
    </row>
    <row r="309">
      <c r="A309" s="3"/>
      <c r="B309" s="3"/>
      <c r="C309" s="3"/>
      <c r="E309" s="3"/>
      <c r="F309" s="9"/>
      <c r="G309" s="9"/>
      <c r="H309" s="70"/>
      <c r="I309" s="70"/>
      <c r="J309" s="70"/>
      <c r="K309" s="70"/>
      <c r="L309" s="3"/>
      <c r="M309" s="9"/>
      <c r="N309" s="5"/>
      <c r="O309" s="70"/>
      <c r="P309" s="70"/>
      <c r="Q309" s="70"/>
      <c r="R309" s="3"/>
      <c r="S309" s="3"/>
      <c r="T309" s="3"/>
    </row>
    <row r="310">
      <c r="A310" s="3"/>
      <c r="B310" s="3"/>
      <c r="C310" s="3"/>
      <c r="E310" s="3"/>
      <c r="F310" s="9"/>
      <c r="G310" s="9"/>
      <c r="H310" s="70"/>
      <c r="I310" s="70"/>
      <c r="J310" s="70"/>
      <c r="K310" s="70"/>
      <c r="L310" s="3"/>
      <c r="M310" s="9"/>
      <c r="N310" s="5"/>
      <c r="O310" s="70"/>
      <c r="P310" s="70"/>
      <c r="Q310" s="70"/>
      <c r="R310" s="3"/>
      <c r="S310" s="3"/>
      <c r="T310" s="3"/>
    </row>
    <row r="311">
      <c r="A311" s="3"/>
      <c r="B311" s="3"/>
      <c r="C311" s="3"/>
      <c r="E311" s="3"/>
      <c r="F311" s="9"/>
      <c r="G311" s="9"/>
      <c r="H311" s="70"/>
      <c r="I311" s="70"/>
      <c r="J311" s="70"/>
      <c r="K311" s="70"/>
      <c r="L311" s="3"/>
      <c r="M311" s="9"/>
      <c r="N311" s="5"/>
      <c r="O311" s="70"/>
      <c r="P311" s="70"/>
      <c r="Q311" s="70"/>
      <c r="R311" s="3"/>
      <c r="S311" s="3"/>
      <c r="T311" s="3"/>
    </row>
    <row r="312">
      <c r="A312" s="3"/>
      <c r="B312" s="3"/>
      <c r="C312" s="3"/>
      <c r="E312" s="3"/>
      <c r="F312" s="9"/>
      <c r="G312" s="9"/>
      <c r="H312" s="70"/>
      <c r="I312" s="70"/>
      <c r="J312" s="70"/>
      <c r="K312" s="70"/>
      <c r="L312" s="3"/>
      <c r="M312" s="9"/>
      <c r="N312" s="5"/>
      <c r="O312" s="70"/>
      <c r="P312" s="70"/>
      <c r="Q312" s="70"/>
      <c r="R312" s="3"/>
      <c r="S312" s="3"/>
      <c r="T312" s="3"/>
    </row>
    <row r="313">
      <c r="A313" s="3"/>
      <c r="B313" s="3"/>
      <c r="C313" s="3"/>
      <c r="E313" s="3"/>
      <c r="F313" s="9"/>
      <c r="G313" s="9"/>
      <c r="H313" s="70"/>
      <c r="I313" s="70"/>
      <c r="J313" s="70"/>
      <c r="K313" s="70"/>
      <c r="L313" s="3"/>
      <c r="M313" s="9"/>
      <c r="N313" s="5"/>
      <c r="O313" s="70"/>
      <c r="P313" s="70"/>
      <c r="Q313" s="70"/>
      <c r="R313" s="3"/>
      <c r="S313" s="3"/>
      <c r="T313" s="3"/>
    </row>
    <row r="314">
      <c r="A314" s="3"/>
      <c r="B314" s="3"/>
      <c r="C314" s="3"/>
      <c r="E314" s="3"/>
      <c r="F314" s="9"/>
      <c r="G314" s="9"/>
      <c r="H314" s="70"/>
      <c r="I314" s="70"/>
      <c r="J314" s="70"/>
      <c r="K314" s="70"/>
      <c r="L314" s="3"/>
      <c r="M314" s="9"/>
      <c r="N314" s="5"/>
      <c r="O314" s="70"/>
      <c r="P314" s="70"/>
      <c r="Q314" s="70"/>
      <c r="R314" s="3"/>
      <c r="S314" s="3"/>
      <c r="T314" s="3"/>
    </row>
    <row r="315">
      <c r="A315" s="3"/>
      <c r="B315" s="3"/>
      <c r="C315" s="3"/>
      <c r="E315" s="3"/>
      <c r="F315" s="9"/>
      <c r="G315" s="9"/>
      <c r="H315" s="70"/>
      <c r="I315" s="70"/>
      <c r="J315" s="70"/>
      <c r="K315" s="70"/>
      <c r="L315" s="3"/>
      <c r="M315" s="9"/>
      <c r="N315" s="5"/>
      <c r="O315" s="70"/>
      <c r="P315" s="70"/>
      <c r="Q315" s="70"/>
      <c r="R315" s="3"/>
      <c r="S315" s="3"/>
      <c r="T315" s="3"/>
    </row>
    <row r="316">
      <c r="A316" s="3"/>
      <c r="B316" s="3"/>
      <c r="C316" s="3"/>
      <c r="E316" s="3"/>
      <c r="F316" s="9"/>
      <c r="G316" s="9"/>
      <c r="H316" s="70"/>
      <c r="I316" s="70"/>
      <c r="J316" s="70"/>
      <c r="K316" s="70"/>
      <c r="L316" s="3"/>
      <c r="M316" s="9"/>
      <c r="N316" s="5"/>
      <c r="O316" s="70"/>
      <c r="P316" s="70"/>
      <c r="Q316" s="70"/>
      <c r="R316" s="3"/>
      <c r="S316" s="3"/>
      <c r="T316" s="3"/>
    </row>
    <row r="317">
      <c r="A317" s="3"/>
      <c r="B317" s="3"/>
      <c r="C317" s="3"/>
      <c r="E317" s="3"/>
      <c r="F317" s="9"/>
      <c r="G317" s="9"/>
      <c r="H317" s="70"/>
      <c r="I317" s="70"/>
      <c r="J317" s="70"/>
      <c r="K317" s="70"/>
      <c r="L317" s="3"/>
      <c r="M317" s="9"/>
      <c r="N317" s="5"/>
      <c r="O317" s="70"/>
      <c r="P317" s="70"/>
      <c r="Q317" s="70"/>
      <c r="R317" s="3"/>
      <c r="S317" s="3"/>
      <c r="T317" s="3"/>
    </row>
    <row r="318">
      <c r="A318" s="3"/>
      <c r="B318" s="3"/>
      <c r="C318" s="3"/>
      <c r="E318" s="3"/>
      <c r="F318" s="9"/>
      <c r="G318" s="9"/>
      <c r="H318" s="70"/>
      <c r="I318" s="70"/>
      <c r="J318" s="70"/>
      <c r="K318" s="70"/>
      <c r="L318" s="3"/>
      <c r="M318" s="9"/>
      <c r="N318" s="5"/>
      <c r="O318" s="70"/>
      <c r="P318" s="70"/>
      <c r="Q318" s="70"/>
      <c r="R318" s="3"/>
      <c r="S318" s="3"/>
      <c r="T318" s="3"/>
    </row>
    <row r="319">
      <c r="A319" s="3"/>
      <c r="B319" s="3"/>
      <c r="C319" s="3"/>
      <c r="E319" s="3"/>
      <c r="F319" s="9"/>
      <c r="G319" s="9"/>
      <c r="H319" s="70"/>
      <c r="I319" s="70"/>
      <c r="J319" s="70"/>
      <c r="K319" s="70"/>
      <c r="L319" s="3"/>
      <c r="M319" s="9"/>
      <c r="N319" s="5"/>
      <c r="O319" s="70"/>
      <c r="P319" s="70"/>
      <c r="Q319" s="70"/>
      <c r="R319" s="3"/>
      <c r="S319" s="3"/>
      <c r="T319" s="3"/>
    </row>
    <row r="320">
      <c r="A320" s="3"/>
      <c r="B320" s="3"/>
      <c r="C320" s="3"/>
      <c r="E320" s="3"/>
      <c r="F320" s="9"/>
      <c r="G320" s="9"/>
      <c r="H320" s="70"/>
      <c r="I320" s="70"/>
      <c r="J320" s="70"/>
      <c r="K320" s="70"/>
      <c r="L320" s="3"/>
      <c r="M320" s="9"/>
      <c r="N320" s="5"/>
      <c r="O320" s="70"/>
      <c r="P320" s="70"/>
      <c r="Q320" s="70"/>
      <c r="R320" s="3"/>
      <c r="S320" s="3"/>
      <c r="T320" s="3"/>
    </row>
    <row r="321">
      <c r="A321" s="3"/>
      <c r="B321" s="3"/>
      <c r="C321" s="3"/>
      <c r="E321" s="3"/>
      <c r="F321" s="9"/>
      <c r="G321" s="9"/>
      <c r="H321" s="70"/>
      <c r="I321" s="70"/>
      <c r="J321" s="70"/>
      <c r="K321" s="70"/>
      <c r="L321" s="3"/>
      <c r="M321" s="9"/>
      <c r="N321" s="5"/>
      <c r="O321" s="70"/>
      <c r="P321" s="70"/>
      <c r="Q321" s="70"/>
      <c r="R321" s="3"/>
      <c r="S321" s="3"/>
      <c r="T321" s="3"/>
    </row>
    <row r="322">
      <c r="A322" s="3"/>
      <c r="B322" s="3"/>
      <c r="C322" s="3"/>
      <c r="E322" s="3"/>
      <c r="F322" s="9"/>
      <c r="G322" s="9"/>
      <c r="H322" s="70"/>
      <c r="I322" s="70"/>
      <c r="J322" s="70"/>
      <c r="K322" s="70"/>
      <c r="L322" s="3"/>
      <c r="M322" s="9"/>
      <c r="N322" s="5"/>
      <c r="O322" s="70"/>
      <c r="P322" s="70"/>
      <c r="Q322" s="70"/>
      <c r="R322" s="3"/>
      <c r="S322" s="3"/>
      <c r="T322" s="3"/>
    </row>
    <row r="323">
      <c r="A323" s="3"/>
      <c r="B323" s="3"/>
      <c r="C323" s="3"/>
      <c r="E323" s="3"/>
      <c r="F323" s="9"/>
      <c r="G323" s="9"/>
      <c r="H323" s="70"/>
      <c r="I323" s="70"/>
      <c r="J323" s="70"/>
      <c r="K323" s="70"/>
      <c r="L323" s="3"/>
      <c r="M323" s="9"/>
      <c r="N323" s="5"/>
      <c r="O323" s="70"/>
      <c r="P323" s="70"/>
      <c r="Q323" s="70"/>
      <c r="R323" s="3"/>
      <c r="S323" s="3"/>
      <c r="T323" s="3"/>
    </row>
    <row r="324">
      <c r="A324" s="3"/>
      <c r="B324" s="3"/>
      <c r="C324" s="3"/>
      <c r="E324" s="3"/>
      <c r="F324" s="9"/>
      <c r="G324" s="9"/>
      <c r="H324" s="70"/>
      <c r="I324" s="70"/>
      <c r="J324" s="70"/>
      <c r="K324" s="70"/>
      <c r="L324" s="3"/>
      <c r="M324" s="9"/>
      <c r="N324" s="5"/>
      <c r="O324" s="70"/>
      <c r="P324" s="70"/>
      <c r="Q324" s="70"/>
      <c r="R324" s="3"/>
      <c r="S324" s="3"/>
      <c r="T324" s="3"/>
    </row>
    <row r="325">
      <c r="A325" s="3"/>
      <c r="B325" s="3"/>
      <c r="C325" s="3"/>
      <c r="E325" s="3"/>
      <c r="F325" s="9"/>
      <c r="G325" s="9"/>
      <c r="H325" s="70"/>
      <c r="I325" s="70"/>
      <c r="J325" s="70"/>
      <c r="K325" s="70"/>
      <c r="L325" s="3"/>
      <c r="M325" s="9"/>
      <c r="N325" s="5"/>
      <c r="O325" s="70"/>
      <c r="P325" s="70"/>
      <c r="Q325" s="70"/>
      <c r="R325" s="3"/>
      <c r="S325" s="3"/>
      <c r="T325" s="3"/>
    </row>
    <row r="326">
      <c r="A326" s="3"/>
      <c r="B326" s="3"/>
      <c r="C326" s="3"/>
      <c r="E326" s="3"/>
      <c r="F326" s="9"/>
      <c r="G326" s="9"/>
      <c r="H326" s="70"/>
      <c r="I326" s="70"/>
      <c r="J326" s="70"/>
      <c r="K326" s="70"/>
      <c r="L326" s="3"/>
      <c r="M326" s="9"/>
      <c r="N326" s="5"/>
      <c r="O326" s="70"/>
      <c r="P326" s="70"/>
      <c r="Q326" s="70"/>
      <c r="R326" s="3"/>
      <c r="S326" s="3"/>
      <c r="T326" s="3"/>
    </row>
    <row r="327">
      <c r="A327" s="3"/>
      <c r="B327" s="3"/>
      <c r="C327" s="3"/>
      <c r="E327" s="3"/>
      <c r="F327" s="9"/>
      <c r="G327" s="9"/>
      <c r="H327" s="70"/>
      <c r="I327" s="70"/>
      <c r="J327" s="70"/>
      <c r="K327" s="70"/>
      <c r="L327" s="3"/>
      <c r="M327" s="9"/>
      <c r="N327" s="5"/>
      <c r="O327" s="70"/>
      <c r="P327" s="70"/>
      <c r="Q327" s="70"/>
      <c r="R327" s="3"/>
      <c r="S327" s="3"/>
      <c r="T327" s="3"/>
    </row>
    <row r="328">
      <c r="A328" s="3"/>
      <c r="B328" s="3"/>
      <c r="C328" s="3"/>
      <c r="E328" s="3"/>
      <c r="F328" s="9"/>
      <c r="G328" s="9"/>
      <c r="H328" s="70"/>
      <c r="I328" s="70"/>
      <c r="J328" s="70"/>
      <c r="K328" s="70"/>
      <c r="L328" s="3"/>
      <c r="M328" s="9"/>
      <c r="N328" s="5"/>
      <c r="O328" s="70"/>
      <c r="P328" s="70"/>
      <c r="Q328" s="70"/>
      <c r="R328" s="3"/>
      <c r="S328" s="3"/>
      <c r="T328" s="3"/>
    </row>
    <row r="329">
      <c r="A329" s="3"/>
      <c r="B329" s="3"/>
      <c r="C329" s="3"/>
      <c r="E329" s="3"/>
      <c r="F329" s="9"/>
      <c r="G329" s="9"/>
      <c r="H329" s="70"/>
      <c r="I329" s="70"/>
      <c r="J329" s="70"/>
      <c r="K329" s="70"/>
      <c r="L329" s="3"/>
      <c r="M329" s="9"/>
      <c r="N329" s="5"/>
      <c r="O329" s="70"/>
      <c r="P329" s="70"/>
      <c r="Q329" s="70"/>
      <c r="R329" s="3"/>
      <c r="S329" s="3"/>
      <c r="T329" s="3"/>
    </row>
    <row r="330">
      <c r="A330" s="3"/>
      <c r="B330" s="3"/>
      <c r="C330" s="3"/>
      <c r="E330" s="3"/>
      <c r="F330" s="9"/>
      <c r="G330" s="9"/>
      <c r="H330" s="70"/>
      <c r="I330" s="70"/>
      <c r="J330" s="70"/>
      <c r="K330" s="70"/>
      <c r="L330" s="3"/>
      <c r="M330" s="9"/>
      <c r="N330" s="5"/>
      <c r="O330" s="70"/>
      <c r="P330" s="70"/>
      <c r="Q330" s="70"/>
      <c r="R330" s="3"/>
      <c r="S330" s="3"/>
      <c r="T330" s="3"/>
    </row>
    <row r="331">
      <c r="A331" s="3"/>
      <c r="B331" s="3"/>
      <c r="C331" s="3"/>
      <c r="E331" s="3"/>
      <c r="F331" s="9"/>
      <c r="G331" s="9"/>
      <c r="H331" s="70"/>
      <c r="I331" s="70"/>
      <c r="J331" s="70"/>
      <c r="K331" s="70"/>
      <c r="L331" s="3"/>
      <c r="M331" s="9"/>
      <c r="N331" s="5"/>
      <c r="O331" s="70"/>
      <c r="P331" s="70"/>
      <c r="Q331" s="70"/>
      <c r="R331" s="3"/>
      <c r="S331" s="3"/>
      <c r="T331" s="3"/>
    </row>
    <row r="332">
      <c r="A332" s="3"/>
      <c r="B332" s="3"/>
      <c r="C332" s="3"/>
      <c r="E332" s="3"/>
      <c r="F332" s="9"/>
      <c r="G332" s="9"/>
      <c r="H332" s="70"/>
      <c r="I332" s="70"/>
      <c r="J332" s="70"/>
      <c r="K332" s="70"/>
      <c r="L332" s="3"/>
      <c r="M332" s="9"/>
      <c r="N332" s="5"/>
      <c r="O332" s="70"/>
      <c r="P332" s="70"/>
      <c r="Q332" s="70"/>
      <c r="R332" s="3"/>
      <c r="S332" s="3"/>
      <c r="T332" s="3"/>
    </row>
    <row r="333">
      <c r="A333" s="3"/>
      <c r="B333" s="3"/>
      <c r="C333" s="3"/>
      <c r="E333" s="3"/>
      <c r="F333" s="9"/>
      <c r="G333" s="9"/>
      <c r="H333" s="70"/>
      <c r="I333" s="70"/>
      <c r="J333" s="70"/>
      <c r="K333" s="70"/>
      <c r="L333" s="3"/>
      <c r="M333" s="9"/>
      <c r="N333" s="5"/>
      <c r="O333" s="70"/>
      <c r="P333" s="70"/>
      <c r="Q333" s="70"/>
      <c r="R333" s="3"/>
      <c r="S333" s="3"/>
      <c r="T333" s="3"/>
    </row>
    <row r="334">
      <c r="A334" s="3"/>
      <c r="B334" s="3"/>
      <c r="C334" s="3"/>
      <c r="E334" s="3"/>
      <c r="F334" s="9"/>
      <c r="G334" s="9"/>
      <c r="H334" s="70"/>
      <c r="I334" s="70"/>
      <c r="J334" s="70"/>
      <c r="K334" s="70"/>
      <c r="L334" s="3"/>
      <c r="M334" s="9"/>
      <c r="N334" s="5"/>
      <c r="O334" s="70"/>
      <c r="P334" s="70"/>
      <c r="Q334" s="70"/>
      <c r="R334" s="3"/>
      <c r="S334" s="3"/>
      <c r="T334" s="3"/>
    </row>
    <row r="335">
      <c r="A335" s="3"/>
      <c r="B335" s="3"/>
      <c r="C335" s="3"/>
      <c r="E335" s="3"/>
      <c r="F335" s="9"/>
      <c r="G335" s="9"/>
      <c r="H335" s="70"/>
      <c r="I335" s="70"/>
      <c r="J335" s="70"/>
      <c r="K335" s="70"/>
      <c r="L335" s="3"/>
      <c r="M335" s="9"/>
      <c r="N335" s="5"/>
      <c r="O335" s="70"/>
      <c r="P335" s="70"/>
      <c r="Q335" s="70"/>
      <c r="R335" s="3"/>
      <c r="S335" s="3"/>
      <c r="T335" s="3"/>
    </row>
    <row r="336">
      <c r="A336" s="3"/>
      <c r="B336" s="3"/>
      <c r="C336" s="3"/>
      <c r="E336" s="3"/>
      <c r="F336" s="9"/>
      <c r="G336" s="9"/>
      <c r="H336" s="70"/>
      <c r="I336" s="70"/>
      <c r="J336" s="70"/>
      <c r="K336" s="70"/>
      <c r="L336" s="3"/>
      <c r="M336" s="9"/>
      <c r="N336" s="5"/>
      <c r="O336" s="70"/>
      <c r="P336" s="70"/>
      <c r="Q336" s="70"/>
      <c r="R336" s="3"/>
      <c r="S336" s="3"/>
      <c r="T336" s="3"/>
    </row>
    <row r="337">
      <c r="A337" s="3"/>
      <c r="B337" s="3"/>
      <c r="C337" s="3"/>
      <c r="E337" s="3"/>
      <c r="F337" s="9"/>
      <c r="G337" s="9"/>
      <c r="H337" s="70"/>
      <c r="I337" s="70"/>
      <c r="J337" s="70"/>
      <c r="K337" s="70"/>
      <c r="L337" s="3"/>
      <c r="M337" s="9"/>
      <c r="N337" s="5"/>
      <c r="O337" s="70"/>
      <c r="P337" s="70"/>
      <c r="Q337" s="70"/>
      <c r="R337" s="3"/>
      <c r="S337" s="3"/>
      <c r="T337" s="3"/>
    </row>
    <row r="338">
      <c r="A338" s="3"/>
      <c r="B338" s="3"/>
      <c r="C338" s="3"/>
      <c r="E338" s="3"/>
      <c r="F338" s="9"/>
      <c r="G338" s="9"/>
      <c r="H338" s="70"/>
      <c r="I338" s="70"/>
      <c r="J338" s="70"/>
      <c r="K338" s="70"/>
      <c r="L338" s="3"/>
      <c r="M338" s="9"/>
      <c r="N338" s="5"/>
      <c r="O338" s="70"/>
      <c r="P338" s="70"/>
      <c r="Q338" s="70"/>
      <c r="R338" s="3"/>
      <c r="S338" s="3"/>
      <c r="T338" s="3"/>
    </row>
    <row r="339">
      <c r="A339" s="3"/>
      <c r="B339" s="3"/>
      <c r="C339" s="3"/>
      <c r="E339" s="3"/>
      <c r="F339" s="9"/>
      <c r="G339" s="9"/>
      <c r="H339" s="70"/>
      <c r="I339" s="70"/>
      <c r="J339" s="70"/>
      <c r="K339" s="70"/>
      <c r="L339" s="3"/>
      <c r="M339" s="9"/>
      <c r="N339" s="5"/>
      <c r="O339" s="70"/>
      <c r="P339" s="70"/>
      <c r="Q339" s="70"/>
      <c r="R339" s="3"/>
      <c r="S339" s="3"/>
      <c r="T339" s="3"/>
    </row>
    <row r="340">
      <c r="A340" s="3"/>
      <c r="B340" s="3"/>
      <c r="C340" s="3"/>
      <c r="E340" s="3"/>
      <c r="F340" s="9"/>
      <c r="G340" s="9"/>
      <c r="H340" s="70"/>
      <c r="I340" s="70"/>
      <c r="J340" s="70"/>
      <c r="K340" s="70"/>
      <c r="L340" s="3"/>
      <c r="M340" s="9"/>
      <c r="N340" s="5"/>
      <c r="O340" s="70"/>
      <c r="P340" s="70"/>
      <c r="Q340" s="70"/>
      <c r="R340" s="3"/>
      <c r="S340" s="3"/>
      <c r="T340" s="3"/>
    </row>
    <row r="341">
      <c r="A341" s="3"/>
      <c r="B341" s="3"/>
      <c r="C341" s="3"/>
      <c r="E341" s="3"/>
      <c r="F341" s="9"/>
      <c r="G341" s="9"/>
      <c r="H341" s="70"/>
      <c r="I341" s="70"/>
      <c r="J341" s="70"/>
      <c r="K341" s="70"/>
      <c r="L341" s="3"/>
      <c r="M341" s="9"/>
      <c r="N341" s="5"/>
      <c r="O341" s="70"/>
      <c r="P341" s="70"/>
      <c r="Q341" s="70"/>
      <c r="R341" s="3"/>
      <c r="S341" s="3"/>
      <c r="T341" s="3"/>
    </row>
    <row r="342">
      <c r="A342" s="3"/>
      <c r="B342" s="3"/>
      <c r="C342" s="3"/>
      <c r="E342" s="3"/>
      <c r="F342" s="9"/>
      <c r="G342" s="9"/>
      <c r="H342" s="70"/>
      <c r="I342" s="70"/>
      <c r="J342" s="70"/>
      <c r="K342" s="70"/>
      <c r="L342" s="3"/>
      <c r="M342" s="9"/>
      <c r="N342" s="5"/>
      <c r="O342" s="70"/>
      <c r="P342" s="70"/>
      <c r="Q342" s="70"/>
      <c r="R342" s="3"/>
      <c r="S342" s="3"/>
      <c r="T342" s="3"/>
    </row>
    <row r="343">
      <c r="A343" s="3"/>
      <c r="B343" s="3"/>
      <c r="C343" s="3"/>
      <c r="E343" s="3"/>
      <c r="F343" s="9"/>
      <c r="G343" s="9"/>
      <c r="H343" s="70"/>
      <c r="I343" s="70"/>
      <c r="J343" s="70"/>
      <c r="K343" s="70"/>
      <c r="L343" s="3"/>
      <c r="M343" s="9"/>
      <c r="N343" s="5"/>
      <c r="O343" s="70"/>
      <c r="P343" s="70"/>
      <c r="Q343" s="70"/>
      <c r="R343" s="3"/>
      <c r="S343" s="3"/>
      <c r="T343" s="3"/>
    </row>
    <row r="344">
      <c r="A344" s="3"/>
      <c r="B344" s="3"/>
      <c r="C344" s="3"/>
      <c r="E344" s="3"/>
      <c r="F344" s="9"/>
      <c r="G344" s="9"/>
      <c r="H344" s="70"/>
      <c r="I344" s="70"/>
      <c r="J344" s="70"/>
      <c r="K344" s="70"/>
      <c r="L344" s="3"/>
      <c r="M344" s="9"/>
      <c r="N344" s="5"/>
      <c r="O344" s="70"/>
      <c r="P344" s="70"/>
      <c r="Q344" s="70"/>
      <c r="R344" s="3"/>
      <c r="S344" s="3"/>
      <c r="T344" s="3"/>
    </row>
    <row r="345">
      <c r="A345" s="3"/>
      <c r="B345" s="3"/>
      <c r="C345" s="3"/>
      <c r="E345" s="3"/>
      <c r="F345" s="9"/>
      <c r="G345" s="9"/>
      <c r="H345" s="70"/>
      <c r="I345" s="70"/>
      <c r="J345" s="70"/>
      <c r="K345" s="70"/>
      <c r="L345" s="3"/>
      <c r="M345" s="9"/>
      <c r="N345" s="5"/>
      <c r="O345" s="70"/>
      <c r="P345" s="70"/>
      <c r="Q345" s="70"/>
      <c r="R345" s="3"/>
      <c r="S345" s="3"/>
      <c r="T345" s="3"/>
    </row>
    <row r="346">
      <c r="A346" s="3"/>
      <c r="B346" s="3"/>
      <c r="C346" s="3"/>
      <c r="E346" s="3"/>
      <c r="F346" s="9"/>
      <c r="G346" s="9"/>
      <c r="H346" s="70"/>
      <c r="I346" s="70"/>
      <c r="J346" s="70"/>
      <c r="K346" s="70"/>
      <c r="L346" s="3"/>
      <c r="M346" s="9"/>
      <c r="N346" s="5"/>
      <c r="O346" s="70"/>
      <c r="P346" s="70"/>
      <c r="Q346" s="70"/>
      <c r="R346" s="3"/>
      <c r="S346" s="3"/>
      <c r="T346" s="3"/>
    </row>
    <row r="347">
      <c r="A347" s="3"/>
      <c r="B347" s="3"/>
      <c r="C347" s="3"/>
      <c r="E347" s="3"/>
      <c r="F347" s="9"/>
      <c r="G347" s="9"/>
      <c r="H347" s="70"/>
      <c r="I347" s="70"/>
      <c r="J347" s="70"/>
      <c r="K347" s="70"/>
      <c r="L347" s="3"/>
      <c r="M347" s="9"/>
      <c r="N347" s="5"/>
      <c r="O347" s="70"/>
      <c r="P347" s="70"/>
      <c r="Q347" s="70"/>
      <c r="R347" s="3"/>
      <c r="S347" s="3"/>
      <c r="T347" s="3"/>
    </row>
    <row r="348">
      <c r="A348" s="3"/>
      <c r="B348" s="3"/>
      <c r="C348" s="3"/>
      <c r="E348" s="3"/>
      <c r="F348" s="9"/>
      <c r="G348" s="9"/>
      <c r="H348" s="70"/>
      <c r="I348" s="70"/>
      <c r="J348" s="70"/>
      <c r="K348" s="70"/>
      <c r="L348" s="3"/>
      <c r="M348" s="9"/>
      <c r="N348" s="5"/>
      <c r="O348" s="70"/>
      <c r="P348" s="70"/>
      <c r="Q348" s="70"/>
      <c r="R348" s="3"/>
      <c r="S348" s="3"/>
      <c r="T348" s="3"/>
    </row>
    <row r="349">
      <c r="A349" s="3"/>
      <c r="B349" s="3"/>
      <c r="C349" s="3"/>
      <c r="E349" s="3"/>
      <c r="F349" s="9"/>
      <c r="G349" s="9"/>
      <c r="H349" s="70"/>
      <c r="I349" s="70"/>
      <c r="J349" s="70"/>
      <c r="K349" s="70"/>
      <c r="L349" s="3"/>
      <c r="M349" s="9"/>
      <c r="N349" s="5"/>
      <c r="O349" s="70"/>
      <c r="P349" s="70"/>
      <c r="Q349" s="70"/>
      <c r="R349" s="3"/>
      <c r="S349" s="3"/>
      <c r="T349" s="3"/>
    </row>
    <row r="350">
      <c r="A350" s="3"/>
      <c r="B350" s="3"/>
      <c r="C350" s="3"/>
      <c r="E350" s="3"/>
      <c r="F350" s="9"/>
      <c r="G350" s="9"/>
      <c r="H350" s="70"/>
      <c r="I350" s="70"/>
      <c r="J350" s="70"/>
      <c r="K350" s="70"/>
      <c r="L350" s="3"/>
      <c r="M350" s="9"/>
      <c r="N350" s="5"/>
      <c r="O350" s="70"/>
      <c r="P350" s="70"/>
      <c r="Q350" s="70"/>
      <c r="R350" s="3"/>
      <c r="S350" s="3"/>
      <c r="T350" s="3"/>
    </row>
    <row r="351">
      <c r="A351" s="3"/>
      <c r="B351" s="3"/>
      <c r="C351" s="3"/>
      <c r="E351" s="3"/>
      <c r="F351" s="9"/>
      <c r="G351" s="9"/>
      <c r="H351" s="70"/>
      <c r="I351" s="70"/>
      <c r="J351" s="70"/>
      <c r="K351" s="70"/>
      <c r="L351" s="3"/>
      <c r="M351" s="9"/>
      <c r="N351" s="5"/>
      <c r="O351" s="70"/>
      <c r="P351" s="70"/>
      <c r="Q351" s="70"/>
      <c r="R351" s="3"/>
      <c r="S351" s="3"/>
      <c r="T351" s="3"/>
    </row>
    <row r="352">
      <c r="A352" s="3"/>
      <c r="B352" s="3"/>
      <c r="C352" s="3"/>
      <c r="E352" s="3"/>
      <c r="F352" s="9"/>
      <c r="G352" s="9"/>
      <c r="H352" s="70"/>
      <c r="I352" s="70"/>
      <c r="J352" s="70"/>
      <c r="K352" s="70"/>
      <c r="L352" s="3"/>
      <c r="M352" s="9"/>
      <c r="N352" s="5"/>
      <c r="O352" s="70"/>
      <c r="P352" s="70"/>
      <c r="Q352" s="70"/>
      <c r="R352" s="3"/>
      <c r="S352" s="3"/>
      <c r="T352" s="3"/>
    </row>
    <row r="353">
      <c r="A353" s="3"/>
      <c r="B353" s="3"/>
      <c r="C353" s="3"/>
      <c r="E353" s="3"/>
      <c r="F353" s="9"/>
      <c r="G353" s="9"/>
      <c r="H353" s="70"/>
      <c r="I353" s="70"/>
      <c r="J353" s="70"/>
      <c r="K353" s="70"/>
      <c r="L353" s="3"/>
      <c r="M353" s="9"/>
      <c r="N353" s="5"/>
      <c r="O353" s="70"/>
      <c r="P353" s="70"/>
      <c r="Q353" s="70"/>
      <c r="R353" s="3"/>
      <c r="S353" s="3"/>
      <c r="T353" s="3"/>
    </row>
    <row r="354">
      <c r="A354" s="3"/>
      <c r="B354" s="3"/>
      <c r="C354" s="3"/>
      <c r="E354" s="3"/>
      <c r="F354" s="9"/>
      <c r="G354" s="9"/>
      <c r="H354" s="70"/>
      <c r="I354" s="70"/>
      <c r="J354" s="70"/>
      <c r="K354" s="70"/>
      <c r="L354" s="3"/>
      <c r="M354" s="9"/>
      <c r="N354" s="5"/>
      <c r="O354" s="70"/>
      <c r="P354" s="70"/>
      <c r="Q354" s="70"/>
      <c r="R354" s="3"/>
      <c r="S354" s="3"/>
      <c r="T354" s="3"/>
    </row>
    <row r="355">
      <c r="A355" s="3"/>
      <c r="B355" s="3"/>
      <c r="C355" s="3"/>
      <c r="E355" s="3"/>
      <c r="F355" s="9"/>
      <c r="G355" s="9"/>
      <c r="H355" s="70"/>
      <c r="I355" s="70"/>
      <c r="J355" s="70"/>
      <c r="K355" s="70"/>
      <c r="L355" s="3"/>
      <c r="M355" s="9"/>
      <c r="N355" s="5"/>
      <c r="O355" s="70"/>
      <c r="P355" s="70"/>
      <c r="Q355" s="70"/>
      <c r="R355" s="3"/>
      <c r="S355" s="3"/>
      <c r="T355" s="3"/>
    </row>
    <row r="356">
      <c r="A356" s="3"/>
      <c r="B356" s="3"/>
      <c r="C356" s="3"/>
      <c r="E356" s="3"/>
      <c r="F356" s="9"/>
      <c r="G356" s="9"/>
      <c r="H356" s="70"/>
      <c r="I356" s="70"/>
      <c r="J356" s="70"/>
      <c r="K356" s="70"/>
      <c r="L356" s="3"/>
      <c r="M356" s="9"/>
      <c r="N356" s="5"/>
      <c r="O356" s="70"/>
      <c r="P356" s="70"/>
      <c r="Q356" s="70"/>
      <c r="R356" s="3"/>
      <c r="S356" s="3"/>
      <c r="T356" s="3"/>
    </row>
    <row r="357">
      <c r="A357" s="3"/>
      <c r="B357" s="3"/>
      <c r="C357" s="3"/>
      <c r="E357" s="3"/>
      <c r="F357" s="9"/>
      <c r="G357" s="9"/>
      <c r="H357" s="70"/>
      <c r="I357" s="70"/>
      <c r="J357" s="70"/>
      <c r="K357" s="70"/>
      <c r="L357" s="3"/>
      <c r="M357" s="9"/>
      <c r="N357" s="5"/>
      <c r="O357" s="70"/>
      <c r="P357" s="70"/>
      <c r="Q357" s="70"/>
      <c r="R357" s="3"/>
      <c r="S357" s="3"/>
      <c r="T357" s="3"/>
    </row>
    <row r="358">
      <c r="A358" s="3"/>
      <c r="B358" s="3"/>
      <c r="C358" s="3"/>
      <c r="E358" s="3"/>
      <c r="F358" s="9"/>
      <c r="G358" s="9"/>
      <c r="H358" s="70"/>
      <c r="I358" s="70"/>
      <c r="J358" s="70"/>
      <c r="K358" s="70"/>
      <c r="L358" s="3"/>
      <c r="M358" s="9"/>
      <c r="N358" s="5"/>
      <c r="O358" s="70"/>
      <c r="P358" s="70"/>
      <c r="Q358" s="70"/>
      <c r="R358" s="3"/>
      <c r="S358" s="3"/>
      <c r="T358" s="3"/>
    </row>
    <row r="359">
      <c r="A359" s="3"/>
      <c r="B359" s="3"/>
      <c r="C359" s="3"/>
      <c r="E359" s="3"/>
      <c r="F359" s="9"/>
      <c r="G359" s="9"/>
      <c r="H359" s="70"/>
      <c r="I359" s="70"/>
      <c r="J359" s="70"/>
      <c r="K359" s="70"/>
      <c r="L359" s="3"/>
      <c r="M359" s="9"/>
      <c r="N359" s="5"/>
      <c r="O359" s="70"/>
      <c r="P359" s="70"/>
      <c r="Q359" s="70"/>
      <c r="R359" s="3"/>
      <c r="S359" s="3"/>
      <c r="T359" s="3"/>
    </row>
    <row r="360">
      <c r="A360" s="3"/>
      <c r="B360" s="3"/>
      <c r="C360" s="3"/>
      <c r="E360" s="3"/>
      <c r="F360" s="9"/>
      <c r="G360" s="9"/>
      <c r="H360" s="70"/>
      <c r="I360" s="70"/>
      <c r="J360" s="70"/>
      <c r="K360" s="70"/>
      <c r="L360" s="3"/>
      <c r="M360" s="9"/>
      <c r="N360" s="5"/>
      <c r="O360" s="70"/>
      <c r="P360" s="70"/>
      <c r="Q360" s="70"/>
      <c r="R360" s="3"/>
      <c r="S360" s="3"/>
      <c r="T360" s="3"/>
    </row>
    <row r="361">
      <c r="A361" s="3"/>
      <c r="B361" s="3"/>
      <c r="C361" s="3"/>
      <c r="E361" s="3"/>
      <c r="F361" s="9"/>
      <c r="G361" s="9"/>
      <c r="H361" s="70"/>
      <c r="I361" s="70"/>
      <c r="J361" s="70"/>
      <c r="K361" s="70"/>
      <c r="L361" s="3"/>
      <c r="M361" s="9"/>
      <c r="N361" s="5"/>
      <c r="O361" s="70"/>
      <c r="P361" s="70"/>
      <c r="Q361" s="70"/>
      <c r="R361" s="3"/>
      <c r="S361" s="3"/>
      <c r="T361" s="3"/>
    </row>
    <row r="362">
      <c r="A362" s="3"/>
      <c r="B362" s="3"/>
      <c r="C362" s="3"/>
      <c r="E362" s="3"/>
      <c r="F362" s="9"/>
      <c r="G362" s="9"/>
      <c r="H362" s="70"/>
      <c r="I362" s="70"/>
      <c r="J362" s="70"/>
      <c r="K362" s="70"/>
      <c r="L362" s="3"/>
      <c r="M362" s="9"/>
      <c r="N362" s="5"/>
      <c r="O362" s="70"/>
      <c r="P362" s="70"/>
      <c r="Q362" s="70"/>
      <c r="R362" s="3"/>
      <c r="S362" s="3"/>
      <c r="T362" s="3"/>
    </row>
    <row r="363">
      <c r="A363" s="3"/>
      <c r="B363" s="3"/>
      <c r="C363" s="3"/>
      <c r="E363" s="3"/>
      <c r="F363" s="9"/>
      <c r="G363" s="9"/>
      <c r="H363" s="70"/>
      <c r="I363" s="70"/>
      <c r="J363" s="70"/>
      <c r="K363" s="70"/>
      <c r="L363" s="3"/>
      <c r="M363" s="9"/>
      <c r="N363" s="5"/>
      <c r="O363" s="70"/>
      <c r="P363" s="70"/>
      <c r="Q363" s="70"/>
      <c r="R363" s="3"/>
      <c r="S363" s="3"/>
      <c r="T363" s="3"/>
    </row>
    <row r="364">
      <c r="A364" s="3"/>
      <c r="B364" s="3"/>
      <c r="C364" s="3"/>
      <c r="E364" s="3"/>
      <c r="F364" s="9"/>
      <c r="G364" s="9"/>
      <c r="H364" s="70"/>
      <c r="I364" s="70"/>
      <c r="J364" s="70"/>
      <c r="K364" s="70"/>
      <c r="L364" s="3"/>
      <c r="M364" s="9"/>
      <c r="N364" s="5"/>
      <c r="O364" s="70"/>
      <c r="P364" s="70"/>
      <c r="Q364" s="70"/>
      <c r="R364" s="3"/>
      <c r="S364" s="3"/>
      <c r="T364" s="3"/>
    </row>
    <row r="365">
      <c r="A365" s="3"/>
      <c r="B365" s="3"/>
      <c r="C365" s="3"/>
      <c r="E365" s="3"/>
      <c r="F365" s="9"/>
      <c r="G365" s="9"/>
      <c r="H365" s="70"/>
      <c r="I365" s="70"/>
      <c r="J365" s="70"/>
      <c r="K365" s="70"/>
      <c r="L365" s="3"/>
      <c r="M365" s="9"/>
      <c r="N365" s="5"/>
      <c r="O365" s="70"/>
      <c r="P365" s="70"/>
      <c r="Q365" s="70"/>
      <c r="R365" s="3"/>
      <c r="S365" s="3"/>
      <c r="T365" s="3"/>
    </row>
    <row r="366">
      <c r="A366" s="3"/>
      <c r="B366" s="3"/>
      <c r="C366" s="3"/>
      <c r="E366" s="3"/>
      <c r="F366" s="9"/>
      <c r="G366" s="9"/>
      <c r="H366" s="70"/>
      <c r="I366" s="70"/>
      <c r="J366" s="70"/>
      <c r="K366" s="70"/>
      <c r="L366" s="3"/>
      <c r="M366" s="9"/>
      <c r="N366" s="5"/>
      <c r="O366" s="70"/>
      <c r="P366" s="70"/>
      <c r="Q366" s="70"/>
      <c r="R366" s="3"/>
      <c r="S366" s="3"/>
      <c r="T366" s="3"/>
    </row>
    <row r="367">
      <c r="A367" s="3"/>
      <c r="B367" s="3"/>
      <c r="C367" s="3"/>
      <c r="E367" s="3"/>
      <c r="F367" s="9"/>
      <c r="G367" s="9"/>
      <c r="H367" s="70"/>
      <c r="I367" s="70"/>
      <c r="J367" s="70"/>
      <c r="K367" s="70"/>
      <c r="L367" s="3"/>
      <c r="M367" s="9"/>
      <c r="N367" s="5"/>
      <c r="O367" s="70"/>
      <c r="P367" s="70"/>
      <c r="Q367" s="70"/>
      <c r="R367" s="3"/>
      <c r="S367" s="3"/>
      <c r="T367" s="3"/>
    </row>
    <row r="368">
      <c r="A368" s="3"/>
      <c r="B368" s="3"/>
      <c r="C368" s="3"/>
      <c r="E368" s="3"/>
      <c r="F368" s="9"/>
      <c r="G368" s="9"/>
      <c r="H368" s="70"/>
      <c r="I368" s="70"/>
      <c r="J368" s="70"/>
      <c r="K368" s="70"/>
      <c r="L368" s="3"/>
      <c r="M368" s="9"/>
      <c r="N368" s="5"/>
      <c r="O368" s="70"/>
      <c r="P368" s="70"/>
      <c r="Q368" s="70"/>
      <c r="R368" s="3"/>
      <c r="S368" s="3"/>
      <c r="T368" s="3"/>
    </row>
    <row r="369">
      <c r="A369" s="3"/>
      <c r="B369" s="3"/>
      <c r="C369" s="3"/>
      <c r="E369" s="3"/>
      <c r="F369" s="9"/>
      <c r="G369" s="9"/>
      <c r="H369" s="70"/>
      <c r="I369" s="70"/>
      <c r="J369" s="70"/>
      <c r="K369" s="70"/>
      <c r="L369" s="3"/>
      <c r="M369" s="9"/>
      <c r="N369" s="5"/>
      <c r="O369" s="70"/>
      <c r="P369" s="70"/>
      <c r="Q369" s="70"/>
      <c r="R369" s="3"/>
      <c r="S369" s="3"/>
      <c r="T369" s="3"/>
    </row>
    <row r="370">
      <c r="A370" s="3"/>
      <c r="B370" s="3"/>
      <c r="C370" s="3"/>
      <c r="E370" s="3"/>
      <c r="F370" s="9"/>
      <c r="G370" s="9"/>
      <c r="H370" s="70"/>
      <c r="I370" s="70"/>
      <c r="J370" s="70"/>
      <c r="K370" s="70"/>
      <c r="L370" s="3"/>
      <c r="M370" s="9"/>
      <c r="N370" s="5"/>
      <c r="O370" s="70"/>
      <c r="P370" s="70"/>
      <c r="Q370" s="70"/>
      <c r="R370" s="3"/>
      <c r="S370" s="3"/>
      <c r="T370" s="3"/>
    </row>
    <row r="371">
      <c r="A371" s="3"/>
      <c r="B371" s="3"/>
      <c r="C371" s="3"/>
      <c r="E371" s="3"/>
      <c r="F371" s="9"/>
      <c r="G371" s="9"/>
      <c r="H371" s="70"/>
      <c r="I371" s="70"/>
      <c r="J371" s="70"/>
      <c r="K371" s="70"/>
      <c r="L371" s="3"/>
      <c r="M371" s="9"/>
      <c r="N371" s="5"/>
      <c r="O371" s="70"/>
      <c r="P371" s="70"/>
      <c r="Q371" s="70"/>
      <c r="R371" s="3"/>
      <c r="S371" s="3"/>
      <c r="T371" s="3"/>
    </row>
    <row r="372">
      <c r="A372" s="3"/>
      <c r="B372" s="3"/>
      <c r="C372" s="3"/>
      <c r="E372" s="3"/>
      <c r="F372" s="9"/>
      <c r="G372" s="9"/>
      <c r="H372" s="70"/>
      <c r="I372" s="70"/>
      <c r="J372" s="70"/>
      <c r="K372" s="70"/>
      <c r="L372" s="3"/>
      <c r="M372" s="9"/>
      <c r="N372" s="5"/>
      <c r="O372" s="70"/>
      <c r="P372" s="70"/>
      <c r="Q372" s="70"/>
      <c r="R372" s="3"/>
      <c r="S372" s="3"/>
      <c r="T372" s="3"/>
    </row>
    <row r="373">
      <c r="A373" s="3"/>
      <c r="B373" s="3"/>
      <c r="C373" s="3"/>
      <c r="E373" s="3"/>
      <c r="F373" s="9"/>
      <c r="G373" s="9"/>
      <c r="H373" s="70"/>
      <c r="I373" s="70"/>
      <c r="J373" s="70"/>
      <c r="K373" s="70"/>
      <c r="L373" s="3"/>
      <c r="M373" s="9"/>
      <c r="N373" s="5"/>
      <c r="O373" s="70"/>
      <c r="P373" s="70"/>
      <c r="Q373" s="70"/>
      <c r="R373" s="3"/>
      <c r="S373" s="3"/>
      <c r="T373" s="3"/>
    </row>
    <row r="374">
      <c r="A374" s="3"/>
      <c r="B374" s="3"/>
      <c r="C374" s="3"/>
      <c r="E374" s="3"/>
      <c r="F374" s="9"/>
      <c r="G374" s="9"/>
      <c r="H374" s="70"/>
      <c r="I374" s="70"/>
      <c r="J374" s="70"/>
      <c r="K374" s="70"/>
      <c r="L374" s="3"/>
      <c r="M374" s="9"/>
      <c r="N374" s="5"/>
      <c r="O374" s="70"/>
      <c r="P374" s="70"/>
      <c r="Q374" s="70"/>
      <c r="R374" s="3"/>
      <c r="S374" s="3"/>
      <c r="T374" s="3"/>
    </row>
    <row r="375">
      <c r="A375" s="3"/>
      <c r="B375" s="3"/>
      <c r="C375" s="3"/>
      <c r="E375" s="3"/>
      <c r="F375" s="9"/>
      <c r="G375" s="9"/>
      <c r="H375" s="70"/>
      <c r="I375" s="70"/>
      <c r="J375" s="70"/>
      <c r="K375" s="70"/>
      <c r="L375" s="3"/>
      <c r="M375" s="9"/>
      <c r="N375" s="5"/>
      <c r="O375" s="70"/>
      <c r="P375" s="70"/>
      <c r="Q375" s="70"/>
      <c r="R375" s="3"/>
      <c r="S375" s="3"/>
      <c r="T375" s="3"/>
    </row>
    <row r="376">
      <c r="A376" s="3"/>
      <c r="B376" s="3"/>
      <c r="C376" s="3"/>
      <c r="E376" s="3"/>
      <c r="F376" s="9"/>
      <c r="G376" s="9"/>
      <c r="H376" s="70"/>
      <c r="I376" s="70"/>
      <c r="J376" s="70"/>
      <c r="K376" s="70"/>
      <c r="L376" s="3"/>
      <c r="M376" s="9"/>
      <c r="N376" s="5"/>
      <c r="O376" s="70"/>
      <c r="P376" s="70"/>
      <c r="Q376" s="70"/>
      <c r="R376" s="3"/>
      <c r="S376" s="3"/>
      <c r="T376" s="3"/>
    </row>
    <row r="377">
      <c r="A377" s="3"/>
      <c r="B377" s="3"/>
      <c r="C377" s="3"/>
      <c r="E377" s="3"/>
      <c r="F377" s="9"/>
      <c r="G377" s="9"/>
      <c r="H377" s="70"/>
      <c r="I377" s="70"/>
      <c r="J377" s="70"/>
      <c r="K377" s="70"/>
      <c r="L377" s="3"/>
      <c r="M377" s="9"/>
      <c r="N377" s="5"/>
      <c r="O377" s="70"/>
      <c r="P377" s="70"/>
      <c r="Q377" s="70"/>
      <c r="R377" s="3"/>
      <c r="S377" s="3"/>
      <c r="T377" s="3"/>
    </row>
    <row r="378">
      <c r="A378" s="3"/>
      <c r="B378" s="3"/>
      <c r="C378" s="3"/>
      <c r="E378" s="3"/>
      <c r="F378" s="9"/>
      <c r="G378" s="9"/>
      <c r="H378" s="70"/>
      <c r="I378" s="70"/>
      <c r="J378" s="70"/>
      <c r="K378" s="70"/>
      <c r="L378" s="3"/>
      <c r="M378" s="9"/>
      <c r="N378" s="5"/>
      <c r="O378" s="70"/>
      <c r="P378" s="70"/>
      <c r="Q378" s="70"/>
      <c r="R378" s="3"/>
      <c r="S378" s="3"/>
      <c r="T378" s="3"/>
    </row>
    <row r="379">
      <c r="A379" s="3"/>
      <c r="B379" s="3"/>
      <c r="C379" s="3"/>
      <c r="E379" s="3"/>
      <c r="F379" s="9"/>
      <c r="G379" s="9"/>
      <c r="H379" s="70"/>
      <c r="I379" s="70"/>
      <c r="J379" s="70"/>
      <c r="K379" s="70"/>
      <c r="L379" s="3"/>
      <c r="M379" s="9"/>
      <c r="N379" s="5"/>
      <c r="O379" s="70"/>
      <c r="P379" s="70"/>
      <c r="Q379" s="70"/>
      <c r="R379" s="3"/>
      <c r="S379" s="3"/>
      <c r="T379" s="3"/>
    </row>
    <row r="380">
      <c r="A380" s="3"/>
      <c r="B380" s="3"/>
      <c r="C380" s="3"/>
      <c r="E380" s="3"/>
      <c r="F380" s="9"/>
      <c r="G380" s="9"/>
      <c r="H380" s="70"/>
      <c r="I380" s="70"/>
      <c r="J380" s="70"/>
      <c r="K380" s="70"/>
      <c r="L380" s="3"/>
      <c r="M380" s="9"/>
      <c r="N380" s="5"/>
      <c r="O380" s="70"/>
      <c r="P380" s="70"/>
      <c r="Q380" s="70"/>
      <c r="R380" s="3"/>
      <c r="S380" s="3"/>
      <c r="T380" s="3"/>
    </row>
    <row r="381">
      <c r="A381" s="3"/>
      <c r="B381" s="3"/>
      <c r="C381" s="3"/>
      <c r="E381" s="3"/>
      <c r="F381" s="9"/>
      <c r="G381" s="9"/>
      <c r="H381" s="70"/>
      <c r="I381" s="70"/>
      <c r="J381" s="70"/>
      <c r="K381" s="70"/>
      <c r="L381" s="3"/>
      <c r="M381" s="9"/>
      <c r="N381" s="5"/>
      <c r="O381" s="70"/>
      <c r="P381" s="70"/>
      <c r="Q381" s="70"/>
      <c r="R381" s="3"/>
      <c r="S381" s="3"/>
      <c r="T381" s="3"/>
    </row>
    <row r="382">
      <c r="A382" s="3"/>
      <c r="B382" s="3"/>
      <c r="C382" s="3"/>
      <c r="E382" s="3"/>
      <c r="F382" s="9"/>
      <c r="G382" s="9"/>
      <c r="H382" s="70"/>
      <c r="I382" s="70"/>
      <c r="J382" s="70"/>
      <c r="K382" s="70"/>
      <c r="L382" s="3"/>
      <c r="M382" s="9"/>
      <c r="N382" s="5"/>
      <c r="O382" s="70"/>
      <c r="P382" s="70"/>
      <c r="Q382" s="70"/>
      <c r="R382" s="3"/>
      <c r="S382" s="3"/>
      <c r="T382" s="3"/>
    </row>
    <row r="383">
      <c r="A383" s="3"/>
      <c r="B383" s="3"/>
      <c r="C383" s="3"/>
      <c r="E383" s="3"/>
      <c r="F383" s="9"/>
      <c r="G383" s="9"/>
      <c r="H383" s="70"/>
      <c r="I383" s="70"/>
      <c r="J383" s="70"/>
      <c r="K383" s="70"/>
      <c r="L383" s="3"/>
      <c r="M383" s="9"/>
      <c r="N383" s="5"/>
      <c r="O383" s="70"/>
      <c r="P383" s="70"/>
      <c r="Q383" s="70"/>
      <c r="R383" s="3"/>
      <c r="S383" s="3"/>
      <c r="T383" s="3"/>
    </row>
    <row r="384">
      <c r="A384" s="3"/>
      <c r="B384" s="3"/>
      <c r="C384" s="3"/>
      <c r="E384" s="3"/>
      <c r="F384" s="9"/>
      <c r="G384" s="9"/>
      <c r="H384" s="70"/>
      <c r="I384" s="70"/>
      <c r="J384" s="70"/>
      <c r="K384" s="70"/>
      <c r="L384" s="3"/>
      <c r="M384" s="9"/>
      <c r="N384" s="5"/>
      <c r="O384" s="70"/>
      <c r="P384" s="70"/>
      <c r="Q384" s="70"/>
      <c r="R384" s="3"/>
      <c r="S384" s="3"/>
      <c r="T384" s="3"/>
    </row>
    <row r="385">
      <c r="A385" s="3"/>
      <c r="B385" s="3"/>
      <c r="C385" s="3"/>
      <c r="E385" s="3"/>
      <c r="F385" s="9"/>
      <c r="G385" s="9"/>
      <c r="H385" s="70"/>
      <c r="I385" s="70"/>
      <c r="J385" s="70"/>
      <c r="K385" s="70"/>
      <c r="L385" s="3"/>
      <c r="M385" s="9"/>
      <c r="N385" s="5"/>
      <c r="O385" s="70"/>
      <c r="P385" s="70"/>
      <c r="Q385" s="70"/>
      <c r="R385" s="3"/>
      <c r="S385" s="3"/>
      <c r="T385" s="3"/>
    </row>
    <row r="386">
      <c r="A386" s="3"/>
      <c r="B386" s="3"/>
      <c r="C386" s="3"/>
      <c r="E386" s="3"/>
      <c r="F386" s="9"/>
      <c r="G386" s="9"/>
      <c r="H386" s="70"/>
      <c r="I386" s="70"/>
      <c r="J386" s="70"/>
      <c r="K386" s="70"/>
      <c r="L386" s="3"/>
      <c r="M386" s="9"/>
      <c r="N386" s="5"/>
      <c r="O386" s="70"/>
      <c r="P386" s="70"/>
      <c r="Q386" s="70"/>
      <c r="R386" s="3"/>
      <c r="S386" s="3"/>
      <c r="T386" s="3"/>
    </row>
    <row r="387">
      <c r="A387" s="3"/>
      <c r="B387" s="3"/>
      <c r="C387" s="3"/>
      <c r="E387" s="3"/>
      <c r="F387" s="9"/>
      <c r="G387" s="9"/>
      <c r="H387" s="70"/>
      <c r="I387" s="70"/>
      <c r="J387" s="70"/>
      <c r="K387" s="70"/>
      <c r="L387" s="3"/>
      <c r="M387" s="9"/>
      <c r="N387" s="5"/>
      <c r="O387" s="70"/>
      <c r="P387" s="70"/>
      <c r="Q387" s="70"/>
      <c r="R387" s="3"/>
      <c r="S387" s="3"/>
      <c r="T387" s="3"/>
    </row>
    <row r="388">
      <c r="A388" s="3"/>
      <c r="B388" s="3"/>
      <c r="C388" s="3"/>
      <c r="E388" s="3"/>
      <c r="F388" s="9"/>
      <c r="G388" s="9"/>
      <c r="H388" s="70"/>
      <c r="I388" s="70"/>
      <c r="J388" s="70"/>
      <c r="K388" s="70"/>
      <c r="L388" s="3"/>
      <c r="M388" s="9"/>
      <c r="N388" s="5"/>
      <c r="O388" s="70"/>
      <c r="P388" s="70"/>
      <c r="Q388" s="70"/>
      <c r="R388" s="3"/>
      <c r="S388" s="3"/>
      <c r="T388" s="3"/>
    </row>
    <row r="389">
      <c r="A389" s="3"/>
      <c r="B389" s="3"/>
      <c r="C389" s="3"/>
      <c r="E389" s="3"/>
      <c r="F389" s="9"/>
      <c r="G389" s="9"/>
      <c r="H389" s="70"/>
      <c r="I389" s="70"/>
      <c r="J389" s="70"/>
      <c r="K389" s="70"/>
      <c r="L389" s="3"/>
      <c r="M389" s="9"/>
      <c r="N389" s="5"/>
      <c r="O389" s="70"/>
      <c r="P389" s="70"/>
      <c r="Q389" s="70"/>
      <c r="R389" s="3"/>
      <c r="S389" s="3"/>
      <c r="T389" s="3"/>
    </row>
    <row r="390">
      <c r="A390" s="3"/>
      <c r="B390" s="3"/>
      <c r="C390" s="3"/>
      <c r="E390" s="3"/>
      <c r="F390" s="9"/>
      <c r="G390" s="9"/>
      <c r="H390" s="70"/>
      <c r="I390" s="70"/>
      <c r="J390" s="70"/>
      <c r="K390" s="70"/>
      <c r="L390" s="3"/>
      <c r="M390" s="9"/>
      <c r="N390" s="5"/>
      <c r="O390" s="70"/>
      <c r="P390" s="70"/>
      <c r="Q390" s="70"/>
      <c r="R390" s="3"/>
      <c r="S390" s="3"/>
      <c r="T390" s="3"/>
    </row>
    <row r="391">
      <c r="A391" s="3"/>
      <c r="B391" s="3"/>
      <c r="C391" s="3"/>
      <c r="E391" s="3"/>
      <c r="F391" s="9"/>
      <c r="G391" s="9"/>
      <c r="H391" s="70"/>
      <c r="I391" s="70"/>
      <c r="J391" s="70"/>
      <c r="K391" s="70"/>
      <c r="L391" s="3"/>
      <c r="M391" s="9"/>
      <c r="N391" s="5"/>
      <c r="O391" s="70"/>
      <c r="P391" s="70"/>
      <c r="Q391" s="70"/>
      <c r="R391" s="3"/>
      <c r="S391" s="3"/>
      <c r="T391" s="3"/>
    </row>
    <row r="392">
      <c r="A392" s="3"/>
      <c r="B392" s="3"/>
      <c r="C392" s="3"/>
      <c r="E392" s="3"/>
      <c r="F392" s="9"/>
      <c r="G392" s="9"/>
      <c r="H392" s="70"/>
      <c r="I392" s="70"/>
      <c r="J392" s="70"/>
      <c r="K392" s="70"/>
      <c r="L392" s="3"/>
      <c r="M392" s="9"/>
      <c r="N392" s="5"/>
      <c r="O392" s="70"/>
      <c r="P392" s="70"/>
      <c r="Q392" s="70"/>
      <c r="R392" s="3"/>
      <c r="S392" s="3"/>
      <c r="T392" s="3"/>
    </row>
    <row r="393">
      <c r="A393" s="3"/>
      <c r="B393" s="3"/>
      <c r="C393" s="3"/>
      <c r="E393" s="3"/>
      <c r="F393" s="9"/>
      <c r="G393" s="9"/>
      <c r="H393" s="70"/>
      <c r="I393" s="70"/>
      <c r="J393" s="70"/>
      <c r="K393" s="70"/>
      <c r="L393" s="3"/>
      <c r="M393" s="9"/>
      <c r="N393" s="5"/>
      <c r="O393" s="70"/>
      <c r="P393" s="70"/>
      <c r="Q393" s="70"/>
      <c r="R393" s="3"/>
      <c r="S393" s="3"/>
      <c r="T393" s="3"/>
    </row>
    <row r="394">
      <c r="A394" s="3"/>
      <c r="B394" s="3"/>
      <c r="C394" s="3"/>
      <c r="E394" s="3"/>
      <c r="F394" s="9"/>
      <c r="G394" s="9"/>
      <c r="H394" s="70"/>
      <c r="I394" s="70"/>
      <c r="J394" s="70"/>
      <c r="K394" s="70"/>
      <c r="L394" s="3"/>
      <c r="M394" s="9"/>
      <c r="N394" s="5"/>
      <c r="O394" s="70"/>
      <c r="P394" s="70"/>
      <c r="Q394" s="70"/>
      <c r="R394" s="3"/>
      <c r="S394" s="3"/>
      <c r="T394" s="3"/>
    </row>
    <row r="395">
      <c r="A395" s="3"/>
      <c r="B395" s="3"/>
      <c r="C395" s="3"/>
      <c r="E395" s="3"/>
      <c r="F395" s="9"/>
      <c r="G395" s="9"/>
      <c r="H395" s="70"/>
      <c r="I395" s="70"/>
      <c r="J395" s="70"/>
      <c r="K395" s="70"/>
      <c r="L395" s="3"/>
      <c r="M395" s="9"/>
      <c r="N395" s="5"/>
      <c r="O395" s="70"/>
      <c r="P395" s="70"/>
      <c r="Q395" s="70"/>
      <c r="R395" s="3"/>
      <c r="S395" s="3"/>
      <c r="T395" s="3"/>
    </row>
    <row r="396">
      <c r="A396" s="3"/>
      <c r="B396" s="3"/>
      <c r="C396" s="3"/>
      <c r="E396" s="3"/>
      <c r="F396" s="9"/>
      <c r="G396" s="9"/>
      <c r="H396" s="70"/>
      <c r="I396" s="70"/>
      <c r="J396" s="70"/>
      <c r="K396" s="70"/>
      <c r="L396" s="3"/>
      <c r="M396" s="9"/>
      <c r="N396" s="5"/>
      <c r="O396" s="70"/>
      <c r="P396" s="70"/>
      <c r="Q396" s="70"/>
      <c r="R396" s="3"/>
      <c r="S396" s="3"/>
      <c r="T396" s="3"/>
    </row>
    <row r="397">
      <c r="A397" s="3"/>
      <c r="B397" s="3"/>
      <c r="C397" s="3"/>
      <c r="E397" s="3"/>
      <c r="F397" s="9"/>
      <c r="G397" s="9"/>
      <c r="H397" s="70"/>
      <c r="I397" s="70"/>
      <c r="J397" s="70"/>
      <c r="K397" s="70"/>
      <c r="L397" s="3"/>
      <c r="M397" s="9"/>
      <c r="N397" s="5"/>
      <c r="O397" s="70"/>
      <c r="P397" s="70"/>
      <c r="Q397" s="70"/>
      <c r="R397" s="3"/>
      <c r="S397" s="3"/>
      <c r="T397" s="3"/>
    </row>
    <row r="398">
      <c r="A398" s="3"/>
      <c r="B398" s="3"/>
      <c r="C398" s="3"/>
      <c r="E398" s="3"/>
      <c r="F398" s="9"/>
      <c r="G398" s="9"/>
      <c r="H398" s="70"/>
      <c r="I398" s="70"/>
      <c r="J398" s="70"/>
      <c r="K398" s="70"/>
      <c r="L398" s="3"/>
      <c r="M398" s="9"/>
      <c r="N398" s="5"/>
      <c r="O398" s="70"/>
      <c r="P398" s="70"/>
      <c r="Q398" s="70"/>
      <c r="R398" s="3"/>
      <c r="S398" s="3"/>
      <c r="T398" s="3"/>
    </row>
    <row r="399">
      <c r="A399" s="3"/>
      <c r="B399" s="3"/>
      <c r="C399" s="3"/>
      <c r="E399" s="3"/>
      <c r="F399" s="9"/>
      <c r="G399" s="9"/>
      <c r="H399" s="70"/>
      <c r="I399" s="70"/>
      <c r="J399" s="70"/>
      <c r="K399" s="70"/>
      <c r="L399" s="3"/>
      <c r="M399" s="9"/>
      <c r="N399" s="5"/>
      <c r="O399" s="70"/>
      <c r="P399" s="70"/>
      <c r="Q399" s="70"/>
      <c r="R399" s="3"/>
      <c r="S399" s="3"/>
      <c r="T399" s="3"/>
    </row>
    <row r="400">
      <c r="A400" s="3"/>
      <c r="B400" s="3"/>
      <c r="C400" s="3"/>
      <c r="E400" s="3"/>
      <c r="F400" s="9"/>
      <c r="G400" s="9"/>
      <c r="H400" s="70"/>
      <c r="I400" s="70"/>
      <c r="J400" s="70"/>
      <c r="K400" s="70"/>
      <c r="L400" s="3"/>
      <c r="M400" s="9"/>
      <c r="N400" s="5"/>
      <c r="O400" s="70"/>
      <c r="P400" s="70"/>
      <c r="Q400" s="70"/>
      <c r="R400" s="3"/>
      <c r="S400" s="3"/>
      <c r="T400" s="3"/>
    </row>
    <row r="401">
      <c r="A401" s="3"/>
      <c r="B401" s="3"/>
      <c r="C401" s="3"/>
      <c r="E401" s="3"/>
      <c r="F401" s="9"/>
      <c r="G401" s="9"/>
      <c r="H401" s="70"/>
      <c r="I401" s="70"/>
      <c r="J401" s="70"/>
      <c r="K401" s="70"/>
      <c r="L401" s="3"/>
      <c r="M401" s="9"/>
      <c r="N401" s="5"/>
      <c r="O401" s="70"/>
      <c r="P401" s="70"/>
      <c r="Q401" s="70"/>
      <c r="R401" s="3"/>
      <c r="S401" s="3"/>
      <c r="T401" s="3"/>
    </row>
    <row r="402">
      <c r="A402" s="3"/>
      <c r="B402" s="3"/>
      <c r="C402" s="3"/>
      <c r="E402" s="3"/>
      <c r="F402" s="9"/>
      <c r="G402" s="9"/>
      <c r="H402" s="70"/>
      <c r="I402" s="70"/>
      <c r="J402" s="70"/>
      <c r="K402" s="70"/>
      <c r="L402" s="3"/>
      <c r="M402" s="9"/>
      <c r="N402" s="5"/>
      <c r="O402" s="70"/>
      <c r="P402" s="70"/>
      <c r="Q402" s="70"/>
      <c r="R402" s="3"/>
      <c r="S402" s="3"/>
      <c r="T402" s="3"/>
    </row>
    <row r="403">
      <c r="A403" s="3"/>
      <c r="B403" s="3"/>
      <c r="C403" s="3"/>
      <c r="E403" s="3"/>
      <c r="F403" s="9"/>
      <c r="G403" s="9"/>
      <c r="H403" s="70"/>
      <c r="I403" s="70"/>
      <c r="J403" s="70"/>
      <c r="K403" s="70"/>
      <c r="L403" s="3"/>
      <c r="M403" s="9"/>
      <c r="N403" s="5"/>
      <c r="O403" s="70"/>
      <c r="P403" s="70"/>
      <c r="Q403" s="70"/>
      <c r="R403" s="3"/>
      <c r="S403" s="3"/>
      <c r="T403" s="3"/>
    </row>
    <row r="404">
      <c r="A404" s="3"/>
      <c r="B404" s="3"/>
      <c r="C404" s="3"/>
      <c r="E404" s="3"/>
      <c r="F404" s="9"/>
      <c r="G404" s="9"/>
      <c r="H404" s="70"/>
      <c r="I404" s="70"/>
      <c r="J404" s="70"/>
      <c r="K404" s="70"/>
      <c r="L404" s="3"/>
      <c r="M404" s="9"/>
      <c r="N404" s="5"/>
      <c r="O404" s="70"/>
      <c r="P404" s="70"/>
      <c r="Q404" s="70"/>
      <c r="R404" s="3"/>
      <c r="S404" s="3"/>
      <c r="T404" s="3"/>
    </row>
    <row r="405">
      <c r="A405" s="3"/>
      <c r="B405" s="3"/>
      <c r="C405" s="3"/>
      <c r="E405" s="3"/>
      <c r="F405" s="9"/>
      <c r="G405" s="9"/>
      <c r="H405" s="70"/>
      <c r="I405" s="70"/>
      <c r="J405" s="70"/>
      <c r="K405" s="70"/>
      <c r="L405" s="3"/>
      <c r="M405" s="9"/>
      <c r="N405" s="5"/>
      <c r="O405" s="70"/>
      <c r="P405" s="70"/>
      <c r="Q405" s="70"/>
      <c r="R405" s="3"/>
      <c r="S405" s="3"/>
      <c r="T405" s="3"/>
    </row>
    <row r="406">
      <c r="A406" s="3"/>
      <c r="B406" s="3"/>
      <c r="C406" s="3"/>
      <c r="E406" s="3"/>
      <c r="F406" s="9"/>
      <c r="G406" s="9"/>
      <c r="H406" s="70"/>
      <c r="I406" s="70"/>
      <c r="J406" s="70"/>
      <c r="K406" s="70"/>
      <c r="L406" s="3"/>
      <c r="M406" s="9"/>
      <c r="N406" s="5"/>
      <c r="O406" s="70"/>
      <c r="P406" s="70"/>
      <c r="Q406" s="70"/>
      <c r="R406" s="3"/>
      <c r="S406" s="3"/>
      <c r="T406" s="3"/>
    </row>
    <row r="407">
      <c r="A407" s="3"/>
      <c r="B407" s="3"/>
      <c r="C407" s="3"/>
      <c r="E407" s="3"/>
      <c r="F407" s="9"/>
      <c r="G407" s="9"/>
      <c r="H407" s="70"/>
      <c r="I407" s="70"/>
      <c r="J407" s="70"/>
      <c r="K407" s="70"/>
      <c r="L407" s="3"/>
      <c r="M407" s="9"/>
      <c r="N407" s="5"/>
      <c r="O407" s="70"/>
      <c r="P407" s="70"/>
      <c r="Q407" s="70"/>
      <c r="R407" s="3"/>
      <c r="S407" s="3"/>
      <c r="T407" s="3"/>
    </row>
    <row r="408">
      <c r="A408" s="3"/>
      <c r="B408" s="3"/>
      <c r="C408" s="3"/>
      <c r="E408" s="3"/>
      <c r="F408" s="9"/>
      <c r="G408" s="9"/>
      <c r="H408" s="70"/>
      <c r="I408" s="70"/>
      <c r="J408" s="70"/>
      <c r="K408" s="70"/>
      <c r="L408" s="3"/>
      <c r="M408" s="9"/>
      <c r="N408" s="5"/>
      <c r="O408" s="70"/>
      <c r="P408" s="70"/>
      <c r="Q408" s="70"/>
      <c r="R408" s="3"/>
      <c r="S408" s="3"/>
      <c r="T408" s="3"/>
    </row>
    <row r="409">
      <c r="A409" s="3"/>
      <c r="B409" s="3"/>
      <c r="C409" s="3"/>
      <c r="E409" s="3"/>
      <c r="F409" s="9"/>
      <c r="G409" s="9"/>
      <c r="H409" s="70"/>
      <c r="I409" s="70"/>
      <c r="J409" s="70"/>
      <c r="K409" s="70"/>
      <c r="L409" s="3"/>
      <c r="M409" s="9"/>
      <c r="N409" s="5"/>
      <c r="O409" s="70"/>
      <c r="P409" s="70"/>
      <c r="Q409" s="70"/>
      <c r="R409" s="3"/>
      <c r="S409" s="3"/>
      <c r="T409" s="3"/>
    </row>
    <row r="410">
      <c r="A410" s="3"/>
      <c r="B410" s="3"/>
      <c r="C410" s="3"/>
      <c r="E410" s="3"/>
      <c r="F410" s="9"/>
      <c r="G410" s="9"/>
      <c r="H410" s="70"/>
      <c r="I410" s="70"/>
      <c r="J410" s="70"/>
      <c r="K410" s="70"/>
      <c r="L410" s="3"/>
      <c r="M410" s="9"/>
      <c r="N410" s="5"/>
      <c r="O410" s="70"/>
      <c r="P410" s="70"/>
      <c r="Q410" s="70"/>
      <c r="R410" s="3"/>
      <c r="S410" s="3"/>
      <c r="T410" s="3"/>
    </row>
    <row r="411">
      <c r="A411" s="3"/>
      <c r="B411" s="3"/>
      <c r="C411" s="3"/>
      <c r="E411" s="3"/>
      <c r="F411" s="9"/>
      <c r="G411" s="9"/>
      <c r="H411" s="70"/>
      <c r="I411" s="70"/>
      <c r="J411" s="70"/>
      <c r="K411" s="70"/>
      <c r="L411" s="3"/>
      <c r="M411" s="9"/>
      <c r="N411" s="5"/>
      <c r="O411" s="70"/>
      <c r="P411" s="70"/>
      <c r="Q411" s="70"/>
      <c r="R411" s="3"/>
      <c r="S411" s="3"/>
      <c r="T411" s="3"/>
    </row>
    <row r="412">
      <c r="A412" s="3"/>
      <c r="B412" s="3"/>
      <c r="C412" s="3"/>
      <c r="E412" s="3"/>
      <c r="F412" s="9"/>
      <c r="G412" s="9"/>
      <c r="H412" s="70"/>
      <c r="I412" s="70"/>
      <c r="J412" s="70"/>
      <c r="K412" s="70"/>
      <c r="L412" s="3"/>
      <c r="M412" s="9"/>
      <c r="N412" s="5"/>
      <c r="O412" s="70"/>
      <c r="P412" s="70"/>
      <c r="Q412" s="70"/>
      <c r="R412" s="3"/>
      <c r="S412" s="3"/>
      <c r="T412" s="3"/>
    </row>
    <row r="413">
      <c r="A413" s="3"/>
      <c r="B413" s="3"/>
      <c r="C413" s="3"/>
      <c r="E413" s="3"/>
      <c r="F413" s="9"/>
      <c r="G413" s="9"/>
      <c r="H413" s="70"/>
      <c r="I413" s="70"/>
      <c r="J413" s="70"/>
      <c r="K413" s="70"/>
      <c r="L413" s="3"/>
      <c r="M413" s="9"/>
      <c r="N413" s="5"/>
      <c r="O413" s="70"/>
      <c r="P413" s="70"/>
      <c r="Q413" s="70"/>
      <c r="R413" s="3"/>
      <c r="S413" s="3"/>
      <c r="T413" s="3"/>
    </row>
    <row r="414">
      <c r="A414" s="3"/>
      <c r="B414" s="3"/>
      <c r="C414" s="3"/>
      <c r="E414" s="3"/>
      <c r="F414" s="9"/>
      <c r="G414" s="9"/>
      <c r="H414" s="70"/>
      <c r="I414" s="70"/>
      <c r="J414" s="70"/>
      <c r="K414" s="70"/>
      <c r="L414" s="3"/>
      <c r="M414" s="9"/>
      <c r="N414" s="5"/>
      <c r="O414" s="70"/>
      <c r="P414" s="70"/>
      <c r="Q414" s="70"/>
      <c r="R414" s="3"/>
      <c r="S414" s="3"/>
      <c r="T414" s="3"/>
    </row>
    <row r="415">
      <c r="A415" s="3"/>
      <c r="B415" s="3"/>
      <c r="C415" s="3"/>
      <c r="E415" s="3"/>
      <c r="F415" s="9"/>
      <c r="G415" s="9"/>
      <c r="H415" s="70"/>
      <c r="I415" s="70"/>
      <c r="J415" s="70"/>
      <c r="K415" s="70"/>
      <c r="L415" s="3"/>
      <c r="M415" s="9"/>
      <c r="N415" s="5"/>
      <c r="O415" s="70"/>
      <c r="P415" s="70"/>
      <c r="Q415" s="70"/>
      <c r="R415" s="3"/>
      <c r="S415" s="3"/>
      <c r="T415" s="3"/>
    </row>
    <row r="416">
      <c r="A416" s="3"/>
      <c r="B416" s="3"/>
      <c r="C416" s="3"/>
      <c r="E416" s="3"/>
      <c r="F416" s="9"/>
      <c r="G416" s="9"/>
      <c r="H416" s="70"/>
      <c r="I416" s="70"/>
      <c r="J416" s="70"/>
      <c r="K416" s="70"/>
      <c r="L416" s="3"/>
      <c r="M416" s="9"/>
      <c r="N416" s="5"/>
      <c r="O416" s="70"/>
      <c r="P416" s="70"/>
      <c r="Q416" s="70"/>
      <c r="R416" s="3"/>
      <c r="S416" s="3"/>
      <c r="T416" s="3"/>
    </row>
    <row r="417">
      <c r="A417" s="3"/>
      <c r="B417" s="3"/>
      <c r="C417" s="3"/>
      <c r="E417" s="3"/>
      <c r="F417" s="9"/>
      <c r="G417" s="9"/>
      <c r="H417" s="70"/>
      <c r="I417" s="70"/>
      <c r="J417" s="70"/>
      <c r="K417" s="70"/>
      <c r="L417" s="3"/>
      <c r="M417" s="9"/>
      <c r="N417" s="5"/>
      <c r="O417" s="70"/>
      <c r="P417" s="70"/>
      <c r="Q417" s="70"/>
      <c r="R417" s="3"/>
      <c r="S417" s="3"/>
      <c r="T417" s="3"/>
    </row>
    <row r="418">
      <c r="A418" s="3"/>
      <c r="B418" s="3"/>
      <c r="C418" s="3"/>
      <c r="E418" s="3"/>
      <c r="F418" s="9"/>
      <c r="G418" s="9"/>
      <c r="H418" s="70"/>
      <c r="I418" s="70"/>
      <c r="J418" s="70"/>
      <c r="K418" s="70"/>
      <c r="L418" s="3"/>
      <c r="M418" s="9"/>
      <c r="N418" s="5"/>
      <c r="O418" s="70"/>
      <c r="P418" s="70"/>
      <c r="Q418" s="70"/>
      <c r="R418" s="3"/>
      <c r="S418" s="3"/>
      <c r="T418" s="3"/>
    </row>
    <row r="419">
      <c r="A419" s="3"/>
      <c r="B419" s="3"/>
      <c r="C419" s="3"/>
      <c r="E419" s="3"/>
      <c r="F419" s="9"/>
      <c r="G419" s="9"/>
      <c r="H419" s="70"/>
      <c r="I419" s="70"/>
      <c r="J419" s="70"/>
      <c r="K419" s="70"/>
      <c r="L419" s="3"/>
      <c r="M419" s="9"/>
      <c r="N419" s="5"/>
      <c r="O419" s="70"/>
      <c r="P419" s="70"/>
      <c r="Q419" s="70"/>
      <c r="R419" s="3"/>
      <c r="S419" s="3"/>
      <c r="T419" s="3"/>
    </row>
    <row r="420">
      <c r="A420" s="3"/>
      <c r="B420" s="3"/>
      <c r="C420" s="3"/>
      <c r="E420" s="3"/>
      <c r="F420" s="9"/>
      <c r="G420" s="9"/>
      <c r="H420" s="70"/>
      <c r="I420" s="70"/>
      <c r="J420" s="70"/>
      <c r="K420" s="70"/>
      <c r="L420" s="3"/>
      <c r="M420" s="9"/>
      <c r="N420" s="5"/>
      <c r="O420" s="70"/>
      <c r="P420" s="70"/>
      <c r="Q420" s="70"/>
      <c r="R420" s="3"/>
      <c r="S420" s="3"/>
      <c r="T420" s="3"/>
    </row>
    <row r="421">
      <c r="A421" s="3"/>
      <c r="B421" s="3"/>
      <c r="C421" s="3"/>
      <c r="E421" s="3"/>
      <c r="F421" s="9"/>
      <c r="G421" s="9"/>
      <c r="H421" s="70"/>
      <c r="I421" s="70"/>
      <c r="J421" s="70"/>
      <c r="K421" s="70"/>
      <c r="L421" s="3"/>
      <c r="M421" s="9"/>
      <c r="N421" s="5"/>
      <c r="O421" s="70"/>
      <c r="P421" s="70"/>
      <c r="Q421" s="70"/>
      <c r="R421" s="3"/>
      <c r="S421" s="3"/>
      <c r="T421" s="3"/>
    </row>
    <row r="422">
      <c r="A422" s="3"/>
      <c r="B422" s="3"/>
      <c r="C422" s="3"/>
      <c r="E422" s="3"/>
      <c r="F422" s="9"/>
      <c r="G422" s="9"/>
      <c r="H422" s="70"/>
      <c r="I422" s="70"/>
      <c r="J422" s="70"/>
      <c r="K422" s="70"/>
      <c r="L422" s="3"/>
      <c r="M422" s="9"/>
      <c r="N422" s="5"/>
      <c r="O422" s="70"/>
      <c r="P422" s="70"/>
      <c r="Q422" s="70"/>
      <c r="R422" s="3"/>
      <c r="S422" s="3"/>
      <c r="T422" s="3"/>
    </row>
    <row r="423">
      <c r="A423" s="3"/>
      <c r="B423" s="3"/>
      <c r="C423" s="3"/>
      <c r="E423" s="3"/>
      <c r="F423" s="9"/>
      <c r="G423" s="9"/>
      <c r="H423" s="70"/>
      <c r="I423" s="70"/>
      <c r="J423" s="70"/>
      <c r="K423" s="70"/>
      <c r="L423" s="3"/>
      <c r="M423" s="9"/>
      <c r="N423" s="5"/>
      <c r="O423" s="70"/>
      <c r="P423" s="70"/>
      <c r="Q423" s="70"/>
      <c r="R423" s="3"/>
      <c r="S423" s="3"/>
      <c r="T423" s="3"/>
    </row>
    <row r="424">
      <c r="A424" s="3"/>
      <c r="B424" s="3"/>
      <c r="C424" s="3"/>
      <c r="E424" s="3"/>
      <c r="F424" s="9"/>
      <c r="G424" s="9"/>
      <c r="H424" s="70"/>
      <c r="I424" s="70"/>
      <c r="J424" s="70"/>
      <c r="K424" s="70"/>
      <c r="L424" s="3"/>
      <c r="M424" s="9"/>
      <c r="N424" s="5"/>
      <c r="O424" s="70"/>
      <c r="P424" s="70"/>
      <c r="Q424" s="70"/>
      <c r="R424" s="3"/>
      <c r="S424" s="3"/>
      <c r="T424" s="3"/>
    </row>
    <row r="425">
      <c r="A425" s="3"/>
      <c r="B425" s="3"/>
      <c r="C425" s="3"/>
      <c r="E425" s="3"/>
      <c r="F425" s="9"/>
      <c r="G425" s="9"/>
      <c r="H425" s="70"/>
      <c r="I425" s="70"/>
      <c r="J425" s="70"/>
      <c r="K425" s="70"/>
      <c r="L425" s="3"/>
      <c r="M425" s="9"/>
      <c r="N425" s="5"/>
      <c r="O425" s="70"/>
      <c r="P425" s="70"/>
      <c r="Q425" s="70"/>
      <c r="R425" s="3"/>
      <c r="S425" s="3"/>
      <c r="T425" s="3"/>
    </row>
    <row r="426">
      <c r="A426" s="3"/>
      <c r="B426" s="3"/>
      <c r="C426" s="3"/>
      <c r="E426" s="3"/>
      <c r="F426" s="9"/>
      <c r="G426" s="9"/>
      <c r="H426" s="70"/>
      <c r="I426" s="70"/>
      <c r="J426" s="70"/>
      <c r="K426" s="70"/>
      <c r="L426" s="3"/>
      <c r="M426" s="9"/>
      <c r="N426" s="5"/>
      <c r="O426" s="70"/>
      <c r="P426" s="70"/>
      <c r="Q426" s="70"/>
      <c r="R426" s="3"/>
      <c r="S426" s="3"/>
      <c r="T426" s="3"/>
    </row>
    <row r="427">
      <c r="A427" s="3"/>
      <c r="B427" s="3"/>
      <c r="C427" s="3"/>
      <c r="E427" s="3"/>
      <c r="F427" s="9"/>
      <c r="G427" s="9"/>
      <c r="H427" s="70"/>
      <c r="I427" s="70"/>
      <c r="J427" s="70"/>
      <c r="K427" s="70"/>
      <c r="L427" s="3"/>
      <c r="M427" s="9"/>
      <c r="N427" s="5"/>
      <c r="O427" s="70"/>
      <c r="P427" s="70"/>
      <c r="Q427" s="70"/>
      <c r="R427" s="3"/>
      <c r="S427" s="3"/>
      <c r="T427" s="3"/>
    </row>
    <row r="428">
      <c r="A428" s="3"/>
      <c r="B428" s="3"/>
      <c r="C428" s="3"/>
      <c r="E428" s="3"/>
      <c r="F428" s="9"/>
      <c r="G428" s="9"/>
      <c r="H428" s="70"/>
      <c r="I428" s="70"/>
      <c r="J428" s="70"/>
      <c r="K428" s="70"/>
      <c r="L428" s="3"/>
      <c r="M428" s="9"/>
      <c r="N428" s="5"/>
      <c r="O428" s="70"/>
      <c r="P428" s="70"/>
      <c r="Q428" s="70"/>
      <c r="R428" s="3"/>
      <c r="S428" s="3"/>
      <c r="T428" s="3"/>
    </row>
    <row r="429">
      <c r="A429" s="3"/>
      <c r="B429" s="3"/>
      <c r="C429" s="3"/>
      <c r="E429" s="3"/>
      <c r="F429" s="9"/>
      <c r="G429" s="9"/>
      <c r="H429" s="70"/>
      <c r="I429" s="70"/>
      <c r="J429" s="70"/>
      <c r="K429" s="70"/>
      <c r="L429" s="3"/>
      <c r="M429" s="9"/>
      <c r="N429" s="5"/>
      <c r="O429" s="70"/>
      <c r="P429" s="70"/>
      <c r="Q429" s="70"/>
      <c r="R429" s="3"/>
      <c r="S429" s="3"/>
      <c r="T429" s="3"/>
    </row>
    <row r="430">
      <c r="A430" s="3"/>
      <c r="B430" s="3"/>
      <c r="C430" s="3"/>
      <c r="E430" s="3"/>
      <c r="F430" s="9"/>
      <c r="G430" s="9"/>
      <c r="H430" s="70"/>
      <c r="I430" s="70"/>
      <c r="J430" s="70"/>
      <c r="K430" s="70"/>
      <c r="L430" s="3"/>
      <c r="M430" s="9"/>
      <c r="N430" s="5"/>
      <c r="O430" s="70"/>
      <c r="P430" s="70"/>
      <c r="Q430" s="70"/>
      <c r="R430" s="3"/>
      <c r="S430" s="3"/>
      <c r="T430" s="3"/>
    </row>
    <row r="431">
      <c r="A431" s="3"/>
      <c r="B431" s="3"/>
      <c r="C431" s="3"/>
      <c r="E431" s="3"/>
      <c r="F431" s="9"/>
      <c r="G431" s="9"/>
      <c r="H431" s="70"/>
      <c r="I431" s="70"/>
      <c r="J431" s="70"/>
      <c r="K431" s="70"/>
      <c r="L431" s="3"/>
      <c r="M431" s="9"/>
      <c r="N431" s="5"/>
      <c r="O431" s="70"/>
      <c r="P431" s="70"/>
      <c r="Q431" s="70"/>
      <c r="R431" s="3"/>
      <c r="S431" s="3"/>
      <c r="T431" s="3"/>
    </row>
    <row r="432">
      <c r="A432" s="3"/>
      <c r="B432" s="3"/>
      <c r="C432" s="3"/>
      <c r="E432" s="3"/>
      <c r="F432" s="9"/>
      <c r="G432" s="9"/>
      <c r="H432" s="70"/>
      <c r="I432" s="70"/>
      <c r="J432" s="70"/>
      <c r="K432" s="70"/>
      <c r="L432" s="3"/>
      <c r="M432" s="9"/>
      <c r="N432" s="5"/>
      <c r="O432" s="70"/>
      <c r="P432" s="70"/>
      <c r="Q432" s="70"/>
      <c r="R432" s="3"/>
      <c r="S432" s="3"/>
      <c r="T432" s="3"/>
    </row>
    <row r="433">
      <c r="A433" s="3"/>
      <c r="B433" s="3"/>
      <c r="C433" s="3"/>
      <c r="E433" s="3"/>
      <c r="F433" s="9"/>
      <c r="G433" s="9"/>
      <c r="H433" s="70"/>
      <c r="I433" s="70"/>
      <c r="J433" s="70"/>
      <c r="K433" s="70"/>
      <c r="L433" s="3"/>
      <c r="M433" s="9"/>
      <c r="N433" s="5"/>
      <c r="O433" s="70"/>
      <c r="P433" s="70"/>
      <c r="Q433" s="70"/>
      <c r="R433" s="3"/>
      <c r="S433" s="3"/>
      <c r="T433" s="3"/>
    </row>
    <row r="434">
      <c r="A434" s="3"/>
      <c r="B434" s="3"/>
      <c r="C434" s="3"/>
      <c r="E434" s="3"/>
      <c r="F434" s="9"/>
      <c r="G434" s="9"/>
      <c r="H434" s="70"/>
      <c r="I434" s="70"/>
      <c r="J434" s="70"/>
      <c r="K434" s="70"/>
      <c r="L434" s="3"/>
      <c r="M434" s="9"/>
      <c r="N434" s="5"/>
      <c r="O434" s="70"/>
      <c r="P434" s="70"/>
      <c r="Q434" s="70"/>
      <c r="R434" s="3"/>
      <c r="S434" s="3"/>
      <c r="T434" s="3"/>
    </row>
    <row r="435">
      <c r="A435" s="3"/>
      <c r="B435" s="3"/>
      <c r="C435" s="3"/>
      <c r="E435" s="3"/>
      <c r="F435" s="9"/>
      <c r="G435" s="9"/>
      <c r="H435" s="70"/>
      <c r="I435" s="70"/>
      <c r="J435" s="70"/>
      <c r="K435" s="70"/>
      <c r="L435" s="3"/>
      <c r="M435" s="9"/>
      <c r="N435" s="5"/>
      <c r="O435" s="70"/>
      <c r="P435" s="70"/>
      <c r="Q435" s="70"/>
      <c r="R435" s="3"/>
      <c r="S435" s="3"/>
      <c r="T435" s="3"/>
    </row>
    <row r="436">
      <c r="A436" s="3"/>
      <c r="B436" s="3"/>
      <c r="C436" s="3"/>
      <c r="E436" s="3"/>
      <c r="F436" s="9"/>
      <c r="G436" s="9"/>
      <c r="H436" s="70"/>
      <c r="I436" s="70"/>
      <c r="J436" s="70"/>
      <c r="K436" s="70"/>
      <c r="L436" s="3"/>
      <c r="M436" s="9"/>
      <c r="N436" s="5"/>
      <c r="O436" s="70"/>
      <c r="P436" s="70"/>
      <c r="Q436" s="70"/>
      <c r="R436" s="3"/>
      <c r="S436" s="3"/>
      <c r="T436" s="3"/>
    </row>
    <row r="437">
      <c r="A437" s="3"/>
      <c r="B437" s="3"/>
      <c r="C437" s="3"/>
      <c r="E437" s="3"/>
      <c r="F437" s="9"/>
      <c r="G437" s="9"/>
      <c r="H437" s="70"/>
      <c r="I437" s="70"/>
      <c r="J437" s="70"/>
      <c r="K437" s="70"/>
      <c r="L437" s="3"/>
      <c r="M437" s="9"/>
      <c r="N437" s="5"/>
      <c r="O437" s="70"/>
      <c r="P437" s="70"/>
      <c r="Q437" s="70"/>
      <c r="R437" s="3"/>
      <c r="S437" s="3"/>
      <c r="T437" s="3"/>
    </row>
    <row r="438">
      <c r="A438" s="3"/>
      <c r="B438" s="3"/>
      <c r="C438" s="3"/>
      <c r="E438" s="3"/>
      <c r="F438" s="9"/>
      <c r="G438" s="9"/>
      <c r="H438" s="70"/>
      <c r="I438" s="70"/>
      <c r="J438" s="70"/>
      <c r="K438" s="70"/>
      <c r="L438" s="3"/>
      <c r="M438" s="9"/>
      <c r="N438" s="5"/>
      <c r="O438" s="70"/>
      <c r="P438" s="70"/>
      <c r="Q438" s="70"/>
      <c r="R438" s="3"/>
      <c r="S438" s="3"/>
      <c r="T438" s="3"/>
    </row>
    <row r="439">
      <c r="A439" s="3"/>
      <c r="B439" s="3"/>
      <c r="C439" s="3"/>
      <c r="E439" s="3"/>
      <c r="F439" s="9"/>
      <c r="G439" s="9"/>
      <c r="H439" s="70"/>
      <c r="I439" s="70"/>
      <c r="J439" s="70"/>
      <c r="K439" s="70"/>
      <c r="L439" s="3"/>
      <c r="M439" s="9"/>
      <c r="N439" s="5"/>
      <c r="O439" s="70"/>
      <c r="P439" s="70"/>
      <c r="Q439" s="70"/>
      <c r="R439" s="3"/>
      <c r="S439" s="3"/>
      <c r="T439" s="3"/>
    </row>
    <row r="440">
      <c r="A440" s="3"/>
      <c r="B440" s="3"/>
      <c r="C440" s="3"/>
      <c r="E440" s="3"/>
      <c r="F440" s="9"/>
      <c r="G440" s="9"/>
      <c r="H440" s="70"/>
      <c r="I440" s="70"/>
      <c r="J440" s="70"/>
      <c r="K440" s="70"/>
      <c r="L440" s="3"/>
      <c r="M440" s="9"/>
      <c r="N440" s="5"/>
      <c r="O440" s="70"/>
      <c r="P440" s="70"/>
      <c r="Q440" s="70"/>
      <c r="R440" s="3"/>
      <c r="S440" s="3"/>
      <c r="T440" s="3"/>
    </row>
    <row r="441">
      <c r="A441" s="3"/>
      <c r="B441" s="3"/>
      <c r="C441" s="3"/>
      <c r="E441" s="3"/>
      <c r="F441" s="9"/>
      <c r="G441" s="9"/>
      <c r="H441" s="70"/>
      <c r="I441" s="70"/>
      <c r="J441" s="70"/>
      <c r="K441" s="70"/>
      <c r="L441" s="3"/>
      <c r="M441" s="9"/>
      <c r="N441" s="5"/>
      <c r="O441" s="70"/>
      <c r="P441" s="70"/>
      <c r="Q441" s="70"/>
      <c r="R441" s="3"/>
      <c r="S441" s="3"/>
      <c r="T441" s="3"/>
    </row>
    <row r="442">
      <c r="A442" s="3"/>
      <c r="B442" s="3"/>
      <c r="C442" s="3"/>
      <c r="E442" s="3"/>
      <c r="F442" s="9"/>
      <c r="G442" s="9"/>
      <c r="H442" s="70"/>
      <c r="I442" s="70"/>
      <c r="J442" s="70"/>
      <c r="K442" s="70"/>
      <c r="L442" s="3"/>
      <c r="M442" s="9"/>
      <c r="N442" s="5"/>
      <c r="O442" s="70"/>
      <c r="P442" s="70"/>
      <c r="Q442" s="70"/>
      <c r="R442" s="3"/>
      <c r="S442" s="3"/>
      <c r="T442" s="3"/>
    </row>
    <row r="443">
      <c r="A443" s="3"/>
      <c r="B443" s="3"/>
      <c r="C443" s="3"/>
      <c r="E443" s="3"/>
      <c r="F443" s="9"/>
      <c r="G443" s="9"/>
      <c r="H443" s="70"/>
      <c r="I443" s="70"/>
      <c r="J443" s="70"/>
      <c r="K443" s="70"/>
      <c r="L443" s="3"/>
      <c r="M443" s="9"/>
      <c r="N443" s="5"/>
      <c r="O443" s="70"/>
      <c r="P443" s="70"/>
      <c r="Q443" s="70"/>
      <c r="R443" s="3"/>
      <c r="S443" s="3"/>
      <c r="T443" s="3"/>
    </row>
    <row r="444">
      <c r="A444" s="3"/>
      <c r="B444" s="3"/>
      <c r="C444" s="3"/>
      <c r="E444" s="3"/>
      <c r="F444" s="9"/>
      <c r="G444" s="9"/>
      <c r="H444" s="70"/>
      <c r="I444" s="70"/>
      <c r="J444" s="70"/>
      <c r="K444" s="70"/>
      <c r="L444" s="3"/>
      <c r="M444" s="9"/>
      <c r="N444" s="5"/>
      <c r="O444" s="70"/>
      <c r="P444" s="70"/>
      <c r="Q444" s="70"/>
      <c r="R444" s="3"/>
      <c r="S444" s="3"/>
      <c r="T444" s="3"/>
    </row>
    <row r="445">
      <c r="A445" s="3"/>
      <c r="B445" s="3"/>
      <c r="C445" s="3"/>
      <c r="E445" s="3"/>
      <c r="F445" s="9"/>
      <c r="G445" s="9"/>
      <c r="H445" s="70"/>
      <c r="I445" s="70"/>
      <c r="J445" s="70"/>
      <c r="K445" s="70"/>
      <c r="L445" s="3"/>
      <c r="M445" s="9"/>
      <c r="N445" s="5"/>
      <c r="O445" s="70"/>
      <c r="P445" s="70"/>
      <c r="Q445" s="70"/>
      <c r="R445" s="3"/>
      <c r="S445" s="3"/>
      <c r="T445" s="3"/>
    </row>
    <row r="446">
      <c r="A446" s="3"/>
      <c r="B446" s="3"/>
      <c r="C446" s="3"/>
      <c r="E446" s="3"/>
      <c r="F446" s="9"/>
      <c r="G446" s="9"/>
      <c r="H446" s="70"/>
      <c r="I446" s="70"/>
      <c r="J446" s="70"/>
      <c r="K446" s="70"/>
      <c r="L446" s="3"/>
      <c r="M446" s="9"/>
      <c r="N446" s="5"/>
      <c r="O446" s="70"/>
      <c r="P446" s="70"/>
      <c r="Q446" s="70"/>
      <c r="R446" s="3"/>
      <c r="S446" s="3"/>
      <c r="T446" s="3"/>
    </row>
    <row r="447">
      <c r="A447" s="3"/>
      <c r="B447" s="3"/>
      <c r="C447" s="3"/>
      <c r="E447" s="3"/>
      <c r="F447" s="9"/>
      <c r="G447" s="9"/>
      <c r="H447" s="70"/>
      <c r="I447" s="70"/>
      <c r="J447" s="70"/>
      <c r="K447" s="70"/>
      <c r="L447" s="3"/>
      <c r="M447" s="9"/>
      <c r="N447" s="5"/>
      <c r="O447" s="70"/>
      <c r="P447" s="70"/>
      <c r="Q447" s="70"/>
      <c r="R447" s="3"/>
      <c r="S447" s="3"/>
      <c r="T447" s="3"/>
    </row>
    <row r="448">
      <c r="A448" s="3"/>
      <c r="B448" s="3"/>
      <c r="C448" s="3"/>
      <c r="E448" s="3"/>
      <c r="F448" s="9"/>
      <c r="G448" s="9"/>
      <c r="H448" s="70"/>
      <c r="I448" s="70"/>
      <c r="J448" s="70"/>
      <c r="K448" s="70"/>
      <c r="L448" s="3"/>
      <c r="M448" s="9"/>
      <c r="N448" s="5"/>
      <c r="O448" s="70"/>
      <c r="P448" s="70"/>
      <c r="Q448" s="70"/>
      <c r="R448" s="3"/>
      <c r="S448" s="3"/>
      <c r="T448" s="3"/>
    </row>
    <row r="449">
      <c r="A449" s="3"/>
      <c r="B449" s="3"/>
      <c r="C449" s="3"/>
      <c r="E449" s="3"/>
      <c r="F449" s="9"/>
      <c r="G449" s="9"/>
      <c r="H449" s="70"/>
      <c r="I449" s="70"/>
      <c r="J449" s="70"/>
      <c r="K449" s="70"/>
      <c r="L449" s="3"/>
      <c r="M449" s="9"/>
      <c r="N449" s="5"/>
      <c r="O449" s="70"/>
      <c r="P449" s="70"/>
      <c r="Q449" s="70"/>
      <c r="R449" s="3"/>
      <c r="S449" s="3"/>
      <c r="T449" s="3"/>
    </row>
    <row r="450">
      <c r="A450" s="3"/>
      <c r="B450" s="3"/>
      <c r="C450" s="3"/>
      <c r="E450" s="3"/>
      <c r="F450" s="9"/>
      <c r="G450" s="9"/>
      <c r="H450" s="70"/>
      <c r="I450" s="70"/>
      <c r="J450" s="70"/>
      <c r="K450" s="70"/>
      <c r="L450" s="3"/>
      <c r="M450" s="9"/>
      <c r="N450" s="5"/>
      <c r="O450" s="70"/>
      <c r="P450" s="70"/>
      <c r="Q450" s="70"/>
      <c r="R450" s="3"/>
      <c r="S450" s="3"/>
      <c r="T450" s="3"/>
    </row>
    <row r="451">
      <c r="A451" s="3"/>
      <c r="B451" s="3"/>
      <c r="C451" s="3"/>
      <c r="E451" s="3"/>
      <c r="F451" s="9"/>
      <c r="G451" s="9"/>
      <c r="H451" s="70"/>
      <c r="I451" s="70"/>
      <c r="J451" s="70"/>
      <c r="K451" s="70"/>
      <c r="L451" s="3"/>
      <c r="M451" s="9"/>
      <c r="N451" s="5"/>
      <c r="O451" s="70"/>
      <c r="P451" s="70"/>
      <c r="Q451" s="70"/>
      <c r="R451" s="3"/>
      <c r="S451" s="3"/>
      <c r="T451" s="3"/>
    </row>
    <row r="452">
      <c r="A452" s="3"/>
      <c r="B452" s="3"/>
      <c r="C452" s="3"/>
      <c r="E452" s="3"/>
      <c r="F452" s="9"/>
      <c r="G452" s="9"/>
      <c r="H452" s="70"/>
      <c r="I452" s="70"/>
      <c r="J452" s="70"/>
      <c r="K452" s="70"/>
      <c r="L452" s="3"/>
      <c r="M452" s="9"/>
      <c r="N452" s="5"/>
      <c r="O452" s="70"/>
      <c r="P452" s="70"/>
      <c r="Q452" s="70"/>
      <c r="R452" s="3"/>
      <c r="S452" s="3"/>
      <c r="T452" s="3"/>
    </row>
    <row r="453">
      <c r="A453" s="3"/>
      <c r="B453" s="3"/>
      <c r="C453" s="3"/>
      <c r="E453" s="3"/>
      <c r="F453" s="9"/>
      <c r="G453" s="9"/>
      <c r="H453" s="70"/>
      <c r="I453" s="70"/>
      <c r="J453" s="70"/>
      <c r="K453" s="70"/>
      <c r="L453" s="3"/>
      <c r="M453" s="9"/>
      <c r="N453" s="5"/>
      <c r="O453" s="70"/>
      <c r="P453" s="70"/>
      <c r="Q453" s="70"/>
      <c r="R453" s="3"/>
      <c r="S453" s="3"/>
      <c r="T453" s="3"/>
    </row>
    <row r="454">
      <c r="A454" s="3"/>
      <c r="B454" s="3"/>
      <c r="C454" s="3"/>
      <c r="E454" s="3"/>
      <c r="F454" s="9"/>
      <c r="G454" s="9"/>
      <c r="H454" s="70"/>
      <c r="I454" s="70"/>
      <c r="J454" s="70"/>
      <c r="K454" s="70"/>
      <c r="L454" s="3"/>
      <c r="M454" s="9"/>
      <c r="N454" s="5"/>
      <c r="O454" s="70"/>
      <c r="P454" s="70"/>
      <c r="Q454" s="70"/>
      <c r="R454" s="3"/>
      <c r="S454" s="3"/>
      <c r="T454" s="3"/>
    </row>
    <row r="455">
      <c r="A455" s="3"/>
      <c r="B455" s="3"/>
      <c r="C455" s="3"/>
      <c r="E455" s="3"/>
      <c r="F455" s="9"/>
      <c r="G455" s="9"/>
      <c r="H455" s="70"/>
      <c r="I455" s="70"/>
      <c r="J455" s="70"/>
      <c r="K455" s="70"/>
      <c r="L455" s="3"/>
      <c r="M455" s="9"/>
      <c r="N455" s="5"/>
      <c r="O455" s="70"/>
      <c r="P455" s="70"/>
      <c r="Q455" s="70"/>
      <c r="R455" s="3"/>
      <c r="S455" s="3"/>
      <c r="T455" s="3"/>
    </row>
    <row r="456">
      <c r="A456" s="3"/>
      <c r="B456" s="3"/>
      <c r="C456" s="3"/>
      <c r="E456" s="3"/>
      <c r="F456" s="9"/>
      <c r="G456" s="9"/>
      <c r="H456" s="70"/>
      <c r="I456" s="70"/>
      <c r="J456" s="70"/>
      <c r="K456" s="70"/>
      <c r="L456" s="3"/>
      <c r="M456" s="9"/>
      <c r="N456" s="5"/>
      <c r="O456" s="70"/>
      <c r="P456" s="70"/>
      <c r="Q456" s="70"/>
      <c r="R456" s="3"/>
      <c r="S456" s="3"/>
      <c r="T456" s="3"/>
    </row>
    <row r="457">
      <c r="A457" s="3"/>
      <c r="B457" s="3"/>
      <c r="C457" s="3"/>
      <c r="E457" s="3"/>
      <c r="F457" s="9"/>
      <c r="G457" s="9"/>
      <c r="H457" s="70"/>
      <c r="I457" s="70"/>
      <c r="J457" s="70"/>
      <c r="K457" s="70"/>
      <c r="L457" s="3"/>
      <c r="M457" s="9"/>
      <c r="N457" s="5"/>
      <c r="O457" s="70"/>
      <c r="P457" s="70"/>
      <c r="Q457" s="70"/>
      <c r="R457" s="3"/>
      <c r="S457" s="3"/>
      <c r="T457" s="3"/>
    </row>
    <row r="458">
      <c r="A458" s="3"/>
      <c r="B458" s="3"/>
      <c r="C458" s="3"/>
      <c r="E458" s="3"/>
      <c r="F458" s="9"/>
      <c r="G458" s="9"/>
      <c r="H458" s="70"/>
      <c r="I458" s="70"/>
      <c r="J458" s="70"/>
      <c r="K458" s="70"/>
      <c r="L458" s="3"/>
      <c r="M458" s="9"/>
      <c r="N458" s="5"/>
      <c r="O458" s="70"/>
      <c r="P458" s="70"/>
      <c r="Q458" s="70"/>
      <c r="R458" s="3"/>
      <c r="S458" s="3"/>
      <c r="T458" s="3"/>
    </row>
    <row r="459">
      <c r="A459" s="3"/>
      <c r="B459" s="3"/>
      <c r="C459" s="3"/>
      <c r="E459" s="3"/>
      <c r="F459" s="9"/>
      <c r="G459" s="9"/>
      <c r="H459" s="70"/>
      <c r="I459" s="70"/>
      <c r="J459" s="70"/>
      <c r="K459" s="70"/>
      <c r="L459" s="3"/>
      <c r="M459" s="9"/>
      <c r="N459" s="5"/>
      <c r="O459" s="70"/>
      <c r="P459" s="70"/>
      <c r="Q459" s="70"/>
      <c r="R459" s="3"/>
      <c r="S459" s="3"/>
      <c r="T459" s="3"/>
    </row>
    <row r="460">
      <c r="A460" s="3"/>
      <c r="B460" s="3"/>
      <c r="C460" s="3"/>
      <c r="E460" s="3"/>
      <c r="F460" s="9"/>
      <c r="G460" s="9"/>
      <c r="H460" s="70"/>
      <c r="I460" s="70"/>
      <c r="J460" s="70"/>
      <c r="K460" s="70"/>
      <c r="L460" s="3"/>
      <c r="M460" s="9"/>
      <c r="N460" s="5"/>
      <c r="O460" s="70"/>
      <c r="P460" s="70"/>
      <c r="Q460" s="70"/>
      <c r="R460" s="3"/>
      <c r="S460" s="3"/>
      <c r="T460" s="3"/>
    </row>
    <row r="461">
      <c r="A461" s="3"/>
      <c r="B461" s="3"/>
      <c r="C461" s="3"/>
      <c r="E461" s="3"/>
      <c r="F461" s="9"/>
      <c r="G461" s="9"/>
      <c r="H461" s="70"/>
      <c r="I461" s="70"/>
      <c r="J461" s="70"/>
      <c r="K461" s="70"/>
      <c r="L461" s="3"/>
      <c r="M461" s="9"/>
      <c r="N461" s="5"/>
      <c r="O461" s="70"/>
      <c r="P461" s="70"/>
      <c r="Q461" s="70"/>
      <c r="R461" s="3"/>
      <c r="S461" s="3"/>
      <c r="T461" s="3"/>
    </row>
    <row r="462">
      <c r="A462" s="3"/>
      <c r="B462" s="3"/>
      <c r="C462" s="3"/>
      <c r="E462" s="3"/>
      <c r="F462" s="9"/>
      <c r="G462" s="9"/>
      <c r="H462" s="70"/>
      <c r="I462" s="70"/>
      <c r="J462" s="70"/>
      <c r="K462" s="70"/>
      <c r="L462" s="3"/>
      <c r="M462" s="9"/>
      <c r="N462" s="5"/>
      <c r="O462" s="70"/>
      <c r="P462" s="70"/>
      <c r="Q462" s="70"/>
      <c r="R462" s="3"/>
      <c r="S462" s="3"/>
      <c r="T462" s="3"/>
    </row>
    <row r="463">
      <c r="A463" s="3"/>
      <c r="B463" s="3"/>
      <c r="C463" s="3"/>
      <c r="E463" s="3"/>
      <c r="F463" s="9"/>
      <c r="G463" s="9"/>
      <c r="H463" s="70"/>
      <c r="I463" s="70"/>
      <c r="J463" s="70"/>
      <c r="K463" s="70"/>
      <c r="L463" s="3"/>
      <c r="M463" s="9"/>
      <c r="N463" s="5"/>
      <c r="O463" s="70"/>
      <c r="P463" s="70"/>
      <c r="Q463" s="70"/>
      <c r="R463" s="3"/>
      <c r="S463" s="3"/>
      <c r="T463" s="3"/>
    </row>
    <row r="464">
      <c r="A464" s="3"/>
      <c r="B464" s="3"/>
      <c r="C464" s="3"/>
      <c r="E464" s="3"/>
      <c r="F464" s="9"/>
      <c r="G464" s="9"/>
      <c r="H464" s="70"/>
      <c r="I464" s="70"/>
      <c r="J464" s="70"/>
      <c r="K464" s="70"/>
      <c r="L464" s="3"/>
      <c r="M464" s="9"/>
      <c r="N464" s="5"/>
      <c r="O464" s="70"/>
      <c r="P464" s="70"/>
      <c r="Q464" s="70"/>
      <c r="R464" s="3"/>
      <c r="S464" s="3"/>
      <c r="T464" s="3"/>
    </row>
    <row r="465">
      <c r="A465" s="3"/>
      <c r="B465" s="3"/>
      <c r="C465" s="3"/>
      <c r="E465" s="3"/>
      <c r="F465" s="9"/>
      <c r="G465" s="9"/>
      <c r="H465" s="70"/>
      <c r="I465" s="70"/>
      <c r="J465" s="70"/>
      <c r="K465" s="70"/>
      <c r="L465" s="3"/>
      <c r="M465" s="9"/>
      <c r="N465" s="5"/>
      <c r="O465" s="70"/>
      <c r="P465" s="70"/>
      <c r="Q465" s="70"/>
      <c r="R465" s="3"/>
      <c r="S465" s="3"/>
      <c r="T465" s="3"/>
    </row>
    <row r="466">
      <c r="A466" s="3"/>
      <c r="B466" s="3"/>
      <c r="C466" s="3"/>
      <c r="E466" s="3"/>
      <c r="F466" s="9"/>
      <c r="G466" s="9"/>
      <c r="H466" s="70"/>
      <c r="I466" s="70"/>
      <c r="J466" s="70"/>
      <c r="K466" s="70"/>
      <c r="L466" s="3"/>
      <c r="M466" s="9"/>
      <c r="N466" s="5"/>
      <c r="O466" s="70"/>
      <c r="P466" s="70"/>
      <c r="Q466" s="70"/>
      <c r="R466" s="3"/>
      <c r="S466" s="3"/>
      <c r="T466" s="3"/>
    </row>
    <row r="467">
      <c r="A467" s="3"/>
      <c r="B467" s="3"/>
      <c r="C467" s="3"/>
      <c r="E467" s="3"/>
      <c r="F467" s="9"/>
      <c r="G467" s="9"/>
      <c r="H467" s="70"/>
      <c r="I467" s="70"/>
      <c r="J467" s="70"/>
      <c r="K467" s="70"/>
      <c r="L467" s="3"/>
      <c r="M467" s="9"/>
      <c r="N467" s="5"/>
      <c r="O467" s="70"/>
      <c r="P467" s="70"/>
      <c r="Q467" s="70"/>
      <c r="R467" s="3"/>
      <c r="S467" s="3"/>
      <c r="T467" s="3"/>
    </row>
    <row r="468">
      <c r="A468" s="3"/>
      <c r="B468" s="3"/>
      <c r="C468" s="3"/>
      <c r="E468" s="3"/>
      <c r="F468" s="9"/>
      <c r="G468" s="9"/>
      <c r="H468" s="70"/>
      <c r="I468" s="70"/>
      <c r="J468" s="70"/>
      <c r="K468" s="70"/>
      <c r="L468" s="3"/>
      <c r="M468" s="9"/>
      <c r="N468" s="5"/>
      <c r="O468" s="70"/>
      <c r="P468" s="70"/>
      <c r="Q468" s="70"/>
      <c r="R468" s="3"/>
      <c r="S468" s="3"/>
      <c r="T468" s="3"/>
    </row>
    <row r="469">
      <c r="A469" s="3"/>
      <c r="B469" s="3"/>
      <c r="C469" s="3"/>
      <c r="E469" s="3"/>
      <c r="F469" s="9"/>
      <c r="G469" s="9"/>
      <c r="H469" s="70"/>
      <c r="I469" s="70"/>
      <c r="J469" s="70"/>
      <c r="K469" s="70"/>
      <c r="L469" s="3"/>
      <c r="M469" s="9"/>
      <c r="N469" s="5"/>
      <c r="O469" s="70"/>
      <c r="P469" s="70"/>
      <c r="Q469" s="70"/>
      <c r="R469" s="3"/>
      <c r="S469" s="3"/>
      <c r="T469" s="3"/>
    </row>
    <row r="470">
      <c r="A470" s="3"/>
      <c r="B470" s="3"/>
      <c r="C470" s="3"/>
      <c r="E470" s="3"/>
      <c r="F470" s="9"/>
      <c r="G470" s="9"/>
      <c r="H470" s="70"/>
      <c r="I470" s="70"/>
      <c r="J470" s="70"/>
      <c r="K470" s="70"/>
      <c r="L470" s="3"/>
      <c r="M470" s="9"/>
      <c r="N470" s="5"/>
      <c r="O470" s="70"/>
      <c r="P470" s="70"/>
      <c r="Q470" s="70"/>
      <c r="R470" s="3"/>
      <c r="S470" s="3"/>
      <c r="T470" s="3"/>
    </row>
    <row r="471">
      <c r="A471" s="3"/>
      <c r="B471" s="3"/>
      <c r="C471" s="3"/>
      <c r="E471" s="3"/>
      <c r="F471" s="9"/>
      <c r="G471" s="9"/>
      <c r="H471" s="70"/>
      <c r="I471" s="70"/>
      <c r="J471" s="70"/>
      <c r="K471" s="70"/>
      <c r="L471" s="3"/>
      <c r="M471" s="9"/>
      <c r="N471" s="5"/>
      <c r="O471" s="70"/>
      <c r="P471" s="70"/>
      <c r="Q471" s="70"/>
      <c r="R471" s="3"/>
      <c r="S471" s="3"/>
      <c r="T471" s="3"/>
    </row>
    <row r="472">
      <c r="A472" s="3"/>
      <c r="B472" s="3"/>
      <c r="C472" s="3"/>
      <c r="E472" s="3"/>
      <c r="F472" s="9"/>
      <c r="G472" s="9"/>
      <c r="H472" s="70"/>
      <c r="I472" s="70"/>
      <c r="J472" s="70"/>
      <c r="K472" s="70"/>
      <c r="L472" s="3"/>
      <c r="M472" s="9"/>
      <c r="N472" s="5"/>
      <c r="O472" s="70"/>
      <c r="P472" s="70"/>
      <c r="Q472" s="70"/>
      <c r="R472" s="3"/>
      <c r="S472" s="3"/>
      <c r="T472" s="3"/>
    </row>
    <row r="473">
      <c r="A473" s="3"/>
      <c r="B473" s="3"/>
      <c r="C473" s="3"/>
      <c r="E473" s="3"/>
      <c r="F473" s="9"/>
      <c r="G473" s="9"/>
      <c r="H473" s="70"/>
      <c r="I473" s="70"/>
      <c r="J473" s="70"/>
      <c r="K473" s="70"/>
      <c r="L473" s="3"/>
      <c r="M473" s="9"/>
      <c r="N473" s="5"/>
      <c r="O473" s="70"/>
      <c r="P473" s="70"/>
      <c r="Q473" s="70"/>
      <c r="R473" s="3"/>
      <c r="S473" s="3"/>
      <c r="T473" s="3"/>
    </row>
    <row r="474">
      <c r="A474" s="3"/>
      <c r="B474" s="3"/>
      <c r="C474" s="3"/>
      <c r="E474" s="3"/>
      <c r="F474" s="9"/>
      <c r="G474" s="9"/>
      <c r="H474" s="70"/>
      <c r="I474" s="70"/>
      <c r="J474" s="70"/>
      <c r="K474" s="70"/>
      <c r="L474" s="3"/>
      <c r="M474" s="9"/>
      <c r="N474" s="5"/>
      <c r="O474" s="70"/>
      <c r="P474" s="70"/>
      <c r="Q474" s="70"/>
      <c r="R474" s="3"/>
      <c r="S474" s="3"/>
      <c r="T474" s="3"/>
    </row>
    <row r="475">
      <c r="A475" s="3"/>
      <c r="B475" s="3"/>
      <c r="C475" s="3"/>
      <c r="E475" s="3"/>
      <c r="F475" s="9"/>
      <c r="G475" s="9"/>
      <c r="H475" s="70"/>
      <c r="I475" s="70"/>
      <c r="J475" s="70"/>
      <c r="K475" s="70"/>
      <c r="L475" s="3"/>
      <c r="M475" s="9"/>
      <c r="N475" s="5"/>
      <c r="O475" s="70"/>
      <c r="P475" s="70"/>
      <c r="Q475" s="70"/>
      <c r="R475" s="3"/>
      <c r="S475" s="3"/>
      <c r="T475" s="3"/>
    </row>
    <row r="476">
      <c r="A476" s="3"/>
      <c r="B476" s="3"/>
      <c r="C476" s="3"/>
      <c r="E476" s="3"/>
      <c r="F476" s="9"/>
      <c r="G476" s="9"/>
      <c r="H476" s="70"/>
      <c r="I476" s="70"/>
      <c r="J476" s="70"/>
      <c r="K476" s="70"/>
      <c r="L476" s="3"/>
      <c r="M476" s="9"/>
      <c r="N476" s="5"/>
      <c r="O476" s="70"/>
      <c r="P476" s="70"/>
      <c r="Q476" s="70"/>
      <c r="R476" s="3"/>
      <c r="S476" s="3"/>
      <c r="T476" s="3"/>
    </row>
    <row r="477">
      <c r="A477" s="3"/>
      <c r="B477" s="3"/>
      <c r="C477" s="3"/>
      <c r="E477" s="3"/>
      <c r="F477" s="9"/>
      <c r="G477" s="9"/>
      <c r="H477" s="70"/>
      <c r="I477" s="70"/>
      <c r="J477" s="70"/>
      <c r="K477" s="70"/>
      <c r="L477" s="3"/>
      <c r="M477" s="9"/>
      <c r="N477" s="5"/>
      <c r="O477" s="70"/>
      <c r="P477" s="70"/>
      <c r="Q477" s="70"/>
      <c r="R477" s="3"/>
      <c r="S477" s="3"/>
      <c r="T477" s="3"/>
    </row>
    <row r="478">
      <c r="A478" s="3"/>
      <c r="B478" s="3"/>
      <c r="C478" s="3"/>
      <c r="E478" s="3"/>
      <c r="F478" s="9"/>
      <c r="G478" s="9"/>
      <c r="H478" s="70"/>
      <c r="I478" s="70"/>
      <c r="J478" s="70"/>
      <c r="K478" s="70"/>
      <c r="L478" s="3"/>
      <c r="M478" s="9"/>
      <c r="N478" s="5"/>
      <c r="O478" s="70"/>
      <c r="P478" s="70"/>
      <c r="Q478" s="70"/>
      <c r="R478" s="3"/>
      <c r="S478" s="3"/>
      <c r="T478" s="3"/>
    </row>
    <row r="479">
      <c r="A479" s="3"/>
      <c r="B479" s="3"/>
      <c r="C479" s="3"/>
      <c r="E479" s="3"/>
      <c r="F479" s="9"/>
      <c r="G479" s="9"/>
      <c r="H479" s="70"/>
      <c r="I479" s="70"/>
      <c r="J479" s="70"/>
      <c r="K479" s="70"/>
      <c r="L479" s="3"/>
      <c r="M479" s="9"/>
      <c r="N479" s="5"/>
      <c r="O479" s="70"/>
      <c r="P479" s="70"/>
      <c r="Q479" s="70"/>
      <c r="R479" s="3"/>
      <c r="S479" s="3"/>
      <c r="T479" s="3"/>
    </row>
    <row r="480">
      <c r="A480" s="3"/>
      <c r="B480" s="3"/>
      <c r="C480" s="3"/>
      <c r="E480" s="3"/>
      <c r="F480" s="9"/>
      <c r="G480" s="9"/>
      <c r="H480" s="70"/>
      <c r="I480" s="70"/>
      <c r="J480" s="70"/>
      <c r="K480" s="70"/>
      <c r="L480" s="3"/>
      <c r="M480" s="9"/>
      <c r="N480" s="5"/>
      <c r="O480" s="70"/>
      <c r="P480" s="70"/>
      <c r="Q480" s="70"/>
      <c r="R480" s="3"/>
      <c r="S480" s="3"/>
      <c r="T480" s="3"/>
    </row>
    <row r="481">
      <c r="A481" s="3"/>
      <c r="B481" s="3"/>
      <c r="C481" s="3"/>
      <c r="E481" s="3"/>
      <c r="F481" s="9"/>
      <c r="G481" s="9"/>
      <c r="H481" s="70"/>
      <c r="I481" s="70"/>
      <c r="J481" s="70"/>
      <c r="K481" s="70"/>
      <c r="L481" s="3"/>
      <c r="M481" s="9"/>
      <c r="N481" s="5"/>
      <c r="O481" s="70"/>
      <c r="P481" s="70"/>
      <c r="Q481" s="70"/>
      <c r="R481" s="3"/>
      <c r="S481" s="3"/>
      <c r="T481" s="3"/>
    </row>
    <row r="482">
      <c r="A482" s="3"/>
      <c r="B482" s="3"/>
      <c r="C482" s="3"/>
      <c r="E482" s="3"/>
      <c r="F482" s="9"/>
      <c r="G482" s="9"/>
      <c r="H482" s="70"/>
      <c r="I482" s="70"/>
      <c r="J482" s="70"/>
      <c r="K482" s="70"/>
      <c r="L482" s="3"/>
      <c r="M482" s="9"/>
      <c r="N482" s="5"/>
      <c r="O482" s="70"/>
      <c r="P482" s="70"/>
      <c r="Q482" s="70"/>
      <c r="R482" s="3"/>
      <c r="S482" s="3"/>
      <c r="T482" s="3"/>
    </row>
    <row r="483">
      <c r="A483" s="3"/>
      <c r="B483" s="3"/>
      <c r="C483" s="3"/>
      <c r="E483" s="3"/>
      <c r="F483" s="9"/>
      <c r="G483" s="9"/>
      <c r="H483" s="70"/>
      <c r="I483" s="70"/>
      <c r="J483" s="70"/>
      <c r="K483" s="70"/>
      <c r="L483" s="3"/>
      <c r="M483" s="9"/>
      <c r="N483" s="5"/>
      <c r="O483" s="70"/>
      <c r="P483" s="70"/>
      <c r="Q483" s="70"/>
      <c r="R483" s="3"/>
      <c r="S483" s="3"/>
      <c r="T483" s="3"/>
    </row>
    <row r="484">
      <c r="A484" s="3"/>
      <c r="B484" s="3"/>
      <c r="C484" s="3"/>
      <c r="E484" s="3"/>
      <c r="F484" s="9"/>
      <c r="G484" s="9"/>
      <c r="H484" s="70"/>
      <c r="I484" s="70"/>
      <c r="J484" s="70"/>
      <c r="K484" s="70"/>
      <c r="L484" s="3"/>
      <c r="M484" s="9"/>
      <c r="N484" s="5"/>
      <c r="O484" s="70"/>
      <c r="P484" s="70"/>
      <c r="Q484" s="70"/>
      <c r="R484" s="3"/>
      <c r="S484" s="3"/>
      <c r="T484" s="3"/>
    </row>
    <row r="485">
      <c r="A485" s="3"/>
      <c r="B485" s="3"/>
      <c r="C485" s="3"/>
      <c r="E485" s="3"/>
      <c r="F485" s="9"/>
      <c r="G485" s="9"/>
      <c r="H485" s="70"/>
      <c r="I485" s="70"/>
      <c r="J485" s="70"/>
      <c r="K485" s="70"/>
      <c r="L485" s="3"/>
      <c r="M485" s="9"/>
      <c r="N485" s="5"/>
      <c r="O485" s="70"/>
      <c r="P485" s="70"/>
      <c r="Q485" s="70"/>
      <c r="R485" s="3"/>
      <c r="S485" s="3"/>
      <c r="T485" s="3"/>
    </row>
    <row r="486">
      <c r="A486" s="3"/>
      <c r="B486" s="3"/>
      <c r="C486" s="3"/>
      <c r="E486" s="3"/>
      <c r="F486" s="9"/>
      <c r="G486" s="9"/>
      <c r="H486" s="70"/>
      <c r="I486" s="70"/>
      <c r="J486" s="70"/>
      <c r="K486" s="70"/>
      <c r="L486" s="3"/>
      <c r="M486" s="9"/>
      <c r="N486" s="5"/>
      <c r="O486" s="70"/>
      <c r="P486" s="70"/>
      <c r="Q486" s="70"/>
      <c r="R486" s="3"/>
      <c r="S486" s="3"/>
      <c r="T486" s="3"/>
    </row>
    <row r="487">
      <c r="A487" s="3"/>
      <c r="B487" s="3"/>
      <c r="C487" s="3"/>
      <c r="E487" s="3"/>
      <c r="F487" s="9"/>
      <c r="G487" s="9"/>
      <c r="H487" s="70"/>
      <c r="I487" s="70"/>
      <c r="J487" s="70"/>
      <c r="K487" s="70"/>
      <c r="L487" s="3"/>
      <c r="M487" s="9"/>
      <c r="N487" s="5"/>
      <c r="O487" s="70"/>
      <c r="P487" s="70"/>
      <c r="Q487" s="70"/>
      <c r="R487" s="3"/>
      <c r="S487" s="3"/>
      <c r="T487" s="3"/>
    </row>
    <row r="488">
      <c r="A488" s="3"/>
      <c r="B488" s="3"/>
      <c r="C488" s="3"/>
      <c r="E488" s="3"/>
      <c r="F488" s="9"/>
      <c r="G488" s="9"/>
      <c r="H488" s="70"/>
      <c r="I488" s="70"/>
      <c r="J488" s="70"/>
      <c r="K488" s="70"/>
      <c r="L488" s="3"/>
      <c r="M488" s="9"/>
      <c r="N488" s="5"/>
      <c r="O488" s="70"/>
      <c r="P488" s="70"/>
      <c r="Q488" s="70"/>
      <c r="R488" s="3"/>
      <c r="S488" s="3"/>
      <c r="T488" s="3"/>
    </row>
    <row r="489">
      <c r="A489" s="3"/>
      <c r="B489" s="3"/>
      <c r="C489" s="3"/>
      <c r="E489" s="3"/>
      <c r="F489" s="9"/>
      <c r="G489" s="9"/>
      <c r="H489" s="70"/>
      <c r="I489" s="70"/>
      <c r="J489" s="70"/>
      <c r="K489" s="70"/>
      <c r="L489" s="3"/>
      <c r="M489" s="9"/>
      <c r="N489" s="5"/>
      <c r="O489" s="70"/>
      <c r="P489" s="70"/>
      <c r="Q489" s="70"/>
      <c r="R489" s="3"/>
      <c r="S489" s="3"/>
      <c r="T489" s="3"/>
    </row>
    <row r="490">
      <c r="A490" s="3"/>
      <c r="B490" s="3"/>
      <c r="C490" s="3"/>
      <c r="E490" s="3"/>
      <c r="F490" s="9"/>
      <c r="G490" s="9"/>
      <c r="H490" s="70"/>
      <c r="I490" s="70"/>
      <c r="J490" s="70"/>
      <c r="K490" s="70"/>
      <c r="L490" s="3"/>
      <c r="M490" s="9"/>
      <c r="N490" s="5"/>
      <c r="O490" s="70"/>
      <c r="P490" s="70"/>
      <c r="Q490" s="70"/>
      <c r="R490" s="3"/>
      <c r="S490" s="3"/>
      <c r="T490" s="3"/>
    </row>
    <row r="491">
      <c r="A491" s="3"/>
      <c r="B491" s="3"/>
      <c r="C491" s="3"/>
      <c r="E491" s="3"/>
      <c r="F491" s="9"/>
      <c r="G491" s="9"/>
      <c r="H491" s="70"/>
      <c r="I491" s="70"/>
      <c r="J491" s="70"/>
      <c r="K491" s="70"/>
      <c r="L491" s="3"/>
      <c r="M491" s="9"/>
      <c r="N491" s="5"/>
      <c r="O491" s="70"/>
      <c r="P491" s="70"/>
      <c r="Q491" s="70"/>
      <c r="R491" s="3"/>
      <c r="S491" s="3"/>
      <c r="T491" s="3"/>
    </row>
    <row r="492">
      <c r="A492" s="3"/>
      <c r="B492" s="3"/>
      <c r="C492" s="3"/>
      <c r="E492" s="3"/>
      <c r="F492" s="9"/>
      <c r="G492" s="9"/>
      <c r="H492" s="70"/>
      <c r="I492" s="70"/>
      <c r="J492" s="70"/>
      <c r="K492" s="70"/>
      <c r="L492" s="3"/>
      <c r="M492" s="9"/>
      <c r="N492" s="5"/>
      <c r="O492" s="70"/>
      <c r="P492" s="70"/>
      <c r="Q492" s="70"/>
      <c r="R492" s="3"/>
      <c r="S492" s="3"/>
      <c r="T492" s="3"/>
    </row>
    <row r="493">
      <c r="A493" s="3"/>
      <c r="B493" s="3"/>
      <c r="C493" s="3"/>
      <c r="E493" s="3"/>
      <c r="F493" s="9"/>
      <c r="G493" s="9"/>
      <c r="H493" s="70"/>
      <c r="I493" s="70"/>
      <c r="J493" s="70"/>
      <c r="K493" s="70"/>
      <c r="L493" s="3"/>
      <c r="M493" s="9"/>
      <c r="N493" s="5"/>
      <c r="O493" s="70"/>
      <c r="P493" s="70"/>
      <c r="Q493" s="70"/>
      <c r="R493" s="3"/>
      <c r="S493" s="3"/>
      <c r="T493" s="3"/>
    </row>
    <row r="494">
      <c r="A494" s="3"/>
      <c r="B494" s="3"/>
      <c r="C494" s="3"/>
      <c r="E494" s="3"/>
      <c r="F494" s="9"/>
      <c r="G494" s="9"/>
      <c r="H494" s="70"/>
      <c r="I494" s="70"/>
      <c r="J494" s="70"/>
      <c r="K494" s="70"/>
      <c r="L494" s="3"/>
      <c r="M494" s="9"/>
      <c r="N494" s="5"/>
      <c r="O494" s="70"/>
      <c r="P494" s="70"/>
      <c r="Q494" s="70"/>
      <c r="R494" s="3"/>
      <c r="S494" s="3"/>
      <c r="T494" s="3"/>
    </row>
    <row r="495">
      <c r="A495" s="3"/>
      <c r="B495" s="3"/>
      <c r="C495" s="3"/>
      <c r="E495" s="3"/>
      <c r="F495" s="9"/>
      <c r="G495" s="9"/>
      <c r="H495" s="70"/>
      <c r="I495" s="70"/>
      <c r="J495" s="70"/>
      <c r="K495" s="70"/>
      <c r="L495" s="3"/>
      <c r="M495" s="9"/>
      <c r="N495" s="5"/>
      <c r="O495" s="70"/>
      <c r="P495" s="70"/>
      <c r="Q495" s="70"/>
      <c r="R495" s="3"/>
      <c r="S495" s="3"/>
      <c r="T495" s="3"/>
    </row>
    <row r="496">
      <c r="A496" s="3"/>
      <c r="B496" s="3"/>
      <c r="C496" s="3"/>
      <c r="E496" s="3"/>
      <c r="F496" s="9"/>
      <c r="G496" s="9"/>
      <c r="H496" s="70"/>
      <c r="I496" s="70"/>
      <c r="J496" s="70"/>
      <c r="K496" s="70"/>
      <c r="L496" s="3"/>
      <c r="M496" s="9"/>
      <c r="N496" s="5"/>
      <c r="O496" s="70"/>
      <c r="P496" s="70"/>
      <c r="Q496" s="70"/>
      <c r="R496" s="3"/>
      <c r="S496" s="3"/>
      <c r="T496" s="3"/>
    </row>
    <row r="497">
      <c r="A497" s="3"/>
      <c r="B497" s="3"/>
      <c r="C497" s="3"/>
      <c r="E497" s="3"/>
      <c r="F497" s="9"/>
      <c r="G497" s="9"/>
      <c r="H497" s="70"/>
      <c r="I497" s="70"/>
      <c r="J497" s="70"/>
      <c r="K497" s="70"/>
      <c r="L497" s="3"/>
      <c r="M497" s="9"/>
      <c r="N497" s="5"/>
      <c r="O497" s="70"/>
      <c r="P497" s="70"/>
      <c r="Q497" s="70"/>
      <c r="R497" s="3"/>
      <c r="S497" s="3"/>
      <c r="T497" s="3"/>
    </row>
    <row r="498">
      <c r="A498" s="3"/>
      <c r="B498" s="3"/>
      <c r="C498" s="3"/>
      <c r="E498" s="3"/>
      <c r="F498" s="9"/>
      <c r="G498" s="9"/>
      <c r="H498" s="70"/>
      <c r="I498" s="70"/>
      <c r="J498" s="70"/>
      <c r="K498" s="70"/>
      <c r="L498" s="3"/>
      <c r="M498" s="9"/>
      <c r="N498" s="5"/>
      <c r="O498" s="70"/>
      <c r="P498" s="70"/>
      <c r="Q498" s="70"/>
      <c r="R498" s="3"/>
      <c r="S498" s="3"/>
      <c r="T498" s="3"/>
    </row>
    <row r="499">
      <c r="A499" s="3"/>
      <c r="B499" s="3"/>
      <c r="C499" s="3"/>
      <c r="E499" s="3"/>
      <c r="F499" s="9"/>
      <c r="G499" s="9"/>
      <c r="H499" s="70"/>
      <c r="I499" s="70"/>
      <c r="J499" s="70"/>
      <c r="K499" s="70"/>
      <c r="L499" s="3"/>
      <c r="M499" s="9"/>
      <c r="N499" s="5"/>
      <c r="O499" s="70"/>
      <c r="P499" s="70"/>
      <c r="Q499" s="70"/>
      <c r="R499" s="3"/>
      <c r="S499" s="3"/>
      <c r="T499" s="3"/>
    </row>
    <row r="500">
      <c r="A500" s="3"/>
      <c r="B500" s="3"/>
      <c r="C500" s="3"/>
      <c r="E500" s="3"/>
      <c r="F500" s="9"/>
      <c r="G500" s="9"/>
      <c r="H500" s="70"/>
      <c r="I500" s="70"/>
      <c r="J500" s="70"/>
      <c r="K500" s="70"/>
      <c r="L500" s="3"/>
      <c r="M500" s="9"/>
      <c r="N500" s="5"/>
      <c r="O500" s="70"/>
      <c r="P500" s="70"/>
      <c r="Q500" s="70"/>
      <c r="R500" s="3"/>
      <c r="S500" s="3"/>
      <c r="T500" s="3"/>
    </row>
    <row r="501">
      <c r="A501" s="3"/>
      <c r="B501" s="3"/>
      <c r="C501" s="3"/>
      <c r="E501" s="3"/>
      <c r="F501" s="9"/>
      <c r="G501" s="9"/>
      <c r="H501" s="70"/>
      <c r="I501" s="70"/>
      <c r="J501" s="70"/>
      <c r="K501" s="70"/>
      <c r="L501" s="3"/>
      <c r="M501" s="9"/>
      <c r="N501" s="5"/>
      <c r="O501" s="70"/>
      <c r="P501" s="70"/>
      <c r="Q501" s="70"/>
      <c r="R501" s="3"/>
      <c r="S501" s="3"/>
      <c r="T501" s="3"/>
    </row>
    <row r="502">
      <c r="A502" s="3"/>
      <c r="B502" s="3"/>
      <c r="C502" s="3"/>
      <c r="E502" s="3"/>
      <c r="F502" s="9"/>
      <c r="G502" s="9"/>
      <c r="H502" s="70"/>
      <c r="I502" s="70"/>
      <c r="J502" s="70"/>
      <c r="K502" s="70"/>
      <c r="L502" s="3"/>
      <c r="M502" s="9"/>
      <c r="N502" s="5"/>
      <c r="O502" s="70"/>
      <c r="P502" s="70"/>
      <c r="Q502" s="70"/>
      <c r="R502" s="3"/>
      <c r="S502" s="3"/>
      <c r="T502" s="3"/>
    </row>
    <row r="503">
      <c r="A503" s="3"/>
      <c r="B503" s="3"/>
      <c r="C503" s="3"/>
      <c r="E503" s="3"/>
      <c r="F503" s="9"/>
      <c r="G503" s="9"/>
      <c r="H503" s="70"/>
      <c r="I503" s="70"/>
      <c r="J503" s="70"/>
      <c r="K503" s="70"/>
      <c r="L503" s="3"/>
      <c r="M503" s="9"/>
      <c r="N503" s="5"/>
      <c r="O503" s="70"/>
      <c r="P503" s="70"/>
      <c r="Q503" s="70"/>
      <c r="R503" s="3"/>
      <c r="S503" s="3"/>
      <c r="T503" s="3"/>
    </row>
    <row r="504">
      <c r="A504" s="3"/>
      <c r="B504" s="3"/>
      <c r="C504" s="3"/>
      <c r="E504" s="3"/>
      <c r="F504" s="9"/>
      <c r="G504" s="9"/>
      <c r="H504" s="70"/>
      <c r="I504" s="70"/>
      <c r="J504" s="70"/>
      <c r="K504" s="70"/>
      <c r="L504" s="3"/>
      <c r="M504" s="9"/>
      <c r="N504" s="5"/>
      <c r="O504" s="70"/>
      <c r="P504" s="70"/>
      <c r="Q504" s="70"/>
      <c r="R504" s="3"/>
      <c r="S504" s="3"/>
      <c r="T504" s="3"/>
    </row>
    <row r="505">
      <c r="A505" s="3"/>
      <c r="B505" s="3"/>
      <c r="C505" s="3"/>
      <c r="E505" s="3"/>
      <c r="F505" s="9"/>
      <c r="G505" s="9"/>
      <c r="H505" s="70"/>
      <c r="I505" s="70"/>
      <c r="J505" s="70"/>
      <c r="K505" s="70"/>
      <c r="L505" s="3"/>
      <c r="M505" s="9"/>
      <c r="N505" s="5"/>
      <c r="O505" s="70"/>
      <c r="P505" s="70"/>
      <c r="Q505" s="70"/>
      <c r="R505" s="3"/>
      <c r="S505" s="3"/>
      <c r="T505" s="3"/>
    </row>
    <row r="506">
      <c r="A506" s="3"/>
      <c r="B506" s="3"/>
      <c r="C506" s="3"/>
      <c r="E506" s="3"/>
      <c r="F506" s="9"/>
      <c r="G506" s="9"/>
      <c r="H506" s="70"/>
      <c r="I506" s="70"/>
      <c r="J506" s="70"/>
      <c r="K506" s="70"/>
      <c r="L506" s="3"/>
      <c r="M506" s="9"/>
      <c r="N506" s="5"/>
      <c r="O506" s="70"/>
      <c r="P506" s="70"/>
      <c r="Q506" s="70"/>
      <c r="R506" s="3"/>
      <c r="S506" s="3"/>
      <c r="T506" s="3"/>
    </row>
    <row r="507">
      <c r="A507" s="3"/>
      <c r="B507" s="3"/>
      <c r="C507" s="3"/>
      <c r="E507" s="3"/>
      <c r="F507" s="9"/>
      <c r="G507" s="9"/>
      <c r="H507" s="70"/>
      <c r="I507" s="70"/>
      <c r="J507" s="70"/>
      <c r="K507" s="70"/>
      <c r="L507" s="3"/>
      <c r="M507" s="9"/>
      <c r="N507" s="5"/>
      <c r="O507" s="70"/>
      <c r="P507" s="70"/>
      <c r="Q507" s="70"/>
      <c r="R507" s="3"/>
      <c r="S507" s="3"/>
      <c r="T507" s="3"/>
    </row>
    <row r="508">
      <c r="A508" s="3"/>
      <c r="B508" s="3"/>
      <c r="C508" s="3"/>
      <c r="E508" s="3"/>
      <c r="F508" s="9"/>
      <c r="G508" s="9"/>
      <c r="H508" s="70"/>
      <c r="I508" s="70"/>
      <c r="J508" s="70"/>
      <c r="K508" s="70"/>
      <c r="L508" s="3"/>
      <c r="M508" s="9"/>
      <c r="N508" s="5"/>
      <c r="O508" s="70"/>
      <c r="P508" s="70"/>
      <c r="Q508" s="70"/>
      <c r="R508" s="3"/>
      <c r="S508" s="3"/>
      <c r="T508" s="3"/>
    </row>
    <row r="509">
      <c r="A509" s="3"/>
      <c r="B509" s="3"/>
      <c r="C509" s="3"/>
      <c r="E509" s="3"/>
      <c r="F509" s="9"/>
      <c r="G509" s="9"/>
      <c r="H509" s="70"/>
      <c r="I509" s="70"/>
      <c r="J509" s="70"/>
      <c r="K509" s="70"/>
      <c r="L509" s="3"/>
      <c r="M509" s="9"/>
      <c r="N509" s="5"/>
      <c r="O509" s="70"/>
      <c r="P509" s="70"/>
      <c r="Q509" s="70"/>
      <c r="R509" s="3"/>
      <c r="S509" s="3"/>
      <c r="T509" s="3"/>
    </row>
    <row r="510">
      <c r="A510" s="3"/>
      <c r="B510" s="3"/>
      <c r="C510" s="3"/>
      <c r="E510" s="3"/>
      <c r="F510" s="9"/>
      <c r="G510" s="9"/>
      <c r="H510" s="70"/>
      <c r="I510" s="70"/>
      <c r="J510" s="70"/>
      <c r="K510" s="70"/>
      <c r="L510" s="3"/>
      <c r="M510" s="9"/>
      <c r="N510" s="5"/>
      <c r="O510" s="70"/>
      <c r="P510" s="70"/>
      <c r="Q510" s="70"/>
      <c r="R510" s="3"/>
      <c r="S510" s="3"/>
      <c r="T510" s="3"/>
    </row>
    <row r="511">
      <c r="A511" s="3"/>
      <c r="B511" s="3"/>
      <c r="C511" s="3"/>
      <c r="E511" s="3"/>
      <c r="F511" s="9"/>
      <c r="G511" s="9"/>
      <c r="H511" s="70"/>
      <c r="I511" s="70"/>
      <c r="J511" s="70"/>
      <c r="K511" s="70"/>
      <c r="L511" s="3"/>
      <c r="M511" s="9"/>
      <c r="N511" s="5"/>
      <c r="O511" s="70"/>
      <c r="P511" s="70"/>
      <c r="Q511" s="70"/>
      <c r="R511" s="3"/>
      <c r="S511" s="3"/>
      <c r="T511" s="3"/>
    </row>
    <row r="512">
      <c r="A512" s="3"/>
      <c r="B512" s="3"/>
      <c r="C512" s="3"/>
      <c r="E512" s="3"/>
      <c r="F512" s="9"/>
      <c r="G512" s="9"/>
      <c r="H512" s="70"/>
      <c r="I512" s="70"/>
      <c r="J512" s="70"/>
      <c r="K512" s="70"/>
      <c r="L512" s="3"/>
      <c r="M512" s="9"/>
      <c r="N512" s="5"/>
      <c r="O512" s="70"/>
      <c r="P512" s="70"/>
      <c r="Q512" s="70"/>
      <c r="R512" s="3"/>
      <c r="S512" s="3"/>
      <c r="T512" s="3"/>
    </row>
    <row r="513">
      <c r="A513" s="3"/>
      <c r="B513" s="3"/>
      <c r="C513" s="3"/>
      <c r="E513" s="3"/>
      <c r="F513" s="9"/>
      <c r="G513" s="9"/>
      <c r="H513" s="70"/>
      <c r="I513" s="70"/>
      <c r="J513" s="70"/>
      <c r="K513" s="70"/>
      <c r="L513" s="3"/>
      <c r="M513" s="9"/>
      <c r="N513" s="5"/>
      <c r="O513" s="70"/>
      <c r="P513" s="70"/>
      <c r="Q513" s="70"/>
      <c r="R513" s="3"/>
      <c r="S513" s="3"/>
      <c r="T513" s="3"/>
    </row>
    <row r="514">
      <c r="A514" s="3"/>
      <c r="B514" s="3"/>
      <c r="C514" s="3"/>
      <c r="E514" s="3"/>
      <c r="F514" s="9"/>
      <c r="G514" s="9"/>
      <c r="H514" s="70"/>
      <c r="I514" s="70"/>
      <c r="J514" s="70"/>
      <c r="K514" s="70"/>
      <c r="L514" s="3"/>
      <c r="M514" s="9"/>
      <c r="N514" s="5"/>
      <c r="O514" s="70"/>
      <c r="P514" s="70"/>
      <c r="Q514" s="70"/>
      <c r="R514" s="3"/>
      <c r="S514" s="3"/>
      <c r="T514" s="3"/>
    </row>
    <row r="515">
      <c r="A515" s="3"/>
      <c r="B515" s="3"/>
      <c r="C515" s="3"/>
      <c r="E515" s="3"/>
      <c r="F515" s="9"/>
      <c r="G515" s="9"/>
      <c r="H515" s="70"/>
      <c r="I515" s="70"/>
      <c r="J515" s="70"/>
      <c r="K515" s="70"/>
      <c r="L515" s="3"/>
      <c r="M515" s="9"/>
      <c r="N515" s="5"/>
      <c r="O515" s="70"/>
      <c r="P515" s="70"/>
      <c r="Q515" s="70"/>
      <c r="R515" s="3"/>
      <c r="S515" s="3"/>
      <c r="T515" s="3"/>
    </row>
    <row r="516">
      <c r="A516" s="3"/>
      <c r="B516" s="3"/>
      <c r="C516" s="3"/>
      <c r="E516" s="3"/>
      <c r="F516" s="9"/>
      <c r="G516" s="9"/>
      <c r="H516" s="70"/>
      <c r="I516" s="70"/>
      <c r="J516" s="70"/>
      <c r="K516" s="70"/>
      <c r="L516" s="3"/>
      <c r="M516" s="9"/>
      <c r="N516" s="5"/>
      <c r="O516" s="70"/>
      <c r="P516" s="70"/>
      <c r="Q516" s="70"/>
      <c r="R516" s="3"/>
      <c r="S516" s="3"/>
      <c r="T516" s="3"/>
    </row>
    <row r="517">
      <c r="A517" s="3"/>
      <c r="B517" s="3"/>
      <c r="C517" s="3"/>
      <c r="E517" s="3"/>
      <c r="F517" s="9"/>
      <c r="G517" s="9"/>
      <c r="H517" s="70"/>
      <c r="I517" s="70"/>
      <c r="J517" s="70"/>
      <c r="K517" s="70"/>
      <c r="L517" s="3"/>
      <c r="M517" s="9"/>
      <c r="N517" s="5"/>
      <c r="O517" s="70"/>
      <c r="P517" s="70"/>
      <c r="Q517" s="70"/>
      <c r="R517" s="3"/>
      <c r="S517" s="3"/>
      <c r="T517" s="3"/>
    </row>
    <row r="518">
      <c r="A518" s="3"/>
      <c r="B518" s="3"/>
      <c r="C518" s="3"/>
      <c r="E518" s="3"/>
      <c r="F518" s="9"/>
      <c r="G518" s="9"/>
      <c r="H518" s="70"/>
      <c r="I518" s="70"/>
      <c r="J518" s="70"/>
      <c r="K518" s="70"/>
      <c r="L518" s="3"/>
      <c r="M518" s="9"/>
      <c r="N518" s="5"/>
      <c r="O518" s="70"/>
      <c r="P518" s="70"/>
      <c r="Q518" s="70"/>
      <c r="R518" s="3"/>
      <c r="S518" s="3"/>
      <c r="T518" s="3"/>
    </row>
    <row r="519">
      <c r="A519" s="3"/>
      <c r="B519" s="3"/>
      <c r="C519" s="3"/>
      <c r="E519" s="3"/>
      <c r="F519" s="9"/>
      <c r="G519" s="9"/>
      <c r="H519" s="70"/>
      <c r="I519" s="70"/>
      <c r="J519" s="70"/>
      <c r="K519" s="70"/>
      <c r="L519" s="3"/>
      <c r="M519" s="9"/>
      <c r="N519" s="5"/>
      <c r="O519" s="70"/>
      <c r="P519" s="70"/>
      <c r="Q519" s="70"/>
      <c r="R519" s="3"/>
      <c r="S519" s="3"/>
      <c r="T519" s="3"/>
    </row>
    <row r="520">
      <c r="A520" s="3"/>
      <c r="B520" s="3"/>
      <c r="C520" s="3"/>
      <c r="E520" s="3"/>
      <c r="F520" s="9"/>
      <c r="G520" s="9"/>
      <c r="H520" s="70"/>
      <c r="I520" s="70"/>
      <c r="J520" s="70"/>
      <c r="K520" s="70"/>
      <c r="L520" s="3"/>
      <c r="M520" s="9"/>
      <c r="N520" s="5"/>
      <c r="O520" s="70"/>
      <c r="P520" s="70"/>
      <c r="Q520" s="70"/>
      <c r="R520" s="3"/>
      <c r="S520" s="3"/>
      <c r="T520" s="3"/>
    </row>
    <row r="521">
      <c r="A521" s="3"/>
      <c r="B521" s="3"/>
      <c r="C521" s="3"/>
      <c r="E521" s="3"/>
      <c r="F521" s="9"/>
      <c r="G521" s="9"/>
      <c r="H521" s="70"/>
      <c r="I521" s="70"/>
      <c r="J521" s="70"/>
      <c r="K521" s="70"/>
      <c r="L521" s="3"/>
      <c r="M521" s="9"/>
      <c r="N521" s="5"/>
      <c r="O521" s="70"/>
      <c r="P521" s="70"/>
      <c r="Q521" s="70"/>
      <c r="R521" s="3"/>
      <c r="S521" s="3"/>
      <c r="T521" s="3"/>
    </row>
    <row r="522">
      <c r="A522" s="3"/>
      <c r="B522" s="3"/>
      <c r="C522" s="3"/>
      <c r="E522" s="3"/>
      <c r="F522" s="9"/>
      <c r="G522" s="9"/>
      <c r="H522" s="70"/>
      <c r="I522" s="70"/>
      <c r="J522" s="70"/>
      <c r="K522" s="70"/>
      <c r="L522" s="3"/>
      <c r="M522" s="9"/>
      <c r="N522" s="5"/>
      <c r="O522" s="70"/>
      <c r="P522" s="70"/>
      <c r="Q522" s="70"/>
      <c r="R522" s="3"/>
      <c r="S522" s="3"/>
      <c r="T522" s="3"/>
    </row>
    <row r="523">
      <c r="A523" s="3"/>
      <c r="B523" s="3"/>
      <c r="C523" s="3"/>
      <c r="E523" s="3"/>
      <c r="F523" s="9"/>
      <c r="G523" s="9"/>
      <c r="H523" s="70"/>
      <c r="I523" s="70"/>
      <c r="J523" s="70"/>
      <c r="K523" s="70"/>
      <c r="L523" s="3"/>
      <c r="M523" s="9"/>
      <c r="N523" s="5"/>
      <c r="O523" s="70"/>
      <c r="P523" s="70"/>
      <c r="Q523" s="70"/>
      <c r="R523" s="3"/>
      <c r="S523" s="3"/>
      <c r="T523" s="3"/>
    </row>
    <row r="524">
      <c r="A524" s="3"/>
      <c r="B524" s="3"/>
      <c r="C524" s="3"/>
      <c r="E524" s="3"/>
      <c r="F524" s="9"/>
      <c r="G524" s="9"/>
      <c r="H524" s="70"/>
      <c r="I524" s="70"/>
      <c r="J524" s="70"/>
      <c r="K524" s="70"/>
      <c r="L524" s="3"/>
      <c r="M524" s="9"/>
      <c r="N524" s="5"/>
      <c r="O524" s="70"/>
      <c r="P524" s="70"/>
      <c r="Q524" s="70"/>
      <c r="R524" s="3"/>
      <c r="S524" s="3"/>
      <c r="T524" s="3"/>
    </row>
    <row r="525">
      <c r="A525" s="3"/>
      <c r="B525" s="3"/>
      <c r="C525" s="3"/>
      <c r="E525" s="3"/>
      <c r="F525" s="9"/>
      <c r="G525" s="9"/>
      <c r="H525" s="70"/>
      <c r="I525" s="70"/>
      <c r="J525" s="70"/>
      <c r="K525" s="70"/>
      <c r="L525" s="3"/>
      <c r="M525" s="9"/>
      <c r="N525" s="5"/>
      <c r="O525" s="70"/>
      <c r="P525" s="70"/>
      <c r="Q525" s="70"/>
      <c r="R525" s="3"/>
      <c r="S525" s="3"/>
      <c r="T525" s="3"/>
    </row>
    <row r="526">
      <c r="A526" s="3"/>
      <c r="B526" s="3"/>
      <c r="C526" s="3"/>
      <c r="E526" s="3"/>
      <c r="F526" s="9"/>
      <c r="G526" s="9"/>
      <c r="H526" s="70"/>
      <c r="I526" s="70"/>
      <c r="J526" s="70"/>
      <c r="K526" s="70"/>
      <c r="L526" s="3"/>
      <c r="M526" s="9"/>
      <c r="N526" s="5"/>
      <c r="O526" s="70"/>
      <c r="P526" s="70"/>
      <c r="Q526" s="70"/>
      <c r="R526" s="3"/>
      <c r="S526" s="3"/>
      <c r="T526" s="3"/>
    </row>
    <row r="527">
      <c r="A527" s="3"/>
      <c r="B527" s="3"/>
      <c r="C527" s="3"/>
      <c r="E527" s="3"/>
      <c r="F527" s="9"/>
      <c r="G527" s="9"/>
      <c r="H527" s="70"/>
      <c r="I527" s="70"/>
      <c r="J527" s="70"/>
      <c r="K527" s="70"/>
      <c r="L527" s="3"/>
      <c r="M527" s="9"/>
      <c r="N527" s="5"/>
      <c r="O527" s="70"/>
      <c r="P527" s="70"/>
      <c r="Q527" s="70"/>
      <c r="R527" s="3"/>
      <c r="S527" s="3"/>
      <c r="T527" s="3"/>
    </row>
    <row r="528">
      <c r="A528" s="3"/>
      <c r="B528" s="3"/>
      <c r="C528" s="3"/>
      <c r="E528" s="3"/>
      <c r="F528" s="9"/>
      <c r="G528" s="9"/>
      <c r="H528" s="70"/>
      <c r="I528" s="70"/>
      <c r="J528" s="70"/>
      <c r="K528" s="70"/>
      <c r="L528" s="3"/>
      <c r="M528" s="9"/>
      <c r="N528" s="5"/>
      <c r="O528" s="70"/>
      <c r="P528" s="70"/>
      <c r="Q528" s="70"/>
      <c r="R528" s="3"/>
      <c r="S528" s="3"/>
      <c r="T528" s="3"/>
    </row>
    <row r="529">
      <c r="A529" s="3"/>
      <c r="B529" s="3"/>
      <c r="C529" s="3"/>
      <c r="E529" s="3"/>
      <c r="F529" s="9"/>
      <c r="G529" s="9"/>
      <c r="H529" s="70"/>
      <c r="I529" s="70"/>
      <c r="J529" s="70"/>
      <c r="K529" s="70"/>
      <c r="L529" s="3"/>
      <c r="M529" s="9"/>
      <c r="N529" s="5"/>
      <c r="O529" s="70"/>
      <c r="P529" s="70"/>
      <c r="Q529" s="70"/>
      <c r="R529" s="3"/>
      <c r="S529" s="3"/>
      <c r="T529" s="3"/>
    </row>
    <row r="530">
      <c r="A530" s="3"/>
      <c r="B530" s="3"/>
      <c r="C530" s="3"/>
      <c r="E530" s="3"/>
      <c r="F530" s="9"/>
      <c r="G530" s="9"/>
      <c r="H530" s="70"/>
      <c r="I530" s="70"/>
      <c r="J530" s="70"/>
      <c r="K530" s="70"/>
      <c r="L530" s="3"/>
      <c r="M530" s="9"/>
      <c r="N530" s="5"/>
      <c r="O530" s="70"/>
      <c r="P530" s="70"/>
      <c r="Q530" s="70"/>
      <c r="R530" s="3"/>
      <c r="S530" s="3"/>
      <c r="T530" s="3"/>
    </row>
    <row r="531">
      <c r="A531" s="3"/>
      <c r="B531" s="3"/>
      <c r="C531" s="3"/>
      <c r="E531" s="3"/>
      <c r="F531" s="9"/>
      <c r="G531" s="9"/>
      <c r="H531" s="70"/>
      <c r="I531" s="70"/>
      <c r="J531" s="70"/>
      <c r="K531" s="70"/>
      <c r="L531" s="3"/>
      <c r="M531" s="9"/>
      <c r="N531" s="5"/>
      <c r="O531" s="70"/>
      <c r="P531" s="70"/>
      <c r="Q531" s="70"/>
      <c r="R531" s="3"/>
      <c r="S531" s="3"/>
      <c r="T531" s="3"/>
    </row>
    <row r="532">
      <c r="A532" s="3"/>
      <c r="B532" s="3"/>
      <c r="C532" s="3"/>
      <c r="E532" s="3"/>
      <c r="F532" s="9"/>
      <c r="G532" s="9"/>
      <c r="H532" s="70"/>
      <c r="I532" s="70"/>
      <c r="J532" s="70"/>
      <c r="K532" s="70"/>
      <c r="L532" s="3"/>
      <c r="M532" s="9"/>
      <c r="N532" s="5"/>
      <c r="O532" s="70"/>
      <c r="P532" s="70"/>
      <c r="Q532" s="70"/>
      <c r="R532" s="3"/>
      <c r="S532" s="3"/>
      <c r="T532" s="3"/>
    </row>
    <row r="533">
      <c r="A533" s="3"/>
      <c r="B533" s="3"/>
      <c r="C533" s="3"/>
      <c r="E533" s="3"/>
      <c r="F533" s="9"/>
      <c r="G533" s="9"/>
      <c r="H533" s="70"/>
      <c r="I533" s="70"/>
      <c r="J533" s="70"/>
      <c r="K533" s="70"/>
      <c r="L533" s="3"/>
      <c r="M533" s="9"/>
      <c r="N533" s="5"/>
      <c r="O533" s="70"/>
      <c r="P533" s="70"/>
      <c r="Q533" s="70"/>
      <c r="R533" s="3"/>
      <c r="S533" s="3"/>
      <c r="T533" s="3"/>
    </row>
    <row r="534">
      <c r="A534" s="3"/>
      <c r="B534" s="3"/>
      <c r="C534" s="3"/>
      <c r="E534" s="3"/>
      <c r="F534" s="9"/>
      <c r="G534" s="9"/>
      <c r="H534" s="70"/>
      <c r="I534" s="70"/>
      <c r="J534" s="70"/>
      <c r="K534" s="70"/>
      <c r="L534" s="3"/>
      <c r="M534" s="9"/>
      <c r="N534" s="5"/>
      <c r="O534" s="70"/>
      <c r="P534" s="70"/>
      <c r="Q534" s="70"/>
      <c r="R534" s="3"/>
      <c r="S534" s="3"/>
      <c r="T534" s="3"/>
    </row>
    <row r="535">
      <c r="A535" s="3"/>
      <c r="B535" s="3"/>
      <c r="C535" s="3"/>
      <c r="E535" s="3"/>
      <c r="F535" s="9"/>
      <c r="G535" s="9"/>
      <c r="H535" s="70"/>
      <c r="I535" s="70"/>
      <c r="J535" s="70"/>
      <c r="K535" s="70"/>
      <c r="L535" s="3"/>
      <c r="M535" s="9"/>
      <c r="N535" s="5"/>
      <c r="O535" s="70"/>
      <c r="P535" s="70"/>
      <c r="Q535" s="70"/>
      <c r="R535" s="3"/>
      <c r="S535" s="3"/>
      <c r="T535" s="3"/>
    </row>
    <row r="536">
      <c r="A536" s="3"/>
      <c r="B536" s="3"/>
      <c r="C536" s="3"/>
      <c r="E536" s="3"/>
      <c r="F536" s="9"/>
      <c r="G536" s="9"/>
      <c r="H536" s="70"/>
      <c r="I536" s="70"/>
      <c r="J536" s="70"/>
      <c r="K536" s="70"/>
      <c r="L536" s="3"/>
      <c r="M536" s="9"/>
      <c r="N536" s="5"/>
      <c r="O536" s="70"/>
      <c r="P536" s="70"/>
      <c r="Q536" s="70"/>
      <c r="R536" s="3"/>
      <c r="S536" s="3"/>
      <c r="T536" s="3"/>
    </row>
    <row r="537">
      <c r="A537" s="3"/>
      <c r="B537" s="3"/>
      <c r="C537" s="3"/>
      <c r="E537" s="3"/>
      <c r="F537" s="9"/>
      <c r="G537" s="9"/>
      <c r="H537" s="70"/>
      <c r="I537" s="70"/>
      <c r="J537" s="70"/>
      <c r="K537" s="70"/>
      <c r="L537" s="3"/>
      <c r="M537" s="9"/>
      <c r="N537" s="5"/>
      <c r="O537" s="70"/>
      <c r="P537" s="70"/>
      <c r="Q537" s="70"/>
      <c r="R537" s="3"/>
      <c r="S537" s="3"/>
      <c r="T537" s="3"/>
    </row>
    <row r="538">
      <c r="A538" s="3"/>
      <c r="B538" s="3"/>
      <c r="C538" s="3"/>
      <c r="E538" s="3"/>
      <c r="F538" s="9"/>
      <c r="G538" s="9"/>
      <c r="H538" s="70"/>
      <c r="I538" s="70"/>
      <c r="J538" s="70"/>
      <c r="K538" s="70"/>
      <c r="L538" s="3"/>
      <c r="M538" s="9"/>
      <c r="N538" s="5"/>
      <c r="O538" s="70"/>
      <c r="P538" s="70"/>
      <c r="Q538" s="70"/>
      <c r="R538" s="3"/>
      <c r="S538" s="3"/>
      <c r="T538" s="3"/>
    </row>
    <row r="539">
      <c r="A539" s="3"/>
      <c r="B539" s="3"/>
      <c r="C539" s="3"/>
      <c r="E539" s="3"/>
      <c r="F539" s="9"/>
      <c r="G539" s="9"/>
      <c r="H539" s="70"/>
      <c r="I539" s="70"/>
      <c r="J539" s="70"/>
      <c r="K539" s="70"/>
      <c r="L539" s="3"/>
      <c r="M539" s="9"/>
      <c r="N539" s="5"/>
      <c r="O539" s="70"/>
      <c r="P539" s="70"/>
      <c r="Q539" s="70"/>
      <c r="R539" s="3"/>
      <c r="S539" s="3"/>
      <c r="T539" s="3"/>
    </row>
    <row r="540">
      <c r="A540" s="3"/>
      <c r="B540" s="3"/>
      <c r="C540" s="3"/>
      <c r="E540" s="3"/>
      <c r="F540" s="9"/>
      <c r="G540" s="9"/>
      <c r="H540" s="70"/>
      <c r="I540" s="70"/>
      <c r="J540" s="70"/>
      <c r="K540" s="70"/>
      <c r="L540" s="3"/>
      <c r="M540" s="9"/>
      <c r="N540" s="5"/>
      <c r="O540" s="70"/>
      <c r="P540" s="70"/>
      <c r="Q540" s="70"/>
      <c r="R540" s="3"/>
      <c r="S540" s="3"/>
      <c r="T540" s="3"/>
    </row>
    <row r="541">
      <c r="A541" s="3"/>
      <c r="B541" s="3"/>
      <c r="C541" s="3"/>
      <c r="E541" s="3"/>
      <c r="F541" s="9"/>
      <c r="G541" s="9"/>
      <c r="H541" s="70"/>
      <c r="I541" s="70"/>
      <c r="J541" s="70"/>
      <c r="K541" s="70"/>
      <c r="L541" s="3"/>
      <c r="M541" s="9"/>
      <c r="N541" s="5"/>
      <c r="O541" s="70"/>
      <c r="P541" s="70"/>
      <c r="Q541" s="70"/>
      <c r="R541" s="3"/>
      <c r="S541" s="3"/>
      <c r="T541" s="3"/>
    </row>
    <row r="542">
      <c r="A542" s="3"/>
      <c r="B542" s="3"/>
      <c r="C542" s="3"/>
      <c r="E542" s="3"/>
      <c r="F542" s="9"/>
      <c r="G542" s="9"/>
      <c r="H542" s="70"/>
      <c r="I542" s="70"/>
      <c r="J542" s="70"/>
      <c r="K542" s="70"/>
      <c r="L542" s="3"/>
      <c r="M542" s="9"/>
      <c r="N542" s="5"/>
      <c r="O542" s="70"/>
      <c r="P542" s="70"/>
      <c r="Q542" s="70"/>
      <c r="R542" s="3"/>
      <c r="S542" s="3"/>
      <c r="T542" s="3"/>
    </row>
    <row r="543">
      <c r="A543" s="3"/>
      <c r="B543" s="3"/>
      <c r="C543" s="3"/>
      <c r="E543" s="3"/>
      <c r="F543" s="9"/>
      <c r="G543" s="9"/>
      <c r="H543" s="70"/>
      <c r="I543" s="70"/>
      <c r="J543" s="70"/>
      <c r="K543" s="70"/>
      <c r="L543" s="3"/>
      <c r="M543" s="9"/>
      <c r="N543" s="5"/>
      <c r="O543" s="70"/>
      <c r="P543" s="70"/>
      <c r="Q543" s="70"/>
      <c r="R543" s="3"/>
      <c r="S543" s="3"/>
      <c r="T543" s="3"/>
    </row>
    <row r="544">
      <c r="A544" s="3"/>
      <c r="B544" s="3"/>
      <c r="C544" s="3"/>
      <c r="E544" s="3"/>
      <c r="F544" s="9"/>
      <c r="G544" s="9"/>
      <c r="H544" s="70"/>
      <c r="I544" s="70"/>
      <c r="J544" s="70"/>
      <c r="K544" s="70"/>
      <c r="L544" s="3"/>
      <c r="M544" s="9"/>
      <c r="N544" s="5"/>
      <c r="O544" s="70"/>
      <c r="P544" s="70"/>
      <c r="Q544" s="70"/>
      <c r="R544" s="3"/>
      <c r="S544" s="3"/>
      <c r="T544" s="3"/>
    </row>
    <row r="545">
      <c r="A545" s="3"/>
      <c r="B545" s="3"/>
      <c r="C545" s="3"/>
      <c r="E545" s="3"/>
      <c r="F545" s="9"/>
      <c r="G545" s="9"/>
      <c r="H545" s="70"/>
      <c r="I545" s="70"/>
      <c r="J545" s="70"/>
      <c r="K545" s="70"/>
      <c r="L545" s="3"/>
      <c r="M545" s="9"/>
      <c r="N545" s="5"/>
      <c r="O545" s="70"/>
      <c r="P545" s="70"/>
      <c r="Q545" s="70"/>
      <c r="R545" s="3"/>
      <c r="S545" s="3"/>
      <c r="T545" s="3"/>
    </row>
    <row r="546">
      <c r="A546" s="3"/>
      <c r="B546" s="3"/>
      <c r="C546" s="3"/>
      <c r="E546" s="3"/>
      <c r="F546" s="9"/>
      <c r="G546" s="9"/>
      <c r="H546" s="70"/>
      <c r="I546" s="70"/>
      <c r="J546" s="70"/>
      <c r="K546" s="70"/>
      <c r="L546" s="3"/>
      <c r="M546" s="9"/>
      <c r="N546" s="5"/>
      <c r="O546" s="70"/>
      <c r="P546" s="70"/>
      <c r="Q546" s="70"/>
      <c r="R546" s="3"/>
      <c r="S546" s="3"/>
      <c r="T546" s="3"/>
    </row>
    <row r="547">
      <c r="A547" s="3"/>
      <c r="B547" s="3"/>
      <c r="C547" s="3"/>
      <c r="E547" s="3"/>
      <c r="F547" s="9"/>
      <c r="G547" s="9"/>
      <c r="H547" s="70"/>
      <c r="I547" s="70"/>
      <c r="J547" s="70"/>
      <c r="K547" s="70"/>
      <c r="L547" s="3"/>
      <c r="M547" s="9"/>
      <c r="N547" s="5"/>
      <c r="O547" s="70"/>
      <c r="P547" s="70"/>
      <c r="Q547" s="70"/>
      <c r="R547" s="3"/>
      <c r="S547" s="3"/>
      <c r="T547" s="3"/>
    </row>
    <row r="548">
      <c r="A548" s="3"/>
      <c r="B548" s="3"/>
      <c r="C548" s="3"/>
      <c r="E548" s="3"/>
      <c r="F548" s="9"/>
      <c r="G548" s="9"/>
      <c r="H548" s="70"/>
      <c r="I548" s="70"/>
      <c r="J548" s="70"/>
      <c r="K548" s="70"/>
      <c r="L548" s="3"/>
      <c r="M548" s="9"/>
      <c r="N548" s="5"/>
      <c r="O548" s="70"/>
      <c r="P548" s="70"/>
      <c r="Q548" s="70"/>
      <c r="R548" s="3"/>
      <c r="S548" s="3"/>
      <c r="T548" s="3"/>
    </row>
    <row r="549">
      <c r="A549" s="3"/>
      <c r="B549" s="3"/>
      <c r="C549" s="3"/>
      <c r="E549" s="3"/>
      <c r="F549" s="9"/>
      <c r="G549" s="9"/>
      <c r="H549" s="70"/>
      <c r="I549" s="70"/>
      <c r="J549" s="70"/>
      <c r="K549" s="70"/>
      <c r="L549" s="3"/>
      <c r="M549" s="9"/>
      <c r="N549" s="5"/>
      <c r="O549" s="70"/>
      <c r="P549" s="70"/>
      <c r="Q549" s="70"/>
      <c r="R549" s="3"/>
      <c r="S549" s="3"/>
      <c r="T549" s="3"/>
    </row>
    <row r="550">
      <c r="A550" s="3"/>
      <c r="B550" s="3"/>
      <c r="C550" s="3"/>
      <c r="E550" s="3"/>
      <c r="F550" s="9"/>
      <c r="G550" s="9"/>
      <c r="H550" s="70"/>
      <c r="I550" s="70"/>
      <c r="J550" s="70"/>
      <c r="K550" s="70"/>
      <c r="L550" s="3"/>
      <c r="M550" s="9"/>
      <c r="N550" s="5"/>
      <c r="O550" s="70"/>
      <c r="P550" s="70"/>
      <c r="Q550" s="70"/>
      <c r="R550" s="3"/>
      <c r="S550" s="3"/>
      <c r="T550" s="3"/>
    </row>
    <row r="551">
      <c r="A551" s="3"/>
      <c r="B551" s="3"/>
      <c r="C551" s="3"/>
      <c r="E551" s="3"/>
      <c r="F551" s="9"/>
      <c r="G551" s="9"/>
      <c r="H551" s="70"/>
      <c r="I551" s="70"/>
      <c r="J551" s="70"/>
      <c r="K551" s="70"/>
      <c r="L551" s="3"/>
      <c r="M551" s="9"/>
      <c r="N551" s="5"/>
      <c r="O551" s="70"/>
      <c r="P551" s="70"/>
      <c r="Q551" s="70"/>
      <c r="R551" s="3"/>
      <c r="S551" s="3"/>
      <c r="T551" s="3"/>
    </row>
    <row r="552">
      <c r="A552" s="3"/>
      <c r="B552" s="3"/>
      <c r="C552" s="3"/>
      <c r="E552" s="3"/>
      <c r="F552" s="9"/>
      <c r="G552" s="9"/>
      <c r="H552" s="70"/>
      <c r="I552" s="70"/>
      <c r="J552" s="70"/>
      <c r="K552" s="70"/>
      <c r="L552" s="3"/>
      <c r="M552" s="9"/>
      <c r="N552" s="5"/>
      <c r="O552" s="70"/>
      <c r="P552" s="70"/>
      <c r="Q552" s="70"/>
      <c r="R552" s="3"/>
      <c r="S552" s="3"/>
      <c r="T552" s="3"/>
    </row>
    <row r="553">
      <c r="A553" s="3"/>
      <c r="B553" s="3"/>
      <c r="C553" s="3"/>
      <c r="E553" s="3"/>
      <c r="F553" s="9"/>
      <c r="G553" s="9"/>
      <c r="H553" s="70"/>
      <c r="I553" s="70"/>
      <c r="J553" s="70"/>
      <c r="K553" s="70"/>
      <c r="L553" s="3"/>
      <c r="M553" s="9"/>
      <c r="N553" s="5"/>
      <c r="O553" s="70"/>
      <c r="P553" s="70"/>
      <c r="Q553" s="70"/>
      <c r="R553" s="3"/>
      <c r="S553" s="3"/>
      <c r="T553" s="3"/>
    </row>
    <row r="554">
      <c r="A554" s="3"/>
      <c r="B554" s="3"/>
      <c r="C554" s="3"/>
      <c r="E554" s="3"/>
      <c r="F554" s="9"/>
      <c r="G554" s="9"/>
      <c r="H554" s="70"/>
      <c r="I554" s="70"/>
      <c r="J554" s="70"/>
      <c r="K554" s="70"/>
      <c r="L554" s="3"/>
      <c r="M554" s="9"/>
      <c r="N554" s="5"/>
      <c r="O554" s="70"/>
      <c r="P554" s="70"/>
      <c r="Q554" s="70"/>
      <c r="R554" s="3"/>
      <c r="S554" s="3"/>
      <c r="T554" s="3"/>
    </row>
    <row r="555">
      <c r="A555" s="3"/>
      <c r="B555" s="3"/>
      <c r="C555" s="3"/>
      <c r="E555" s="3"/>
      <c r="F555" s="9"/>
      <c r="G555" s="9"/>
      <c r="H555" s="70"/>
      <c r="I555" s="70"/>
      <c r="J555" s="70"/>
      <c r="K555" s="70"/>
      <c r="L555" s="3"/>
      <c r="M555" s="9"/>
      <c r="N555" s="5"/>
      <c r="O555" s="70"/>
      <c r="P555" s="70"/>
      <c r="Q555" s="70"/>
      <c r="R555" s="3"/>
      <c r="S555" s="3"/>
      <c r="T555" s="3"/>
    </row>
    <row r="556">
      <c r="A556" s="3"/>
      <c r="B556" s="3"/>
      <c r="C556" s="3"/>
      <c r="E556" s="3"/>
      <c r="F556" s="9"/>
      <c r="G556" s="9"/>
      <c r="H556" s="70"/>
      <c r="I556" s="70"/>
      <c r="J556" s="70"/>
      <c r="K556" s="70"/>
      <c r="L556" s="3"/>
      <c r="M556" s="9"/>
      <c r="N556" s="5"/>
      <c r="O556" s="70"/>
      <c r="P556" s="70"/>
      <c r="Q556" s="70"/>
      <c r="R556" s="3"/>
      <c r="S556" s="3"/>
      <c r="T556" s="3"/>
    </row>
    <row r="557">
      <c r="A557" s="3"/>
      <c r="B557" s="3"/>
      <c r="C557" s="3"/>
      <c r="E557" s="3"/>
      <c r="F557" s="9"/>
      <c r="G557" s="9"/>
      <c r="H557" s="70"/>
      <c r="I557" s="70"/>
      <c r="J557" s="70"/>
      <c r="K557" s="70"/>
      <c r="L557" s="3"/>
      <c r="M557" s="9"/>
      <c r="N557" s="5"/>
      <c r="O557" s="70"/>
      <c r="P557" s="70"/>
      <c r="Q557" s="70"/>
      <c r="R557" s="3"/>
      <c r="S557" s="3"/>
      <c r="T557" s="3"/>
    </row>
    <row r="558">
      <c r="A558" s="3"/>
      <c r="B558" s="3"/>
      <c r="C558" s="3"/>
      <c r="E558" s="3"/>
      <c r="F558" s="9"/>
      <c r="G558" s="9"/>
      <c r="H558" s="70"/>
      <c r="I558" s="70"/>
      <c r="J558" s="70"/>
      <c r="K558" s="70"/>
      <c r="L558" s="3"/>
      <c r="M558" s="9"/>
      <c r="N558" s="5"/>
      <c r="O558" s="70"/>
      <c r="P558" s="70"/>
      <c r="Q558" s="70"/>
      <c r="R558" s="3"/>
      <c r="S558" s="3"/>
      <c r="T558" s="3"/>
    </row>
    <row r="559">
      <c r="A559" s="3"/>
      <c r="B559" s="3"/>
      <c r="C559" s="3"/>
      <c r="E559" s="3"/>
      <c r="F559" s="9"/>
      <c r="G559" s="9"/>
      <c r="H559" s="70"/>
      <c r="I559" s="70"/>
      <c r="J559" s="70"/>
      <c r="K559" s="70"/>
      <c r="L559" s="3"/>
      <c r="M559" s="9"/>
      <c r="N559" s="5"/>
      <c r="O559" s="70"/>
      <c r="P559" s="70"/>
      <c r="Q559" s="70"/>
      <c r="R559" s="3"/>
      <c r="S559" s="3"/>
      <c r="T559" s="3"/>
    </row>
    <row r="560">
      <c r="A560" s="3"/>
      <c r="B560" s="3"/>
      <c r="C560" s="3"/>
      <c r="E560" s="3"/>
      <c r="F560" s="9"/>
      <c r="G560" s="9"/>
      <c r="H560" s="70"/>
      <c r="I560" s="70"/>
      <c r="J560" s="70"/>
      <c r="K560" s="70"/>
      <c r="L560" s="3"/>
      <c r="M560" s="9"/>
      <c r="N560" s="5"/>
      <c r="O560" s="70"/>
      <c r="P560" s="70"/>
      <c r="Q560" s="70"/>
      <c r="R560" s="3"/>
      <c r="S560" s="3"/>
      <c r="T560" s="3"/>
    </row>
    <row r="561">
      <c r="A561" s="3"/>
      <c r="B561" s="3"/>
      <c r="C561" s="3"/>
      <c r="E561" s="3"/>
      <c r="F561" s="9"/>
      <c r="G561" s="9"/>
      <c r="H561" s="70"/>
      <c r="I561" s="70"/>
      <c r="J561" s="70"/>
      <c r="K561" s="70"/>
      <c r="L561" s="3"/>
      <c r="M561" s="9"/>
      <c r="N561" s="5"/>
      <c r="O561" s="70"/>
      <c r="P561" s="70"/>
      <c r="Q561" s="70"/>
      <c r="R561" s="3"/>
      <c r="S561" s="3"/>
      <c r="T561" s="3"/>
    </row>
    <row r="562">
      <c r="A562" s="3"/>
      <c r="B562" s="3"/>
      <c r="C562" s="3"/>
      <c r="E562" s="3"/>
      <c r="F562" s="9"/>
      <c r="G562" s="9"/>
      <c r="H562" s="70"/>
      <c r="I562" s="70"/>
      <c r="J562" s="70"/>
      <c r="K562" s="70"/>
      <c r="L562" s="3"/>
      <c r="M562" s="9"/>
      <c r="N562" s="5"/>
      <c r="O562" s="70"/>
      <c r="P562" s="70"/>
      <c r="Q562" s="70"/>
      <c r="R562" s="3"/>
      <c r="S562" s="3"/>
      <c r="T562" s="3"/>
    </row>
    <row r="563">
      <c r="A563" s="3"/>
      <c r="B563" s="3"/>
      <c r="C563" s="3"/>
      <c r="E563" s="3"/>
      <c r="F563" s="9"/>
      <c r="G563" s="9"/>
      <c r="H563" s="70"/>
      <c r="I563" s="70"/>
      <c r="J563" s="70"/>
      <c r="K563" s="70"/>
      <c r="L563" s="3"/>
      <c r="M563" s="9"/>
      <c r="N563" s="5"/>
      <c r="O563" s="70"/>
      <c r="P563" s="70"/>
      <c r="Q563" s="70"/>
      <c r="R563" s="3"/>
      <c r="S563" s="3"/>
      <c r="T563" s="3"/>
    </row>
    <row r="564">
      <c r="A564" s="3"/>
      <c r="B564" s="3"/>
      <c r="C564" s="3"/>
      <c r="E564" s="3"/>
      <c r="F564" s="9"/>
      <c r="G564" s="9"/>
      <c r="H564" s="70"/>
      <c r="I564" s="70"/>
      <c r="J564" s="70"/>
      <c r="K564" s="70"/>
      <c r="L564" s="3"/>
      <c r="M564" s="9"/>
      <c r="N564" s="5"/>
      <c r="O564" s="70"/>
      <c r="P564" s="70"/>
      <c r="Q564" s="70"/>
      <c r="R564" s="3"/>
      <c r="S564" s="3"/>
      <c r="T564" s="3"/>
    </row>
    <row r="565">
      <c r="A565" s="3"/>
      <c r="B565" s="3"/>
      <c r="C565" s="3"/>
      <c r="E565" s="3"/>
      <c r="F565" s="9"/>
      <c r="G565" s="9"/>
      <c r="H565" s="70"/>
      <c r="I565" s="70"/>
      <c r="J565" s="70"/>
      <c r="K565" s="70"/>
      <c r="L565" s="3"/>
      <c r="M565" s="9"/>
      <c r="N565" s="5"/>
      <c r="O565" s="70"/>
      <c r="P565" s="70"/>
      <c r="Q565" s="70"/>
      <c r="R565" s="3"/>
      <c r="S565" s="3"/>
      <c r="T565" s="3"/>
    </row>
    <row r="566">
      <c r="A566" s="3"/>
      <c r="B566" s="3"/>
      <c r="C566" s="3"/>
      <c r="E566" s="3"/>
      <c r="F566" s="9"/>
      <c r="G566" s="9"/>
      <c r="H566" s="70"/>
      <c r="I566" s="70"/>
      <c r="J566" s="70"/>
      <c r="K566" s="70"/>
      <c r="L566" s="3"/>
      <c r="M566" s="9"/>
      <c r="N566" s="5"/>
      <c r="O566" s="70"/>
      <c r="P566" s="70"/>
      <c r="Q566" s="70"/>
      <c r="R566" s="3"/>
      <c r="S566" s="3"/>
      <c r="T566" s="3"/>
    </row>
    <row r="567">
      <c r="A567" s="3"/>
      <c r="B567" s="3"/>
      <c r="C567" s="3"/>
      <c r="E567" s="3"/>
      <c r="F567" s="9"/>
      <c r="G567" s="9"/>
      <c r="H567" s="70"/>
      <c r="I567" s="70"/>
      <c r="J567" s="70"/>
      <c r="K567" s="70"/>
      <c r="L567" s="3"/>
      <c r="M567" s="9"/>
      <c r="N567" s="5"/>
      <c r="O567" s="70"/>
      <c r="P567" s="70"/>
      <c r="Q567" s="70"/>
      <c r="R567" s="3"/>
      <c r="S567" s="3"/>
      <c r="T567" s="3"/>
    </row>
    <row r="568">
      <c r="A568" s="3"/>
      <c r="B568" s="3"/>
      <c r="C568" s="3"/>
      <c r="E568" s="3"/>
      <c r="F568" s="9"/>
      <c r="G568" s="9"/>
      <c r="H568" s="70"/>
      <c r="I568" s="70"/>
      <c r="J568" s="70"/>
      <c r="K568" s="70"/>
      <c r="L568" s="3"/>
      <c r="M568" s="9"/>
      <c r="N568" s="5"/>
      <c r="O568" s="70"/>
      <c r="P568" s="70"/>
      <c r="Q568" s="70"/>
      <c r="R568" s="3"/>
      <c r="S568" s="3"/>
      <c r="T568" s="3"/>
    </row>
    <row r="569">
      <c r="A569" s="3"/>
      <c r="B569" s="3"/>
      <c r="C569" s="3"/>
      <c r="E569" s="3"/>
      <c r="F569" s="9"/>
      <c r="G569" s="9"/>
      <c r="H569" s="70"/>
      <c r="I569" s="70"/>
      <c r="J569" s="70"/>
      <c r="K569" s="70"/>
      <c r="L569" s="3"/>
      <c r="M569" s="9"/>
      <c r="N569" s="5"/>
      <c r="O569" s="70"/>
      <c r="P569" s="70"/>
      <c r="Q569" s="70"/>
      <c r="R569" s="3"/>
      <c r="S569" s="3"/>
      <c r="T569" s="3"/>
    </row>
    <row r="570">
      <c r="A570" s="3"/>
      <c r="B570" s="3"/>
      <c r="C570" s="3"/>
      <c r="E570" s="3"/>
      <c r="F570" s="9"/>
      <c r="G570" s="9"/>
      <c r="H570" s="70"/>
      <c r="I570" s="70"/>
      <c r="J570" s="70"/>
      <c r="K570" s="70"/>
      <c r="L570" s="3"/>
      <c r="M570" s="9"/>
      <c r="N570" s="5"/>
      <c r="O570" s="70"/>
      <c r="P570" s="70"/>
      <c r="Q570" s="70"/>
      <c r="R570" s="3"/>
      <c r="S570" s="3"/>
      <c r="T570" s="3"/>
    </row>
    <row r="571">
      <c r="A571" s="3"/>
      <c r="B571" s="3"/>
      <c r="C571" s="3"/>
      <c r="E571" s="3"/>
      <c r="F571" s="9"/>
      <c r="G571" s="9"/>
      <c r="H571" s="70"/>
      <c r="I571" s="70"/>
      <c r="J571" s="70"/>
      <c r="K571" s="70"/>
      <c r="L571" s="3"/>
      <c r="M571" s="9"/>
      <c r="N571" s="5"/>
      <c r="O571" s="70"/>
      <c r="P571" s="70"/>
      <c r="Q571" s="70"/>
      <c r="R571" s="3"/>
      <c r="S571" s="3"/>
      <c r="T571" s="3"/>
    </row>
    <row r="572">
      <c r="A572" s="3"/>
      <c r="B572" s="3"/>
      <c r="C572" s="3"/>
      <c r="E572" s="3"/>
      <c r="F572" s="9"/>
      <c r="G572" s="9"/>
      <c r="H572" s="70"/>
      <c r="I572" s="70"/>
      <c r="J572" s="70"/>
      <c r="K572" s="70"/>
      <c r="L572" s="3"/>
      <c r="M572" s="9"/>
      <c r="N572" s="5"/>
      <c r="O572" s="70"/>
      <c r="P572" s="70"/>
      <c r="Q572" s="70"/>
      <c r="R572" s="3"/>
      <c r="S572" s="3"/>
      <c r="T572" s="3"/>
    </row>
    <row r="573">
      <c r="A573" s="3"/>
      <c r="B573" s="3"/>
      <c r="C573" s="3"/>
      <c r="E573" s="3"/>
      <c r="F573" s="9"/>
      <c r="G573" s="9"/>
      <c r="H573" s="70"/>
      <c r="I573" s="70"/>
      <c r="J573" s="70"/>
      <c r="K573" s="70"/>
      <c r="L573" s="3"/>
      <c r="M573" s="9"/>
      <c r="N573" s="5"/>
      <c r="O573" s="70"/>
      <c r="P573" s="70"/>
      <c r="Q573" s="70"/>
      <c r="R573" s="3"/>
      <c r="S573" s="3"/>
      <c r="T573" s="3"/>
    </row>
    <row r="574">
      <c r="A574" s="3"/>
      <c r="B574" s="3"/>
      <c r="C574" s="3"/>
      <c r="E574" s="3"/>
      <c r="F574" s="9"/>
      <c r="G574" s="9"/>
      <c r="H574" s="70"/>
      <c r="I574" s="70"/>
      <c r="J574" s="70"/>
      <c r="K574" s="70"/>
      <c r="L574" s="3"/>
      <c r="M574" s="9"/>
      <c r="N574" s="5"/>
      <c r="O574" s="70"/>
      <c r="P574" s="70"/>
      <c r="Q574" s="70"/>
      <c r="R574" s="3"/>
      <c r="S574" s="3"/>
      <c r="T574" s="3"/>
    </row>
    <row r="575">
      <c r="A575" s="3"/>
      <c r="B575" s="3"/>
      <c r="C575" s="3"/>
      <c r="E575" s="3"/>
      <c r="F575" s="9"/>
      <c r="G575" s="9"/>
      <c r="H575" s="70"/>
      <c r="I575" s="70"/>
      <c r="J575" s="70"/>
      <c r="K575" s="70"/>
      <c r="L575" s="3"/>
      <c r="M575" s="9"/>
      <c r="N575" s="5"/>
      <c r="O575" s="70"/>
      <c r="P575" s="70"/>
      <c r="Q575" s="70"/>
      <c r="R575" s="3"/>
      <c r="S575" s="3"/>
      <c r="T575" s="3"/>
    </row>
    <row r="576">
      <c r="A576" s="3"/>
      <c r="B576" s="3"/>
      <c r="C576" s="3"/>
      <c r="E576" s="3"/>
      <c r="F576" s="9"/>
      <c r="G576" s="9"/>
      <c r="H576" s="70"/>
      <c r="I576" s="70"/>
      <c r="J576" s="70"/>
      <c r="K576" s="70"/>
      <c r="L576" s="3"/>
      <c r="M576" s="9"/>
      <c r="N576" s="5"/>
      <c r="O576" s="70"/>
      <c r="P576" s="70"/>
      <c r="Q576" s="70"/>
      <c r="R576" s="3"/>
      <c r="S576" s="3"/>
      <c r="T576" s="3"/>
    </row>
    <row r="577">
      <c r="A577" s="3"/>
      <c r="B577" s="3"/>
      <c r="C577" s="3"/>
      <c r="E577" s="3"/>
      <c r="F577" s="9"/>
      <c r="G577" s="9"/>
      <c r="H577" s="70"/>
      <c r="I577" s="70"/>
      <c r="J577" s="70"/>
      <c r="K577" s="70"/>
      <c r="L577" s="3"/>
      <c r="M577" s="9"/>
      <c r="N577" s="5"/>
      <c r="O577" s="70"/>
      <c r="P577" s="70"/>
      <c r="Q577" s="70"/>
      <c r="R577" s="3"/>
      <c r="S577" s="3"/>
      <c r="T577" s="3"/>
    </row>
    <row r="578">
      <c r="A578" s="3"/>
      <c r="B578" s="3"/>
      <c r="C578" s="3"/>
      <c r="E578" s="3"/>
      <c r="F578" s="9"/>
      <c r="G578" s="9"/>
      <c r="H578" s="70"/>
      <c r="I578" s="70"/>
      <c r="J578" s="70"/>
      <c r="K578" s="70"/>
      <c r="L578" s="3"/>
      <c r="M578" s="9"/>
      <c r="N578" s="5"/>
      <c r="O578" s="70"/>
      <c r="P578" s="70"/>
      <c r="Q578" s="70"/>
      <c r="R578" s="3"/>
      <c r="S578" s="3"/>
      <c r="T578" s="3"/>
    </row>
    <row r="579">
      <c r="A579" s="3"/>
      <c r="B579" s="3"/>
      <c r="C579" s="3"/>
      <c r="E579" s="3"/>
      <c r="F579" s="9"/>
      <c r="G579" s="9"/>
      <c r="H579" s="70"/>
      <c r="I579" s="70"/>
      <c r="J579" s="70"/>
      <c r="K579" s="70"/>
      <c r="L579" s="3"/>
      <c r="M579" s="9"/>
      <c r="N579" s="5"/>
      <c r="O579" s="70"/>
      <c r="P579" s="70"/>
      <c r="Q579" s="70"/>
      <c r="R579" s="3"/>
      <c r="S579" s="3"/>
      <c r="T579" s="3"/>
    </row>
    <row r="580">
      <c r="A580" s="3"/>
      <c r="B580" s="3"/>
      <c r="C580" s="3"/>
      <c r="E580" s="3"/>
      <c r="F580" s="9"/>
      <c r="G580" s="9"/>
      <c r="H580" s="70"/>
      <c r="I580" s="70"/>
      <c r="J580" s="70"/>
      <c r="K580" s="70"/>
      <c r="L580" s="3"/>
      <c r="M580" s="9"/>
      <c r="N580" s="5"/>
      <c r="O580" s="70"/>
      <c r="P580" s="70"/>
      <c r="Q580" s="70"/>
      <c r="R580" s="3"/>
      <c r="S580" s="3"/>
      <c r="T580" s="3"/>
    </row>
    <row r="581">
      <c r="A581" s="3"/>
      <c r="B581" s="3"/>
      <c r="C581" s="3"/>
      <c r="E581" s="3"/>
      <c r="F581" s="9"/>
      <c r="G581" s="9"/>
      <c r="H581" s="70"/>
      <c r="I581" s="70"/>
      <c r="J581" s="70"/>
      <c r="K581" s="70"/>
      <c r="L581" s="3"/>
      <c r="M581" s="9"/>
      <c r="N581" s="5"/>
      <c r="O581" s="70"/>
      <c r="P581" s="70"/>
      <c r="Q581" s="70"/>
      <c r="R581" s="3"/>
      <c r="S581" s="3"/>
      <c r="T581" s="3"/>
    </row>
    <row r="582">
      <c r="A582" s="3"/>
      <c r="B582" s="3"/>
      <c r="C582" s="3"/>
      <c r="E582" s="3"/>
      <c r="F582" s="9"/>
      <c r="G582" s="9"/>
      <c r="H582" s="70"/>
      <c r="I582" s="70"/>
      <c r="J582" s="70"/>
      <c r="K582" s="70"/>
      <c r="L582" s="3"/>
      <c r="M582" s="9"/>
      <c r="N582" s="5"/>
      <c r="O582" s="70"/>
      <c r="P582" s="70"/>
      <c r="Q582" s="70"/>
      <c r="R582" s="3"/>
      <c r="S582" s="3"/>
      <c r="T582" s="3"/>
    </row>
    <row r="583">
      <c r="A583" s="3"/>
      <c r="B583" s="3"/>
      <c r="C583" s="3"/>
      <c r="E583" s="3"/>
      <c r="F583" s="9"/>
      <c r="G583" s="9"/>
      <c r="H583" s="70"/>
      <c r="I583" s="70"/>
      <c r="J583" s="70"/>
      <c r="K583" s="70"/>
      <c r="L583" s="3"/>
      <c r="M583" s="9"/>
      <c r="N583" s="5"/>
      <c r="O583" s="70"/>
      <c r="P583" s="70"/>
      <c r="Q583" s="70"/>
      <c r="R583" s="3"/>
      <c r="S583" s="3"/>
      <c r="T583" s="3"/>
    </row>
    <row r="584">
      <c r="A584" s="3"/>
      <c r="B584" s="3"/>
      <c r="C584" s="3"/>
      <c r="E584" s="3"/>
      <c r="F584" s="9"/>
      <c r="G584" s="9"/>
      <c r="H584" s="70"/>
      <c r="I584" s="70"/>
      <c r="J584" s="70"/>
      <c r="K584" s="70"/>
      <c r="L584" s="3"/>
      <c r="M584" s="9"/>
      <c r="N584" s="5"/>
      <c r="O584" s="70"/>
      <c r="P584" s="70"/>
      <c r="Q584" s="70"/>
      <c r="R584" s="3"/>
      <c r="S584" s="3"/>
      <c r="T584" s="3"/>
    </row>
    <row r="585">
      <c r="A585" s="3"/>
      <c r="B585" s="3"/>
      <c r="C585" s="3"/>
      <c r="E585" s="3"/>
      <c r="F585" s="9"/>
      <c r="G585" s="9"/>
      <c r="H585" s="70"/>
      <c r="I585" s="70"/>
      <c r="J585" s="70"/>
      <c r="K585" s="70"/>
      <c r="L585" s="3"/>
      <c r="M585" s="9"/>
      <c r="N585" s="5"/>
      <c r="O585" s="70"/>
      <c r="P585" s="70"/>
      <c r="Q585" s="70"/>
      <c r="R585" s="3"/>
      <c r="S585" s="3"/>
      <c r="T585" s="3"/>
    </row>
    <row r="586">
      <c r="A586" s="3"/>
      <c r="B586" s="3"/>
      <c r="C586" s="3"/>
      <c r="E586" s="3"/>
      <c r="F586" s="9"/>
      <c r="G586" s="9"/>
      <c r="H586" s="70"/>
      <c r="I586" s="70"/>
      <c r="J586" s="70"/>
      <c r="K586" s="70"/>
      <c r="L586" s="3"/>
      <c r="M586" s="9"/>
      <c r="N586" s="5"/>
      <c r="O586" s="70"/>
      <c r="P586" s="70"/>
      <c r="Q586" s="70"/>
      <c r="R586" s="3"/>
      <c r="S586" s="3"/>
      <c r="T586" s="3"/>
    </row>
    <row r="587">
      <c r="A587" s="3"/>
      <c r="B587" s="3"/>
      <c r="C587" s="3"/>
      <c r="E587" s="3"/>
      <c r="F587" s="9"/>
      <c r="G587" s="9"/>
      <c r="H587" s="70"/>
      <c r="I587" s="70"/>
      <c r="J587" s="70"/>
      <c r="K587" s="70"/>
      <c r="L587" s="3"/>
      <c r="M587" s="9"/>
      <c r="N587" s="5"/>
      <c r="O587" s="70"/>
      <c r="P587" s="70"/>
      <c r="Q587" s="70"/>
      <c r="R587" s="3"/>
      <c r="S587" s="3"/>
      <c r="T587" s="3"/>
    </row>
    <row r="588">
      <c r="A588" s="3"/>
      <c r="B588" s="3"/>
      <c r="C588" s="3"/>
      <c r="E588" s="3"/>
      <c r="F588" s="9"/>
      <c r="G588" s="9"/>
      <c r="H588" s="70"/>
      <c r="I588" s="70"/>
      <c r="J588" s="70"/>
      <c r="K588" s="70"/>
      <c r="L588" s="3"/>
      <c r="M588" s="9"/>
      <c r="N588" s="5"/>
      <c r="O588" s="70"/>
      <c r="P588" s="70"/>
      <c r="Q588" s="70"/>
      <c r="R588" s="3"/>
      <c r="S588" s="3"/>
      <c r="T588" s="3"/>
    </row>
    <row r="589">
      <c r="A589" s="3"/>
      <c r="B589" s="3"/>
      <c r="C589" s="3"/>
      <c r="E589" s="3"/>
      <c r="F589" s="9"/>
      <c r="G589" s="9"/>
      <c r="H589" s="70"/>
      <c r="I589" s="70"/>
      <c r="J589" s="70"/>
      <c r="K589" s="70"/>
      <c r="L589" s="3"/>
      <c r="M589" s="9"/>
      <c r="N589" s="5"/>
      <c r="O589" s="70"/>
      <c r="P589" s="70"/>
      <c r="Q589" s="70"/>
      <c r="R589" s="3"/>
      <c r="S589" s="3"/>
      <c r="T589" s="3"/>
    </row>
    <row r="590">
      <c r="A590" s="3"/>
      <c r="B590" s="3"/>
      <c r="C590" s="3"/>
      <c r="E590" s="3"/>
      <c r="F590" s="9"/>
      <c r="G590" s="9"/>
      <c r="H590" s="70"/>
      <c r="I590" s="70"/>
      <c r="J590" s="70"/>
      <c r="K590" s="70"/>
      <c r="L590" s="3"/>
      <c r="M590" s="9"/>
      <c r="N590" s="5"/>
      <c r="O590" s="70"/>
      <c r="P590" s="70"/>
      <c r="Q590" s="70"/>
      <c r="R590" s="3"/>
      <c r="S590" s="3"/>
      <c r="T590" s="3"/>
    </row>
    <row r="591">
      <c r="A591" s="3"/>
      <c r="B591" s="3"/>
      <c r="C591" s="3"/>
      <c r="E591" s="3"/>
      <c r="F591" s="9"/>
      <c r="G591" s="9"/>
      <c r="H591" s="70"/>
      <c r="I591" s="70"/>
      <c r="J591" s="70"/>
      <c r="K591" s="70"/>
      <c r="L591" s="3"/>
      <c r="M591" s="9"/>
      <c r="N591" s="5"/>
      <c r="O591" s="70"/>
      <c r="P591" s="70"/>
      <c r="Q591" s="70"/>
      <c r="R591" s="3"/>
      <c r="S591" s="3"/>
      <c r="T591" s="3"/>
    </row>
    <row r="592">
      <c r="A592" s="3"/>
      <c r="B592" s="3"/>
      <c r="C592" s="3"/>
      <c r="E592" s="3"/>
      <c r="F592" s="9"/>
      <c r="G592" s="9"/>
      <c r="H592" s="70"/>
      <c r="I592" s="70"/>
      <c r="J592" s="70"/>
      <c r="K592" s="70"/>
      <c r="L592" s="3"/>
      <c r="M592" s="9"/>
      <c r="N592" s="5"/>
      <c r="O592" s="70"/>
      <c r="P592" s="70"/>
      <c r="Q592" s="70"/>
      <c r="R592" s="3"/>
      <c r="S592" s="3"/>
      <c r="T592" s="3"/>
    </row>
    <row r="593">
      <c r="A593" s="3"/>
      <c r="B593" s="3"/>
      <c r="C593" s="3"/>
      <c r="E593" s="3"/>
      <c r="F593" s="9"/>
      <c r="G593" s="9"/>
      <c r="H593" s="70"/>
      <c r="I593" s="70"/>
      <c r="J593" s="70"/>
      <c r="K593" s="70"/>
      <c r="L593" s="3"/>
      <c r="M593" s="9"/>
      <c r="N593" s="5"/>
      <c r="O593" s="70"/>
      <c r="P593" s="70"/>
      <c r="Q593" s="70"/>
      <c r="R593" s="3"/>
      <c r="S593" s="3"/>
      <c r="T593" s="3"/>
    </row>
    <row r="594">
      <c r="A594" s="3"/>
      <c r="B594" s="3"/>
      <c r="C594" s="3"/>
      <c r="E594" s="3"/>
      <c r="F594" s="9"/>
      <c r="G594" s="9"/>
      <c r="H594" s="70"/>
      <c r="I594" s="70"/>
      <c r="J594" s="70"/>
      <c r="K594" s="70"/>
      <c r="L594" s="3"/>
      <c r="M594" s="9"/>
      <c r="N594" s="5"/>
      <c r="O594" s="70"/>
      <c r="P594" s="70"/>
      <c r="Q594" s="70"/>
      <c r="R594" s="3"/>
      <c r="S594" s="3"/>
      <c r="T594" s="3"/>
    </row>
    <row r="595">
      <c r="A595" s="3"/>
      <c r="B595" s="3"/>
      <c r="C595" s="3"/>
      <c r="E595" s="3"/>
      <c r="F595" s="9"/>
      <c r="G595" s="9"/>
      <c r="H595" s="70"/>
      <c r="I595" s="70"/>
      <c r="J595" s="70"/>
      <c r="K595" s="70"/>
      <c r="L595" s="3"/>
      <c r="M595" s="9"/>
      <c r="N595" s="5"/>
      <c r="O595" s="70"/>
      <c r="P595" s="70"/>
      <c r="Q595" s="70"/>
      <c r="R595" s="3"/>
      <c r="S595" s="3"/>
      <c r="T595" s="3"/>
    </row>
    <row r="596">
      <c r="A596" s="3"/>
      <c r="B596" s="3"/>
      <c r="C596" s="3"/>
      <c r="E596" s="3"/>
      <c r="F596" s="9"/>
      <c r="G596" s="9"/>
      <c r="H596" s="70"/>
      <c r="I596" s="70"/>
      <c r="J596" s="70"/>
      <c r="K596" s="70"/>
      <c r="L596" s="3"/>
      <c r="M596" s="9"/>
      <c r="N596" s="5"/>
      <c r="O596" s="70"/>
      <c r="P596" s="70"/>
      <c r="Q596" s="70"/>
      <c r="R596" s="3"/>
      <c r="S596" s="3"/>
      <c r="T596" s="3"/>
    </row>
    <row r="597">
      <c r="A597" s="3"/>
      <c r="B597" s="3"/>
      <c r="C597" s="3"/>
      <c r="E597" s="3"/>
      <c r="F597" s="9"/>
      <c r="G597" s="9"/>
      <c r="H597" s="70"/>
      <c r="I597" s="70"/>
      <c r="J597" s="70"/>
      <c r="K597" s="70"/>
      <c r="L597" s="3"/>
      <c r="M597" s="9"/>
      <c r="N597" s="5"/>
      <c r="O597" s="70"/>
      <c r="P597" s="70"/>
      <c r="Q597" s="70"/>
      <c r="R597" s="3"/>
      <c r="S597" s="3"/>
      <c r="T597" s="3"/>
    </row>
    <row r="598">
      <c r="A598" s="3"/>
      <c r="B598" s="3"/>
      <c r="C598" s="3"/>
      <c r="E598" s="3"/>
      <c r="F598" s="9"/>
      <c r="G598" s="9"/>
      <c r="H598" s="70"/>
      <c r="I598" s="70"/>
      <c r="J598" s="70"/>
      <c r="K598" s="70"/>
      <c r="L598" s="3"/>
      <c r="M598" s="9"/>
      <c r="N598" s="5"/>
      <c r="O598" s="70"/>
      <c r="P598" s="70"/>
      <c r="Q598" s="70"/>
      <c r="R598" s="3"/>
      <c r="S598" s="3"/>
      <c r="T598" s="3"/>
    </row>
    <row r="599">
      <c r="A599" s="3"/>
      <c r="B599" s="3"/>
      <c r="C599" s="3"/>
      <c r="E599" s="3"/>
      <c r="F599" s="9"/>
      <c r="G599" s="9"/>
      <c r="H599" s="70"/>
      <c r="I599" s="70"/>
      <c r="J599" s="70"/>
      <c r="K599" s="70"/>
      <c r="L599" s="3"/>
      <c r="M599" s="9"/>
      <c r="N599" s="5"/>
      <c r="O599" s="70"/>
      <c r="P599" s="70"/>
      <c r="Q599" s="70"/>
      <c r="R599" s="3"/>
      <c r="S599" s="3"/>
      <c r="T599" s="3"/>
    </row>
    <row r="600">
      <c r="A600" s="3"/>
      <c r="B600" s="3"/>
      <c r="C600" s="3"/>
      <c r="E600" s="3"/>
      <c r="F600" s="9"/>
      <c r="G600" s="9"/>
      <c r="H600" s="70"/>
      <c r="I600" s="70"/>
      <c r="J600" s="70"/>
      <c r="K600" s="70"/>
      <c r="L600" s="3"/>
      <c r="M600" s="9"/>
      <c r="N600" s="5"/>
      <c r="O600" s="70"/>
      <c r="P600" s="70"/>
      <c r="Q600" s="70"/>
      <c r="R600" s="3"/>
      <c r="S600" s="3"/>
      <c r="T600" s="3"/>
    </row>
    <row r="601">
      <c r="A601" s="3"/>
      <c r="B601" s="3"/>
      <c r="C601" s="3"/>
      <c r="E601" s="3"/>
      <c r="F601" s="9"/>
      <c r="G601" s="9"/>
      <c r="H601" s="70"/>
      <c r="I601" s="70"/>
      <c r="J601" s="70"/>
      <c r="K601" s="70"/>
      <c r="L601" s="3"/>
      <c r="M601" s="9"/>
      <c r="N601" s="5"/>
      <c r="O601" s="70"/>
      <c r="P601" s="70"/>
      <c r="Q601" s="70"/>
      <c r="R601" s="3"/>
      <c r="S601" s="3"/>
      <c r="T601" s="3"/>
    </row>
    <row r="602">
      <c r="A602" s="3"/>
      <c r="B602" s="3"/>
      <c r="C602" s="3"/>
      <c r="E602" s="3"/>
      <c r="F602" s="9"/>
      <c r="G602" s="9"/>
      <c r="H602" s="70"/>
      <c r="I602" s="70"/>
      <c r="J602" s="70"/>
      <c r="K602" s="70"/>
      <c r="L602" s="3"/>
      <c r="M602" s="9"/>
      <c r="N602" s="5"/>
      <c r="O602" s="70"/>
      <c r="P602" s="70"/>
      <c r="Q602" s="70"/>
      <c r="R602" s="3"/>
      <c r="S602" s="3"/>
      <c r="T602" s="3"/>
    </row>
    <row r="603">
      <c r="A603" s="3"/>
      <c r="B603" s="3"/>
      <c r="C603" s="3"/>
      <c r="E603" s="3"/>
      <c r="F603" s="9"/>
      <c r="G603" s="9"/>
      <c r="H603" s="70"/>
      <c r="I603" s="70"/>
      <c r="J603" s="70"/>
      <c r="K603" s="70"/>
      <c r="L603" s="3"/>
      <c r="M603" s="9"/>
      <c r="N603" s="5"/>
      <c r="O603" s="70"/>
      <c r="P603" s="70"/>
      <c r="Q603" s="70"/>
      <c r="R603" s="3"/>
      <c r="S603" s="3"/>
      <c r="T603" s="3"/>
    </row>
    <row r="604">
      <c r="A604" s="3"/>
      <c r="B604" s="3"/>
      <c r="C604" s="3"/>
      <c r="E604" s="3"/>
      <c r="F604" s="9"/>
      <c r="G604" s="9"/>
      <c r="H604" s="70"/>
      <c r="I604" s="70"/>
      <c r="J604" s="70"/>
      <c r="K604" s="70"/>
      <c r="L604" s="3"/>
      <c r="M604" s="9"/>
      <c r="N604" s="5"/>
      <c r="O604" s="70"/>
      <c r="P604" s="70"/>
      <c r="Q604" s="70"/>
      <c r="R604" s="3"/>
      <c r="S604" s="3"/>
      <c r="T604" s="3"/>
    </row>
    <row r="605">
      <c r="A605" s="3"/>
      <c r="B605" s="3"/>
      <c r="C605" s="3"/>
      <c r="E605" s="3"/>
      <c r="F605" s="9"/>
      <c r="G605" s="9"/>
      <c r="H605" s="70"/>
      <c r="I605" s="70"/>
      <c r="J605" s="70"/>
      <c r="K605" s="70"/>
      <c r="L605" s="3"/>
      <c r="M605" s="9"/>
      <c r="N605" s="5"/>
      <c r="O605" s="70"/>
      <c r="P605" s="70"/>
      <c r="Q605" s="70"/>
      <c r="R605" s="3"/>
      <c r="S605" s="3"/>
      <c r="T605" s="3"/>
    </row>
    <row r="606">
      <c r="A606" s="3"/>
      <c r="B606" s="3"/>
      <c r="C606" s="3"/>
      <c r="E606" s="3"/>
      <c r="F606" s="9"/>
      <c r="G606" s="9"/>
      <c r="H606" s="70"/>
      <c r="I606" s="70"/>
      <c r="J606" s="70"/>
      <c r="K606" s="70"/>
      <c r="L606" s="3"/>
      <c r="M606" s="9"/>
      <c r="N606" s="5"/>
      <c r="O606" s="70"/>
      <c r="P606" s="70"/>
      <c r="Q606" s="70"/>
      <c r="R606" s="3"/>
      <c r="S606" s="3"/>
      <c r="T606" s="3"/>
    </row>
    <row r="607">
      <c r="A607" s="3"/>
      <c r="B607" s="3"/>
      <c r="C607" s="3"/>
      <c r="E607" s="3"/>
      <c r="F607" s="9"/>
      <c r="G607" s="9"/>
      <c r="H607" s="70"/>
      <c r="I607" s="70"/>
      <c r="J607" s="70"/>
      <c r="K607" s="70"/>
      <c r="L607" s="3"/>
      <c r="M607" s="9"/>
      <c r="N607" s="5"/>
      <c r="O607" s="70"/>
      <c r="P607" s="70"/>
      <c r="Q607" s="70"/>
      <c r="R607" s="3"/>
      <c r="S607" s="3"/>
      <c r="T607" s="3"/>
    </row>
    <row r="608">
      <c r="A608" s="3"/>
      <c r="B608" s="3"/>
      <c r="C608" s="3"/>
      <c r="E608" s="3"/>
      <c r="F608" s="9"/>
      <c r="G608" s="9"/>
      <c r="H608" s="70"/>
      <c r="I608" s="70"/>
      <c r="J608" s="70"/>
      <c r="K608" s="70"/>
      <c r="L608" s="3"/>
      <c r="M608" s="9"/>
      <c r="N608" s="5"/>
      <c r="O608" s="70"/>
      <c r="P608" s="70"/>
      <c r="Q608" s="70"/>
      <c r="R608" s="3"/>
      <c r="S608" s="3"/>
      <c r="T608" s="3"/>
    </row>
    <row r="609">
      <c r="A609" s="3"/>
      <c r="B609" s="3"/>
      <c r="C609" s="3"/>
      <c r="E609" s="3"/>
      <c r="F609" s="9"/>
      <c r="G609" s="9"/>
      <c r="H609" s="70"/>
      <c r="I609" s="70"/>
      <c r="J609" s="70"/>
      <c r="K609" s="70"/>
      <c r="L609" s="3"/>
      <c r="M609" s="9"/>
      <c r="N609" s="5"/>
      <c r="O609" s="70"/>
      <c r="P609" s="70"/>
      <c r="Q609" s="70"/>
      <c r="R609" s="3"/>
      <c r="S609" s="3"/>
      <c r="T609" s="3"/>
    </row>
    <row r="610">
      <c r="A610" s="3"/>
      <c r="B610" s="3"/>
      <c r="C610" s="3"/>
      <c r="E610" s="3"/>
      <c r="F610" s="9"/>
      <c r="G610" s="9"/>
      <c r="H610" s="70"/>
      <c r="I610" s="70"/>
      <c r="J610" s="70"/>
      <c r="K610" s="70"/>
      <c r="L610" s="3"/>
      <c r="M610" s="9"/>
      <c r="N610" s="5"/>
      <c r="O610" s="70"/>
      <c r="P610" s="70"/>
      <c r="Q610" s="70"/>
      <c r="R610" s="3"/>
      <c r="S610" s="3"/>
      <c r="T610" s="3"/>
    </row>
    <row r="611">
      <c r="A611" s="3"/>
      <c r="B611" s="3"/>
      <c r="C611" s="3"/>
      <c r="E611" s="3"/>
      <c r="F611" s="9"/>
      <c r="G611" s="9"/>
      <c r="H611" s="70"/>
      <c r="I611" s="70"/>
      <c r="J611" s="70"/>
      <c r="K611" s="70"/>
      <c r="L611" s="3"/>
      <c r="M611" s="9"/>
      <c r="N611" s="5"/>
      <c r="O611" s="70"/>
      <c r="P611" s="70"/>
      <c r="Q611" s="70"/>
      <c r="R611" s="3"/>
      <c r="S611" s="3"/>
      <c r="T611" s="3"/>
    </row>
    <row r="612">
      <c r="A612" s="3"/>
      <c r="B612" s="3"/>
      <c r="C612" s="3"/>
      <c r="E612" s="3"/>
      <c r="F612" s="9"/>
      <c r="G612" s="9"/>
      <c r="H612" s="70"/>
      <c r="I612" s="70"/>
      <c r="J612" s="70"/>
      <c r="K612" s="70"/>
      <c r="L612" s="3"/>
      <c r="M612" s="9"/>
      <c r="N612" s="5"/>
      <c r="O612" s="70"/>
      <c r="P612" s="70"/>
      <c r="Q612" s="70"/>
      <c r="R612" s="3"/>
      <c r="S612" s="3"/>
      <c r="T612" s="3"/>
    </row>
    <row r="613">
      <c r="A613" s="3"/>
      <c r="B613" s="3"/>
      <c r="C613" s="3"/>
      <c r="E613" s="3"/>
      <c r="F613" s="9"/>
      <c r="G613" s="9"/>
      <c r="H613" s="70"/>
      <c r="I613" s="70"/>
      <c r="J613" s="70"/>
      <c r="K613" s="70"/>
      <c r="L613" s="3"/>
      <c r="M613" s="9"/>
      <c r="N613" s="5"/>
      <c r="O613" s="70"/>
      <c r="P613" s="70"/>
      <c r="Q613" s="70"/>
      <c r="R613" s="3"/>
      <c r="S613" s="3"/>
      <c r="T613" s="3"/>
    </row>
    <row r="614">
      <c r="A614" s="3"/>
      <c r="B614" s="3"/>
      <c r="C614" s="3"/>
      <c r="E614" s="3"/>
      <c r="F614" s="9"/>
      <c r="G614" s="9"/>
      <c r="H614" s="70"/>
      <c r="I614" s="70"/>
      <c r="J614" s="70"/>
      <c r="K614" s="70"/>
      <c r="L614" s="3"/>
      <c r="M614" s="9"/>
      <c r="N614" s="5"/>
      <c r="O614" s="70"/>
      <c r="P614" s="70"/>
      <c r="Q614" s="70"/>
      <c r="R614" s="3"/>
      <c r="S614" s="3"/>
      <c r="T614" s="3"/>
    </row>
    <row r="615">
      <c r="A615" s="3"/>
      <c r="B615" s="3"/>
      <c r="C615" s="3"/>
      <c r="E615" s="3"/>
      <c r="F615" s="9"/>
      <c r="G615" s="9"/>
      <c r="H615" s="70"/>
      <c r="I615" s="70"/>
      <c r="J615" s="70"/>
      <c r="K615" s="70"/>
      <c r="L615" s="3"/>
      <c r="M615" s="9"/>
      <c r="N615" s="5"/>
      <c r="O615" s="70"/>
      <c r="P615" s="70"/>
      <c r="Q615" s="70"/>
      <c r="R615" s="3"/>
      <c r="S615" s="3"/>
      <c r="T615" s="3"/>
    </row>
    <row r="616">
      <c r="A616" s="3"/>
      <c r="B616" s="3"/>
      <c r="C616" s="3"/>
      <c r="E616" s="3"/>
      <c r="F616" s="9"/>
      <c r="G616" s="9"/>
      <c r="H616" s="70"/>
      <c r="I616" s="70"/>
      <c r="J616" s="70"/>
      <c r="K616" s="70"/>
      <c r="L616" s="3"/>
      <c r="M616" s="9"/>
      <c r="N616" s="5"/>
      <c r="O616" s="70"/>
      <c r="P616" s="70"/>
      <c r="Q616" s="70"/>
      <c r="R616" s="3"/>
      <c r="S616" s="3"/>
      <c r="T616" s="3"/>
    </row>
    <row r="617">
      <c r="A617" s="3"/>
      <c r="B617" s="3"/>
      <c r="C617" s="3"/>
      <c r="E617" s="3"/>
      <c r="F617" s="9"/>
      <c r="G617" s="9"/>
      <c r="H617" s="70"/>
      <c r="I617" s="70"/>
      <c r="J617" s="70"/>
      <c r="K617" s="70"/>
      <c r="L617" s="3"/>
      <c r="M617" s="9"/>
      <c r="N617" s="5"/>
      <c r="O617" s="70"/>
      <c r="P617" s="70"/>
      <c r="Q617" s="70"/>
      <c r="R617" s="3"/>
      <c r="S617" s="3"/>
      <c r="T617" s="3"/>
    </row>
    <row r="618">
      <c r="A618" s="3"/>
      <c r="B618" s="3"/>
      <c r="C618" s="3"/>
      <c r="E618" s="3"/>
      <c r="F618" s="9"/>
      <c r="G618" s="9"/>
      <c r="H618" s="70"/>
      <c r="I618" s="70"/>
      <c r="J618" s="70"/>
      <c r="K618" s="70"/>
      <c r="L618" s="3"/>
      <c r="M618" s="9"/>
      <c r="N618" s="5"/>
      <c r="O618" s="70"/>
      <c r="P618" s="70"/>
      <c r="Q618" s="70"/>
      <c r="R618" s="3"/>
      <c r="S618" s="3"/>
      <c r="T618" s="3"/>
    </row>
    <row r="619">
      <c r="A619" s="3"/>
      <c r="B619" s="3"/>
      <c r="C619" s="3"/>
      <c r="E619" s="3"/>
      <c r="F619" s="9"/>
      <c r="G619" s="9"/>
      <c r="H619" s="70"/>
      <c r="I619" s="70"/>
      <c r="J619" s="70"/>
      <c r="K619" s="70"/>
      <c r="L619" s="3"/>
      <c r="M619" s="9"/>
      <c r="N619" s="5"/>
      <c r="O619" s="70"/>
      <c r="P619" s="70"/>
      <c r="Q619" s="70"/>
      <c r="R619" s="3"/>
      <c r="S619" s="3"/>
      <c r="T619" s="3"/>
    </row>
    <row r="620">
      <c r="A620" s="3"/>
      <c r="B620" s="3"/>
      <c r="C620" s="3"/>
      <c r="E620" s="3"/>
      <c r="F620" s="9"/>
      <c r="G620" s="9"/>
      <c r="H620" s="70"/>
      <c r="I620" s="70"/>
      <c r="J620" s="70"/>
      <c r="K620" s="70"/>
      <c r="L620" s="3"/>
      <c r="M620" s="9"/>
      <c r="N620" s="5"/>
      <c r="O620" s="70"/>
      <c r="P620" s="70"/>
      <c r="Q620" s="70"/>
      <c r="R620" s="3"/>
      <c r="S620" s="3"/>
      <c r="T620" s="3"/>
    </row>
    <row r="621">
      <c r="A621" s="3"/>
      <c r="B621" s="3"/>
      <c r="C621" s="3"/>
      <c r="E621" s="3"/>
      <c r="F621" s="9"/>
      <c r="G621" s="9"/>
      <c r="H621" s="70"/>
      <c r="I621" s="70"/>
      <c r="J621" s="70"/>
      <c r="K621" s="70"/>
      <c r="L621" s="3"/>
      <c r="M621" s="9"/>
      <c r="N621" s="5"/>
      <c r="O621" s="70"/>
      <c r="P621" s="70"/>
      <c r="Q621" s="70"/>
      <c r="R621" s="3"/>
      <c r="S621" s="3"/>
      <c r="T621" s="3"/>
    </row>
    <row r="622">
      <c r="A622" s="3"/>
      <c r="B622" s="3"/>
      <c r="C622" s="3"/>
      <c r="E622" s="3"/>
      <c r="F622" s="9"/>
      <c r="G622" s="9"/>
      <c r="H622" s="70"/>
      <c r="I622" s="70"/>
      <c r="J622" s="70"/>
      <c r="K622" s="70"/>
      <c r="L622" s="3"/>
      <c r="M622" s="9"/>
      <c r="N622" s="5"/>
      <c r="O622" s="70"/>
      <c r="P622" s="70"/>
      <c r="Q622" s="70"/>
      <c r="R622" s="3"/>
      <c r="S622" s="3"/>
      <c r="T622" s="3"/>
    </row>
    <row r="623">
      <c r="A623" s="3"/>
      <c r="B623" s="3"/>
      <c r="C623" s="3"/>
      <c r="E623" s="3"/>
      <c r="F623" s="9"/>
      <c r="G623" s="9"/>
      <c r="H623" s="70"/>
      <c r="I623" s="70"/>
      <c r="J623" s="70"/>
      <c r="K623" s="70"/>
      <c r="L623" s="3"/>
      <c r="M623" s="9"/>
      <c r="N623" s="5"/>
      <c r="O623" s="70"/>
      <c r="P623" s="70"/>
      <c r="Q623" s="70"/>
      <c r="R623" s="3"/>
      <c r="S623" s="3"/>
      <c r="T623" s="3"/>
    </row>
    <row r="624">
      <c r="A624" s="3"/>
      <c r="B624" s="3"/>
      <c r="C624" s="3"/>
      <c r="E624" s="3"/>
      <c r="F624" s="9"/>
      <c r="G624" s="9"/>
      <c r="H624" s="70"/>
      <c r="I624" s="70"/>
      <c r="J624" s="70"/>
      <c r="K624" s="70"/>
      <c r="L624" s="3"/>
      <c r="M624" s="9"/>
      <c r="N624" s="5"/>
      <c r="O624" s="70"/>
      <c r="P624" s="70"/>
      <c r="Q624" s="70"/>
      <c r="R624" s="3"/>
      <c r="S624" s="3"/>
      <c r="T624" s="3"/>
    </row>
    <row r="625">
      <c r="A625" s="3"/>
      <c r="B625" s="3"/>
      <c r="C625" s="3"/>
      <c r="E625" s="3"/>
      <c r="F625" s="9"/>
      <c r="G625" s="9"/>
      <c r="H625" s="70"/>
      <c r="I625" s="70"/>
      <c r="J625" s="70"/>
      <c r="K625" s="70"/>
      <c r="L625" s="3"/>
      <c r="M625" s="9"/>
      <c r="N625" s="5"/>
      <c r="O625" s="70"/>
      <c r="P625" s="70"/>
      <c r="Q625" s="70"/>
      <c r="R625" s="3"/>
      <c r="S625" s="3"/>
      <c r="T625" s="3"/>
    </row>
    <row r="626">
      <c r="A626" s="3"/>
      <c r="B626" s="3"/>
      <c r="C626" s="3"/>
      <c r="E626" s="3"/>
      <c r="F626" s="9"/>
      <c r="G626" s="9"/>
      <c r="H626" s="70"/>
      <c r="I626" s="70"/>
      <c r="J626" s="70"/>
      <c r="K626" s="70"/>
      <c r="L626" s="3"/>
      <c r="M626" s="9"/>
      <c r="N626" s="5"/>
      <c r="O626" s="70"/>
      <c r="P626" s="70"/>
      <c r="Q626" s="70"/>
      <c r="R626" s="3"/>
      <c r="S626" s="3"/>
      <c r="T626" s="3"/>
    </row>
    <row r="627">
      <c r="A627" s="3"/>
      <c r="B627" s="3"/>
      <c r="C627" s="3"/>
      <c r="E627" s="3"/>
      <c r="F627" s="9"/>
      <c r="G627" s="9"/>
      <c r="H627" s="70"/>
      <c r="I627" s="70"/>
      <c r="J627" s="70"/>
      <c r="K627" s="70"/>
      <c r="L627" s="3"/>
      <c r="M627" s="9"/>
      <c r="N627" s="5"/>
      <c r="O627" s="70"/>
      <c r="P627" s="70"/>
      <c r="Q627" s="70"/>
      <c r="R627" s="3"/>
      <c r="S627" s="3"/>
      <c r="T627" s="3"/>
    </row>
    <row r="628">
      <c r="A628" s="3"/>
      <c r="B628" s="3"/>
      <c r="C628" s="3"/>
      <c r="E628" s="3"/>
      <c r="F628" s="9"/>
      <c r="G628" s="9"/>
      <c r="H628" s="70"/>
      <c r="I628" s="70"/>
      <c r="J628" s="70"/>
      <c r="K628" s="70"/>
      <c r="L628" s="3"/>
      <c r="M628" s="9"/>
      <c r="N628" s="5"/>
      <c r="O628" s="70"/>
      <c r="P628" s="70"/>
      <c r="Q628" s="70"/>
      <c r="R628" s="3"/>
      <c r="S628" s="3"/>
      <c r="T628" s="3"/>
    </row>
    <row r="629">
      <c r="A629" s="3"/>
      <c r="B629" s="3"/>
      <c r="C629" s="3"/>
      <c r="E629" s="3"/>
      <c r="F629" s="9"/>
      <c r="G629" s="9"/>
      <c r="H629" s="70"/>
      <c r="I629" s="70"/>
      <c r="J629" s="70"/>
      <c r="K629" s="70"/>
      <c r="L629" s="3"/>
      <c r="M629" s="9"/>
      <c r="N629" s="5"/>
      <c r="O629" s="70"/>
      <c r="P629" s="70"/>
      <c r="Q629" s="70"/>
      <c r="R629" s="3"/>
      <c r="S629" s="3"/>
      <c r="T629" s="3"/>
    </row>
    <row r="630">
      <c r="A630" s="3"/>
      <c r="B630" s="3"/>
      <c r="C630" s="3"/>
      <c r="E630" s="3"/>
      <c r="F630" s="9"/>
      <c r="G630" s="9"/>
      <c r="H630" s="70"/>
      <c r="I630" s="70"/>
      <c r="J630" s="70"/>
      <c r="K630" s="70"/>
      <c r="L630" s="3"/>
      <c r="M630" s="9"/>
      <c r="N630" s="5"/>
      <c r="O630" s="70"/>
      <c r="P630" s="70"/>
      <c r="Q630" s="70"/>
      <c r="R630" s="3"/>
      <c r="S630" s="3"/>
      <c r="T630" s="3"/>
    </row>
    <row r="631">
      <c r="A631" s="3"/>
      <c r="B631" s="3"/>
      <c r="C631" s="3"/>
      <c r="E631" s="3"/>
      <c r="F631" s="9"/>
      <c r="G631" s="9"/>
      <c r="H631" s="70"/>
      <c r="I631" s="70"/>
      <c r="J631" s="70"/>
      <c r="K631" s="70"/>
      <c r="L631" s="3"/>
      <c r="M631" s="9"/>
      <c r="N631" s="5"/>
      <c r="O631" s="70"/>
      <c r="P631" s="70"/>
      <c r="Q631" s="70"/>
      <c r="R631" s="3"/>
      <c r="S631" s="3"/>
      <c r="T631" s="3"/>
    </row>
    <row r="632">
      <c r="A632" s="3"/>
      <c r="B632" s="3"/>
      <c r="C632" s="3"/>
      <c r="E632" s="3"/>
      <c r="F632" s="9"/>
      <c r="G632" s="9"/>
      <c r="H632" s="70"/>
      <c r="I632" s="70"/>
      <c r="J632" s="70"/>
      <c r="K632" s="70"/>
      <c r="L632" s="3"/>
      <c r="M632" s="9"/>
      <c r="N632" s="5"/>
      <c r="O632" s="70"/>
      <c r="P632" s="70"/>
      <c r="Q632" s="70"/>
      <c r="R632" s="3"/>
      <c r="S632" s="3"/>
      <c r="T632" s="3"/>
    </row>
    <row r="633">
      <c r="A633" s="3"/>
      <c r="B633" s="3"/>
      <c r="C633" s="3"/>
      <c r="E633" s="3"/>
      <c r="F633" s="9"/>
      <c r="G633" s="9"/>
      <c r="H633" s="70"/>
      <c r="I633" s="70"/>
      <c r="J633" s="70"/>
      <c r="K633" s="70"/>
      <c r="L633" s="3"/>
      <c r="M633" s="9"/>
      <c r="N633" s="5"/>
      <c r="O633" s="70"/>
      <c r="P633" s="70"/>
      <c r="Q633" s="70"/>
      <c r="R633" s="3"/>
      <c r="S633" s="3"/>
      <c r="T633" s="3"/>
    </row>
    <row r="634">
      <c r="A634" s="3"/>
      <c r="B634" s="3"/>
      <c r="C634" s="3"/>
      <c r="E634" s="3"/>
      <c r="F634" s="9"/>
      <c r="G634" s="9"/>
      <c r="H634" s="70"/>
      <c r="I634" s="70"/>
      <c r="J634" s="70"/>
      <c r="K634" s="70"/>
      <c r="L634" s="3"/>
      <c r="M634" s="9"/>
      <c r="N634" s="5"/>
      <c r="O634" s="70"/>
      <c r="P634" s="70"/>
      <c r="Q634" s="70"/>
      <c r="R634" s="3"/>
      <c r="S634" s="3"/>
      <c r="T634" s="3"/>
    </row>
    <row r="635">
      <c r="A635" s="3"/>
      <c r="B635" s="3"/>
      <c r="C635" s="3"/>
      <c r="E635" s="3"/>
      <c r="F635" s="9"/>
      <c r="G635" s="9"/>
      <c r="H635" s="70"/>
      <c r="I635" s="70"/>
      <c r="J635" s="70"/>
      <c r="K635" s="70"/>
      <c r="L635" s="3"/>
      <c r="M635" s="9"/>
      <c r="N635" s="5"/>
      <c r="O635" s="70"/>
      <c r="P635" s="70"/>
      <c r="Q635" s="70"/>
      <c r="R635" s="3"/>
      <c r="S635" s="3"/>
      <c r="T635" s="3"/>
    </row>
    <row r="636">
      <c r="A636" s="3"/>
      <c r="B636" s="3"/>
      <c r="C636" s="3"/>
      <c r="E636" s="3"/>
      <c r="F636" s="9"/>
      <c r="G636" s="9"/>
      <c r="H636" s="70"/>
      <c r="I636" s="70"/>
      <c r="J636" s="70"/>
      <c r="K636" s="70"/>
      <c r="L636" s="3"/>
      <c r="M636" s="9"/>
      <c r="N636" s="5"/>
      <c r="O636" s="70"/>
      <c r="P636" s="70"/>
      <c r="Q636" s="70"/>
      <c r="R636" s="3"/>
      <c r="S636" s="3"/>
      <c r="T636" s="3"/>
    </row>
    <row r="637">
      <c r="A637" s="3"/>
      <c r="B637" s="3"/>
      <c r="C637" s="3"/>
      <c r="E637" s="3"/>
      <c r="F637" s="9"/>
      <c r="G637" s="9"/>
      <c r="H637" s="70"/>
      <c r="I637" s="70"/>
      <c r="J637" s="70"/>
      <c r="K637" s="70"/>
      <c r="L637" s="3"/>
      <c r="M637" s="9"/>
      <c r="N637" s="5"/>
      <c r="O637" s="70"/>
      <c r="P637" s="70"/>
      <c r="Q637" s="70"/>
      <c r="R637" s="3"/>
      <c r="S637" s="3"/>
      <c r="T637" s="3"/>
    </row>
    <row r="638">
      <c r="A638" s="3"/>
      <c r="B638" s="3"/>
      <c r="C638" s="3"/>
      <c r="E638" s="3"/>
      <c r="F638" s="9"/>
      <c r="G638" s="9"/>
      <c r="H638" s="70"/>
      <c r="I638" s="70"/>
      <c r="J638" s="70"/>
      <c r="K638" s="70"/>
      <c r="L638" s="3"/>
      <c r="M638" s="9"/>
      <c r="N638" s="5"/>
      <c r="O638" s="70"/>
      <c r="P638" s="70"/>
      <c r="Q638" s="70"/>
      <c r="R638" s="3"/>
      <c r="S638" s="3"/>
      <c r="T638" s="3"/>
    </row>
    <row r="639">
      <c r="A639" s="3"/>
      <c r="B639" s="3"/>
      <c r="C639" s="3"/>
      <c r="E639" s="3"/>
      <c r="F639" s="9"/>
      <c r="G639" s="9"/>
      <c r="H639" s="70"/>
      <c r="I639" s="70"/>
      <c r="J639" s="70"/>
      <c r="K639" s="70"/>
      <c r="L639" s="3"/>
      <c r="M639" s="9"/>
      <c r="N639" s="5"/>
      <c r="O639" s="70"/>
      <c r="P639" s="70"/>
      <c r="Q639" s="70"/>
      <c r="R639" s="3"/>
      <c r="S639" s="3"/>
      <c r="T639" s="3"/>
    </row>
    <row r="640">
      <c r="A640" s="3"/>
      <c r="B640" s="3"/>
      <c r="C640" s="3"/>
      <c r="E640" s="3"/>
      <c r="F640" s="9"/>
      <c r="G640" s="9"/>
      <c r="H640" s="70"/>
      <c r="I640" s="70"/>
      <c r="J640" s="70"/>
      <c r="K640" s="70"/>
      <c r="L640" s="3"/>
      <c r="M640" s="9"/>
      <c r="N640" s="5"/>
      <c r="O640" s="70"/>
      <c r="P640" s="70"/>
      <c r="Q640" s="70"/>
      <c r="R640" s="3"/>
      <c r="S640" s="3"/>
      <c r="T640" s="3"/>
    </row>
    <row r="641">
      <c r="A641" s="3"/>
      <c r="B641" s="3"/>
      <c r="C641" s="3"/>
      <c r="E641" s="3"/>
      <c r="F641" s="9"/>
      <c r="G641" s="9"/>
      <c r="H641" s="70"/>
      <c r="I641" s="70"/>
      <c r="J641" s="70"/>
      <c r="K641" s="70"/>
      <c r="L641" s="3"/>
      <c r="M641" s="9"/>
      <c r="N641" s="5"/>
      <c r="O641" s="70"/>
      <c r="P641" s="70"/>
      <c r="Q641" s="70"/>
      <c r="R641" s="3"/>
      <c r="S641" s="3"/>
      <c r="T641" s="3"/>
    </row>
    <row r="642">
      <c r="A642" s="3"/>
      <c r="B642" s="3"/>
      <c r="C642" s="3"/>
      <c r="E642" s="3"/>
      <c r="F642" s="9"/>
      <c r="G642" s="9"/>
      <c r="H642" s="70"/>
      <c r="I642" s="70"/>
      <c r="J642" s="70"/>
      <c r="K642" s="70"/>
      <c r="L642" s="3"/>
      <c r="M642" s="9"/>
      <c r="N642" s="5"/>
      <c r="O642" s="70"/>
      <c r="P642" s="70"/>
      <c r="Q642" s="70"/>
      <c r="R642" s="3"/>
      <c r="S642" s="3"/>
      <c r="T642" s="3"/>
    </row>
    <row r="643">
      <c r="A643" s="3"/>
      <c r="B643" s="3"/>
      <c r="C643" s="3"/>
      <c r="E643" s="3"/>
      <c r="F643" s="9"/>
      <c r="G643" s="9"/>
      <c r="H643" s="70"/>
      <c r="I643" s="70"/>
      <c r="J643" s="70"/>
      <c r="K643" s="70"/>
      <c r="L643" s="3"/>
      <c r="M643" s="9"/>
      <c r="N643" s="5"/>
      <c r="O643" s="70"/>
      <c r="P643" s="70"/>
      <c r="Q643" s="70"/>
      <c r="R643" s="3"/>
      <c r="S643" s="3"/>
      <c r="T643" s="3"/>
    </row>
    <row r="644">
      <c r="A644" s="3"/>
      <c r="B644" s="3"/>
      <c r="C644" s="3"/>
      <c r="E644" s="3"/>
      <c r="F644" s="9"/>
      <c r="G644" s="9"/>
      <c r="H644" s="70"/>
      <c r="I644" s="70"/>
      <c r="J644" s="70"/>
      <c r="K644" s="70"/>
      <c r="L644" s="3"/>
      <c r="M644" s="9"/>
      <c r="N644" s="5"/>
      <c r="O644" s="70"/>
      <c r="P644" s="70"/>
      <c r="Q644" s="70"/>
      <c r="R644" s="3"/>
      <c r="S644" s="3"/>
      <c r="T644" s="3"/>
    </row>
    <row r="645">
      <c r="A645" s="3"/>
      <c r="B645" s="3"/>
      <c r="C645" s="3"/>
      <c r="E645" s="3"/>
      <c r="F645" s="9"/>
      <c r="G645" s="9"/>
      <c r="H645" s="70"/>
      <c r="I645" s="70"/>
      <c r="J645" s="70"/>
      <c r="K645" s="70"/>
      <c r="L645" s="3"/>
      <c r="M645" s="9"/>
      <c r="N645" s="5"/>
      <c r="O645" s="70"/>
      <c r="P645" s="70"/>
      <c r="Q645" s="70"/>
      <c r="R645" s="3"/>
      <c r="S645" s="3"/>
      <c r="T645" s="3"/>
    </row>
    <row r="646">
      <c r="A646" s="3"/>
      <c r="B646" s="3"/>
      <c r="C646" s="3"/>
      <c r="E646" s="3"/>
      <c r="F646" s="9"/>
      <c r="G646" s="9"/>
      <c r="H646" s="70"/>
      <c r="I646" s="70"/>
      <c r="J646" s="70"/>
      <c r="K646" s="70"/>
      <c r="L646" s="3"/>
      <c r="M646" s="9"/>
      <c r="N646" s="5"/>
      <c r="O646" s="70"/>
      <c r="P646" s="70"/>
      <c r="Q646" s="70"/>
      <c r="R646" s="3"/>
      <c r="S646" s="3"/>
      <c r="T646" s="3"/>
    </row>
    <row r="647">
      <c r="A647" s="3"/>
      <c r="B647" s="3"/>
      <c r="C647" s="3"/>
      <c r="E647" s="3"/>
      <c r="F647" s="9"/>
      <c r="G647" s="9"/>
      <c r="H647" s="70"/>
      <c r="I647" s="70"/>
      <c r="J647" s="70"/>
      <c r="K647" s="70"/>
      <c r="L647" s="3"/>
      <c r="M647" s="9"/>
      <c r="N647" s="5"/>
      <c r="O647" s="70"/>
      <c r="P647" s="70"/>
      <c r="Q647" s="70"/>
      <c r="R647" s="3"/>
      <c r="S647" s="3"/>
      <c r="T647" s="3"/>
    </row>
    <row r="648">
      <c r="A648" s="3"/>
      <c r="B648" s="3"/>
      <c r="C648" s="3"/>
      <c r="E648" s="3"/>
      <c r="F648" s="9"/>
      <c r="G648" s="9"/>
      <c r="H648" s="70"/>
      <c r="I648" s="70"/>
      <c r="J648" s="70"/>
      <c r="K648" s="70"/>
      <c r="L648" s="3"/>
      <c r="M648" s="9"/>
      <c r="N648" s="5"/>
      <c r="O648" s="70"/>
      <c r="P648" s="70"/>
      <c r="Q648" s="70"/>
      <c r="R648" s="3"/>
      <c r="S648" s="3"/>
      <c r="T648" s="3"/>
    </row>
    <row r="649">
      <c r="A649" s="3"/>
      <c r="B649" s="3"/>
      <c r="C649" s="3"/>
      <c r="E649" s="3"/>
      <c r="F649" s="9"/>
      <c r="G649" s="9"/>
      <c r="H649" s="70"/>
      <c r="I649" s="70"/>
      <c r="J649" s="70"/>
      <c r="K649" s="70"/>
      <c r="L649" s="3"/>
      <c r="M649" s="9"/>
      <c r="N649" s="5"/>
      <c r="O649" s="70"/>
      <c r="P649" s="70"/>
      <c r="Q649" s="70"/>
      <c r="R649" s="3"/>
      <c r="S649" s="3"/>
      <c r="T649" s="3"/>
    </row>
    <row r="650">
      <c r="A650" s="3"/>
      <c r="B650" s="3"/>
      <c r="C650" s="3"/>
      <c r="E650" s="3"/>
      <c r="F650" s="9"/>
      <c r="G650" s="9"/>
      <c r="H650" s="70"/>
      <c r="I650" s="70"/>
      <c r="J650" s="70"/>
      <c r="K650" s="70"/>
      <c r="L650" s="3"/>
      <c r="M650" s="9"/>
      <c r="N650" s="5"/>
      <c r="O650" s="70"/>
      <c r="P650" s="70"/>
      <c r="Q650" s="70"/>
      <c r="R650" s="3"/>
      <c r="S650" s="3"/>
      <c r="T650" s="3"/>
    </row>
    <row r="651">
      <c r="A651" s="3"/>
      <c r="B651" s="3"/>
      <c r="C651" s="3"/>
      <c r="E651" s="3"/>
      <c r="F651" s="9"/>
      <c r="G651" s="9"/>
      <c r="H651" s="70"/>
      <c r="I651" s="70"/>
      <c r="J651" s="70"/>
      <c r="K651" s="70"/>
      <c r="L651" s="3"/>
      <c r="M651" s="9"/>
      <c r="N651" s="5"/>
      <c r="O651" s="70"/>
      <c r="P651" s="70"/>
      <c r="Q651" s="70"/>
      <c r="R651" s="3"/>
      <c r="S651" s="3"/>
      <c r="T651" s="3"/>
    </row>
    <row r="652">
      <c r="A652" s="3"/>
      <c r="B652" s="3"/>
      <c r="C652" s="3"/>
      <c r="E652" s="3"/>
      <c r="F652" s="9"/>
      <c r="G652" s="9"/>
      <c r="H652" s="70"/>
      <c r="I652" s="70"/>
      <c r="J652" s="70"/>
      <c r="K652" s="70"/>
      <c r="L652" s="3"/>
      <c r="M652" s="9"/>
      <c r="N652" s="5"/>
      <c r="O652" s="70"/>
      <c r="P652" s="70"/>
      <c r="Q652" s="70"/>
      <c r="R652" s="3"/>
      <c r="S652" s="3"/>
      <c r="T652" s="3"/>
    </row>
    <row r="653">
      <c r="A653" s="3"/>
      <c r="B653" s="3"/>
      <c r="C653" s="3"/>
      <c r="E653" s="3"/>
      <c r="F653" s="9"/>
      <c r="G653" s="9"/>
      <c r="H653" s="70"/>
      <c r="I653" s="70"/>
      <c r="J653" s="70"/>
      <c r="K653" s="70"/>
      <c r="L653" s="3"/>
      <c r="M653" s="9"/>
      <c r="N653" s="5"/>
      <c r="O653" s="70"/>
      <c r="P653" s="70"/>
      <c r="Q653" s="70"/>
      <c r="R653" s="3"/>
      <c r="S653" s="3"/>
      <c r="T653" s="3"/>
    </row>
    <row r="654">
      <c r="A654" s="3"/>
      <c r="B654" s="3"/>
      <c r="C654" s="3"/>
      <c r="E654" s="3"/>
      <c r="F654" s="9"/>
      <c r="G654" s="9"/>
      <c r="H654" s="70"/>
      <c r="I654" s="70"/>
      <c r="J654" s="70"/>
      <c r="K654" s="70"/>
      <c r="L654" s="3"/>
      <c r="M654" s="9"/>
      <c r="N654" s="5"/>
      <c r="O654" s="70"/>
      <c r="P654" s="70"/>
      <c r="Q654" s="70"/>
      <c r="R654" s="3"/>
      <c r="S654" s="3"/>
      <c r="T654" s="3"/>
    </row>
    <row r="655">
      <c r="A655" s="3"/>
      <c r="B655" s="3"/>
      <c r="C655" s="3"/>
      <c r="E655" s="3"/>
      <c r="F655" s="9"/>
      <c r="G655" s="9"/>
      <c r="H655" s="70"/>
      <c r="I655" s="70"/>
      <c r="J655" s="70"/>
      <c r="K655" s="70"/>
      <c r="L655" s="3"/>
      <c r="M655" s="9"/>
      <c r="N655" s="5"/>
      <c r="O655" s="70"/>
      <c r="P655" s="70"/>
      <c r="Q655" s="70"/>
      <c r="R655" s="3"/>
      <c r="S655" s="3"/>
      <c r="T655" s="3"/>
    </row>
    <row r="656">
      <c r="A656" s="3"/>
      <c r="B656" s="3"/>
      <c r="C656" s="3"/>
      <c r="E656" s="3"/>
      <c r="F656" s="9"/>
      <c r="G656" s="9"/>
      <c r="H656" s="70"/>
      <c r="I656" s="70"/>
      <c r="J656" s="70"/>
      <c r="K656" s="70"/>
      <c r="L656" s="3"/>
      <c r="M656" s="9"/>
      <c r="N656" s="5"/>
      <c r="O656" s="70"/>
      <c r="P656" s="70"/>
      <c r="Q656" s="70"/>
      <c r="R656" s="3"/>
      <c r="S656" s="3"/>
      <c r="T656" s="3"/>
    </row>
    <row r="657">
      <c r="A657" s="3"/>
      <c r="B657" s="3"/>
      <c r="C657" s="3"/>
      <c r="E657" s="3"/>
      <c r="F657" s="9"/>
      <c r="G657" s="9"/>
      <c r="H657" s="70"/>
      <c r="I657" s="70"/>
      <c r="J657" s="70"/>
      <c r="K657" s="70"/>
      <c r="L657" s="3"/>
      <c r="M657" s="9"/>
      <c r="N657" s="5"/>
      <c r="O657" s="70"/>
      <c r="P657" s="70"/>
      <c r="Q657" s="70"/>
      <c r="R657" s="3"/>
      <c r="S657" s="3"/>
      <c r="T657" s="3"/>
    </row>
    <row r="658">
      <c r="A658" s="3"/>
      <c r="B658" s="3"/>
      <c r="C658" s="3"/>
      <c r="E658" s="3"/>
      <c r="F658" s="9"/>
      <c r="G658" s="9"/>
      <c r="H658" s="70"/>
      <c r="I658" s="70"/>
      <c r="J658" s="70"/>
      <c r="K658" s="70"/>
      <c r="L658" s="3"/>
      <c r="M658" s="9"/>
      <c r="N658" s="5"/>
      <c r="O658" s="70"/>
      <c r="P658" s="70"/>
      <c r="Q658" s="70"/>
      <c r="R658" s="3"/>
      <c r="S658" s="3"/>
      <c r="T658" s="3"/>
    </row>
    <row r="659">
      <c r="A659" s="3"/>
      <c r="B659" s="3"/>
      <c r="C659" s="3"/>
      <c r="E659" s="3"/>
      <c r="F659" s="9"/>
      <c r="G659" s="9"/>
      <c r="H659" s="70"/>
      <c r="I659" s="70"/>
      <c r="J659" s="70"/>
      <c r="K659" s="70"/>
      <c r="L659" s="3"/>
      <c r="M659" s="9"/>
      <c r="N659" s="5"/>
      <c r="O659" s="70"/>
      <c r="P659" s="70"/>
      <c r="Q659" s="70"/>
      <c r="R659" s="3"/>
      <c r="S659" s="3"/>
      <c r="T659" s="3"/>
    </row>
    <row r="660">
      <c r="A660" s="3"/>
      <c r="B660" s="3"/>
      <c r="C660" s="3"/>
      <c r="E660" s="3"/>
      <c r="F660" s="9"/>
      <c r="G660" s="9"/>
      <c r="H660" s="70"/>
      <c r="I660" s="70"/>
      <c r="J660" s="70"/>
      <c r="K660" s="70"/>
      <c r="L660" s="3"/>
      <c r="M660" s="9"/>
      <c r="N660" s="5"/>
      <c r="O660" s="70"/>
      <c r="P660" s="70"/>
      <c r="Q660" s="70"/>
      <c r="R660" s="3"/>
      <c r="S660" s="3"/>
      <c r="T660" s="3"/>
    </row>
    <row r="661">
      <c r="A661" s="3"/>
      <c r="B661" s="3"/>
      <c r="C661" s="3"/>
      <c r="E661" s="3"/>
      <c r="F661" s="9"/>
      <c r="G661" s="9"/>
      <c r="H661" s="70"/>
      <c r="I661" s="70"/>
      <c r="J661" s="70"/>
      <c r="K661" s="70"/>
      <c r="L661" s="3"/>
      <c r="M661" s="9"/>
      <c r="N661" s="5"/>
      <c r="O661" s="70"/>
      <c r="P661" s="70"/>
      <c r="Q661" s="70"/>
      <c r="R661" s="3"/>
      <c r="S661" s="3"/>
      <c r="T661" s="3"/>
    </row>
    <row r="662">
      <c r="A662" s="3"/>
      <c r="B662" s="3"/>
      <c r="C662" s="3"/>
      <c r="E662" s="3"/>
      <c r="F662" s="9"/>
      <c r="G662" s="9"/>
      <c r="H662" s="70"/>
      <c r="I662" s="70"/>
      <c r="J662" s="70"/>
      <c r="K662" s="70"/>
      <c r="L662" s="3"/>
      <c r="M662" s="9"/>
      <c r="N662" s="5"/>
      <c r="O662" s="70"/>
      <c r="P662" s="70"/>
      <c r="Q662" s="70"/>
      <c r="R662" s="3"/>
      <c r="S662" s="3"/>
      <c r="T662" s="3"/>
    </row>
    <row r="663">
      <c r="A663" s="3"/>
      <c r="B663" s="3"/>
      <c r="C663" s="3"/>
      <c r="E663" s="3"/>
      <c r="F663" s="9"/>
      <c r="G663" s="9"/>
      <c r="H663" s="70"/>
      <c r="I663" s="70"/>
      <c r="J663" s="70"/>
      <c r="K663" s="70"/>
      <c r="L663" s="3"/>
      <c r="M663" s="9"/>
      <c r="N663" s="5"/>
      <c r="O663" s="70"/>
      <c r="P663" s="70"/>
      <c r="Q663" s="70"/>
      <c r="R663" s="3"/>
      <c r="S663" s="3"/>
      <c r="T663" s="3"/>
    </row>
    <row r="664">
      <c r="A664" s="3"/>
      <c r="B664" s="3"/>
      <c r="C664" s="3"/>
      <c r="E664" s="3"/>
      <c r="F664" s="9"/>
      <c r="G664" s="9"/>
      <c r="H664" s="70"/>
      <c r="I664" s="70"/>
      <c r="J664" s="70"/>
      <c r="K664" s="70"/>
      <c r="L664" s="3"/>
      <c r="M664" s="9"/>
      <c r="N664" s="5"/>
      <c r="O664" s="70"/>
      <c r="P664" s="70"/>
      <c r="Q664" s="70"/>
      <c r="R664" s="3"/>
      <c r="S664" s="3"/>
      <c r="T664" s="3"/>
    </row>
    <row r="665">
      <c r="A665" s="3"/>
      <c r="B665" s="3"/>
      <c r="C665" s="3"/>
      <c r="E665" s="3"/>
      <c r="F665" s="9"/>
      <c r="G665" s="9"/>
      <c r="H665" s="70"/>
      <c r="I665" s="70"/>
      <c r="J665" s="70"/>
      <c r="K665" s="70"/>
      <c r="L665" s="3"/>
      <c r="M665" s="9"/>
      <c r="N665" s="5"/>
      <c r="O665" s="70"/>
      <c r="P665" s="70"/>
      <c r="Q665" s="70"/>
      <c r="R665" s="3"/>
      <c r="S665" s="3"/>
      <c r="T665" s="3"/>
    </row>
    <row r="666">
      <c r="A666" s="3"/>
      <c r="B666" s="3"/>
      <c r="C666" s="3"/>
      <c r="E666" s="3"/>
      <c r="F666" s="9"/>
      <c r="G666" s="9"/>
      <c r="H666" s="70"/>
      <c r="I666" s="70"/>
      <c r="J666" s="70"/>
      <c r="K666" s="70"/>
      <c r="L666" s="3"/>
      <c r="M666" s="9"/>
      <c r="N666" s="5"/>
      <c r="O666" s="70"/>
      <c r="P666" s="70"/>
      <c r="Q666" s="70"/>
      <c r="R666" s="3"/>
      <c r="S666" s="3"/>
      <c r="T666" s="3"/>
    </row>
    <row r="667">
      <c r="A667" s="3"/>
      <c r="B667" s="3"/>
      <c r="C667" s="3"/>
      <c r="E667" s="3"/>
      <c r="F667" s="9"/>
      <c r="G667" s="9"/>
      <c r="H667" s="70"/>
      <c r="I667" s="70"/>
      <c r="J667" s="70"/>
      <c r="K667" s="70"/>
      <c r="L667" s="3"/>
      <c r="M667" s="9"/>
      <c r="N667" s="5"/>
      <c r="O667" s="70"/>
      <c r="P667" s="70"/>
      <c r="Q667" s="70"/>
      <c r="R667" s="3"/>
      <c r="S667" s="3"/>
      <c r="T667" s="3"/>
    </row>
    <row r="668">
      <c r="A668" s="3"/>
      <c r="B668" s="3"/>
      <c r="C668" s="3"/>
      <c r="E668" s="3"/>
      <c r="F668" s="9"/>
      <c r="G668" s="9"/>
      <c r="H668" s="70"/>
      <c r="I668" s="70"/>
      <c r="J668" s="70"/>
      <c r="K668" s="70"/>
      <c r="L668" s="3"/>
      <c r="M668" s="9"/>
      <c r="N668" s="5"/>
      <c r="O668" s="70"/>
      <c r="P668" s="70"/>
      <c r="Q668" s="70"/>
      <c r="R668" s="3"/>
      <c r="S668" s="3"/>
      <c r="T668" s="3"/>
    </row>
    <row r="669">
      <c r="A669" s="3"/>
      <c r="B669" s="3"/>
      <c r="C669" s="3"/>
      <c r="E669" s="3"/>
      <c r="F669" s="9"/>
      <c r="G669" s="9"/>
      <c r="H669" s="70"/>
      <c r="I669" s="70"/>
      <c r="J669" s="70"/>
      <c r="K669" s="70"/>
      <c r="L669" s="3"/>
      <c r="M669" s="9"/>
      <c r="N669" s="5"/>
      <c r="O669" s="70"/>
      <c r="P669" s="70"/>
      <c r="Q669" s="70"/>
      <c r="R669" s="3"/>
      <c r="S669" s="3"/>
      <c r="T669" s="3"/>
    </row>
    <row r="670">
      <c r="A670" s="3"/>
      <c r="B670" s="3"/>
      <c r="C670" s="3"/>
      <c r="E670" s="3"/>
      <c r="F670" s="9"/>
      <c r="G670" s="9"/>
      <c r="H670" s="70"/>
      <c r="I670" s="70"/>
      <c r="J670" s="70"/>
      <c r="K670" s="70"/>
      <c r="L670" s="3"/>
      <c r="M670" s="9"/>
      <c r="N670" s="5"/>
      <c r="O670" s="70"/>
      <c r="P670" s="70"/>
      <c r="Q670" s="70"/>
      <c r="R670" s="3"/>
      <c r="S670" s="3"/>
      <c r="T670" s="3"/>
    </row>
    <row r="671">
      <c r="A671" s="3"/>
      <c r="B671" s="3"/>
      <c r="C671" s="3"/>
      <c r="E671" s="3"/>
      <c r="F671" s="9"/>
      <c r="G671" s="9"/>
      <c r="H671" s="70"/>
      <c r="I671" s="70"/>
      <c r="J671" s="70"/>
      <c r="K671" s="70"/>
      <c r="L671" s="3"/>
      <c r="M671" s="9"/>
      <c r="N671" s="5"/>
      <c r="O671" s="70"/>
      <c r="P671" s="70"/>
      <c r="Q671" s="70"/>
      <c r="R671" s="3"/>
      <c r="S671" s="3"/>
      <c r="T671" s="3"/>
    </row>
    <row r="672">
      <c r="A672" s="3"/>
      <c r="B672" s="3"/>
      <c r="C672" s="3"/>
      <c r="E672" s="3"/>
      <c r="F672" s="9"/>
      <c r="G672" s="9"/>
      <c r="H672" s="70"/>
      <c r="I672" s="70"/>
      <c r="J672" s="70"/>
      <c r="K672" s="70"/>
      <c r="L672" s="3"/>
      <c r="M672" s="9"/>
      <c r="N672" s="5"/>
      <c r="O672" s="70"/>
      <c r="P672" s="70"/>
      <c r="Q672" s="70"/>
      <c r="R672" s="3"/>
      <c r="S672" s="3"/>
      <c r="T672" s="3"/>
    </row>
    <row r="673">
      <c r="A673" s="3"/>
      <c r="B673" s="3"/>
      <c r="C673" s="3"/>
      <c r="E673" s="3"/>
      <c r="F673" s="9"/>
      <c r="G673" s="9"/>
      <c r="H673" s="70"/>
      <c r="I673" s="70"/>
      <c r="J673" s="70"/>
      <c r="K673" s="70"/>
      <c r="L673" s="3"/>
      <c r="M673" s="9"/>
      <c r="N673" s="5"/>
      <c r="O673" s="70"/>
      <c r="P673" s="70"/>
      <c r="Q673" s="70"/>
      <c r="R673" s="3"/>
      <c r="S673" s="3"/>
      <c r="T673" s="3"/>
    </row>
    <row r="674">
      <c r="A674" s="3"/>
      <c r="B674" s="3"/>
      <c r="C674" s="3"/>
      <c r="E674" s="3"/>
      <c r="F674" s="9"/>
      <c r="G674" s="9"/>
      <c r="H674" s="70"/>
      <c r="I674" s="70"/>
      <c r="J674" s="70"/>
      <c r="K674" s="70"/>
      <c r="L674" s="3"/>
      <c r="M674" s="9"/>
      <c r="N674" s="5"/>
      <c r="O674" s="70"/>
      <c r="P674" s="70"/>
      <c r="Q674" s="70"/>
      <c r="R674" s="3"/>
      <c r="S674" s="3"/>
      <c r="T674" s="3"/>
    </row>
    <row r="675">
      <c r="A675" s="3"/>
      <c r="B675" s="3"/>
      <c r="C675" s="3"/>
      <c r="E675" s="3"/>
      <c r="F675" s="9"/>
      <c r="G675" s="9"/>
      <c r="H675" s="70"/>
      <c r="I675" s="70"/>
      <c r="J675" s="70"/>
      <c r="K675" s="70"/>
      <c r="L675" s="3"/>
      <c r="M675" s="9"/>
      <c r="N675" s="5"/>
      <c r="O675" s="70"/>
      <c r="P675" s="70"/>
      <c r="Q675" s="70"/>
      <c r="R675" s="3"/>
      <c r="S675" s="3"/>
      <c r="T675" s="3"/>
    </row>
    <row r="676">
      <c r="A676" s="3"/>
      <c r="B676" s="3"/>
      <c r="C676" s="3"/>
      <c r="E676" s="3"/>
      <c r="F676" s="9"/>
      <c r="G676" s="9"/>
      <c r="H676" s="70"/>
      <c r="I676" s="70"/>
      <c r="J676" s="70"/>
      <c r="K676" s="70"/>
      <c r="L676" s="3"/>
      <c r="M676" s="9"/>
      <c r="N676" s="5"/>
      <c r="O676" s="70"/>
      <c r="P676" s="70"/>
      <c r="Q676" s="70"/>
      <c r="R676" s="3"/>
      <c r="S676" s="3"/>
      <c r="T676" s="3"/>
    </row>
    <row r="677">
      <c r="A677" s="3"/>
      <c r="B677" s="3"/>
      <c r="C677" s="3"/>
      <c r="E677" s="3"/>
      <c r="F677" s="9"/>
      <c r="G677" s="9"/>
      <c r="H677" s="70"/>
      <c r="I677" s="70"/>
      <c r="J677" s="70"/>
      <c r="K677" s="70"/>
      <c r="L677" s="3"/>
      <c r="M677" s="9"/>
      <c r="N677" s="5"/>
      <c r="O677" s="70"/>
      <c r="P677" s="70"/>
      <c r="Q677" s="70"/>
      <c r="R677" s="3"/>
      <c r="S677" s="3"/>
      <c r="T677" s="3"/>
    </row>
    <row r="678">
      <c r="A678" s="3"/>
      <c r="B678" s="3"/>
      <c r="C678" s="3"/>
      <c r="E678" s="3"/>
      <c r="F678" s="9"/>
      <c r="G678" s="9"/>
      <c r="H678" s="70"/>
      <c r="I678" s="70"/>
      <c r="J678" s="70"/>
      <c r="K678" s="70"/>
      <c r="L678" s="3"/>
      <c r="M678" s="9"/>
      <c r="N678" s="5"/>
      <c r="O678" s="70"/>
      <c r="P678" s="70"/>
      <c r="Q678" s="70"/>
      <c r="R678" s="3"/>
      <c r="S678" s="3"/>
      <c r="T678" s="3"/>
    </row>
    <row r="679">
      <c r="A679" s="3"/>
      <c r="B679" s="3"/>
      <c r="C679" s="3"/>
      <c r="E679" s="3"/>
      <c r="F679" s="9"/>
      <c r="G679" s="9"/>
      <c r="H679" s="70"/>
      <c r="I679" s="70"/>
      <c r="J679" s="70"/>
      <c r="K679" s="70"/>
      <c r="L679" s="3"/>
      <c r="M679" s="9"/>
      <c r="N679" s="5"/>
      <c r="O679" s="70"/>
      <c r="P679" s="70"/>
      <c r="Q679" s="70"/>
      <c r="R679" s="3"/>
      <c r="S679" s="3"/>
      <c r="T679" s="3"/>
    </row>
    <row r="680">
      <c r="A680" s="3"/>
      <c r="B680" s="3"/>
      <c r="C680" s="3"/>
      <c r="E680" s="3"/>
      <c r="F680" s="9"/>
      <c r="G680" s="9"/>
      <c r="H680" s="70"/>
      <c r="I680" s="70"/>
      <c r="J680" s="70"/>
      <c r="K680" s="70"/>
      <c r="L680" s="3"/>
      <c r="M680" s="9"/>
      <c r="N680" s="5"/>
      <c r="O680" s="70"/>
      <c r="P680" s="70"/>
      <c r="Q680" s="70"/>
      <c r="R680" s="3"/>
      <c r="S680" s="3"/>
      <c r="T680" s="3"/>
    </row>
    <row r="681">
      <c r="A681" s="3"/>
      <c r="B681" s="3"/>
      <c r="C681" s="3"/>
      <c r="E681" s="3"/>
      <c r="F681" s="9"/>
      <c r="G681" s="9"/>
      <c r="H681" s="70"/>
      <c r="I681" s="70"/>
      <c r="J681" s="70"/>
      <c r="K681" s="70"/>
      <c r="L681" s="3"/>
      <c r="M681" s="9"/>
      <c r="N681" s="5"/>
      <c r="O681" s="70"/>
      <c r="P681" s="70"/>
      <c r="Q681" s="70"/>
      <c r="R681" s="3"/>
      <c r="S681" s="3"/>
      <c r="T681" s="3"/>
    </row>
    <row r="682">
      <c r="A682" s="3"/>
      <c r="B682" s="3"/>
      <c r="C682" s="3"/>
      <c r="E682" s="3"/>
      <c r="F682" s="9"/>
      <c r="G682" s="9"/>
      <c r="H682" s="70"/>
      <c r="I682" s="70"/>
      <c r="J682" s="70"/>
      <c r="K682" s="70"/>
      <c r="L682" s="3"/>
      <c r="M682" s="9"/>
      <c r="N682" s="5"/>
      <c r="O682" s="70"/>
      <c r="P682" s="70"/>
      <c r="Q682" s="70"/>
      <c r="R682" s="3"/>
      <c r="S682" s="3"/>
      <c r="T682" s="3"/>
    </row>
    <row r="683">
      <c r="A683" s="3"/>
      <c r="B683" s="3"/>
      <c r="C683" s="3"/>
      <c r="E683" s="3"/>
      <c r="F683" s="9"/>
      <c r="G683" s="9"/>
      <c r="H683" s="70"/>
      <c r="I683" s="70"/>
      <c r="J683" s="70"/>
      <c r="K683" s="70"/>
      <c r="L683" s="3"/>
      <c r="M683" s="9"/>
      <c r="N683" s="5"/>
      <c r="O683" s="70"/>
      <c r="P683" s="70"/>
      <c r="Q683" s="70"/>
      <c r="R683" s="3"/>
      <c r="S683" s="3"/>
      <c r="T683" s="3"/>
    </row>
    <row r="684">
      <c r="A684" s="3"/>
      <c r="B684" s="3"/>
      <c r="C684" s="3"/>
      <c r="E684" s="3"/>
      <c r="F684" s="9"/>
      <c r="G684" s="9"/>
      <c r="H684" s="70"/>
      <c r="I684" s="70"/>
      <c r="J684" s="70"/>
      <c r="K684" s="70"/>
      <c r="L684" s="3"/>
      <c r="M684" s="9"/>
      <c r="N684" s="5"/>
      <c r="O684" s="70"/>
      <c r="P684" s="70"/>
      <c r="Q684" s="70"/>
      <c r="R684" s="3"/>
      <c r="S684" s="3"/>
      <c r="T684" s="3"/>
    </row>
    <row r="685">
      <c r="A685" s="3"/>
      <c r="B685" s="3"/>
      <c r="C685" s="3"/>
      <c r="E685" s="3"/>
      <c r="F685" s="9"/>
      <c r="G685" s="9"/>
      <c r="H685" s="70"/>
      <c r="I685" s="70"/>
      <c r="J685" s="70"/>
      <c r="K685" s="70"/>
      <c r="L685" s="3"/>
      <c r="M685" s="9"/>
      <c r="N685" s="5"/>
      <c r="O685" s="70"/>
      <c r="P685" s="70"/>
      <c r="Q685" s="70"/>
      <c r="R685" s="3"/>
      <c r="S685" s="3"/>
      <c r="T685" s="3"/>
    </row>
    <row r="686">
      <c r="A686" s="3"/>
      <c r="B686" s="3"/>
      <c r="C686" s="3"/>
      <c r="E686" s="3"/>
      <c r="F686" s="9"/>
      <c r="G686" s="9"/>
      <c r="H686" s="70"/>
      <c r="I686" s="70"/>
      <c r="J686" s="70"/>
      <c r="K686" s="70"/>
      <c r="L686" s="3"/>
      <c r="M686" s="9"/>
      <c r="N686" s="5"/>
      <c r="O686" s="70"/>
      <c r="P686" s="70"/>
      <c r="Q686" s="70"/>
      <c r="R686" s="3"/>
      <c r="S686" s="3"/>
      <c r="T686" s="3"/>
    </row>
    <row r="687">
      <c r="A687" s="3"/>
      <c r="B687" s="3"/>
      <c r="C687" s="3"/>
      <c r="E687" s="3"/>
      <c r="F687" s="9"/>
      <c r="G687" s="9"/>
      <c r="H687" s="70"/>
      <c r="I687" s="70"/>
      <c r="J687" s="70"/>
      <c r="K687" s="70"/>
      <c r="L687" s="3"/>
      <c r="M687" s="9"/>
      <c r="N687" s="5"/>
      <c r="O687" s="70"/>
      <c r="P687" s="70"/>
      <c r="Q687" s="70"/>
      <c r="R687" s="3"/>
      <c r="S687" s="3"/>
      <c r="T687" s="3"/>
    </row>
    <row r="688">
      <c r="A688" s="3"/>
      <c r="B688" s="3"/>
      <c r="C688" s="3"/>
      <c r="E688" s="3"/>
      <c r="F688" s="9"/>
      <c r="G688" s="9"/>
      <c r="H688" s="70"/>
      <c r="I688" s="70"/>
      <c r="J688" s="70"/>
      <c r="K688" s="70"/>
      <c r="L688" s="3"/>
      <c r="M688" s="9"/>
      <c r="N688" s="5"/>
      <c r="O688" s="70"/>
      <c r="P688" s="70"/>
      <c r="Q688" s="70"/>
      <c r="R688" s="3"/>
      <c r="S688" s="3"/>
      <c r="T688" s="3"/>
    </row>
    <row r="689">
      <c r="A689" s="3"/>
      <c r="B689" s="3"/>
      <c r="C689" s="3"/>
      <c r="E689" s="3"/>
      <c r="F689" s="9"/>
      <c r="G689" s="9"/>
      <c r="H689" s="70"/>
      <c r="I689" s="70"/>
      <c r="J689" s="70"/>
      <c r="K689" s="70"/>
      <c r="L689" s="3"/>
      <c r="M689" s="9"/>
      <c r="N689" s="5"/>
      <c r="O689" s="70"/>
      <c r="P689" s="70"/>
      <c r="Q689" s="70"/>
      <c r="R689" s="3"/>
      <c r="S689" s="3"/>
      <c r="T689" s="3"/>
    </row>
    <row r="690">
      <c r="A690" s="3"/>
      <c r="B690" s="3"/>
      <c r="C690" s="3"/>
      <c r="E690" s="3"/>
      <c r="F690" s="9"/>
      <c r="G690" s="9"/>
      <c r="H690" s="70"/>
      <c r="I690" s="70"/>
      <c r="J690" s="70"/>
      <c r="K690" s="70"/>
      <c r="L690" s="3"/>
      <c r="M690" s="9"/>
      <c r="N690" s="5"/>
      <c r="O690" s="70"/>
      <c r="P690" s="70"/>
      <c r="Q690" s="70"/>
      <c r="R690" s="3"/>
      <c r="S690" s="3"/>
      <c r="T690" s="3"/>
    </row>
    <row r="691">
      <c r="A691" s="3"/>
      <c r="B691" s="3"/>
      <c r="C691" s="3"/>
      <c r="E691" s="3"/>
      <c r="F691" s="9"/>
      <c r="G691" s="9"/>
      <c r="H691" s="70"/>
      <c r="I691" s="70"/>
      <c r="J691" s="70"/>
      <c r="K691" s="70"/>
      <c r="L691" s="3"/>
      <c r="M691" s="9"/>
      <c r="N691" s="5"/>
      <c r="O691" s="70"/>
      <c r="P691" s="70"/>
      <c r="Q691" s="70"/>
      <c r="R691" s="3"/>
      <c r="S691" s="3"/>
      <c r="T691" s="3"/>
    </row>
    <row r="692">
      <c r="A692" s="3"/>
      <c r="B692" s="3"/>
      <c r="C692" s="3"/>
      <c r="E692" s="3"/>
      <c r="F692" s="9"/>
      <c r="G692" s="9"/>
      <c r="H692" s="70"/>
      <c r="I692" s="70"/>
      <c r="J692" s="70"/>
      <c r="K692" s="70"/>
      <c r="L692" s="3"/>
      <c r="M692" s="9"/>
      <c r="N692" s="5"/>
      <c r="O692" s="70"/>
      <c r="P692" s="70"/>
      <c r="Q692" s="70"/>
      <c r="R692" s="3"/>
      <c r="S692" s="3"/>
      <c r="T692" s="3"/>
    </row>
    <row r="693">
      <c r="A693" s="3"/>
      <c r="B693" s="3"/>
      <c r="C693" s="3"/>
      <c r="E693" s="3"/>
      <c r="F693" s="9"/>
      <c r="G693" s="9"/>
      <c r="H693" s="70"/>
      <c r="I693" s="70"/>
      <c r="J693" s="70"/>
      <c r="K693" s="70"/>
      <c r="L693" s="3"/>
      <c r="M693" s="9"/>
      <c r="N693" s="5"/>
      <c r="O693" s="70"/>
      <c r="P693" s="70"/>
      <c r="Q693" s="70"/>
      <c r="R693" s="3"/>
      <c r="S693" s="3"/>
      <c r="T693" s="3"/>
    </row>
    <row r="694">
      <c r="A694" s="3"/>
      <c r="B694" s="3"/>
      <c r="C694" s="3"/>
      <c r="E694" s="3"/>
      <c r="F694" s="9"/>
      <c r="G694" s="9"/>
      <c r="H694" s="70"/>
      <c r="I694" s="70"/>
      <c r="J694" s="70"/>
      <c r="K694" s="70"/>
      <c r="L694" s="3"/>
      <c r="M694" s="9"/>
      <c r="N694" s="5"/>
      <c r="O694" s="70"/>
      <c r="P694" s="70"/>
      <c r="Q694" s="70"/>
      <c r="R694" s="3"/>
      <c r="S694" s="3"/>
      <c r="T694" s="3"/>
    </row>
    <row r="695">
      <c r="A695" s="3"/>
      <c r="B695" s="3"/>
      <c r="C695" s="3"/>
      <c r="E695" s="3"/>
      <c r="F695" s="9"/>
      <c r="G695" s="9"/>
      <c r="H695" s="70"/>
      <c r="I695" s="70"/>
      <c r="J695" s="70"/>
      <c r="K695" s="70"/>
      <c r="L695" s="3"/>
      <c r="M695" s="9"/>
      <c r="N695" s="5"/>
      <c r="O695" s="70"/>
      <c r="P695" s="70"/>
      <c r="Q695" s="70"/>
      <c r="R695" s="3"/>
      <c r="S695" s="3"/>
      <c r="T695" s="3"/>
    </row>
    <row r="696">
      <c r="A696" s="3"/>
      <c r="B696" s="3"/>
      <c r="C696" s="3"/>
      <c r="E696" s="3"/>
      <c r="F696" s="9"/>
      <c r="G696" s="9"/>
      <c r="H696" s="70"/>
      <c r="I696" s="70"/>
      <c r="J696" s="70"/>
      <c r="K696" s="70"/>
      <c r="L696" s="3"/>
      <c r="M696" s="9"/>
      <c r="N696" s="5"/>
      <c r="O696" s="70"/>
      <c r="P696" s="70"/>
      <c r="Q696" s="70"/>
      <c r="R696" s="3"/>
      <c r="S696" s="3"/>
      <c r="T696" s="3"/>
    </row>
    <row r="697">
      <c r="A697" s="3"/>
      <c r="B697" s="3"/>
      <c r="C697" s="3"/>
      <c r="E697" s="3"/>
      <c r="F697" s="9"/>
      <c r="G697" s="9"/>
      <c r="H697" s="70"/>
      <c r="I697" s="70"/>
      <c r="J697" s="70"/>
      <c r="K697" s="70"/>
      <c r="L697" s="3"/>
      <c r="M697" s="9"/>
      <c r="N697" s="5"/>
      <c r="O697" s="70"/>
      <c r="P697" s="70"/>
      <c r="Q697" s="70"/>
      <c r="R697" s="3"/>
      <c r="S697" s="3"/>
      <c r="T697" s="3"/>
    </row>
    <row r="698">
      <c r="A698" s="3"/>
      <c r="B698" s="3"/>
      <c r="C698" s="3"/>
      <c r="E698" s="3"/>
      <c r="F698" s="9"/>
      <c r="G698" s="9"/>
      <c r="H698" s="70"/>
      <c r="I698" s="70"/>
      <c r="J698" s="70"/>
      <c r="K698" s="70"/>
      <c r="L698" s="3"/>
      <c r="M698" s="9"/>
      <c r="N698" s="5"/>
      <c r="O698" s="70"/>
      <c r="P698" s="70"/>
      <c r="Q698" s="70"/>
      <c r="R698" s="3"/>
      <c r="S698" s="3"/>
      <c r="T698" s="3"/>
    </row>
    <row r="699">
      <c r="A699" s="3"/>
      <c r="B699" s="3"/>
      <c r="C699" s="3"/>
      <c r="E699" s="3"/>
      <c r="F699" s="9"/>
      <c r="G699" s="9"/>
      <c r="H699" s="70"/>
      <c r="I699" s="70"/>
      <c r="J699" s="70"/>
      <c r="K699" s="70"/>
      <c r="L699" s="3"/>
      <c r="M699" s="9"/>
      <c r="N699" s="5"/>
      <c r="O699" s="70"/>
      <c r="P699" s="70"/>
      <c r="Q699" s="70"/>
      <c r="R699" s="3"/>
      <c r="S699" s="3"/>
      <c r="T699" s="3"/>
    </row>
    <row r="700">
      <c r="A700" s="3"/>
      <c r="B700" s="3"/>
      <c r="C700" s="3"/>
      <c r="E700" s="3"/>
      <c r="F700" s="9"/>
      <c r="G700" s="9"/>
      <c r="H700" s="70"/>
      <c r="I700" s="70"/>
      <c r="J700" s="70"/>
      <c r="K700" s="70"/>
      <c r="L700" s="3"/>
      <c r="M700" s="9"/>
      <c r="N700" s="5"/>
      <c r="O700" s="70"/>
      <c r="P700" s="70"/>
      <c r="Q700" s="70"/>
      <c r="R700" s="3"/>
      <c r="S700" s="3"/>
      <c r="T700" s="3"/>
    </row>
    <row r="701">
      <c r="A701" s="3"/>
      <c r="B701" s="3"/>
      <c r="C701" s="3"/>
      <c r="E701" s="3"/>
      <c r="F701" s="9"/>
      <c r="G701" s="9"/>
      <c r="H701" s="70"/>
      <c r="I701" s="70"/>
      <c r="J701" s="70"/>
      <c r="K701" s="70"/>
      <c r="L701" s="3"/>
      <c r="M701" s="9"/>
      <c r="N701" s="5"/>
      <c r="O701" s="70"/>
      <c r="P701" s="70"/>
      <c r="Q701" s="70"/>
      <c r="R701" s="3"/>
      <c r="S701" s="3"/>
      <c r="T701" s="3"/>
    </row>
    <row r="702">
      <c r="A702" s="3"/>
      <c r="B702" s="3"/>
      <c r="C702" s="3"/>
      <c r="E702" s="3"/>
      <c r="F702" s="9"/>
      <c r="G702" s="9"/>
      <c r="H702" s="70"/>
      <c r="I702" s="70"/>
      <c r="J702" s="70"/>
      <c r="K702" s="70"/>
      <c r="L702" s="3"/>
      <c r="M702" s="9"/>
      <c r="N702" s="5"/>
      <c r="O702" s="70"/>
      <c r="P702" s="70"/>
      <c r="Q702" s="70"/>
      <c r="R702" s="3"/>
      <c r="S702" s="3"/>
      <c r="T702" s="3"/>
    </row>
    <row r="703">
      <c r="A703" s="3"/>
      <c r="B703" s="3"/>
      <c r="C703" s="3"/>
      <c r="E703" s="3"/>
      <c r="F703" s="9"/>
      <c r="G703" s="9"/>
      <c r="H703" s="70"/>
      <c r="I703" s="70"/>
      <c r="J703" s="70"/>
      <c r="K703" s="70"/>
      <c r="L703" s="3"/>
      <c r="M703" s="9"/>
      <c r="N703" s="5"/>
      <c r="O703" s="70"/>
      <c r="P703" s="70"/>
      <c r="Q703" s="70"/>
      <c r="R703" s="3"/>
      <c r="S703" s="3"/>
      <c r="T703" s="3"/>
    </row>
    <row r="704">
      <c r="A704" s="3"/>
      <c r="B704" s="3"/>
      <c r="C704" s="3"/>
      <c r="E704" s="3"/>
      <c r="F704" s="9"/>
      <c r="G704" s="9"/>
      <c r="H704" s="70"/>
      <c r="I704" s="70"/>
      <c r="J704" s="70"/>
      <c r="K704" s="70"/>
      <c r="L704" s="3"/>
      <c r="M704" s="9"/>
      <c r="N704" s="5"/>
      <c r="O704" s="70"/>
      <c r="P704" s="70"/>
      <c r="Q704" s="70"/>
      <c r="R704" s="3"/>
      <c r="S704" s="3"/>
      <c r="T704" s="3"/>
    </row>
    <row r="705">
      <c r="A705" s="3"/>
      <c r="B705" s="3"/>
      <c r="C705" s="3"/>
      <c r="E705" s="3"/>
      <c r="F705" s="9"/>
      <c r="G705" s="9"/>
      <c r="H705" s="70"/>
      <c r="I705" s="70"/>
      <c r="J705" s="70"/>
      <c r="K705" s="70"/>
      <c r="L705" s="3"/>
      <c r="M705" s="9"/>
      <c r="N705" s="5"/>
      <c r="O705" s="70"/>
      <c r="P705" s="70"/>
      <c r="Q705" s="70"/>
      <c r="R705" s="3"/>
      <c r="S705" s="3"/>
      <c r="T705" s="3"/>
    </row>
    <row r="706">
      <c r="A706" s="3"/>
      <c r="B706" s="3"/>
      <c r="C706" s="3"/>
      <c r="E706" s="3"/>
      <c r="F706" s="9"/>
      <c r="G706" s="9"/>
      <c r="H706" s="70"/>
      <c r="I706" s="70"/>
      <c r="J706" s="70"/>
      <c r="K706" s="70"/>
      <c r="L706" s="3"/>
      <c r="M706" s="9"/>
      <c r="N706" s="5"/>
      <c r="O706" s="70"/>
      <c r="P706" s="70"/>
      <c r="Q706" s="70"/>
      <c r="R706" s="3"/>
      <c r="S706" s="3"/>
      <c r="T706" s="3"/>
    </row>
    <row r="707">
      <c r="A707" s="3"/>
      <c r="B707" s="3"/>
      <c r="C707" s="3"/>
      <c r="E707" s="3"/>
      <c r="F707" s="9"/>
      <c r="G707" s="9"/>
      <c r="H707" s="70"/>
      <c r="I707" s="70"/>
      <c r="J707" s="70"/>
      <c r="K707" s="70"/>
      <c r="L707" s="3"/>
      <c r="M707" s="9"/>
      <c r="N707" s="5"/>
      <c r="O707" s="70"/>
      <c r="P707" s="70"/>
      <c r="Q707" s="70"/>
      <c r="R707" s="3"/>
      <c r="S707" s="3"/>
      <c r="T707" s="3"/>
    </row>
    <row r="708">
      <c r="A708" s="3"/>
      <c r="B708" s="3"/>
      <c r="C708" s="3"/>
      <c r="E708" s="3"/>
      <c r="F708" s="9"/>
      <c r="G708" s="9"/>
      <c r="H708" s="70"/>
      <c r="I708" s="70"/>
      <c r="J708" s="70"/>
      <c r="K708" s="70"/>
      <c r="L708" s="3"/>
      <c r="M708" s="9"/>
      <c r="N708" s="5"/>
      <c r="O708" s="70"/>
      <c r="P708" s="70"/>
      <c r="Q708" s="70"/>
      <c r="R708" s="3"/>
      <c r="S708" s="3"/>
      <c r="T708" s="3"/>
    </row>
    <row r="709">
      <c r="A709" s="3"/>
      <c r="B709" s="3"/>
      <c r="C709" s="3"/>
      <c r="E709" s="3"/>
      <c r="F709" s="9"/>
      <c r="G709" s="9"/>
      <c r="H709" s="70"/>
      <c r="I709" s="70"/>
      <c r="J709" s="70"/>
      <c r="K709" s="70"/>
      <c r="L709" s="3"/>
      <c r="M709" s="9"/>
      <c r="N709" s="5"/>
      <c r="O709" s="70"/>
      <c r="P709" s="70"/>
      <c r="Q709" s="70"/>
      <c r="R709" s="3"/>
      <c r="S709" s="3"/>
      <c r="T709" s="3"/>
    </row>
    <row r="710">
      <c r="A710" s="3"/>
      <c r="B710" s="3"/>
      <c r="C710" s="3"/>
      <c r="E710" s="3"/>
      <c r="F710" s="9"/>
      <c r="G710" s="9"/>
      <c r="H710" s="70"/>
      <c r="I710" s="70"/>
      <c r="J710" s="70"/>
      <c r="K710" s="70"/>
      <c r="L710" s="3"/>
      <c r="M710" s="9"/>
      <c r="N710" s="5"/>
      <c r="O710" s="70"/>
      <c r="P710" s="70"/>
      <c r="Q710" s="70"/>
      <c r="R710" s="3"/>
      <c r="S710" s="3"/>
      <c r="T710" s="3"/>
    </row>
    <row r="711">
      <c r="A711" s="3"/>
      <c r="B711" s="3"/>
      <c r="C711" s="3"/>
      <c r="E711" s="3"/>
      <c r="F711" s="9"/>
      <c r="G711" s="9"/>
      <c r="H711" s="70"/>
      <c r="I711" s="70"/>
      <c r="J711" s="70"/>
      <c r="K711" s="70"/>
      <c r="L711" s="3"/>
      <c r="M711" s="9"/>
      <c r="N711" s="5"/>
      <c r="O711" s="70"/>
      <c r="P711" s="70"/>
      <c r="Q711" s="70"/>
      <c r="R711" s="3"/>
      <c r="S711" s="3"/>
      <c r="T711" s="3"/>
    </row>
    <row r="712">
      <c r="A712" s="3"/>
      <c r="B712" s="3"/>
      <c r="C712" s="3"/>
      <c r="E712" s="3"/>
      <c r="F712" s="9"/>
      <c r="G712" s="9"/>
      <c r="H712" s="70"/>
      <c r="I712" s="70"/>
      <c r="J712" s="70"/>
      <c r="K712" s="70"/>
      <c r="L712" s="3"/>
      <c r="M712" s="9"/>
      <c r="N712" s="5"/>
      <c r="O712" s="70"/>
      <c r="P712" s="70"/>
      <c r="Q712" s="70"/>
      <c r="R712" s="3"/>
      <c r="S712" s="3"/>
      <c r="T712" s="3"/>
    </row>
    <row r="713">
      <c r="A713" s="3"/>
      <c r="B713" s="3"/>
      <c r="C713" s="3"/>
      <c r="E713" s="3"/>
      <c r="F713" s="9"/>
      <c r="G713" s="9"/>
      <c r="H713" s="70"/>
      <c r="I713" s="70"/>
      <c r="J713" s="70"/>
      <c r="K713" s="70"/>
      <c r="L713" s="3"/>
      <c r="M713" s="9"/>
      <c r="N713" s="5"/>
      <c r="O713" s="70"/>
      <c r="P713" s="70"/>
      <c r="Q713" s="70"/>
      <c r="R713" s="3"/>
      <c r="S713" s="3"/>
      <c r="T713" s="3"/>
    </row>
    <row r="714">
      <c r="A714" s="3"/>
      <c r="B714" s="3"/>
      <c r="C714" s="3"/>
      <c r="E714" s="3"/>
      <c r="F714" s="9"/>
      <c r="G714" s="9"/>
      <c r="H714" s="70"/>
      <c r="I714" s="70"/>
      <c r="J714" s="70"/>
      <c r="K714" s="70"/>
      <c r="L714" s="3"/>
      <c r="M714" s="9"/>
      <c r="N714" s="5"/>
      <c r="O714" s="70"/>
      <c r="P714" s="70"/>
      <c r="Q714" s="70"/>
      <c r="R714" s="3"/>
      <c r="S714" s="3"/>
      <c r="T714" s="3"/>
    </row>
    <row r="715">
      <c r="A715" s="3"/>
      <c r="B715" s="3"/>
      <c r="C715" s="3"/>
      <c r="E715" s="3"/>
      <c r="F715" s="9"/>
      <c r="G715" s="9"/>
      <c r="H715" s="70"/>
      <c r="I715" s="70"/>
      <c r="J715" s="70"/>
      <c r="K715" s="70"/>
      <c r="L715" s="3"/>
      <c r="M715" s="9"/>
      <c r="N715" s="5"/>
      <c r="O715" s="70"/>
      <c r="P715" s="70"/>
      <c r="Q715" s="70"/>
      <c r="R715" s="3"/>
      <c r="S715" s="3"/>
      <c r="T715" s="3"/>
    </row>
    <row r="716">
      <c r="A716" s="3"/>
      <c r="B716" s="3"/>
      <c r="C716" s="3"/>
      <c r="E716" s="3"/>
      <c r="F716" s="9"/>
      <c r="G716" s="9"/>
      <c r="H716" s="70"/>
      <c r="I716" s="70"/>
      <c r="J716" s="70"/>
      <c r="K716" s="70"/>
      <c r="L716" s="3"/>
      <c r="M716" s="9"/>
      <c r="N716" s="5"/>
      <c r="O716" s="70"/>
      <c r="P716" s="70"/>
      <c r="Q716" s="70"/>
      <c r="R716" s="3"/>
      <c r="S716" s="3"/>
      <c r="T716" s="3"/>
    </row>
    <row r="717">
      <c r="A717" s="3"/>
      <c r="B717" s="3"/>
      <c r="C717" s="3"/>
      <c r="E717" s="3"/>
      <c r="F717" s="9"/>
      <c r="G717" s="9"/>
      <c r="H717" s="70"/>
      <c r="I717" s="70"/>
      <c r="J717" s="70"/>
      <c r="K717" s="70"/>
      <c r="L717" s="3"/>
      <c r="M717" s="9"/>
      <c r="N717" s="5"/>
      <c r="O717" s="70"/>
      <c r="P717" s="70"/>
      <c r="Q717" s="70"/>
      <c r="R717" s="3"/>
      <c r="S717" s="3"/>
      <c r="T717" s="3"/>
    </row>
    <row r="718">
      <c r="A718" s="3"/>
      <c r="B718" s="3"/>
      <c r="C718" s="3"/>
      <c r="E718" s="3"/>
      <c r="F718" s="9"/>
      <c r="G718" s="9"/>
      <c r="H718" s="70"/>
      <c r="I718" s="70"/>
      <c r="J718" s="70"/>
      <c r="K718" s="70"/>
      <c r="L718" s="3"/>
      <c r="M718" s="9"/>
      <c r="N718" s="5"/>
      <c r="O718" s="70"/>
      <c r="P718" s="70"/>
      <c r="Q718" s="70"/>
      <c r="R718" s="3"/>
      <c r="S718" s="3"/>
      <c r="T718" s="3"/>
    </row>
    <row r="719">
      <c r="A719" s="3"/>
      <c r="B719" s="3"/>
      <c r="C719" s="3"/>
      <c r="E719" s="3"/>
      <c r="F719" s="9"/>
      <c r="G719" s="9"/>
      <c r="H719" s="70"/>
      <c r="I719" s="70"/>
      <c r="J719" s="70"/>
      <c r="K719" s="70"/>
      <c r="L719" s="3"/>
      <c r="M719" s="9"/>
      <c r="N719" s="5"/>
      <c r="O719" s="70"/>
      <c r="P719" s="70"/>
      <c r="Q719" s="70"/>
      <c r="R719" s="3"/>
      <c r="S719" s="3"/>
      <c r="T719" s="3"/>
    </row>
    <row r="720">
      <c r="A720" s="3"/>
      <c r="B720" s="3"/>
      <c r="C720" s="3"/>
      <c r="E720" s="3"/>
      <c r="F720" s="9"/>
      <c r="G720" s="9"/>
      <c r="H720" s="70"/>
      <c r="I720" s="70"/>
      <c r="J720" s="70"/>
      <c r="K720" s="70"/>
      <c r="L720" s="3"/>
      <c r="M720" s="9"/>
      <c r="N720" s="5"/>
      <c r="O720" s="70"/>
      <c r="P720" s="70"/>
      <c r="Q720" s="70"/>
      <c r="R720" s="3"/>
      <c r="S720" s="3"/>
      <c r="T720" s="3"/>
    </row>
    <row r="721">
      <c r="A721" s="3"/>
      <c r="B721" s="3"/>
      <c r="C721" s="3"/>
      <c r="E721" s="3"/>
      <c r="F721" s="9"/>
      <c r="G721" s="9"/>
      <c r="H721" s="70"/>
      <c r="I721" s="70"/>
      <c r="J721" s="70"/>
      <c r="K721" s="70"/>
      <c r="L721" s="3"/>
      <c r="M721" s="9"/>
      <c r="N721" s="5"/>
      <c r="O721" s="70"/>
      <c r="P721" s="70"/>
      <c r="Q721" s="70"/>
      <c r="R721" s="3"/>
      <c r="S721" s="3"/>
      <c r="T721" s="3"/>
    </row>
    <row r="722">
      <c r="A722" s="3"/>
      <c r="B722" s="3"/>
      <c r="C722" s="3"/>
      <c r="E722" s="3"/>
      <c r="F722" s="9"/>
      <c r="G722" s="9"/>
      <c r="H722" s="70"/>
      <c r="I722" s="70"/>
      <c r="J722" s="70"/>
      <c r="K722" s="70"/>
      <c r="L722" s="3"/>
      <c r="M722" s="9"/>
      <c r="N722" s="5"/>
      <c r="O722" s="70"/>
      <c r="P722" s="70"/>
      <c r="Q722" s="70"/>
      <c r="R722" s="3"/>
      <c r="S722" s="3"/>
      <c r="T722" s="3"/>
    </row>
    <row r="723">
      <c r="A723" s="3"/>
      <c r="B723" s="3"/>
      <c r="C723" s="3"/>
      <c r="E723" s="3"/>
      <c r="F723" s="9"/>
      <c r="G723" s="9"/>
      <c r="H723" s="70"/>
      <c r="I723" s="70"/>
      <c r="J723" s="70"/>
      <c r="K723" s="70"/>
      <c r="L723" s="3"/>
      <c r="M723" s="9"/>
      <c r="N723" s="5"/>
      <c r="O723" s="70"/>
      <c r="P723" s="70"/>
      <c r="Q723" s="70"/>
      <c r="R723" s="3"/>
      <c r="S723" s="3"/>
      <c r="T723" s="3"/>
    </row>
    <row r="724">
      <c r="A724" s="3"/>
      <c r="B724" s="3"/>
      <c r="C724" s="3"/>
      <c r="E724" s="3"/>
      <c r="F724" s="9"/>
      <c r="G724" s="9"/>
      <c r="H724" s="70"/>
      <c r="I724" s="70"/>
      <c r="J724" s="70"/>
      <c r="K724" s="70"/>
      <c r="L724" s="3"/>
      <c r="M724" s="9"/>
      <c r="N724" s="5"/>
      <c r="O724" s="70"/>
      <c r="P724" s="70"/>
      <c r="Q724" s="70"/>
      <c r="R724" s="3"/>
      <c r="S724" s="3"/>
      <c r="T724" s="3"/>
    </row>
    <row r="725">
      <c r="A725" s="3"/>
      <c r="B725" s="3"/>
      <c r="C725" s="3"/>
      <c r="E725" s="3"/>
      <c r="F725" s="9"/>
      <c r="G725" s="9"/>
      <c r="H725" s="70"/>
      <c r="I725" s="70"/>
      <c r="J725" s="70"/>
      <c r="K725" s="70"/>
      <c r="L725" s="3"/>
      <c r="M725" s="9"/>
      <c r="N725" s="5"/>
      <c r="O725" s="70"/>
      <c r="P725" s="70"/>
      <c r="Q725" s="70"/>
      <c r="R725" s="3"/>
      <c r="S725" s="3"/>
      <c r="T725" s="3"/>
    </row>
    <row r="726">
      <c r="A726" s="3"/>
      <c r="B726" s="3"/>
      <c r="C726" s="3"/>
      <c r="E726" s="3"/>
      <c r="F726" s="9"/>
      <c r="G726" s="9"/>
      <c r="H726" s="70"/>
      <c r="I726" s="70"/>
      <c r="J726" s="70"/>
      <c r="K726" s="70"/>
      <c r="L726" s="3"/>
      <c r="M726" s="9"/>
      <c r="N726" s="5"/>
      <c r="O726" s="70"/>
      <c r="P726" s="70"/>
      <c r="Q726" s="70"/>
      <c r="R726" s="3"/>
      <c r="S726" s="3"/>
      <c r="T726" s="3"/>
    </row>
    <row r="727">
      <c r="A727" s="3"/>
      <c r="B727" s="3"/>
      <c r="C727" s="3"/>
      <c r="E727" s="3"/>
      <c r="F727" s="9"/>
      <c r="G727" s="9"/>
      <c r="H727" s="70"/>
      <c r="I727" s="70"/>
      <c r="J727" s="70"/>
      <c r="K727" s="70"/>
      <c r="L727" s="3"/>
      <c r="M727" s="9"/>
      <c r="N727" s="5"/>
      <c r="O727" s="70"/>
      <c r="P727" s="70"/>
      <c r="Q727" s="70"/>
      <c r="R727" s="3"/>
      <c r="S727" s="3"/>
      <c r="T727" s="3"/>
    </row>
    <row r="728">
      <c r="A728" s="3"/>
      <c r="B728" s="3"/>
      <c r="C728" s="3"/>
      <c r="E728" s="3"/>
      <c r="F728" s="9"/>
      <c r="G728" s="9"/>
      <c r="H728" s="70"/>
      <c r="I728" s="70"/>
      <c r="J728" s="70"/>
      <c r="K728" s="70"/>
      <c r="L728" s="3"/>
      <c r="M728" s="9"/>
      <c r="N728" s="5"/>
      <c r="O728" s="70"/>
      <c r="P728" s="70"/>
      <c r="Q728" s="70"/>
      <c r="R728" s="3"/>
      <c r="S728" s="3"/>
      <c r="T728" s="3"/>
    </row>
    <row r="729">
      <c r="A729" s="3"/>
      <c r="B729" s="3"/>
      <c r="C729" s="3"/>
      <c r="E729" s="3"/>
      <c r="F729" s="9"/>
      <c r="G729" s="9"/>
      <c r="H729" s="70"/>
      <c r="I729" s="70"/>
      <c r="J729" s="70"/>
      <c r="K729" s="70"/>
      <c r="L729" s="3"/>
      <c r="M729" s="9"/>
      <c r="N729" s="5"/>
      <c r="O729" s="70"/>
      <c r="P729" s="70"/>
      <c r="Q729" s="70"/>
      <c r="R729" s="3"/>
      <c r="S729" s="3"/>
      <c r="T729" s="3"/>
    </row>
    <row r="730">
      <c r="A730" s="3"/>
      <c r="B730" s="3"/>
      <c r="C730" s="3"/>
      <c r="E730" s="3"/>
      <c r="F730" s="9"/>
      <c r="G730" s="9"/>
      <c r="H730" s="70"/>
      <c r="I730" s="70"/>
      <c r="J730" s="70"/>
      <c r="K730" s="70"/>
      <c r="L730" s="3"/>
      <c r="M730" s="9"/>
      <c r="N730" s="5"/>
      <c r="O730" s="70"/>
      <c r="P730" s="70"/>
      <c r="Q730" s="70"/>
      <c r="R730" s="3"/>
      <c r="S730" s="3"/>
      <c r="T730" s="3"/>
    </row>
    <row r="731">
      <c r="A731" s="3"/>
      <c r="B731" s="3"/>
      <c r="C731" s="3"/>
      <c r="E731" s="3"/>
      <c r="F731" s="9"/>
      <c r="G731" s="9"/>
      <c r="H731" s="70"/>
      <c r="I731" s="70"/>
      <c r="J731" s="70"/>
      <c r="K731" s="70"/>
      <c r="L731" s="3"/>
      <c r="M731" s="9"/>
      <c r="N731" s="5"/>
      <c r="O731" s="70"/>
      <c r="P731" s="70"/>
      <c r="Q731" s="70"/>
      <c r="R731" s="3"/>
      <c r="S731" s="3"/>
      <c r="T731" s="3"/>
    </row>
    <row r="732">
      <c r="A732" s="3"/>
      <c r="B732" s="3"/>
      <c r="C732" s="3"/>
      <c r="E732" s="3"/>
      <c r="F732" s="9"/>
      <c r="G732" s="9"/>
      <c r="H732" s="70"/>
      <c r="I732" s="70"/>
      <c r="J732" s="70"/>
      <c r="K732" s="70"/>
      <c r="L732" s="3"/>
      <c r="M732" s="9"/>
      <c r="N732" s="5"/>
      <c r="O732" s="70"/>
      <c r="P732" s="70"/>
      <c r="Q732" s="70"/>
      <c r="R732" s="3"/>
      <c r="S732" s="3"/>
      <c r="T732" s="3"/>
    </row>
    <row r="733">
      <c r="A733" s="3"/>
      <c r="B733" s="3"/>
      <c r="C733" s="3"/>
      <c r="E733" s="3"/>
      <c r="F733" s="9"/>
      <c r="G733" s="9"/>
      <c r="H733" s="70"/>
      <c r="I733" s="70"/>
      <c r="J733" s="70"/>
      <c r="K733" s="70"/>
      <c r="L733" s="3"/>
      <c r="M733" s="9"/>
      <c r="N733" s="5"/>
      <c r="O733" s="70"/>
      <c r="P733" s="70"/>
      <c r="Q733" s="70"/>
      <c r="R733" s="3"/>
      <c r="S733" s="3"/>
      <c r="T733" s="3"/>
    </row>
    <row r="734">
      <c r="A734" s="3"/>
      <c r="B734" s="3"/>
      <c r="C734" s="3"/>
      <c r="E734" s="3"/>
      <c r="F734" s="9"/>
      <c r="G734" s="9"/>
      <c r="H734" s="70"/>
      <c r="I734" s="70"/>
      <c r="J734" s="70"/>
      <c r="K734" s="70"/>
      <c r="L734" s="3"/>
      <c r="M734" s="9"/>
      <c r="N734" s="5"/>
      <c r="O734" s="70"/>
      <c r="P734" s="70"/>
      <c r="Q734" s="70"/>
      <c r="R734" s="3"/>
      <c r="S734" s="3"/>
      <c r="T734" s="3"/>
    </row>
    <row r="735">
      <c r="A735" s="3"/>
      <c r="B735" s="3"/>
      <c r="C735" s="3"/>
      <c r="E735" s="3"/>
      <c r="F735" s="9"/>
      <c r="G735" s="9"/>
      <c r="H735" s="70"/>
      <c r="I735" s="70"/>
      <c r="J735" s="70"/>
      <c r="K735" s="70"/>
      <c r="L735" s="3"/>
      <c r="M735" s="9"/>
      <c r="N735" s="5"/>
      <c r="O735" s="70"/>
      <c r="P735" s="70"/>
      <c r="Q735" s="70"/>
      <c r="R735" s="3"/>
      <c r="S735" s="3"/>
      <c r="T735" s="3"/>
    </row>
    <row r="736">
      <c r="A736" s="3"/>
      <c r="B736" s="3"/>
      <c r="C736" s="3"/>
      <c r="E736" s="3"/>
      <c r="F736" s="9"/>
      <c r="G736" s="9"/>
      <c r="H736" s="70"/>
      <c r="I736" s="70"/>
      <c r="J736" s="70"/>
      <c r="K736" s="70"/>
      <c r="L736" s="3"/>
      <c r="M736" s="9"/>
      <c r="N736" s="5"/>
      <c r="O736" s="70"/>
      <c r="P736" s="70"/>
      <c r="Q736" s="70"/>
      <c r="R736" s="3"/>
      <c r="S736" s="3"/>
      <c r="T736" s="3"/>
    </row>
    <row r="737">
      <c r="A737" s="3"/>
      <c r="B737" s="3"/>
      <c r="C737" s="3"/>
      <c r="E737" s="3"/>
      <c r="F737" s="9"/>
      <c r="G737" s="9"/>
      <c r="H737" s="70"/>
      <c r="I737" s="70"/>
      <c r="J737" s="70"/>
      <c r="K737" s="70"/>
      <c r="L737" s="3"/>
      <c r="M737" s="9"/>
      <c r="N737" s="5"/>
      <c r="O737" s="70"/>
      <c r="P737" s="70"/>
      <c r="Q737" s="70"/>
      <c r="R737" s="3"/>
      <c r="S737" s="3"/>
      <c r="T737" s="3"/>
    </row>
    <row r="738">
      <c r="A738" s="3"/>
      <c r="B738" s="3"/>
      <c r="C738" s="3"/>
      <c r="E738" s="3"/>
      <c r="F738" s="9"/>
      <c r="G738" s="9"/>
      <c r="H738" s="70"/>
      <c r="I738" s="70"/>
      <c r="J738" s="70"/>
      <c r="K738" s="70"/>
      <c r="L738" s="3"/>
      <c r="M738" s="9"/>
      <c r="N738" s="5"/>
      <c r="O738" s="70"/>
      <c r="P738" s="70"/>
      <c r="Q738" s="70"/>
      <c r="R738" s="3"/>
      <c r="S738" s="3"/>
      <c r="T738" s="3"/>
    </row>
    <row r="739">
      <c r="A739" s="3"/>
      <c r="B739" s="3"/>
      <c r="C739" s="3"/>
      <c r="E739" s="3"/>
      <c r="F739" s="9"/>
      <c r="G739" s="9"/>
      <c r="H739" s="70"/>
      <c r="I739" s="70"/>
      <c r="J739" s="70"/>
      <c r="K739" s="70"/>
      <c r="L739" s="3"/>
      <c r="M739" s="9"/>
      <c r="N739" s="5"/>
      <c r="O739" s="70"/>
      <c r="P739" s="70"/>
      <c r="Q739" s="70"/>
      <c r="R739" s="3"/>
      <c r="S739" s="3"/>
      <c r="T739" s="3"/>
    </row>
    <row r="740">
      <c r="A740" s="3"/>
      <c r="B740" s="3"/>
      <c r="C740" s="3"/>
      <c r="E740" s="3"/>
      <c r="F740" s="9"/>
      <c r="G740" s="9"/>
      <c r="H740" s="70"/>
      <c r="I740" s="70"/>
      <c r="J740" s="70"/>
      <c r="K740" s="70"/>
      <c r="L740" s="3"/>
      <c r="M740" s="9"/>
      <c r="N740" s="5"/>
      <c r="O740" s="70"/>
      <c r="P740" s="70"/>
      <c r="Q740" s="70"/>
      <c r="R740" s="3"/>
      <c r="S740" s="3"/>
      <c r="T740" s="3"/>
    </row>
    <row r="741">
      <c r="A741" s="3"/>
      <c r="B741" s="3"/>
      <c r="C741" s="3"/>
      <c r="E741" s="3"/>
      <c r="F741" s="9"/>
      <c r="G741" s="9"/>
      <c r="H741" s="70"/>
      <c r="I741" s="70"/>
      <c r="J741" s="70"/>
      <c r="K741" s="70"/>
      <c r="L741" s="3"/>
      <c r="M741" s="9"/>
      <c r="N741" s="5"/>
      <c r="O741" s="70"/>
      <c r="P741" s="70"/>
      <c r="Q741" s="70"/>
      <c r="R741" s="3"/>
      <c r="S741" s="3"/>
      <c r="T741" s="3"/>
    </row>
    <row r="742">
      <c r="A742" s="3"/>
      <c r="B742" s="3"/>
      <c r="C742" s="3"/>
      <c r="E742" s="3"/>
      <c r="F742" s="9"/>
      <c r="G742" s="9"/>
      <c r="H742" s="70"/>
      <c r="I742" s="70"/>
      <c r="J742" s="70"/>
      <c r="K742" s="70"/>
      <c r="L742" s="3"/>
      <c r="M742" s="9"/>
      <c r="N742" s="5"/>
      <c r="O742" s="70"/>
      <c r="P742" s="70"/>
      <c r="Q742" s="70"/>
      <c r="R742" s="3"/>
      <c r="S742" s="3"/>
      <c r="T742" s="3"/>
    </row>
    <row r="743">
      <c r="A743" s="3"/>
      <c r="B743" s="3"/>
      <c r="C743" s="3"/>
      <c r="E743" s="3"/>
      <c r="F743" s="9"/>
      <c r="G743" s="9"/>
      <c r="H743" s="70"/>
      <c r="I743" s="70"/>
      <c r="J743" s="70"/>
      <c r="K743" s="70"/>
      <c r="L743" s="3"/>
      <c r="M743" s="9"/>
      <c r="N743" s="5"/>
      <c r="O743" s="70"/>
      <c r="P743" s="70"/>
      <c r="Q743" s="70"/>
      <c r="R743" s="3"/>
      <c r="S743" s="3"/>
      <c r="T743" s="3"/>
    </row>
    <row r="744">
      <c r="A744" s="3"/>
      <c r="B744" s="3"/>
      <c r="C744" s="3"/>
      <c r="E744" s="3"/>
      <c r="F744" s="9"/>
      <c r="G744" s="9"/>
      <c r="H744" s="70"/>
      <c r="I744" s="70"/>
      <c r="J744" s="70"/>
      <c r="K744" s="70"/>
      <c r="L744" s="3"/>
      <c r="M744" s="9"/>
      <c r="N744" s="5"/>
      <c r="O744" s="70"/>
      <c r="P744" s="70"/>
      <c r="Q744" s="70"/>
      <c r="R744" s="3"/>
      <c r="S744" s="3"/>
      <c r="T744" s="3"/>
    </row>
    <row r="745">
      <c r="A745" s="3"/>
      <c r="B745" s="3"/>
      <c r="C745" s="3"/>
      <c r="E745" s="3"/>
      <c r="F745" s="9"/>
      <c r="G745" s="9"/>
      <c r="H745" s="70"/>
      <c r="I745" s="70"/>
      <c r="J745" s="70"/>
      <c r="K745" s="70"/>
      <c r="L745" s="3"/>
      <c r="M745" s="9"/>
      <c r="N745" s="5"/>
      <c r="O745" s="70"/>
      <c r="P745" s="70"/>
      <c r="Q745" s="70"/>
      <c r="R745" s="3"/>
      <c r="S745" s="3"/>
      <c r="T745" s="3"/>
    </row>
    <row r="746">
      <c r="A746" s="3"/>
      <c r="B746" s="3"/>
      <c r="C746" s="3"/>
      <c r="E746" s="3"/>
      <c r="F746" s="9"/>
      <c r="G746" s="9"/>
      <c r="H746" s="70"/>
      <c r="I746" s="70"/>
      <c r="J746" s="70"/>
      <c r="K746" s="70"/>
      <c r="L746" s="3"/>
      <c r="M746" s="9"/>
      <c r="N746" s="5"/>
      <c r="O746" s="70"/>
      <c r="P746" s="70"/>
      <c r="Q746" s="70"/>
      <c r="R746" s="3"/>
      <c r="S746" s="3"/>
      <c r="T746" s="3"/>
    </row>
    <row r="747">
      <c r="A747" s="3"/>
      <c r="B747" s="3"/>
      <c r="C747" s="3"/>
      <c r="E747" s="3"/>
      <c r="F747" s="9"/>
      <c r="G747" s="9"/>
      <c r="H747" s="70"/>
      <c r="I747" s="70"/>
      <c r="J747" s="70"/>
      <c r="K747" s="70"/>
      <c r="L747" s="3"/>
      <c r="M747" s="9"/>
      <c r="N747" s="5"/>
      <c r="O747" s="70"/>
      <c r="P747" s="70"/>
      <c r="Q747" s="70"/>
      <c r="R747" s="3"/>
      <c r="S747" s="3"/>
      <c r="T747" s="3"/>
    </row>
    <row r="748">
      <c r="A748" s="3"/>
      <c r="B748" s="3"/>
      <c r="C748" s="3"/>
      <c r="E748" s="3"/>
      <c r="F748" s="9"/>
      <c r="G748" s="9"/>
      <c r="H748" s="70"/>
      <c r="I748" s="70"/>
      <c r="J748" s="70"/>
      <c r="K748" s="70"/>
      <c r="L748" s="3"/>
      <c r="M748" s="9"/>
      <c r="N748" s="5"/>
      <c r="O748" s="70"/>
      <c r="P748" s="70"/>
      <c r="Q748" s="70"/>
      <c r="R748" s="3"/>
      <c r="S748" s="3"/>
      <c r="T748" s="3"/>
    </row>
    <row r="749">
      <c r="A749" s="3"/>
      <c r="B749" s="3"/>
      <c r="C749" s="3"/>
      <c r="E749" s="3"/>
      <c r="F749" s="9"/>
      <c r="G749" s="9"/>
      <c r="H749" s="70"/>
      <c r="I749" s="70"/>
      <c r="J749" s="70"/>
      <c r="K749" s="70"/>
      <c r="L749" s="3"/>
      <c r="M749" s="9"/>
      <c r="N749" s="5"/>
      <c r="O749" s="70"/>
      <c r="P749" s="70"/>
      <c r="Q749" s="70"/>
      <c r="R749" s="3"/>
      <c r="S749" s="3"/>
      <c r="T749" s="3"/>
    </row>
    <row r="750">
      <c r="A750" s="3"/>
      <c r="B750" s="3"/>
      <c r="C750" s="3"/>
      <c r="E750" s="3"/>
      <c r="F750" s="9"/>
      <c r="G750" s="9"/>
      <c r="H750" s="70"/>
      <c r="I750" s="70"/>
      <c r="J750" s="70"/>
      <c r="K750" s="70"/>
      <c r="L750" s="3"/>
      <c r="M750" s="9"/>
      <c r="N750" s="5"/>
      <c r="O750" s="70"/>
      <c r="P750" s="70"/>
      <c r="Q750" s="70"/>
      <c r="R750" s="3"/>
      <c r="S750" s="3"/>
      <c r="T750" s="3"/>
    </row>
    <row r="751">
      <c r="A751" s="3"/>
      <c r="B751" s="3"/>
      <c r="C751" s="3"/>
      <c r="E751" s="3"/>
      <c r="F751" s="9"/>
      <c r="G751" s="9"/>
      <c r="H751" s="70"/>
      <c r="I751" s="70"/>
      <c r="J751" s="70"/>
      <c r="K751" s="70"/>
      <c r="L751" s="3"/>
      <c r="M751" s="9"/>
      <c r="N751" s="5"/>
      <c r="O751" s="70"/>
      <c r="P751" s="70"/>
      <c r="Q751" s="70"/>
      <c r="R751" s="3"/>
      <c r="S751" s="3"/>
      <c r="T751" s="3"/>
    </row>
    <row r="752">
      <c r="A752" s="3"/>
      <c r="B752" s="3"/>
      <c r="C752" s="3"/>
      <c r="E752" s="3"/>
      <c r="F752" s="9"/>
      <c r="G752" s="9"/>
      <c r="H752" s="70"/>
      <c r="I752" s="70"/>
      <c r="J752" s="70"/>
      <c r="K752" s="70"/>
      <c r="L752" s="3"/>
      <c r="M752" s="9"/>
      <c r="N752" s="5"/>
      <c r="O752" s="70"/>
      <c r="P752" s="70"/>
      <c r="Q752" s="70"/>
      <c r="R752" s="3"/>
      <c r="S752" s="3"/>
      <c r="T752" s="3"/>
    </row>
    <row r="753">
      <c r="A753" s="3"/>
      <c r="B753" s="3"/>
      <c r="C753" s="3"/>
      <c r="E753" s="3"/>
      <c r="F753" s="9"/>
      <c r="G753" s="9"/>
      <c r="H753" s="70"/>
      <c r="I753" s="70"/>
      <c r="J753" s="70"/>
      <c r="K753" s="70"/>
      <c r="L753" s="3"/>
      <c r="M753" s="9"/>
      <c r="N753" s="5"/>
      <c r="O753" s="70"/>
      <c r="P753" s="70"/>
      <c r="Q753" s="70"/>
      <c r="R753" s="3"/>
      <c r="S753" s="3"/>
      <c r="T753" s="3"/>
    </row>
    <row r="754">
      <c r="A754" s="3"/>
      <c r="B754" s="3"/>
      <c r="C754" s="3"/>
      <c r="E754" s="3"/>
      <c r="F754" s="9"/>
      <c r="G754" s="9"/>
      <c r="H754" s="70"/>
      <c r="I754" s="70"/>
      <c r="J754" s="70"/>
      <c r="K754" s="70"/>
      <c r="L754" s="3"/>
      <c r="M754" s="9"/>
      <c r="N754" s="5"/>
      <c r="O754" s="70"/>
      <c r="P754" s="70"/>
      <c r="Q754" s="70"/>
      <c r="R754" s="3"/>
      <c r="S754" s="3"/>
      <c r="T754" s="3"/>
    </row>
    <row r="755">
      <c r="A755" s="3"/>
      <c r="B755" s="3"/>
      <c r="C755" s="3"/>
      <c r="E755" s="3"/>
      <c r="F755" s="9"/>
      <c r="G755" s="9"/>
      <c r="H755" s="70"/>
      <c r="I755" s="70"/>
      <c r="J755" s="70"/>
      <c r="K755" s="70"/>
      <c r="L755" s="3"/>
      <c r="M755" s="9"/>
      <c r="N755" s="5"/>
      <c r="O755" s="70"/>
      <c r="P755" s="70"/>
      <c r="Q755" s="70"/>
      <c r="R755" s="3"/>
      <c r="S755" s="3"/>
      <c r="T755" s="3"/>
    </row>
    <row r="756">
      <c r="A756" s="3"/>
      <c r="B756" s="3"/>
      <c r="C756" s="3"/>
      <c r="E756" s="3"/>
      <c r="F756" s="9"/>
      <c r="G756" s="9"/>
      <c r="H756" s="70"/>
      <c r="I756" s="70"/>
      <c r="J756" s="70"/>
      <c r="K756" s="70"/>
      <c r="L756" s="3"/>
      <c r="M756" s="9"/>
      <c r="N756" s="5"/>
      <c r="O756" s="70"/>
      <c r="P756" s="70"/>
      <c r="Q756" s="70"/>
      <c r="R756" s="3"/>
      <c r="S756" s="3"/>
      <c r="T756" s="3"/>
    </row>
    <row r="757">
      <c r="A757" s="3"/>
      <c r="B757" s="3"/>
      <c r="C757" s="3"/>
      <c r="E757" s="3"/>
      <c r="F757" s="9"/>
      <c r="G757" s="9"/>
      <c r="H757" s="70"/>
      <c r="I757" s="70"/>
      <c r="J757" s="70"/>
      <c r="K757" s="70"/>
      <c r="L757" s="3"/>
      <c r="M757" s="9"/>
      <c r="N757" s="5"/>
      <c r="O757" s="70"/>
      <c r="P757" s="70"/>
      <c r="Q757" s="70"/>
      <c r="R757" s="3"/>
      <c r="S757" s="3"/>
      <c r="T757" s="3"/>
    </row>
    <row r="758">
      <c r="A758" s="3"/>
      <c r="B758" s="3"/>
      <c r="C758" s="3"/>
      <c r="E758" s="3"/>
      <c r="F758" s="9"/>
      <c r="G758" s="9"/>
      <c r="H758" s="70"/>
      <c r="I758" s="70"/>
      <c r="J758" s="70"/>
      <c r="K758" s="70"/>
      <c r="L758" s="3"/>
      <c r="M758" s="9"/>
      <c r="N758" s="5"/>
      <c r="O758" s="70"/>
      <c r="P758" s="70"/>
      <c r="Q758" s="70"/>
      <c r="R758" s="3"/>
      <c r="S758" s="3"/>
      <c r="T758" s="3"/>
    </row>
    <row r="759">
      <c r="A759" s="3"/>
      <c r="B759" s="3"/>
      <c r="C759" s="3"/>
      <c r="E759" s="3"/>
      <c r="F759" s="9"/>
      <c r="G759" s="9"/>
      <c r="H759" s="70"/>
      <c r="I759" s="70"/>
      <c r="J759" s="70"/>
      <c r="K759" s="70"/>
      <c r="L759" s="3"/>
      <c r="M759" s="9"/>
      <c r="N759" s="5"/>
      <c r="O759" s="70"/>
      <c r="P759" s="70"/>
      <c r="Q759" s="70"/>
      <c r="R759" s="3"/>
      <c r="S759" s="3"/>
      <c r="T759" s="3"/>
    </row>
    <row r="760">
      <c r="A760" s="3"/>
      <c r="B760" s="3"/>
      <c r="C760" s="3"/>
      <c r="E760" s="3"/>
      <c r="F760" s="9"/>
      <c r="G760" s="9"/>
      <c r="H760" s="70"/>
      <c r="I760" s="70"/>
      <c r="J760" s="70"/>
      <c r="K760" s="70"/>
      <c r="L760" s="3"/>
      <c r="M760" s="9"/>
      <c r="N760" s="5"/>
      <c r="O760" s="70"/>
      <c r="P760" s="70"/>
      <c r="Q760" s="70"/>
      <c r="R760" s="3"/>
      <c r="S760" s="3"/>
      <c r="T760" s="3"/>
    </row>
    <row r="761">
      <c r="A761" s="3"/>
      <c r="B761" s="3"/>
      <c r="C761" s="3"/>
      <c r="E761" s="3"/>
      <c r="F761" s="9"/>
      <c r="G761" s="9"/>
      <c r="H761" s="70"/>
      <c r="I761" s="70"/>
      <c r="J761" s="70"/>
      <c r="K761" s="70"/>
      <c r="L761" s="3"/>
      <c r="M761" s="9"/>
      <c r="N761" s="5"/>
      <c r="O761" s="70"/>
      <c r="P761" s="70"/>
      <c r="Q761" s="70"/>
      <c r="R761" s="3"/>
      <c r="S761" s="3"/>
      <c r="T761" s="3"/>
    </row>
    <row r="762">
      <c r="A762" s="3"/>
      <c r="B762" s="3"/>
      <c r="C762" s="3"/>
      <c r="E762" s="3"/>
      <c r="F762" s="9"/>
      <c r="G762" s="9"/>
      <c r="H762" s="70"/>
      <c r="I762" s="70"/>
      <c r="J762" s="70"/>
      <c r="K762" s="70"/>
      <c r="L762" s="3"/>
      <c r="M762" s="9"/>
      <c r="N762" s="5"/>
      <c r="O762" s="70"/>
      <c r="P762" s="70"/>
      <c r="Q762" s="70"/>
      <c r="R762" s="3"/>
      <c r="S762" s="3"/>
      <c r="T762" s="3"/>
    </row>
    <row r="763">
      <c r="A763" s="3"/>
      <c r="B763" s="3"/>
      <c r="C763" s="3"/>
      <c r="E763" s="3"/>
      <c r="F763" s="9"/>
      <c r="G763" s="9"/>
      <c r="H763" s="70"/>
      <c r="I763" s="70"/>
      <c r="J763" s="70"/>
      <c r="K763" s="70"/>
      <c r="L763" s="3"/>
      <c r="M763" s="9"/>
      <c r="N763" s="5"/>
      <c r="O763" s="70"/>
      <c r="P763" s="70"/>
      <c r="Q763" s="70"/>
      <c r="R763" s="3"/>
      <c r="S763" s="3"/>
      <c r="T763" s="3"/>
    </row>
    <row r="764">
      <c r="A764" s="3"/>
      <c r="B764" s="3"/>
      <c r="C764" s="3"/>
      <c r="E764" s="3"/>
      <c r="F764" s="9"/>
      <c r="G764" s="9"/>
      <c r="H764" s="70"/>
      <c r="I764" s="70"/>
      <c r="J764" s="70"/>
      <c r="K764" s="70"/>
      <c r="L764" s="3"/>
      <c r="M764" s="9"/>
      <c r="N764" s="5"/>
      <c r="O764" s="70"/>
      <c r="P764" s="70"/>
      <c r="Q764" s="70"/>
      <c r="R764" s="3"/>
      <c r="S764" s="3"/>
      <c r="T764" s="3"/>
    </row>
    <row r="765">
      <c r="A765" s="3"/>
      <c r="B765" s="3"/>
      <c r="C765" s="3"/>
      <c r="E765" s="3"/>
      <c r="F765" s="9"/>
      <c r="G765" s="9"/>
      <c r="H765" s="70"/>
      <c r="I765" s="70"/>
      <c r="J765" s="70"/>
      <c r="K765" s="70"/>
      <c r="L765" s="3"/>
      <c r="M765" s="9"/>
      <c r="N765" s="5"/>
      <c r="O765" s="70"/>
      <c r="P765" s="70"/>
      <c r="Q765" s="70"/>
      <c r="R765" s="3"/>
      <c r="S765" s="3"/>
      <c r="T765" s="3"/>
    </row>
    <row r="766">
      <c r="A766" s="3"/>
      <c r="B766" s="3"/>
      <c r="C766" s="3"/>
      <c r="E766" s="3"/>
      <c r="F766" s="9"/>
      <c r="G766" s="9"/>
      <c r="H766" s="70"/>
      <c r="I766" s="70"/>
      <c r="J766" s="70"/>
      <c r="K766" s="70"/>
      <c r="L766" s="3"/>
      <c r="M766" s="9"/>
      <c r="N766" s="5"/>
      <c r="O766" s="70"/>
      <c r="P766" s="70"/>
      <c r="Q766" s="70"/>
      <c r="R766" s="3"/>
      <c r="S766" s="3"/>
      <c r="T766" s="3"/>
    </row>
    <row r="767">
      <c r="A767" s="3"/>
      <c r="B767" s="3"/>
      <c r="C767" s="3"/>
      <c r="E767" s="3"/>
      <c r="F767" s="9"/>
      <c r="G767" s="9"/>
      <c r="H767" s="70"/>
      <c r="I767" s="70"/>
      <c r="J767" s="70"/>
      <c r="K767" s="70"/>
      <c r="L767" s="3"/>
      <c r="M767" s="9"/>
      <c r="N767" s="5"/>
      <c r="O767" s="70"/>
      <c r="P767" s="70"/>
      <c r="Q767" s="70"/>
      <c r="R767" s="3"/>
      <c r="S767" s="3"/>
      <c r="T767" s="3"/>
    </row>
    <row r="768">
      <c r="A768" s="3"/>
      <c r="B768" s="3"/>
      <c r="C768" s="3"/>
      <c r="E768" s="3"/>
      <c r="F768" s="9"/>
      <c r="G768" s="9"/>
      <c r="H768" s="70"/>
      <c r="I768" s="70"/>
      <c r="J768" s="70"/>
      <c r="K768" s="70"/>
      <c r="L768" s="3"/>
      <c r="M768" s="9"/>
      <c r="N768" s="5"/>
      <c r="O768" s="70"/>
      <c r="P768" s="70"/>
      <c r="Q768" s="70"/>
      <c r="R768" s="3"/>
      <c r="S768" s="3"/>
      <c r="T768" s="3"/>
    </row>
    <row r="769">
      <c r="A769" s="3"/>
      <c r="B769" s="3"/>
      <c r="C769" s="3"/>
      <c r="E769" s="3"/>
      <c r="F769" s="9"/>
      <c r="G769" s="9"/>
      <c r="H769" s="70"/>
      <c r="I769" s="70"/>
      <c r="J769" s="70"/>
      <c r="K769" s="70"/>
      <c r="L769" s="3"/>
      <c r="M769" s="9"/>
      <c r="N769" s="5"/>
      <c r="O769" s="70"/>
      <c r="P769" s="70"/>
      <c r="Q769" s="70"/>
      <c r="R769" s="3"/>
      <c r="S769" s="3"/>
      <c r="T769" s="3"/>
    </row>
    <row r="770">
      <c r="A770" s="3"/>
      <c r="B770" s="3"/>
      <c r="C770" s="3"/>
      <c r="E770" s="3"/>
      <c r="F770" s="9"/>
      <c r="G770" s="9"/>
      <c r="H770" s="70"/>
      <c r="I770" s="70"/>
      <c r="J770" s="70"/>
      <c r="K770" s="70"/>
      <c r="L770" s="3"/>
      <c r="M770" s="9"/>
      <c r="N770" s="5"/>
      <c r="O770" s="70"/>
      <c r="P770" s="70"/>
      <c r="Q770" s="70"/>
      <c r="R770" s="3"/>
      <c r="S770" s="3"/>
      <c r="T770" s="3"/>
    </row>
    <row r="771">
      <c r="A771" s="3"/>
      <c r="B771" s="3"/>
      <c r="C771" s="3"/>
      <c r="E771" s="3"/>
      <c r="F771" s="9"/>
      <c r="G771" s="9"/>
      <c r="H771" s="70"/>
      <c r="I771" s="70"/>
      <c r="J771" s="70"/>
      <c r="K771" s="70"/>
      <c r="L771" s="3"/>
      <c r="M771" s="9"/>
      <c r="N771" s="5"/>
      <c r="O771" s="70"/>
      <c r="P771" s="70"/>
      <c r="Q771" s="70"/>
      <c r="R771" s="3"/>
      <c r="S771" s="3"/>
      <c r="T771" s="3"/>
    </row>
    <row r="772">
      <c r="A772" s="3"/>
      <c r="B772" s="3"/>
      <c r="C772" s="3"/>
      <c r="E772" s="3"/>
      <c r="F772" s="9"/>
      <c r="G772" s="9"/>
      <c r="H772" s="70"/>
      <c r="I772" s="70"/>
      <c r="J772" s="70"/>
      <c r="K772" s="70"/>
      <c r="L772" s="3"/>
      <c r="M772" s="9"/>
      <c r="N772" s="5"/>
      <c r="O772" s="70"/>
      <c r="P772" s="70"/>
      <c r="Q772" s="70"/>
      <c r="R772" s="3"/>
      <c r="S772" s="3"/>
      <c r="T772" s="3"/>
    </row>
    <row r="773">
      <c r="A773" s="3"/>
      <c r="B773" s="3"/>
      <c r="C773" s="3"/>
      <c r="E773" s="3"/>
      <c r="F773" s="9"/>
      <c r="G773" s="9"/>
      <c r="H773" s="70"/>
      <c r="I773" s="70"/>
      <c r="J773" s="70"/>
      <c r="K773" s="70"/>
      <c r="L773" s="3"/>
      <c r="M773" s="9"/>
      <c r="N773" s="5"/>
      <c r="O773" s="70"/>
      <c r="P773" s="70"/>
      <c r="Q773" s="70"/>
      <c r="R773" s="3"/>
      <c r="S773" s="3"/>
      <c r="T773" s="3"/>
    </row>
    <row r="774">
      <c r="A774" s="3"/>
      <c r="B774" s="3"/>
      <c r="C774" s="3"/>
      <c r="E774" s="3"/>
      <c r="F774" s="9"/>
      <c r="G774" s="9"/>
      <c r="H774" s="70"/>
      <c r="I774" s="70"/>
      <c r="J774" s="70"/>
      <c r="K774" s="70"/>
      <c r="L774" s="3"/>
      <c r="M774" s="9"/>
      <c r="N774" s="5"/>
      <c r="O774" s="70"/>
      <c r="P774" s="70"/>
      <c r="Q774" s="70"/>
      <c r="R774" s="3"/>
      <c r="S774" s="3"/>
      <c r="T774" s="3"/>
    </row>
    <row r="775">
      <c r="A775" s="3"/>
      <c r="B775" s="3"/>
      <c r="C775" s="3"/>
      <c r="E775" s="3"/>
      <c r="F775" s="9"/>
      <c r="G775" s="9"/>
      <c r="H775" s="70"/>
      <c r="I775" s="70"/>
      <c r="J775" s="70"/>
      <c r="K775" s="70"/>
      <c r="L775" s="3"/>
      <c r="M775" s="9"/>
      <c r="N775" s="5"/>
      <c r="O775" s="70"/>
      <c r="P775" s="70"/>
      <c r="Q775" s="70"/>
      <c r="R775" s="3"/>
      <c r="S775" s="3"/>
      <c r="T775" s="3"/>
    </row>
    <row r="776">
      <c r="A776" s="3"/>
      <c r="B776" s="3"/>
      <c r="C776" s="3"/>
      <c r="E776" s="3"/>
      <c r="F776" s="9"/>
      <c r="G776" s="9"/>
      <c r="H776" s="70"/>
      <c r="I776" s="70"/>
      <c r="J776" s="70"/>
      <c r="K776" s="70"/>
      <c r="L776" s="3"/>
      <c r="M776" s="9"/>
      <c r="N776" s="5"/>
      <c r="O776" s="70"/>
      <c r="P776" s="70"/>
      <c r="Q776" s="70"/>
      <c r="R776" s="3"/>
      <c r="S776" s="3"/>
      <c r="T776" s="3"/>
    </row>
    <row r="777">
      <c r="A777" s="3"/>
      <c r="B777" s="3"/>
      <c r="C777" s="3"/>
      <c r="E777" s="3"/>
      <c r="F777" s="9"/>
      <c r="G777" s="9"/>
      <c r="H777" s="70"/>
      <c r="I777" s="70"/>
      <c r="J777" s="70"/>
      <c r="K777" s="70"/>
      <c r="L777" s="3"/>
      <c r="M777" s="9"/>
      <c r="N777" s="5"/>
      <c r="O777" s="70"/>
      <c r="P777" s="70"/>
      <c r="Q777" s="70"/>
      <c r="R777" s="3"/>
      <c r="S777" s="3"/>
      <c r="T777" s="3"/>
    </row>
    <row r="778">
      <c r="A778" s="3"/>
      <c r="B778" s="3"/>
      <c r="C778" s="3"/>
      <c r="E778" s="3"/>
      <c r="F778" s="9"/>
      <c r="G778" s="9"/>
      <c r="H778" s="70"/>
      <c r="I778" s="70"/>
      <c r="J778" s="70"/>
      <c r="K778" s="70"/>
      <c r="L778" s="3"/>
      <c r="M778" s="9"/>
      <c r="N778" s="5"/>
      <c r="O778" s="70"/>
      <c r="P778" s="70"/>
      <c r="Q778" s="70"/>
      <c r="R778" s="3"/>
      <c r="S778" s="3"/>
      <c r="T778" s="3"/>
    </row>
    <row r="779">
      <c r="A779" s="3"/>
      <c r="B779" s="3"/>
      <c r="C779" s="3"/>
      <c r="E779" s="3"/>
      <c r="F779" s="9"/>
      <c r="G779" s="9"/>
      <c r="H779" s="70"/>
      <c r="I779" s="70"/>
      <c r="J779" s="70"/>
      <c r="K779" s="70"/>
      <c r="L779" s="3"/>
      <c r="M779" s="9"/>
      <c r="N779" s="5"/>
      <c r="O779" s="70"/>
      <c r="P779" s="70"/>
      <c r="Q779" s="70"/>
      <c r="R779" s="3"/>
      <c r="S779" s="3"/>
      <c r="T779" s="3"/>
    </row>
    <row r="780">
      <c r="A780" s="3"/>
      <c r="B780" s="3"/>
      <c r="C780" s="3"/>
      <c r="E780" s="3"/>
      <c r="F780" s="9"/>
      <c r="G780" s="9"/>
      <c r="H780" s="70"/>
      <c r="I780" s="70"/>
      <c r="J780" s="70"/>
      <c r="K780" s="70"/>
      <c r="L780" s="3"/>
      <c r="M780" s="9"/>
      <c r="N780" s="5"/>
      <c r="O780" s="70"/>
      <c r="P780" s="70"/>
      <c r="Q780" s="70"/>
      <c r="R780" s="3"/>
      <c r="S780" s="3"/>
      <c r="T780" s="3"/>
    </row>
    <row r="781">
      <c r="A781" s="3"/>
      <c r="B781" s="3"/>
      <c r="C781" s="3"/>
      <c r="E781" s="3"/>
      <c r="F781" s="9"/>
      <c r="G781" s="9"/>
      <c r="H781" s="70"/>
      <c r="I781" s="70"/>
      <c r="J781" s="70"/>
      <c r="K781" s="70"/>
      <c r="L781" s="3"/>
      <c r="M781" s="9"/>
      <c r="N781" s="5"/>
      <c r="O781" s="70"/>
      <c r="P781" s="70"/>
      <c r="Q781" s="70"/>
      <c r="R781" s="3"/>
      <c r="S781" s="3"/>
      <c r="T781" s="3"/>
    </row>
    <row r="782">
      <c r="A782" s="3"/>
      <c r="B782" s="3"/>
      <c r="C782" s="3"/>
      <c r="E782" s="3"/>
      <c r="F782" s="9"/>
      <c r="G782" s="9"/>
      <c r="H782" s="70"/>
      <c r="I782" s="70"/>
      <c r="J782" s="70"/>
      <c r="K782" s="70"/>
      <c r="L782" s="3"/>
      <c r="M782" s="9"/>
      <c r="N782" s="5"/>
      <c r="O782" s="70"/>
      <c r="P782" s="70"/>
      <c r="Q782" s="70"/>
      <c r="R782" s="3"/>
      <c r="S782" s="3"/>
      <c r="T782" s="3"/>
    </row>
    <row r="783">
      <c r="A783" s="3"/>
      <c r="B783" s="3"/>
      <c r="C783" s="3"/>
      <c r="E783" s="3"/>
      <c r="F783" s="9"/>
      <c r="G783" s="9"/>
      <c r="H783" s="70"/>
      <c r="I783" s="70"/>
      <c r="J783" s="70"/>
      <c r="K783" s="70"/>
      <c r="L783" s="3"/>
      <c r="M783" s="9"/>
      <c r="N783" s="5"/>
      <c r="O783" s="70"/>
      <c r="P783" s="70"/>
      <c r="Q783" s="70"/>
      <c r="R783" s="3"/>
      <c r="S783" s="3"/>
      <c r="T783" s="3"/>
    </row>
    <row r="784">
      <c r="A784" s="3"/>
      <c r="B784" s="3"/>
      <c r="C784" s="3"/>
      <c r="E784" s="3"/>
      <c r="F784" s="9"/>
      <c r="G784" s="9"/>
      <c r="H784" s="70"/>
      <c r="I784" s="70"/>
      <c r="J784" s="70"/>
      <c r="K784" s="70"/>
      <c r="L784" s="3"/>
      <c r="M784" s="9"/>
      <c r="N784" s="5"/>
      <c r="O784" s="70"/>
      <c r="P784" s="70"/>
      <c r="Q784" s="70"/>
      <c r="R784" s="3"/>
      <c r="S784" s="3"/>
      <c r="T784" s="3"/>
    </row>
    <row r="785">
      <c r="A785" s="3"/>
      <c r="B785" s="3"/>
      <c r="C785" s="3"/>
      <c r="E785" s="3"/>
      <c r="F785" s="9"/>
      <c r="G785" s="9"/>
      <c r="H785" s="70"/>
      <c r="I785" s="70"/>
      <c r="J785" s="70"/>
      <c r="K785" s="70"/>
      <c r="L785" s="3"/>
      <c r="M785" s="9"/>
      <c r="N785" s="5"/>
      <c r="O785" s="70"/>
      <c r="P785" s="70"/>
      <c r="Q785" s="70"/>
      <c r="R785" s="3"/>
      <c r="S785" s="3"/>
      <c r="T785" s="3"/>
    </row>
    <row r="786">
      <c r="A786" s="3"/>
      <c r="B786" s="3"/>
      <c r="C786" s="3"/>
      <c r="E786" s="3"/>
      <c r="F786" s="9"/>
      <c r="G786" s="9"/>
      <c r="H786" s="70"/>
      <c r="I786" s="70"/>
      <c r="J786" s="70"/>
      <c r="K786" s="70"/>
      <c r="L786" s="3"/>
      <c r="M786" s="9"/>
      <c r="N786" s="5"/>
      <c r="O786" s="70"/>
      <c r="P786" s="70"/>
      <c r="Q786" s="70"/>
      <c r="R786" s="3"/>
      <c r="S786" s="3"/>
      <c r="T786" s="3"/>
    </row>
    <row r="787">
      <c r="A787" s="3"/>
      <c r="B787" s="3"/>
      <c r="C787" s="3"/>
      <c r="E787" s="3"/>
      <c r="F787" s="9"/>
      <c r="G787" s="9"/>
      <c r="H787" s="70"/>
      <c r="I787" s="70"/>
      <c r="J787" s="70"/>
      <c r="K787" s="70"/>
      <c r="L787" s="3"/>
      <c r="M787" s="9"/>
      <c r="N787" s="5"/>
      <c r="O787" s="70"/>
      <c r="P787" s="70"/>
      <c r="Q787" s="70"/>
      <c r="R787" s="3"/>
      <c r="S787" s="3"/>
      <c r="T787" s="3"/>
    </row>
    <row r="788">
      <c r="A788" s="3"/>
      <c r="B788" s="3"/>
      <c r="C788" s="3"/>
      <c r="E788" s="3"/>
      <c r="F788" s="9"/>
      <c r="G788" s="9"/>
      <c r="H788" s="70"/>
      <c r="I788" s="70"/>
      <c r="J788" s="70"/>
      <c r="K788" s="70"/>
      <c r="L788" s="3"/>
      <c r="M788" s="9"/>
      <c r="N788" s="5"/>
      <c r="O788" s="70"/>
      <c r="P788" s="70"/>
      <c r="Q788" s="70"/>
      <c r="R788" s="3"/>
      <c r="S788" s="3"/>
      <c r="T788" s="3"/>
    </row>
    <row r="789">
      <c r="A789" s="3"/>
      <c r="B789" s="3"/>
      <c r="C789" s="3"/>
      <c r="E789" s="3"/>
      <c r="F789" s="9"/>
      <c r="G789" s="9"/>
      <c r="H789" s="70"/>
      <c r="I789" s="70"/>
      <c r="J789" s="70"/>
      <c r="K789" s="70"/>
      <c r="L789" s="3"/>
      <c r="M789" s="9"/>
      <c r="N789" s="5"/>
      <c r="O789" s="70"/>
      <c r="P789" s="70"/>
      <c r="Q789" s="70"/>
      <c r="R789" s="3"/>
      <c r="S789" s="3"/>
      <c r="T789" s="3"/>
    </row>
    <row r="790">
      <c r="A790" s="3"/>
      <c r="B790" s="3"/>
      <c r="C790" s="3"/>
      <c r="E790" s="3"/>
      <c r="F790" s="9"/>
      <c r="G790" s="9"/>
      <c r="H790" s="70"/>
      <c r="I790" s="70"/>
      <c r="J790" s="70"/>
      <c r="K790" s="70"/>
      <c r="L790" s="3"/>
      <c r="M790" s="9"/>
      <c r="N790" s="5"/>
      <c r="O790" s="70"/>
      <c r="P790" s="70"/>
      <c r="Q790" s="70"/>
      <c r="R790" s="3"/>
      <c r="S790" s="3"/>
      <c r="T790" s="3"/>
    </row>
    <row r="791">
      <c r="A791" s="3"/>
      <c r="B791" s="3"/>
      <c r="C791" s="3"/>
      <c r="E791" s="3"/>
      <c r="F791" s="9"/>
      <c r="G791" s="9"/>
      <c r="H791" s="70"/>
      <c r="I791" s="70"/>
      <c r="J791" s="70"/>
      <c r="K791" s="70"/>
      <c r="L791" s="3"/>
      <c r="M791" s="9"/>
      <c r="N791" s="5"/>
      <c r="O791" s="70"/>
      <c r="P791" s="70"/>
      <c r="Q791" s="70"/>
      <c r="R791" s="3"/>
      <c r="S791" s="3"/>
      <c r="T791" s="3"/>
    </row>
    <row r="792">
      <c r="A792" s="3"/>
      <c r="B792" s="3"/>
      <c r="C792" s="3"/>
      <c r="E792" s="3"/>
      <c r="F792" s="9"/>
      <c r="G792" s="9"/>
      <c r="H792" s="70"/>
      <c r="I792" s="70"/>
      <c r="J792" s="70"/>
      <c r="K792" s="70"/>
      <c r="L792" s="3"/>
      <c r="M792" s="9"/>
      <c r="N792" s="5"/>
      <c r="O792" s="70"/>
      <c r="P792" s="70"/>
      <c r="Q792" s="70"/>
      <c r="R792" s="3"/>
      <c r="S792" s="3"/>
      <c r="T792" s="3"/>
    </row>
    <row r="793">
      <c r="A793" s="3"/>
      <c r="B793" s="3"/>
      <c r="C793" s="3"/>
      <c r="E793" s="3"/>
      <c r="F793" s="9"/>
      <c r="G793" s="9"/>
      <c r="H793" s="70"/>
      <c r="I793" s="70"/>
      <c r="J793" s="70"/>
      <c r="K793" s="70"/>
      <c r="L793" s="3"/>
      <c r="M793" s="9"/>
      <c r="N793" s="5"/>
      <c r="O793" s="70"/>
      <c r="P793" s="70"/>
      <c r="Q793" s="70"/>
      <c r="R793" s="3"/>
      <c r="S793" s="3"/>
      <c r="T793" s="3"/>
    </row>
    <row r="794">
      <c r="A794" s="3"/>
      <c r="B794" s="3"/>
      <c r="C794" s="3"/>
      <c r="E794" s="3"/>
      <c r="F794" s="9"/>
      <c r="G794" s="9"/>
      <c r="H794" s="70"/>
      <c r="I794" s="70"/>
      <c r="J794" s="70"/>
      <c r="K794" s="70"/>
      <c r="L794" s="3"/>
      <c r="M794" s="9"/>
      <c r="N794" s="5"/>
      <c r="O794" s="70"/>
      <c r="P794" s="70"/>
      <c r="Q794" s="70"/>
      <c r="R794" s="3"/>
      <c r="S794" s="3"/>
      <c r="T794" s="3"/>
    </row>
    <row r="795">
      <c r="A795" s="3"/>
      <c r="B795" s="3"/>
      <c r="C795" s="3"/>
      <c r="E795" s="3"/>
      <c r="F795" s="9"/>
      <c r="G795" s="9"/>
      <c r="H795" s="70"/>
      <c r="I795" s="70"/>
      <c r="J795" s="70"/>
      <c r="K795" s="70"/>
      <c r="L795" s="3"/>
      <c r="M795" s="9"/>
      <c r="N795" s="5"/>
      <c r="O795" s="70"/>
      <c r="P795" s="70"/>
      <c r="Q795" s="70"/>
      <c r="R795" s="3"/>
      <c r="S795" s="3"/>
      <c r="T795" s="3"/>
    </row>
    <row r="796">
      <c r="A796" s="3"/>
      <c r="B796" s="3"/>
      <c r="C796" s="3"/>
      <c r="E796" s="3"/>
      <c r="F796" s="9"/>
      <c r="G796" s="9"/>
      <c r="H796" s="70"/>
      <c r="I796" s="70"/>
      <c r="J796" s="70"/>
      <c r="K796" s="70"/>
      <c r="L796" s="3"/>
      <c r="M796" s="9"/>
      <c r="N796" s="5"/>
      <c r="O796" s="70"/>
      <c r="P796" s="70"/>
      <c r="Q796" s="70"/>
      <c r="R796" s="3"/>
      <c r="S796" s="3"/>
      <c r="T796" s="3"/>
    </row>
    <row r="797">
      <c r="A797" s="3"/>
      <c r="B797" s="3"/>
      <c r="C797" s="3"/>
      <c r="E797" s="3"/>
      <c r="F797" s="9"/>
      <c r="G797" s="9"/>
      <c r="H797" s="70"/>
      <c r="I797" s="70"/>
      <c r="J797" s="70"/>
      <c r="K797" s="70"/>
      <c r="L797" s="3"/>
      <c r="M797" s="9"/>
      <c r="N797" s="5"/>
      <c r="O797" s="70"/>
      <c r="P797" s="70"/>
      <c r="Q797" s="70"/>
      <c r="R797" s="3"/>
      <c r="S797" s="3"/>
      <c r="T797" s="3"/>
    </row>
    <row r="798">
      <c r="A798" s="3"/>
      <c r="B798" s="3"/>
      <c r="C798" s="3"/>
      <c r="E798" s="3"/>
      <c r="F798" s="9"/>
      <c r="G798" s="9"/>
      <c r="H798" s="70"/>
      <c r="I798" s="70"/>
      <c r="J798" s="70"/>
      <c r="K798" s="70"/>
      <c r="L798" s="3"/>
      <c r="M798" s="9"/>
      <c r="N798" s="5"/>
      <c r="O798" s="70"/>
      <c r="P798" s="70"/>
      <c r="Q798" s="70"/>
      <c r="R798" s="3"/>
      <c r="S798" s="3"/>
      <c r="T798" s="3"/>
    </row>
    <row r="799">
      <c r="A799" s="3"/>
      <c r="B799" s="3"/>
      <c r="C799" s="3"/>
      <c r="E799" s="3"/>
      <c r="F799" s="9"/>
      <c r="G799" s="9"/>
      <c r="H799" s="70"/>
      <c r="I799" s="70"/>
      <c r="J799" s="70"/>
      <c r="K799" s="70"/>
      <c r="L799" s="3"/>
      <c r="M799" s="9"/>
      <c r="N799" s="5"/>
      <c r="O799" s="70"/>
      <c r="P799" s="70"/>
      <c r="Q799" s="70"/>
      <c r="R799" s="3"/>
      <c r="S799" s="3"/>
      <c r="T799" s="3"/>
    </row>
    <row r="800">
      <c r="A800" s="3"/>
      <c r="B800" s="3"/>
      <c r="C800" s="3"/>
      <c r="E800" s="3"/>
      <c r="F800" s="9"/>
      <c r="G800" s="9"/>
      <c r="H800" s="70"/>
      <c r="I800" s="70"/>
      <c r="J800" s="70"/>
      <c r="K800" s="70"/>
      <c r="L800" s="3"/>
      <c r="M800" s="9"/>
      <c r="N800" s="5"/>
      <c r="O800" s="70"/>
      <c r="P800" s="70"/>
      <c r="Q800" s="70"/>
      <c r="R800" s="3"/>
      <c r="S800" s="3"/>
      <c r="T800" s="3"/>
    </row>
    <row r="801">
      <c r="A801" s="3"/>
      <c r="B801" s="3"/>
      <c r="C801" s="3"/>
      <c r="E801" s="3"/>
      <c r="F801" s="9"/>
      <c r="G801" s="9"/>
      <c r="H801" s="70"/>
      <c r="I801" s="70"/>
      <c r="J801" s="70"/>
      <c r="K801" s="70"/>
      <c r="L801" s="3"/>
      <c r="M801" s="9"/>
      <c r="N801" s="5"/>
      <c r="O801" s="70"/>
      <c r="P801" s="70"/>
      <c r="Q801" s="70"/>
      <c r="R801" s="3"/>
      <c r="S801" s="3"/>
      <c r="T801" s="3"/>
    </row>
    <row r="802">
      <c r="A802" s="3"/>
      <c r="B802" s="3"/>
      <c r="C802" s="3"/>
      <c r="E802" s="3"/>
      <c r="F802" s="9"/>
      <c r="G802" s="9"/>
      <c r="H802" s="70"/>
      <c r="I802" s="70"/>
      <c r="J802" s="70"/>
      <c r="K802" s="70"/>
      <c r="L802" s="3"/>
      <c r="M802" s="9"/>
      <c r="N802" s="5"/>
      <c r="O802" s="70"/>
      <c r="P802" s="70"/>
      <c r="Q802" s="70"/>
      <c r="R802" s="3"/>
      <c r="S802" s="3"/>
      <c r="T802" s="3"/>
    </row>
    <row r="803">
      <c r="A803" s="3"/>
      <c r="B803" s="3"/>
      <c r="C803" s="3"/>
      <c r="E803" s="3"/>
      <c r="F803" s="9"/>
      <c r="G803" s="9"/>
      <c r="H803" s="70"/>
      <c r="I803" s="70"/>
      <c r="J803" s="70"/>
      <c r="K803" s="70"/>
      <c r="L803" s="3"/>
      <c r="M803" s="9"/>
      <c r="N803" s="5"/>
      <c r="O803" s="70"/>
      <c r="P803" s="70"/>
      <c r="Q803" s="70"/>
      <c r="R803" s="3"/>
      <c r="S803" s="3"/>
      <c r="T803" s="3"/>
    </row>
    <row r="804">
      <c r="A804" s="3"/>
      <c r="B804" s="3"/>
      <c r="C804" s="3"/>
      <c r="E804" s="3"/>
      <c r="F804" s="9"/>
      <c r="G804" s="9"/>
      <c r="H804" s="70"/>
      <c r="I804" s="70"/>
      <c r="J804" s="70"/>
      <c r="K804" s="70"/>
      <c r="L804" s="3"/>
      <c r="M804" s="9"/>
      <c r="N804" s="5"/>
      <c r="O804" s="70"/>
      <c r="P804" s="70"/>
      <c r="Q804" s="70"/>
      <c r="R804" s="3"/>
      <c r="S804" s="3"/>
      <c r="T804" s="3"/>
    </row>
    <row r="805">
      <c r="A805" s="3"/>
      <c r="B805" s="3"/>
      <c r="C805" s="3"/>
      <c r="E805" s="3"/>
      <c r="F805" s="9"/>
      <c r="G805" s="9"/>
      <c r="H805" s="70"/>
      <c r="I805" s="70"/>
      <c r="J805" s="70"/>
      <c r="K805" s="70"/>
      <c r="L805" s="3"/>
      <c r="M805" s="9"/>
      <c r="N805" s="5"/>
      <c r="O805" s="70"/>
      <c r="P805" s="70"/>
      <c r="Q805" s="70"/>
      <c r="R805" s="3"/>
      <c r="S805" s="3"/>
      <c r="T805" s="3"/>
    </row>
    <row r="806">
      <c r="A806" s="3"/>
      <c r="B806" s="3"/>
      <c r="C806" s="3"/>
      <c r="E806" s="3"/>
      <c r="F806" s="9"/>
      <c r="G806" s="9"/>
      <c r="H806" s="70"/>
      <c r="I806" s="70"/>
      <c r="J806" s="70"/>
      <c r="K806" s="70"/>
      <c r="L806" s="3"/>
      <c r="M806" s="9"/>
      <c r="N806" s="5"/>
      <c r="O806" s="70"/>
      <c r="P806" s="70"/>
      <c r="Q806" s="70"/>
      <c r="R806" s="3"/>
      <c r="S806" s="3"/>
      <c r="T806" s="3"/>
    </row>
    <row r="807">
      <c r="A807" s="3"/>
      <c r="B807" s="3"/>
      <c r="C807" s="3"/>
      <c r="E807" s="3"/>
      <c r="F807" s="9"/>
      <c r="G807" s="9"/>
      <c r="H807" s="70"/>
      <c r="I807" s="70"/>
      <c r="J807" s="70"/>
      <c r="K807" s="70"/>
      <c r="L807" s="3"/>
      <c r="M807" s="9"/>
      <c r="N807" s="5"/>
      <c r="O807" s="70"/>
      <c r="P807" s="70"/>
      <c r="Q807" s="70"/>
      <c r="R807" s="3"/>
      <c r="S807" s="3"/>
      <c r="T807" s="3"/>
    </row>
    <row r="808">
      <c r="A808" s="3"/>
      <c r="B808" s="3"/>
      <c r="C808" s="3"/>
      <c r="E808" s="3"/>
      <c r="F808" s="9"/>
      <c r="G808" s="9"/>
      <c r="H808" s="70"/>
      <c r="I808" s="70"/>
      <c r="J808" s="70"/>
      <c r="K808" s="70"/>
      <c r="L808" s="3"/>
      <c r="M808" s="9"/>
      <c r="N808" s="5"/>
      <c r="O808" s="70"/>
      <c r="P808" s="70"/>
      <c r="Q808" s="70"/>
      <c r="R808" s="3"/>
      <c r="S808" s="3"/>
      <c r="T808" s="3"/>
    </row>
    <row r="809">
      <c r="A809" s="3"/>
      <c r="B809" s="3"/>
      <c r="C809" s="3"/>
      <c r="E809" s="3"/>
      <c r="F809" s="9"/>
      <c r="G809" s="9"/>
      <c r="H809" s="70"/>
      <c r="I809" s="70"/>
      <c r="J809" s="70"/>
      <c r="K809" s="70"/>
      <c r="L809" s="3"/>
      <c r="M809" s="9"/>
      <c r="N809" s="5"/>
      <c r="O809" s="70"/>
      <c r="P809" s="70"/>
      <c r="Q809" s="70"/>
      <c r="R809" s="3"/>
      <c r="S809" s="3"/>
      <c r="T809" s="3"/>
    </row>
    <row r="810">
      <c r="A810" s="3"/>
      <c r="B810" s="3"/>
      <c r="C810" s="3"/>
      <c r="E810" s="3"/>
      <c r="F810" s="9"/>
      <c r="G810" s="9"/>
      <c r="H810" s="70"/>
      <c r="I810" s="70"/>
      <c r="J810" s="70"/>
      <c r="K810" s="70"/>
      <c r="L810" s="3"/>
      <c r="M810" s="9"/>
      <c r="N810" s="5"/>
      <c r="O810" s="70"/>
      <c r="P810" s="70"/>
      <c r="Q810" s="70"/>
      <c r="R810" s="3"/>
      <c r="S810" s="3"/>
      <c r="T810" s="3"/>
    </row>
    <row r="811">
      <c r="A811" s="3"/>
      <c r="B811" s="3"/>
      <c r="C811" s="3"/>
      <c r="E811" s="3"/>
      <c r="F811" s="9"/>
      <c r="G811" s="9"/>
      <c r="H811" s="70"/>
      <c r="I811" s="70"/>
      <c r="J811" s="70"/>
      <c r="K811" s="70"/>
      <c r="L811" s="3"/>
      <c r="M811" s="9"/>
      <c r="N811" s="5"/>
      <c r="O811" s="70"/>
      <c r="P811" s="70"/>
      <c r="Q811" s="70"/>
      <c r="R811" s="3"/>
      <c r="S811" s="3"/>
      <c r="T811" s="3"/>
    </row>
    <row r="812">
      <c r="A812" s="3"/>
      <c r="B812" s="3"/>
      <c r="C812" s="3"/>
      <c r="E812" s="3"/>
      <c r="F812" s="9"/>
      <c r="G812" s="9"/>
      <c r="H812" s="70"/>
      <c r="I812" s="70"/>
      <c r="J812" s="70"/>
      <c r="K812" s="70"/>
      <c r="L812" s="3"/>
      <c r="M812" s="9"/>
      <c r="N812" s="5"/>
      <c r="O812" s="70"/>
      <c r="P812" s="70"/>
      <c r="Q812" s="70"/>
      <c r="R812" s="3"/>
      <c r="S812" s="3"/>
      <c r="T812" s="3"/>
    </row>
    <row r="813">
      <c r="A813" s="3"/>
      <c r="B813" s="3"/>
      <c r="C813" s="3"/>
      <c r="E813" s="3"/>
      <c r="F813" s="9"/>
      <c r="G813" s="9"/>
      <c r="H813" s="70"/>
      <c r="I813" s="70"/>
      <c r="J813" s="70"/>
      <c r="K813" s="70"/>
      <c r="L813" s="3"/>
      <c r="M813" s="9"/>
      <c r="N813" s="5"/>
      <c r="O813" s="70"/>
      <c r="P813" s="70"/>
      <c r="Q813" s="70"/>
      <c r="R813" s="3"/>
      <c r="S813" s="3"/>
      <c r="T813" s="3"/>
    </row>
    <row r="814">
      <c r="A814" s="3"/>
      <c r="B814" s="3"/>
      <c r="C814" s="3"/>
      <c r="E814" s="3"/>
      <c r="F814" s="9"/>
      <c r="G814" s="9"/>
      <c r="H814" s="70"/>
      <c r="I814" s="70"/>
      <c r="J814" s="70"/>
      <c r="K814" s="70"/>
      <c r="L814" s="3"/>
      <c r="M814" s="9"/>
      <c r="N814" s="5"/>
      <c r="O814" s="70"/>
      <c r="P814" s="70"/>
      <c r="Q814" s="70"/>
      <c r="R814" s="3"/>
      <c r="S814" s="3"/>
      <c r="T814" s="3"/>
    </row>
    <row r="815">
      <c r="A815" s="3"/>
      <c r="B815" s="3"/>
      <c r="C815" s="3"/>
      <c r="E815" s="3"/>
      <c r="F815" s="9"/>
      <c r="G815" s="9"/>
      <c r="H815" s="70"/>
      <c r="I815" s="70"/>
      <c r="J815" s="70"/>
      <c r="K815" s="70"/>
      <c r="L815" s="3"/>
      <c r="M815" s="9"/>
      <c r="N815" s="5"/>
      <c r="O815" s="70"/>
      <c r="P815" s="70"/>
      <c r="Q815" s="70"/>
      <c r="R815" s="3"/>
      <c r="S815" s="3"/>
      <c r="T815" s="3"/>
    </row>
    <row r="816">
      <c r="A816" s="3"/>
      <c r="B816" s="3"/>
      <c r="C816" s="3"/>
      <c r="E816" s="3"/>
      <c r="F816" s="9"/>
      <c r="G816" s="9"/>
      <c r="H816" s="70"/>
      <c r="I816" s="70"/>
      <c r="J816" s="70"/>
      <c r="K816" s="70"/>
      <c r="L816" s="3"/>
      <c r="M816" s="9"/>
      <c r="N816" s="5"/>
      <c r="O816" s="70"/>
      <c r="P816" s="70"/>
      <c r="Q816" s="70"/>
      <c r="R816" s="3"/>
      <c r="S816" s="3"/>
      <c r="T816" s="3"/>
    </row>
    <row r="817">
      <c r="A817" s="3"/>
      <c r="B817" s="3"/>
      <c r="C817" s="3"/>
      <c r="E817" s="3"/>
      <c r="F817" s="9"/>
      <c r="G817" s="9"/>
      <c r="H817" s="70"/>
      <c r="I817" s="70"/>
      <c r="J817" s="70"/>
      <c r="K817" s="70"/>
      <c r="L817" s="3"/>
      <c r="M817" s="9"/>
      <c r="N817" s="5"/>
      <c r="O817" s="70"/>
      <c r="P817" s="70"/>
      <c r="Q817" s="70"/>
      <c r="R817" s="3"/>
      <c r="S817" s="3"/>
      <c r="T817" s="3"/>
    </row>
    <row r="818">
      <c r="A818" s="3"/>
      <c r="B818" s="3"/>
      <c r="C818" s="3"/>
      <c r="E818" s="3"/>
      <c r="F818" s="9"/>
      <c r="G818" s="9"/>
      <c r="H818" s="70"/>
      <c r="I818" s="70"/>
      <c r="J818" s="70"/>
      <c r="K818" s="70"/>
      <c r="L818" s="3"/>
      <c r="M818" s="9"/>
      <c r="N818" s="5"/>
      <c r="O818" s="70"/>
      <c r="P818" s="70"/>
      <c r="Q818" s="70"/>
      <c r="R818" s="3"/>
      <c r="S818" s="3"/>
      <c r="T818" s="3"/>
    </row>
    <row r="819">
      <c r="A819" s="3"/>
      <c r="B819" s="3"/>
      <c r="C819" s="3"/>
      <c r="E819" s="3"/>
      <c r="F819" s="9"/>
      <c r="G819" s="9"/>
      <c r="H819" s="70"/>
      <c r="I819" s="70"/>
      <c r="J819" s="70"/>
      <c r="K819" s="70"/>
      <c r="L819" s="3"/>
      <c r="M819" s="9"/>
      <c r="N819" s="5"/>
      <c r="O819" s="70"/>
      <c r="P819" s="70"/>
      <c r="Q819" s="70"/>
      <c r="R819" s="3"/>
      <c r="S819" s="3"/>
      <c r="T819" s="3"/>
    </row>
    <row r="820">
      <c r="A820" s="3"/>
      <c r="B820" s="3"/>
      <c r="C820" s="3"/>
      <c r="E820" s="3"/>
      <c r="F820" s="9"/>
      <c r="G820" s="9"/>
      <c r="H820" s="70"/>
      <c r="I820" s="70"/>
      <c r="J820" s="70"/>
      <c r="K820" s="70"/>
      <c r="L820" s="3"/>
      <c r="M820" s="9"/>
      <c r="N820" s="5"/>
      <c r="O820" s="70"/>
      <c r="P820" s="70"/>
      <c r="Q820" s="70"/>
      <c r="R820" s="3"/>
      <c r="S820" s="3"/>
      <c r="T820" s="3"/>
    </row>
    <row r="821">
      <c r="A821" s="3"/>
      <c r="B821" s="3"/>
      <c r="C821" s="3"/>
      <c r="E821" s="3"/>
      <c r="F821" s="9"/>
      <c r="G821" s="9"/>
      <c r="H821" s="70"/>
      <c r="I821" s="70"/>
      <c r="J821" s="70"/>
      <c r="K821" s="70"/>
      <c r="L821" s="3"/>
      <c r="M821" s="9"/>
      <c r="N821" s="5"/>
      <c r="O821" s="70"/>
      <c r="P821" s="70"/>
      <c r="Q821" s="70"/>
      <c r="R821" s="3"/>
      <c r="S821" s="3"/>
      <c r="T821" s="3"/>
    </row>
    <row r="822">
      <c r="A822" s="3"/>
      <c r="B822" s="3"/>
      <c r="C822" s="3"/>
      <c r="E822" s="3"/>
      <c r="F822" s="9"/>
      <c r="G822" s="9"/>
      <c r="H822" s="70"/>
      <c r="I822" s="70"/>
      <c r="J822" s="70"/>
      <c r="K822" s="70"/>
      <c r="L822" s="3"/>
      <c r="M822" s="9"/>
      <c r="N822" s="5"/>
      <c r="O822" s="70"/>
      <c r="P822" s="70"/>
      <c r="Q822" s="70"/>
      <c r="R822" s="3"/>
      <c r="S822" s="3"/>
      <c r="T822" s="3"/>
    </row>
    <row r="823">
      <c r="A823" s="3"/>
      <c r="B823" s="3"/>
      <c r="C823" s="3"/>
      <c r="E823" s="3"/>
      <c r="F823" s="9"/>
      <c r="G823" s="9"/>
      <c r="H823" s="70"/>
      <c r="I823" s="70"/>
      <c r="J823" s="70"/>
      <c r="K823" s="70"/>
      <c r="L823" s="3"/>
      <c r="M823" s="9"/>
      <c r="N823" s="5"/>
      <c r="O823" s="70"/>
      <c r="P823" s="70"/>
      <c r="Q823" s="70"/>
      <c r="R823" s="3"/>
      <c r="S823" s="3"/>
      <c r="T823" s="3"/>
    </row>
    <row r="824">
      <c r="A824" s="3"/>
      <c r="B824" s="3"/>
      <c r="C824" s="3"/>
      <c r="E824" s="3"/>
      <c r="F824" s="9"/>
      <c r="G824" s="9"/>
      <c r="H824" s="70"/>
      <c r="I824" s="70"/>
      <c r="J824" s="70"/>
      <c r="K824" s="70"/>
      <c r="L824" s="3"/>
      <c r="M824" s="9"/>
      <c r="N824" s="5"/>
      <c r="O824" s="70"/>
      <c r="P824" s="70"/>
      <c r="Q824" s="70"/>
      <c r="R824" s="3"/>
      <c r="S824" s="3"/>
      <c r="T824" s="3"/>
    </row>
    <row r="825">
      <c r="A825" s="3"/>
      <c r="B825" s="3"/>
      <c r="C825" s="3"/>
      <c r="E825" s="3"/>
      <c r="F825" s="9"/>
      <c r="G825" s="9"/>
      <c r="H825" s="70"/>
      <c r="I825" s="70"/>
      <c r="J825" s="70"/>
      <c r="K825" s="70"/>
      <c r="L825" s="3"/>
      <c r="M825" s="9"/>
      <c r="N825" s="5"/>
      <c r="O825" s="70"/>
      <c r="P825" s="70"/>
      <c r="Q825" s="70"/>
      <c r="R825" s="3"/>
      <c r="S825" s="3"/>
      <c r="T825" s="3"/>
    </row>
    <row r="826">
      <c r="A826" s="3"/>
      <c r="B826" s="3"/>
      <c r="C826" s="3"/>
      <c r="E826" s="3"/>
      <c r="F826" s="9"/>
      <c r="G826" s="9"/>
      <c r="H826" s="70"/>
      <c r="I826" s="70"/>
      <c r="J826" s="70"/>
      <c r="K826" s="70"/>
      <c r="L826" s="3"/>
      <c r="M826" s="9"/>
      <c r="N826" s="5"/>
      <c r="O826" s="70"/>
      <c r="P826" s="70"/>
      <c r="Q826" s="70"/>
      <c r="R826" s="3"/>
      <c r="S826" s="3"/>
      <c r="T826" s="3"/>
    </row>
    <row r="827">
      <c r="A827" s="3"/>
      <c r="B827" s="3"/>
      <c r="C827" s="3"/>
      <c r="E827" s="3"/>
      <c r="F827" s="9"/>
      <c r="G827" s="9"/>
      <c r="H827" s="70"/>
      <c r="I827" s="70"/>
      <c r="J827" s="70"/>
      <c r="K827" s="70"/>
      <c r="L827" s="3"/>
      <c r="M827" s="9"/>
      <c r="N827" s="5"/>
      <c r="O827" s="70"/>
      <c r="P827" s="70"/>
      <c r="Q827" s="70"/>
      <c r="R827" s="3"/>
      <c r="S827" s="3"/>
      <c r="T827" s="3"/>
    </row>
    <row r="828">
      <c r="A828" s="3"/>
      <c r="B828" s="3"/>
      <c r="C828" s="3"/>
      <c r="E828" s="3"/>
      <c r="F828" s="9"/>
      <c r="G828" s="9"/>
      <c r="H828" s="70"/>
      <c r="I828" s="70"/>
      <c r="J828" s="70"/>
      <c r="K828" s="70"/>
      <c r="L828" s="3"/>
      <c r="M828" s="9"/>
      <c r="N828" s="5"/>
      <c r="O828" s="70"/>
      <c r="P828" s="70"/>
      <c r="Q828" s="70"/>
      <c r="R828" s="3"/>
      <c r="S828" s="3"/>
      <c r="T828" s="3"/>
    </row>
    <row r="829">
      <c r="A829" s="3"/>
      <c r="B829" s="3"/>
      <c r="C829" s="3"/>
      <c r="E829" s="3"/>
      <c r="F829" s="9"/>
      <c r="G829" s="9"/>
      <c r="H829" s="70"/>
      <c r="I829" s="70"/>
      <c r="J829" s="70"/>
      <c r="K829" s="70"/>
      <c r="L829" s="3"/>
      <c r="M829" s="9"/>
      <c r="N829" s="5"/>
      <c r="O829" s="70"/>
      <c r="P829" s="70"/>
      <c r="Q829" s="70"/>
      <c r="R829" s="3"/>
      <c r="S829" s="3"/>
      <c r="T829" s="3"/>
    </row>
    <row r="830">
      <c r="A830" s="3"/>
      <c r="B830" s="3"/>
      <c r="C830" s="3"/>
      <c r="E830" s="3"/>
      <c r="F830" s="9"/>
      <c r="G830" s="9"/>
      <c r="H830" s="70"/>
      <c r="I830" s="70"/>
      <c r="J830" s="70"/>
      <c r="K830" s="70"/>
      <c r="L830" s="3"/>
      <c r="M830" s="9"/>
      <c r="N830" s="5"/>
      <c r="O830" s="70"/>
      <c r="P830" s="70"/>
      <c r="Q830" s="70"/>
      <c r="R830" s="3"/>
      <c r="S830" s="3"/>
      <c r="T830" s="3"/>
    </row>
    <row r="831">
      <c r="A831" s="3"/>
      <c r="B831" s="3"/>
      <c r="C831" s="3"/>
      <c r="E831" s="3"/>
      <c r="F831" s="9"/>
      <c r="G831" s="9"/>
      <c r="H831" s="70"/>
      <c r="I831" s="70"/>
      <c r="J831" s="70"/>
      <c r="K831" s="70"/>
      <c r="L831" s="3"/>
      <c r="M831" s="9"/>
      <c r="N831" s="5"/>
      <c r="O831" s="70"/>
      <c r="P831" s="70"/>
      <c r="Q831" s="70"/>
      <c r="R831" s="3"/>
      <c r="S831" s="3"/>
      <c r="T831" s="3"/>
    </row>
    <row r="832">
      <c r="A832" s="3"/>
      <c r="B832" s="3"/>
      <c r="C832" s="3"/>
      <c r="E832" s="3"/>
      <c r="F832" s="9"/>
      <c r="G832" s="9"/>
      <c r="H832" s="70"/>
      <c r="I832" s="70"/>
      <c r="J832" s="70"/>
      <c r="K832" s="70"/>
      <c r="L832" s="3"/>
      <c r="M832" s="9"/>
      <c r="N832" s="5"/>
      <c r="O832" s="70"/>
      <c r="P832" s="70"/>
      <c r="Q832" s="70"/>
      <c r="R832" s="3"/>
      <c r="S832" s="3"/>
      <c r="T832" s="3"/>
    </row>
    <row r="833">
      <c r="A833" s="3"/>
      <c r="B833" s="3"/>
      <c r="C833" s="3"/>
      <c r="E833" s="3"/>
      <c r="F833" s="9"/>
      <c r="G833" s="9"/>
      <c r="H833" s="70"/>
      <c r="I833" s="70"/>
      <c r="J833" s="70"/>
      <c r="K833" s="70"/>
      <c r="L833" s="3"/>
      <c r="M833" s="9"/>
      <c r="N833" s="5"/>
      <c r="O833" s="70"/>
      <c r="P833" s="70"/>
      <c r="Q833" s="70"/>
      <c r="R833" s="3"/>
      <c r="S833" s="3"/>
      <c r="T833" s="3"/>
    </row>
    <row r="834">
      <c r="A834" s="3"/>
      <c r="B834" s="3"/>
      <c r="C834" s="3"/>
      <c r="E834" s="3"/>
      <c r="F834" s="9"/>
      <c r="G834" s="9"/>
      <c r="H834" s="70"/>
      <c r="I834" s="70"/>
      <c r="J834" s="70"/>
      <c r="K834" s="70"/>
      <c r="L834" s="3"/>
      <c r="M834" s="9"/>
      <c r="N834" s="5"/>
      <c r="O834" s="70"/>
      <c r="P834" s="70"/>
      <c r="Q834" s="70"/>
      <c r="R834" s="3"/>
      <c r="S834" s="3"/>
      <c r="T834" s="3"/>
    </row>
    <row r="835">
      <c r="A835" s="3"/>
      <c r="B835" s="3"/>
      <c r="C835" s="3"/>
      <c r="E835" s="3"/>
      <c r="F835" s="9"/>
      <c r="G835" s="9"/>
      <c r="H835" s="70"/>
      <c r="I835" s="70"/>
      <c r="J835" s="70"/>
      <c r="K835" s="70"/>
      <c r="L835" s="3"/>
      <c r="M835" s="9"/>
      <c r="N835" s="5"/>
      <c r="O835" s="70"/>
      <c r="P835" s="70"/>
      <c r="Q835" s="70"/>
      <c r="R835" s="3"/>
      <c r="S835" s="3"/>
      <c r="T835" s="3"/>
    </row>
    <row r="836">
      <c r="A836" s="3"/>
      <c r="B836" s="3"/>
      <c r="C836" s="3"/>
      <c r="E836" s="3"/>
      <c r="F836" s="9"/>
      <c r="G836" s="9"/>
      <c r="H836" s="70"/>
      <c r="I836" s="70"/>
      <c r="J836" s="70"/>
      <c r="K836" s="70"/>
      <c r="L836" s="3"/>
      <c r="M836" s="9"/>
      <c r="N836" s="5"/>
      <c r="O836" s="70"/>
      <c r="P836" s="70"/>
      <c r="Q836" s="70"/>
      <c r="R836" s="3"/>
      <c r="S836" s="3"/>
      <c r="T836" s="3"/>
    </row>
    <row r="837">
      <c r="A837" s="3"/>
      <c r="B837" s="3"/>
      <c r="C837" s="3"/>
      <c r="E837" s="3"/>
      <c r="F837" s="9"/>
      <c r="G837" s="9"/>
      <c r="H837" s="70"/>
      <c r="I837" s="70"/>
      <c r="J837" s="70"/>
      <c r="K837" s="70"/>
      <c r="L837" s="3"/>
      <c r="M837" s="9"/>
      <c r="N837" s="5"/>
      <c r="O837" s="70"/>
      <c r="P837" s="70"/>
      <c r="Q837" s="70"/>
      <c r="R837" s="3"/>
      <c r="S837" s="3"/>
      <c r="T837" s="3"/>
    </row>
    <row r="838">
      <c r="A838" s="3"/>
      <c r="B838" s="3"/>
      <c r="C838" s="3"/>
      <c r="E838" s="3"/>
      <c r="F838" s="9"/>
      <c r="G838" s="9"/>
      <c r="H838" s="70"/>
      <c r="I838" s="70"/>
      <c r="J838" s="70"/>
      <c r="K838" s="70"/>
      <c r="L838" s="3"/>
      <c r="M838" s="9"/>
      <c r="N838" s="5"/>
      <c r="O838" s="70"/>
      <c r="P838" s="70"/>
      <c r="Q838" s="70"/>
      <c r="R838" s="3"/>
      <c r="S838" s="3"/>
      <c r="T838" s="3"/>
    </row>
    <row r="839">
      <c r="A839" s="3"/>
      <c r="B839" s="3"/>
      <c r="C839" s="3"/>
      <c r="E839" s="3"/>
      <c r="F839" s="9"/>
      <c r="G839" s="9"/>
      <c r="H839" s="70"/>
      <c r="I839" s="70"/>
      <c r="J839" s="70"/>
      <c r="K839" s="70"/>
      <c r="L839" s="3"/>
      <c r="M839" s="9"/>
      <c r="N839" s="5"/>
      <c r="O839" s="70"/>
      <c r="P839" s="70"/>
      <c r="Q839" s="70"/>
      <c r="R839" s="3"/>
      <c r="S839" s="3"/>
      <c r="T839" s="3"/>
    </row>
    <row r="840">
      <c r="A840" s="3"/>
      <c r="B840" s="3"/>
      <c r="C840" s="3"/>
      <c r="E840" s="3"/>
      <c r="F840" s="9"/>
      <c r="G840" s="9"/>
      <c r="H840" s="70"/>
      <c r="I840" s="70"/>
      <c r="J840" s="70"/>
      <c r="K840" s="70"/>
      <c r="L840" s="3"/>
      <c r="M840" s="9"/>
      <c r="N840" s="5"/>
      <c r="O840" s="70"/>
      <c r="P840" s="70"/>
      <c r="Q840" s="70"/>
      <c r="R840" s="3"/>
      <c r="S840" s="3"/>
      <c r="T840" s="3"/>
    </row>
    <row r="841">
      <c r="A841" s="3"/>
      <c r="B841" s="3"/>
      <c r="C841" s="3"/>
      <c r="E841" s="3"/>
      <c r="F841" s="9"/>
      <c r="G841" s="9"/>
      <c r="H841" s="70"/>
      <c r="I841" s="70"/>
      <c r="J841" s="70"/>
      <c r="K841" s="70"/>
      <c r="L841" s="3"/>
      <c r="M841" s="9"/>
      <c r="N841" s="5"/>
      <c r="O841" s="70"/>
      <c r="P841" s="70"/>
      <c r="Q841" s="70"/>
      <c r="R841" s="3"/>
      <c r="S841" s="3"/>
      <c r="T841" s="3"/>
    </row>
    <row r="842">
      <c r="A842" s="3"/>
      <c r="B842" s="3"/>
      <c r="C842" s="3"/>
      <c r="E842" s="3"/>
      <c r="F842" s="9"/>
      <c r="G842" s="9"/>
      <c r="H842" s="70"/>
      <c r="I842" s="70"/>
      <c r="J842" s="70"/>
      <c r="K842" s="70"/>
      <c r="L842" s="3"/>
      <c r="M842" s="9"/>
      <c r="N842" s="5"/>
      <c r="O842" s="70"/>
      <c r="P842" s="70"/>
      <c r="Q842" s="70"/>
      <c r="R842" s="3"/>
      <c r="S842" s="3"/>
      <c r="T842" s="3"/>
    </row>
    <row r="843">
      <c r="A843" s="3"/>
      <c r="B843" s="3"/>
      <c r="C843" s="3"/>
      <c r="E843" s="3"/>
      <c r="F843" s="9"/>
      <c r="G843" s="9"/>
      <c r="H843" s="70"/>
      <c r="I843" s="70"/>
      <c r="J843" s="70"/>
      <c r="K843" s="70"/>
      <c r="L843" s="3"/>
      <c r="M843" s="9"/>
      <c r="N843" s="5"/>
      <c r="O843" s="70"/>
      <c r="P843" s="70"/>
      <c r="Q843" s="70"/>
      <c r="R843" s="3"/>
      <c r="S843" s="3"/>
      <c r="T843" s="3"/>
    </row>
    <row r="844">
      <c r="A844" s="3"/>
      <c r="B844" s="3"/>
      <c r="C844" s="3"/>
      <c r="E844" s="3"/>
      <c r="F844" s="9"/>
      <c r="G844" s="9"/>
      <c r="H844" s="70"/>
      <c r="I844" s="70"/>
      <c r="J844" s="70"/>
      <c r="K844" s="70"/>
      <c r="L844" s="3"/>
      <c r="M844" s="9"/>
      <c r="N844" s="5"/>
      <c r="O844" s="70"/>
      <c r="P844" s="70"/>
      <c r="Q844" s="70"/>
      <c r="R844" s="3"/>
      <c r="S844" s="3"/>
      <c r="T844" s="3"/>
    </row>
    <row r="845">
      <c r="A845" s="3"/>
      <c r="B845" s="3"/>
      <c r="C845" s="3"/>
      <c r="E845" s="3"/>
      <c r="F845" s="9"/>
      <c r="G845" s="9"/>
      <c r="H845" s="70"/>
      <c r="I845" s="70"/>
      <c r="J845" s="70"/>
      <c r="K845" s="70"/>
      <c r="L845" s="3"/>
      <c r="M845" s="9"/>
      <c r="N845" s="5"/>
      <c r="O845" s="70"/>
      <c r="P845" s="70"/>
      <c r="Q845" s="70"/>
      <c r="R845" s="3"/>
      <c r="S845" s="3"/>
      <c r="T845" s="3"/>
    </row>
    <row r="846">
      <c r="A846" s="3"/>
      <c r="B846" s="3"/>
      <c r="C846" s="3"/>
      <c r="E846" s="3"/>
      <c r="F846" s="9"/>
      <c r="G846" s="9"/>
      <c r="H846" s="70"/>
      <c r="I846" s="70"/>
      <c r="J846" s="70"/>
      <c r="K846" s="70"/>
      <c r="L846" s="3"/>
      <c r="M846" s="9"/>
      <c r="N846" s="5"/>
      <c r="O846" s="70"/>
      <c r="P846" s="70"/>
      <c r="Q846" s="70"/>
      <c r="R846" s="3"/>
      <c r="S846" s="3"/>
      <c r="T846" s="3"/>
    </row>
    <row r="847">
      <c r="A847" s="3"/>
      <c r="B847" s="3"/>
      <c r="C847" s="3"/>
      <c r="E847" s="3"/>
      <c r="F847" s="9"/>
      <c r="G847" s="9"/>
      <c r="H847" s="70"/>
      <c r="I847" s="70"/>
      <c r="J847" s="70"/>
      <c r="K847" s="70"/>
      <c r="L847" s="3"/>
      <c r="M847" s="9"/>
      <c r="N847" s="5"/>
      <c r="O847" s="70"/>
      <c r="P847" s="70"/>
      <c r="Q847" s="70"/>
      <c r="R847" s="3"/>
      <c r="S847" s="3"/>
      <c r="T847" s="3"/>
    </row>
    <row r="848">
      <c r="A848" s="3"/>
      <c r="B848" s="3"/>
      <c r="C848" s="3"/>
      <c r="E848" s="3"/>
      <c r="F848" s="9"/>
      <c r="G848" s="9"/>
      <c r="H848" s="70"/>
      <c r="I848" s="70"/>
      <c r="J848" s="70"/>
      <c r="K848" s="70"/>
      <c r="L848" s="3"/>
      <c r="M848" s="9"/>
      <c r="N848" s="5"/>
      <c r="O848" s="70"/>
      <c r="P848" s="70"/>
      <c r="Q848" s="70"/>
      <c r="R848" s="3"/>
      <c r="S848" s="3"/>
      <c r="T848" s="3"/>
    </row>
    <row r="849">
      <c r="A849" s="3"/>
      <c r="B849" s="3"/>
      <c r="C849" s="3"/>
      <c r="E849" s="3"/>
      <c r="F849" s="9"/>
      <c r="G849" s="9"/>
      <c r="H849" s="70"/>
      <c r="I849" s="70"/>
      <c r="J849" s="70"/>
      <c r="K849" s="70"/>
      <c r="L849" s="3"/>
      <c r="M849" s="9"/>
      <c r="N849" s="5"/>
      <c r="O849" s="70"/>
      <c r="P849" s="70"/>
      <c r="Q849" s="70"/>
      <c r="R849" s="3"/>
      <c r="S849" s="3"/>
      <c r="T849" s="3"/>
    </row>
    <row r="850">
      <c r="A850" s="3"/>
      <c r="B850" s="3"/>
      <c r="C850" s="3"/>
      <c r="E850" s="3"/>
      <c r="F850" s="9"/>
      <c r="G850" s="9"/>
      <c r="H850" s="70"/>
      <c r="I850" s="70"/>
      <c r="J850" s="70"/>
      <c r="K850" s="70"/>
      <c r="L850" s="3"/>
      <c r="M850" s="9"/>
      <c r="N850" s="5"/>
      <c r="O850" s="70"/>
      <c r="P850" s="70"/>
      <c r="Q850" s="70"/>
      <c r="R850" s="3"/>
      <c r="S850" s="3"/>
      <c r="T850" s="3"/>
    </row>
    <row r="851">
      <c r="A851" s="3"/>
      <c r="B851" s="3"/>
      <c r="C851" s="3"/>
      <c r="E851" s="3"/>
      <c r="F851" s="9"/>
      <c r="G851" s="9"/>
      <c r="H851" s="70"/>
      <c r="I851" s="70"/>
      <c r="J851" s="70"/>
      <c r="K851" s="70"/>
      <c r="L851" s="3"/>
      <c r="M851" s="9"/>
      <c r="N851" s="5"/>
      <c r="O851" s="70"/>
      <c r="P851" s="70"/>
      <c r="Q851" s="70"/>
      <c r="R851" s="3"/>
      <c r="S851" s="3"/>
      <c r="T851" s="3"/>
    </row>
    <row r="852">
      <c r="A852" s="3"/>
      <c r="B852" s="3"/>
      <c r="C852" s="3"/>
      <c r="E852" s="3"/>
      <c r="F852" s="9"/>
      <c r="G852" s="9"/>
      <c r="H852" s="70"/>
      <c r="I852" s="70"/>
      <c r="J852" s="70"/>
      <c r="K852" s="70"/>
      <c r="L852" s="3"/>
      <c r="M852" s="9"/>
      <c r="N852" s="5"/>
      <c r="O852" s="70"/>
      <c r="P852" s="70"/>
      <c r="Q852" s="70"/>
      <c r="R852" s="3"/>
      <c r="S852" s="3"/>
      <c r="T852" s="3"/>
    </row>
    <row r="853">
      <c r="A853" s="3"/>
      <c r="B853" s="3"/>
      <c r="C853" s="3"/>
      <c r="E853" s="3"/>
      <c r="F853" s="9"/>
      <c r="G853" s="9"/>
      <c r="H853" s="70"/>
      <c r="I853" s="70"/>
      <c r="J853" s="70"/>
      <c r="K853" s="70"/>
      <c r="L853" s="3"/>
      <c r="M853" s="9"/>
      <c r="N853" s="5"/>
      <c r="O853" s="70"/>
      <c r="P853" s="70"/>
      <c r="Q853" s="70"/>
      <c r="R853" s="3"/>
      <c r="S853" s="3"/>
      <c r="T853" s="3"/>
    </row>
    <row r="854">
      <c r="A854" s="3"/>
      <c r="B854" s="3"/>
      <c r="C854" s="3"/>
      <c r="E854" s="3"/>
      <c r="F854" s="9"/>
      <c r="G854" s="9"/>
      <c r="H854" s="70"/>
      <c r="I854" s="70"/>
      <c r="J854" s="70"/>
      <c r="K854" s="70"/>
      <c r="L854" s="3"/>
      <c r="M854" s="9"/>
      <c r="N854" s="5"/>
      <c r="O854" s="70"/>
      <c r="P854" s="70"/>
      <c r="Q854" s="70"/>
      <c r="R854" s="3"/>
      <c r="S854" s="3"/>
      <c r="T854" s="3"/>
    </row>
    <row r="855">
      <c r="A855" s="3"/>
      <c r="B855" s="3"/>
      <c r="C855" s="3"/>
      <c r="E855" s="3"/>
      <c r="F855" s="9"/>
      <c r="G855" s="9"/>
      <c r="H855" s="70"/>
      <c r="I855" s="70"/>
      <c r="J855" s="70"/>
      <c r="K855" s="70"/>
      <c r="L855" s="3"/>
      <c r="M855" s="9"/>
      <c r="N855" s="5"/>
      <c r="O855" s="70"/>
      <c r="P855" s="70"/>
      <c r="Q855" s="70"/>
      <c r="R855" s="3"/>
      <c r="S855" s="3"/>
      <c r="T855" s="3"/>
    </row>
    <row r="856">
      <c r="A856" s="3"/>
      <c r="B856" s="3"/>
      <c r="C856" s="3"/>
      <c r="E856" s="3"/>
      <c r="F856" s="9"/>
      <c r="G856" s="9"/>
      <c r="H856" s="70"/>
      <c r="I856" s="70"/>
      <c r="J856" s="70"/>
      <c r="K856" s="70"/>
      <c r="L856" s="3"/>
      <c r="M856" s="9"/>
      <c r="N856" s="5"/>
      <c r="O856" s="70"/>
      <c r="P856" s="70"/>
      <c r="Q856" s="70"/>
      <c r="R856" s="3"/>
      <c r="S856" s="3"/>
      <c r="T856" s="3"/>
    </row>
    <row r="857">
      <c r="A857" s="3"/>
      <c r="B857" s="3"/>
      <c r="C857" s="3"/>
      <c r="E857" s="3"/>
      <c r="F857" s="9"/>
      <c r="G857" s="9"/>
      <c r="H857" s="70"/>
      <c r="I857" s="70"/>
      <c r="J857" s="70"/>
      <c r="K857" s="70"/>
      <c r="L857" s="3"/>
      <c r="M857" s="9"/>
      <c r="N857" s="5"/>
      <c r="O857" s="70"/>
      <c r="P857" s="70"/>
      <c r="Q857" s="70"/>
      <c r="R857" s="3"/>
      <c r="S857" s="3"/>
      <c r="T857" s="3"/>
    </row>
    <row r="858">
      <c r="A858" s="3"/>
      <c r="B858" s="3"/>
      <c r="C858" s="3"/>
      <c r="E858" s="3"/>
      <c r="F858" s="9"/>
      <c r="G858" s="9"/>
      <c r="H858" s="70"/>
      <c r="I858" s="70"/>
      <c r="J858" s="70"/>
      <c r="K858" s="70"/>
      <c r="L858" s="3"/>
      <c r="M858" s="9"/>
      <c r="N858" s="5"/>
      <c r="O858" s="70"/>
      <c r="P858" s="70"/>
      <c r="Q858" s="70"/>
      <c r="R858" s="3"/>
      <c r="S858" s="3"/>
      <c r="T858" s="3"/>
    </row>
    <row r="859">
      <c r="A859" s="3"/>
      <c r="B859" s="3"/>
      <c r="C859" s="3"/>
      <c r="E859" s="3"/>
      <c r="F859" s="9"/>
      <c r="G859" s="9"/>
      <c r="H859" s="70"/>
      <c r="I859" s="70"/>
      <c r="J859" s="70"/>
      <c r="K859" s="70"/>
      <c r="L859" s="3"/>
      <c r="M859" s="9"/>
      <c r="N859" s="5"/>
      <c r="O859" s="70"/>
      <c r="P859" s="70"/>
      <c r="Q859" s="70"/>
      <c r="R859" s="3"/>
      <c r="S859" s="3"/>
      <c r="T859" s="3"/>
    </row>
    <row r="860">
      <c r="A860" s="3"/>
      <c r="B860" s="3"/>
      <c r="C860" s="3"/>
      <c r="E860" s="3"/>
      <c r="F860" s="9"/>
      <c r="G860" s="9"/>
      <c r="H860" s="70"/>
      <c r="I860" s="70"/>
      <c r="J860" s="70"/>
      <c r="K860" s="70"/>
      <c r="L860" s="3"/>
      <c r="M860" s="9"/>
      <c r="N860" s="5"/>
      <c r="O860" s="70"/>
      <c r="P860" s="70"/>
      <c r="Q860" s="70"/>
      <c r="R860" s="3"/>
      <c r="S860" s="3"/>
      <c r="T860" s="3"/>
    </row>
    <row r="861">
      <c r="A861" s="3"/>
      <c r="B861" s="3"/>
      <c r="C861" s="3"/>
      <c r="E861" s="3"/>
      <c r="F861" s="9"/>
      <c r="G861" s="9"/>
      <c r="H861" s="70"/>
      <c r="I861" s="70"/>
      <c r="J861" s="70"/>
      <c r="K861" s="70"/>
      <c r="L861" s="3"/>
      <c r="M861" s="9"/>
      <c r="N861" s="5"/>
      <c r="O861" s="70"/>
      <c r="P861" s="70"/>
      <c r="Q861" s="70"/>
      <c r="R861" s="3"/>
      <c r="S861" s="3"/>
      <c r="T861" s="3"/>
    </row>
    <row r="862">
      <c r="A862" s="3"/>
      <c r="B862" s="3"/>
      <c r="C862" s="3"/>
      <c r="E862" s="3"/>
      <c r="F862" s="9"/>
      <c r="G862" s="9"/>
      <c r="H862" s="70"/>
      <c r="I862" s="70"/>
      <c r="J862" s="70"/>
      <c r="K862" s="70"/>
      <c r="L862" s="3"/>
      <c r="M862" s="9"/>
      <c r="N862" s="5"/>
      <c r="O862" s="70"/>
      <c r="P862" s="70"/>
      <c r="Q862" s="70"/>
      <c r="R862" s="3"/>
      <c r="S862" s="3"/>
      <c r="T862" s="3"/>
    </row>
    <row r="863">
      <c r="A863" s="3"/>
      <c r="B863" s="3"/>
      <c r="C863" s="3"/>
      <c r="E863" s="3"/>
      <c r="F863" s="9"/>
      <c r="G863" s="9"/>
      <c r="H863" s="70"/>
      <c r="I863" s="70"/>
      <c r="J863" s="70"/>
      <c r="K863" s="70"/>
      <c r="L863" s="3"/>
      <c r="M863" s="9"/>
      <c r="N863" s="5"/>
      <c r="O863" s="70"/>
      <c r="P863" s="70"/>
      <c r="Q863" s="70"/>
      <c r="R863" s="3"/>
      <c r="S863" s="3"/>
      <c r="T863" s="3"/>
    </row>
    <row r="864">
      <c r="A864" s="3"/>
      <c r="B864" s="3"/>
      <c r="C864" s="3"/>
      <c r="E864" s="3"/>
      <c r="F864" s="9"/>
      <c r="G864" s="9"/>
      <c r="H864" s="70"/>
      <c r="I864" s="70"/>
      <c r="J864" s="70"/>
      <c r="K864" s="70"/>
      <c r="L864" s="3"/>
      <c r="M864" s="9"/>
      <c r="N864" s="5"/>
      <c r="O864" s="70"/>
      <c r="P864" s="70"/>
      <c r="Q864" s="70"/>
      <c r="R864" s="3"/>
      <c r="S864" s="3"/>
      <c r="T864" s="3"/>
    </row>
    <row r="865">
      <c r="A865" s="3"/>
      <c r="B865" s="3"/>
      <c r="C865" s="3"/>
      <c r="E865" s="3"/>
      <c r="F865" s="9"/>
      <c r="G865" s="9"/>
      <c r="H865" s="70"/>
      <c r="I865" s="70"/>
      <c r="J865" s="70"/>
      <c r="K865" s="70"/>
      <c r="L865" s="3"/>
      <c r="M865" s="9"/>
      <c r="N865" s="5"/>
      <c r="O865" s="70"/>
      <c r="P865" s="70"/>
      <c r="Q865" s="70"/>
      <c r="R865" s="3"/>
      <c r="S865" s="3"/>
      <c r="T865" s="3"/>
    </row>
    <row r="866">
      <c r="A866" s="3"/>
      <c r="B866" s="3"/>
      <c r="C866" s="3"/>
      <c r="E866" s="3"/>
      <c r="F866" s="9"/>
      <c r="G866" s="9"/>
      <c r="H866" s="70"/>
      <c r="I866" s="70"/>
      <c r="J866" s="70"/>
      <c r="K866" s="70"/>
      <c r="L866" s="3"/>
      <c r="M866" s="9"/>
      <c r="N866" s="5"/>
      <c r="O866" s="70"/>
      <c r="P866" s="70"/>
      <c r="Q866" s="70"/>
      <c r="R866" s="3"/>
      <c r="S866" s="3"/>
      <c r="T866" s="3"/>
    </row>
    <row r="867">
      <c r="A867" s="3"/>
      <c r="B867" s="3"/>
      <c r="C867" s="3"/>
      <c r="E867" s="3"/>
      <c r="F867" s="9"/>
      <c r="G867" s="9"/>
      <c r="H867" s="70"/>
      <c r="I867" s="70"/>
      <c r="J867" s="70"/>
      <c r="K867" s="70"/>
      <c r="L867" s="3"/>
      <c r="M867" s="9"/>
      <c r="N867" s="5"/>
      <c r="O867" s="70"/>
      <c r="P867" s="70"/>
      <c r="Q867" s="70"/>
      <c r="R867" s="3"/>
      <c r="S867" s="3"/>
      <c r="T867" s="3"/>
    </row>
    <row r="868">
      <c r="A868" s="3"/>
      <c r="B868" s="3"/>
      <c r="C868" s="3"/>
      <c r="E868" s="3"/>
      <c r="F868" s="9"/>
      <c r="G868" s="9"/>
      <c r="H868" s="70"/>
      <c r="I868" s="70"/>
      <c r="J868" s="70"/>
      <c r="K868" s="70"/>
      <c r="L868" s="3"/>
      <c r="M868" s="9"/>
      <c r="N868" s="5"/>
      <c r="O868" s="70"/>
      <c r="P868" s="70"/>
      <c r="Q868" s="70"/>
      <c r="R868" s="3"/>
      <c r="S868" s="3"/>
      <c r="T868" s="3"/>
    </row>
    <row r="869">
      <c r="A869" s="3"/>
      <c r="B869" s="3"/>
      <c r="C869" s="3"/>
      <c r="E869" s="3"/>
      <c r="F869" s="9"/>
      <c r="G869" s="9"/>
      <c r="H869" s="70"/>
      <c r="I869" s="70"/>
      <c r="J869" s="70"/>
      <c r="K869" s="70"/>
      <c r="L869" s="3"/>
      <c r="M869" s="9"/>
      <c r="N869" s="5"/>
      <c r="O869" s="70"/>
      <c r="P869" s="70"/>
      <c r="Q869" s="70"/>
      <c r="R869" s="3"/>
      <c r="S869" s="3"/>
      <c r="T869" s="3"/>
    </row>
    <row r="870">
      <c r="A870" s="3"/>
      <c r="B870" s="3"/>
      <c r="C870" s="3"/>
      <c r="E870" s="3"/>
      <c r="F870" s="9"/>
      <c r="G870" s="9"/>
      <c r="H870" s="70"/>
      <c r="I870" s="70"/>
      <c r="J870" s="70"/>
      <c r="K870" s="70"/>
      <c r="L870" s="3"/>
      <c r="M870" s="9"/>
      <c r="N870" s="5"/>
      <c r="O870" s="70"/>
      <c r="P870" s="70"/>
      <c r="Q870" s="70"/>
      <c r="R870" s="3"/>
      <c r="S870" s="3"/>
      <c r="T870" s="3"/>
    </row>
    <row r="871">
      <c r="A871" s="3"/>
      <c r="B871" s="3"/>
      <c r="C871" s="3"/>
      <c r="E871" s="3"/>
      <c r="F871" s="9"/>
      <c r="G871" s="9"/>
      <c r="H871" s="70"/>
      <c r="I871" s="70"/>
      <c r="J871" s="70"/>
      <c r="K871" s="70"/>
      <c r="L871" s="3"/>
      <c r="M871" s="9"/>
      <c r="N871" s="5"/>
      <c r="O871" s="70"/>
      <c r="P871" s="70"/>
      <c r="Q871" s="70"/>
      <c r="R871" s="3"/>
      <c r="S871" s="3"/>
      <c r="T871" s="3"/>
    </row>
    <row r="872">
      <c r="A872" s="3"/>
      <c r="B872" s="3"/>
      <c r="C872" s="3"/>
      <c r="E872" s="3"/>
      <c r="F872" s="9"/>
      <c r="G872" s="9"/>
      <c r="H872" s="70"/>
      <c r="I872" s="70"/>
      <c r="J872" s="70"/>
      <c r="K872" s="70"/>
      <c r="L872" s="3"/>
      <c r="M872" s="9"/>
      <c r="N872" s="5"/>
      <c r="O872" s="70"/>
      <c r="P872" s="70"/>
      <c r="Q872" s="70"/>
      <c r="R872" s="3"/>
      <c r="S872" s="3"/>
      <c r="T872" s="3"/>
    </row>
    <row r="873">
      <c r="A873" s="3"/>
      <c r="B873" s="3"/>
      <c r="C873" s="3"/>
      <c r="E873" s="3"/>
      <c r="F873" s="9"/>
      <c r="G873" s="9"/>
      <c r="H873" s="70"/>
      <c r="I873" s="70"/>
      <c r="J873" s="70"/>
      <c r="K873" s="70"/>
      <c r="L873" s="3"/>
      <c r="M873" s="9"/>
      <c r="N873" s="5"/>
      <c r="O873" s="70"/>
      <c r="P873" s="70"/>
      <c r="Q873" s="70"/>
      <c r="R873" s="3"/>
      <c r="S873" s="3"/>
      <c r="T873" s="3"/>
    </row>
    <row r="874">
      <c r="A874" s="3"/>
      <c r="B874" s="3"/>
      <c r="C874" s="3"/>
      <c r="E874" s="3"/>
      <c r="F874" s="9"/>
      <c r="G874" s="9"/>
      <c r="H874" s="70"/>
      <c r="I874" s="70"/>
      <c r="J874" s="70"/>
      <c r="K874" s="70"/>
      <c r="L874" s="3"/>
      <c r="M874" s="9"/>
      <c r="N874" s="5"/>
      <c r="O874" s="70"/>
      <c r="P874" s="70"/>
      <c r="Q874" s="70"/>
      <c r="R874" s="3"/>
      <c r="S874" s="3"/>
      <c r="T874" s="3"/>
    </row>
    <row r="875">
      <c r="A875" s="3"/>
      <c r="B875" s="3"/>
      <c r="C875" s="3"/>
      <c r="E875" s="3"/>
      <c r="F875" s="9"/>
      <c r="G875" s="9"/>
      <c r="H875" s="70"/>
      <c r="I875" s="70"/>
      <c r="J875" s="70"/>
      <c r="K875" s="70"/>
      <c r="L875" s="3"/>
      <c r="M875" s="9"/>
      <c r="N875" s="5"/>
      <c r="O875" s="70"/>
      <c r="P875" s="70"/>
      <c r="Q875" s="70"/>
      <c r="R875" s="3"/>
      <c r="S875" s="3"/>
      <c r="T875" s="3"/>
    </row>
    <row r="876">
      <c r="A876" s="3"/>
      <c r="B876" s="3"/>
      <c r="C876" s="3"/>
      <c r="E876" s="3"/>
      <c r="F876" s="9"/>
      <c r="G876" s="9"/>
      <c r="H876" s="70"/>
      <c r="I876" s="70"/>
      <c r="J876" s="70"/>
      <c r="K876" s="70"/>
      <c r="L876" s="3"/>
      <c r="M876" s="9"/>
      <c r="N876" s="5"/>
      <c r="O876" s="70"/>
      <c r="P876" s="70"/>
      <c r="Q876" s="70"/>
      <c r="R876" s="3"/>
      <c r="S876" s="3"/>
      <c r="T876" s="3"/>
    </row>
    <row r="877">
      <c r="A877" s="3"/>
      <c r="B877" s="3"/>
      <c r="C877" s="3"/>
      <c r="E877" s="3"/>
      <c r="F877" s="9"/>
      <c r="G877" s="9"/>
      <c r="H877" s="70"/>
      <c r="I877" s="70"/>
      <c r="J877" s="70"/>
      <c r="K877" s="70"/>
      <c r="L877" s="3"/>
      <c r="M877" s="9"/>
      <c r="N877" s="5"/>
      <c r="O877" s="70"/>
      <c r="P877" s="70"/>
      <c r="Q877" s="70"/>
      <c r="R877" s="3"/>
      <c r="S877" s="3"/>
      <c r="T877" s="3"/>
    </row>
    <row r="878">
      <c r="A878" s="3"/>
      <c r="B878" s="3"/>
      <c r="C878" s="3"/>
      <c r="E878" s="3"/>
      <c r="F878" s="9"/>
      <c r="G878" s="9"/>
      <c r="H878" s="70"/>
      <c r="I878" s="70"/>
      <c r="J878" s="70"/>
      <c r="K878" s="70"/>
      <c r="L878" s="3"/>
      <c r="M878" s="9"/>
      <c r="N878" s="5"/>
      <c r="O878" s="70"/>
      <c r="P878" s="70"/>
      <c r="Q878" s="70"/>
      <c r="R878" s="3"/>
      <c r="S878" s="3"/>
      <c r="T878" s="3"/>
    </row>
    <row r="879">
      <c r="A879" s="3"/>
      <c r="B879" s="3"/>
      <c r="C879" s="3"/>
      <c r="E879" s="3"/>
      <c r="F879" s="9"/>
      <c r="G879" s="9"/>
      <c r="H879" s="70"/>
      <c r="I879" s="70"/>
      <c r="J879" s="70"/>
      <c r="K879" s="70"/>
      <c r="L879" s="3"/>
      <c r="M879" s="9"/>
      <c r="N879" s="5"/>
      <c r="O879" s="70"/>
      <c r="P879" s="70"/>
      <c r="Q879" s="70"/>
      <c r="R879" s="3"/>
      <c r="S879" s="3"/>
      <c r="T879" s="3"/>
    </row>
    <row r="880">
      <c r="A880" s="3"/>
      <c r="B880" s="3"/>
      <c r="C880" s="3"/>
      <c r="E880" s="3"/>
      <c r="F880" s="9"/>
      <c r="G880" s="9"/>
      <c r="H880" s="70"/>
      <c r="I880" s="70"/>
      <c r="J880" s="70"/>
      <c r="K880" s="70"/>
      <c r="L880" s="3"/>
      <c r="M880" s="9"/>
      <c r="N880" s="5"/>
      <c r="O880" s="70"/>
      <c r="P880" s="70"/>
      <c r="Q880" s="70"/>
      <c r="R880" s="3"/>
      <c r="S880" s="3"/>
      <c r="T880" s="3"/>
    </row>
    <row r="881">
      <c r="A881" s="3"/>
      <c r="B881" s="3"/>
      <c r="C881" s="3"/>
      <c r="E881" s="3"/>
      <c r="F881" s="9"/>
      <c r="G881" s="9"/>
      <c r="H881" s="70"/>
      <c r="I881" s="70"/>
      <c r="J881" s="70"/>
      <c r="K881" s="70"/>
      <c r="L881" s="3"/>
      <c r="M881" s="9"/>
      <c r="N881" s="5"/>
      <c r="O881" s="70"/>
      <c r="P881" s="70"/>
      <c r="Q881" s="70"/>
      <c r="R881" s="3"/>
      <c r="S881" s="3"/>
      <c r="T881" s="3"/>
    </row>
    <row r="882">
      <c r="A882" s="3"/>
      <c r="B882" s="3"/>
      <c r="C882" s="3"/>
      <c r="E882" s="3"/>
      <c r="F882" s="9"/>
      <c r="G882" s="9"/>
      <c r="H882" s="70"/>
      <c r="I882" s="70"/>
      <c r="J882" s="70"/>
      <c r="K882" s="70"/>
      <c r="L882" s="3"/>
      <c r="M882" s="9"/>
      <c r="N882" s="5"/>
      <c r="O882" s="70"/>
      <c r="P882" s="70"/>
      <c r="Q882" s="70"/>
      <c r="R882" s="3"/>
      <c r="S882" s="3"/>
      <c r="T882" s="3"/>
    </row>
    <row r="883">
      <c r="A883" s="3"/>
      <c r="B883" s="3"/>
      <c r="C883" s="3"/>
      <c r="E883" s="3"/>
      <c r="F883" s="9"/>
      <c r="G883" s="9"/>
      <c r="H883" s="70"/>
      <c r="I883" s="70"/>
      <c r="J883" s="70"/>
      <c r="K883" s="70"/>
      <c r="L883" s="3"/>
      <c r="M883" s="9"/>
      <c r="N883" s="5"/>
      <c r="O883" s="70"/>
      <c r="P883" s="70"/>
      <c r="Q883" s="70"/>
      <c r="R883" s="3"/>
      <c r="S883" s="3"/>
      <c r="T883" s="3"/>
    </row>
    <row r="884">
      <c r="A884" s="3"/>
      <c r="B884" s="3"/>
      <c r="C884" s="3"/>
      <c r="E884" s="3"/>
      <c r="F884" s="9"/>
      <c r="G884" s="9"/>
      <c r="H884" s="70"/>
      <c r="I884" s="70"/>
      <c r="J884" s="70"/>
      <c r="K884" s="70"/>
      <c r="L884" s="3"/>
      <c r="M884" s="9"/>
      <c r="N884" s="5"/>
      <c r="O884" s="70"/>
      <c r="P884" s="70"/>
      <c r="Q884" s="70"/>
      <c r="R884" s="3"/>
      <c r="S884" s="3"/>
      <c r="T884" s="3"/>
    </row>
    <row r="885">
      <c r="A885" s="3"/>
      <c r="B885" s="3"/>
      <c r="C885" s="3"/>
      <c r="E885" s="3"/>
      <c r="F885" s="9"/>
      <c r="G885" s="9"/>
      <c r="H885" s="70"/>
      <c r="I885" s="70"/>
      <c r="J885" s="70"/>
      <c r="K885" s="70"/>
      <c r="L885" s="3"/>
      <c r="M885" s="9"/>
      <c r="N885" s="5"/>
      <c r="O885" s="70"/>
      <c r="P885" s="70"/>
      <c r="Q885" s="70"/>
      <c r="R885" s="3"/>
      <c r="S885" s="3"/>
      <c r="T885" s="3"/>
    </row>
    <row r="886">
      <c r="A886" s="3"/>
      <c r="B886" s="3"/>
      <c r="C886" s="3"/>
      <c r="E886" s="3"/>
      <c r="F886" s="9"/>
      <c r="G886" s="9"/>
      <c r="H886" s="70"/>
      <c r="I886" s="70"/>
      <c r="J886" s="70"/>
      <c r="K886" s="70"/>
      <c r="L886" s="3"/>
      <c r="M886" s="9"/>
      <c r="N886" s="5"/>
      <c r="O886" s="70"/>
      <c r="P886" s="70"/>
      <c r="Q886" s="70"/>
      <c r="R886" s="3"/>
      <c r="S886" s="3"/>
      <c r="T886" s="3"/>
    </row>
    <row r="887">
      <c r="A887" s="3"/>
      <c r="B887" s="3"/>
      <c r="C887" s="3"/>
      <c r="E887" s="3"/>
      <c r="F887" s="9"/>
      <c r="G887" s="9"/>
      <c r="H887" s="70"/>
      <c r="I887" s="70"/>
      <c r="J887" s="70"/>
      <c r="K887" s="70"/>
      <c r="L887" s="3"/>
      <c r="M887" s="9"/>
      <c r="N887" s="5"/>
      <c r="O887" s="70"/>
      <c r="P887" s="70"/>
      <c r="Q887" s="70"/>
      <c r="R887" s="3"/>
      <c r="S887" s="3"/>
      <c r="T887" s="3"/>
    </row>
    <row r="888">
      <c r="A888" s="3"/>
      <c r="B888" s="3"/>
      <c r="C888" s="3"/>
      <c r="E888" s="3"/>
      <c r="F888" s="9"/>
      <c r="G888" s="9"/>
      <c r="H888" s="70"/>
      <c r="I888" s="70"/>
      <c r="J888" s="70"/>
      <c r="K888" s="70"/>
      <c r="L888" s="3"/>
      <c r="M888" s="9"/>
      <c r="N888" s="5"/>
      <c r="O888" s="70"/>
      <c r="P888" s="70"/>
      <c r="Q888" s="70"/>
      <c r="R888" s="3"/>
      <c r="S888" s="3"/>
      <c r="T888" s="3"/>
    </row>
    <row r="889">
      <c r="A889" s="3"/>
      <c r="B889" s="3"/>
      <c r="C889" s="3"/>
      <c r="E889" s="3"/>
      <c r="F889" s="9"/>
      <c r="G889" s="9"/>
      <c r="H889" s="70"/>
      <c r="I889" s="70"/>
      <c r="J889" s="70"/>
      <c r="K889" s="70"/>
      <c r="L889" s="3"/>
      <c r="M889" s="9"/>
      <c r="N889" s="5"/>
      <c r="O889" s="70"/>
      <c r="P889" s="70"/>
      <c r="Q889" s="70"/>
      <c r="R889" s="3"/>
      <c r="S889" s="3"/>
      <c r="T889" s="3"/>
    </row>
    <row r="890">
      <c r="A890" s="3"/>
      <c r="B890" s="3"/>
      <c r="C890" s="3"/>
      <c r="E890" s="3"/>
      <c r="F890" s="9"/>
      <c r="G890" s="9"/>
      <c r="H890" s="70"/>
      <c r="I890" s="70"/>
      <c r="J890" s="70"/>
      <c r="K890" s="70"/>
      <c r="L890" s="3"/>
      <c r="M890" s="9"/>
      <c r="N890" s="5"/>
      <c r="O890" s="70"/>
      <c r="P890" s="70"/>
      <c r="Q890" s="70"/>
      <c r="R890" s="3"/>
      <c r="S890" s="3"/>
      <c r="T890" s="3"/>
    </row>
    <row r="891">
      <c r="A891" s="3"/>
      <c r="B891" s="3"/>
      <c r="C891" s="3"/>
      <c r="E891" s="3"/>
      <c r="F891" s="9"/>
      <c r="G891" s="9"/>
      <c r="H891" s="70"/>
      <c r="I891" s="70"/>
      <c r="J891" s="70"/>
      <c r="K891" s="70"/>
      <c r="L891" s="3"/>
      <c r="M891" s="9"/>
      <c r="N891" s="5"/>
      <c r="O891" s="70"/>
      <c r="P891" s="70"/>
      <c r="Q891" s="70"/>
      <c r="R891" s="3"/>
      <c r="S891" s="3"/>
      <c r="T891" s="3"/>
    </row>
    <row r="892">
      <c r="A892" s="3"/>
      <c r="B892" s="3"/>
      <c r="C892" s="3"/>
      <c r="E892" s="3"/>
      <c r="F892" s="9"/>
      <c r="G892" s="9"/>
      <c r="H892" s="70"/>
      <c r="I892" s="70"/>
      <c r="J892" s="70"/>
      <c r="K892" s="70"/>
      <c r="L892" s="3"/>
      <c r="M892" s="9"/>
      <c r="N892" s="5"/>
      <c r="O892" s="70"/>
      <c r="P892" s="70"/>
      <c r="Q892" s="70"/>
      <c r="R892" s="3"/>
      <c r="S892" s="3"/>
      <c r="T892" s="3"/>
    </row>
    <row r="893">
      <c r="A893" s="3"/>
      <c r="B893" s="3"/>
      <c r="C893" s="3"/>
      <c r="E893" s="3"/>
      <c r="F893" s="9"/>
      <c r="G893" s="9"/>
      <c r="H893" s="70"/>
      <c r="I893" s="70"/>
      <c r="J893" s="70"/>
      <c r="K893" s="70"/>
      <c r="L893" s="3"/>
      <c r="M893" s="9"/>
      <c r="N893" s="5"/>
      <c r="O893" s="70"/>
      <c r="P893" s="70"/>
      <c r="Q893" s="70"/>
      <c r="R893" s="3"/>
      <c r="S893" s="3"/>
      <c r="T893" s="3"/>
    </row>
    <row r="894">
      <c r="A894" s="3"/>
      <c r="B894" s="3"/>
      <c r="C894" s="3"/>
      <c r="E894" s="3"/>
      <c r="F894" s="9"/>
      <c r="G894" s="9"/>
      <c r="H894" s="70"/>
      <c r="I894" s="70"/>
      <c r="J894" s="70"/>
      <c r="K894" s="70"/>
      <c r="L894" s="3"/>
      <c r="M894" s="9"/>
      <c r="N894" s="5"/>
      <c r="O894" s="70"/>
      <c r="P894" s="70"/>
      <c r="Q894" s="70"/>
      <c r="R894" s="3"/>
      <c r="S894" s="3"/>
      <c r="T894" s="3"/>
    </row>
    <row r="895">
      <c r="A895" s="3"/>
      <c r="B895" s="3"/>
      <c r="C895" s="3"/>
      <c r="E895" s="3"/>
      <c r="F895" s="9"/>
      <c r="G895" s="9"/>
      <c r="H895" s="70"/>
      <c r="I895" s="70"/>
      <c r="J895" s="70"/>
      <c r="K895" s="70"/>
      <c r="L895" s="3"/>
      <c r="M895" s="9"/>
      <c r="N895" s="5"/>
      <c r="O895" s="70"/>
      <c r="P895" s="70"/>
      <c r="Q895" s="70"/>
      <c r="R895" s="3"/>
      <c r="S895" s="3"/>
      <c r="T895" s="3"/>
    </row>
    <row r="896">
      <c r="A896" s="3"/>
      <c r="B896" s="3"/>
      <c r="C896" s="3"/>
      <c r="E896" s="3"/>
      <c r="F896" s="9"/>
      <c r="G896" s="9"/>
      <c r="H896" s="70"/>
      <c r="I896" s="70"/>
      <c r="J896" s="70"/>
      <c r="K896" s="70"/>
      <c r="L896" s="3"/>
      <c r="M896" s="9"/>
      <c r="N896" s="5"/>
      <c r="O896" s="70"/>
      <c r="P896" s="70"/>
      <c r="Q896" s="70"/>
      <c r="R896" s="3"/>
      <c r="S896" s="3"/>
      <c r="T896" s="3"/>
    </row>
    <row r="897">
      <c r="A897" s="3"/>
      <c r="B897" s="3"/>
      <c r="C897" s="3"/>
      <c r="E897" s="3"/>
      <c r="F897" s="9"/>
      <c r="G897" s="9"/>
      <c r="H897" s="70"/>
      <c r="I897" s="70"/>
      <c r="J897" s="70"/>
      <c r="K897" s="70"/>
      <c r="L897" s="3"/>
      <c r="M897" s="9"/>
      <c r="N897" s="5"/>
      <c r="O897" s="70"/>
      <c r="P897" s="70"/>
      <c r="Q897" s="70"/>
      <c r="R897" s="3"/>
      <c r="S897" s="3"/>
      <c r="T897" s="3"/>
    </row>
    <row r="898">
      <c r="A898" s="3"/>
      <c r="B898" s="3"/>
      <c r="C898" s="3"/>
      <c r="E898" s="3"/>
      <c r="F898" s="9"/>
      <c r="G898" s="9"/>
      <c r="H898" s="70"/>
      <c r="I898" s="70"/>
      <c r="J898" s="70"/>
      <c r="K898" s="70"/>
      <c r="L898" s="3"/>
      <c r="M898" s="9"/>
      <c r="N898" s="5"/>
      <c r="O898" s="70"/>
      <c r="P898" s="70"/>
      <c r="Q898" s="70"/>
      <c r="R898" s="3"/>
      <c r="S898" s="3"/>
      <c r="T898" s="3"/>
    </row>
    <row r="899">
      <c r="A899" s="3"/>
      <c r="B899" s="3"/>
      <c r="C899" s="3"/>
      <c r="E899" s="3"/>
      <c r="F899" s="9"/>
      <c r="G899" s="9"/>
      <c r="H899" s="70"/>
      <c r="I899" s="70"/>
      <c r="J899" s="70"/>
      <c r="K899" s="70"/>
      <c r="L899" s="3"/>
      <c r="M899" s="9"/>
      <c r="N899" s="5"/>
      <c r="O899" s="70"/>
      <c r="P899" s="70"/>
      <c r="Q899" s="70"/>
      <c r="R899" s="3"/>
      <c r="S899" s="3"/>
      <c r="T899" s="3"/>
    </row>
    <row r="900">
      <c r="A900" s="3"/>
      <c r="B900" s="3"/>
      <c r="C900" s="3"/>
      <c r="E900" s="3"/>
      <c r="F900" s="9"/>
      <c r="G900" s="9"/>
      <c r="H900" s="70"/>
      <c r="I900" s="70"/>
      <c r="J900" s="70"/>
      <c r="K900" s="70"/>
      <c r="L900" s="3"/>
      <c r="M900" s="9"/>
      <c r="N900" s="5"/>
      <c r="O900" s="70"/>
      <c r="P900" s="70"/>
      <c r="Q900" s="70"/>
      <c r="R900" s="3"/>
      <c r="S900" s="3"/>
      <c r="T900" s="3"/>
    </row>
    <row r="901">
      <c r="A901" s="3"/>
      <c r="B901" s="3"/>
      <c r="C901" s="3"/>
      <c r="E901" s="3"/>
      <c r="F901" s="9"/>
      <c r="G901" s="9"/>
      <c r="H901" s="70"/>
      <c r="I901" s="70"/>
      <c r="J901" s="70"/>
      <c r="K901" s="70"/>
      <c r="L901" s="3"/>
      <c r="M901" s="9"/>
      <c r="N901" s="5"/>
      <c r="O901" s="70"/>
      <c r="P901" s="70"/>
      <c r="Q901" s="70"/>
      <c r="R901" s="3"/>
      <c r="S901" s="3"/>
      <c r="T901" s="3"/>
    </row>
    <row r="902">
      <c r="A902" s="3"/>
      <c r="B902" s="3"/>
      <c r="C902" s="3"/>
      <c r="E902" s="3"/>
      <c r="F902" s="9"/>
      <c r="G902" s="9"/>
      <c r="H902" s="70"/>
      <c r="I902" s="70"/>
      <c r="J902" s="70"/>
      <c r="K902" s="70"/>
      <c r="L902" s="3"/>
      <c r="M902" s="9"/>
      <c r="N902" s="5"/>
      <c r="O902" s="70"/>
      <c r="P902" s="70"/>
      <c r="Q902" s="70"/>
      <c r="R902" s="3"/>
      <c r="S902" s="3"/>
      <c r="T902" s="3"/>
    </row>
    <row r="903">
      <c r="A903" s="3"/>
      <c r="B903" s="3"/>
      <c r="C903" s="3"/>
      <c r="E903" s="3"/>
      <c r="F903" s="9"/>
      <c r="G903" s="9"/>
      <c r="H903" s="70"/>
      <c r="I903" s="70"/>
      <c r="J903" s="70"/>
      <c r="K903" s="70"/>
      <c r="L903" s="3"/>
      <c r="M903" s="9"/>
      <c r="N903" s="5"/>
      <c r="O903" s="70"/>
      <c r="P903" s="70"/>
      <c r="Q903" s="70"/>
      <c r="R903" s="3"/>
      <c r="S903" s="3"/>
      <c r="T903" s="3"/>
    </row>
    <row r="904">
      <c r="A904" s="3"/>
      <c r="B904" s="3"/>
      <c r="C904" s="3"/>
      <c r="E904" s="3"/>
      <c r="F904" s="9"/>
      <c r="G904" s="9"/>
      <c r="H904" s="70"/>
      <c r="I904" s="70"/>
      <c r="J904" s="70"/>
      <c r="K904" s="70"/>
      <c r="L904" s="3"/>
      <c r="M904" s="9"/>
      <c r="N904" s="5"/>
      <c r="O904" s="70"/>
      <c r="P904" s="70"/>
      <c r="Q904" s="70"/>
      <c r="R904" s="3"/>
      <c r="S904" s="3"/>
      <c r="T904" s="3"/>
    </row>
    <row r="905">
      <c r="A905" s="3"/>
      <c r="B905" s="3"/>
      <c r="C905" s="3"/>
      <c r="E905" s="3"/>
      <c r="F905" s="9"/>
      <c r="G905" s="9"/>
      <c r="H905" s="70"/>
      <c r="I905" s="70"/>
      <c r="J905" s="70"/>
      <c r="K905" s="70"/>
      <c r="L905" s="3"/>
      <c r="M905" s="9"/>
      <c r="N905" s="5"/>
      <c r="O905" s="70"/>
      <c r="P905" s="70"/>
      <c r="Q905" s="70"/>
      <c r="R905" s="3"/>
      <c r="S905" s="3"/>
      <c r="T905" s="3"/>
    </row>
    <row r="906">
      <c r="A906" s="3"/>
      <c r="B906" s="3"/>
      <c r="C906" s="3"/>
      <c r="E906" s="3"/>
      <c r="F906" s="9"/>
      <c r="G906" s="9"/>
      <c r="H906" s="70"/>
      <c r="I906" s="70"/>
      <c r="J906" s="70"/>
      <c r="K906" s="70"/>
      <c r="L906" s="3"/>
      <c r="M906" s="9"/>
      <c r="N906" s="5"/>
      <c r="O906" s="70"/>
      <c r="P906" s="70"/>
      <c r="Q906" s="70"/>
      <c r="R906" s="3"/>
      <c r="S906" s="3"/>
      <c r="T906" s="3"/>
    </row>
    <row r="907">
      <c r="A907" s="3"/>
      <c r="B907" s="3"/>
      <c r="C907" s="3"/>
      <c r="E907" s="3"/>
      <c r="F907" s="9"/>
      <c r="G907" s="9"/>
      <c r="H907" s="70"/>
      <c r="I907" s="70"/>
      <c r="J907" s="70"/>
      <c r="K907" s="70"/>
      <c r="L907" s="3"/>
      <c r="M907" s="9"/>
      <c r="N907" s="5"/>
      <c r="O907" s="70"/>
      <c r="P907" s="70"/>
      <c r="Q907" s="70"/>
      <c r="R907" s="3"/>
      <c r="S907" s="3"/>
      <c r="T907" s="3"/>
    </row>
    <row r="908">
      <c r="A908" s="3"/>
      <c r="B908" s="3"/>
      <c r="C908" s="3"/>
      <c r="E908" s="3"/>
      <c r="F908" s="9"/>
      <c r="G908" s="9"/>
      <c r="H908" s="70"/>
      <c r="I908" s="70"/>
      <c r="J908" s="70"/>
      <c r="K908" s="70"/>
      <c r="L908" s="3"/>
      <c r="M908" s="9"/>
      <c r="N908" s="5"/>
      <c r="O908" s="70"/>
      <c r="P908" s="70"/>
      <c r="Q908" s="70"/>
      <c r="R908" s="3"/>
      <c r="S908" s="3"/>
      <c r="T908" s="3"/>
    </row>
    <row r="909">
      <c r="A909" s="3"/>
      <c r="B909" s="3"/>
      <c r="C909" s="3"/>
      <c r="E909" s="3"/>
      <c r="F909" s="9"/>
      <c r="G909" s="9"/>
      <c r="H909" s="70"/>
      <c r="I909" s="70"/>
      <c r="J909" s="70"/>
      <c r="K909" s="70"/>
      <c r="L909" s="3"/>
      <c r="M909" s="9"/>
      <c r="N909" s="5"/>
      <c r="O909" s="70"/>
      <c r="P909" s="70"/>
      <c r="Q909" s="70"/>
      <c r="R909" s="3"/>
      <c r="S909" s="3"/>
      <c r="T909" s="3"/>
    </row>
    <row r="910">
      <c r="A910" s="3"/>
      <c r="B910" s="3"/>
      <c r="C910" s="3"/>
      <c r="E910" s="3"/>
      <c r="F910" s="9"/>
      <c r="G910" s="9"/>
      <c r="H910" s="70"/>
      <c r="I910" s="70"/>
      <c r="J910" s="70"/>
      <c r="K910" s="70"/>
      <c r="L910" s="3"/>
      <c r="M910" s="9"/>
      <c r="N910" s="5"/>
      <c r="O910" s="70"/>
      <c r="P910" s="70"/>
      <c r="Q910" s="70"/>
      <c r="R910" s="3"/>
      <c r="S910" s="3"/>
      <c r="T910" s="3"/>
    </row>
    <row r="911">
      <c r="A911" s="3"/>
      <c r="B911" s="3"/>
      <c r="C911" s="3"/>
      <c r="E911" s="3"/>
      <c r="F911" s="9"/>
      <c r="G911" s="9"/>
      <c r="H911" s="70"/>
      <c r="I911" s="70"/>
      <c r="J911" s="70"/>
      <c r="K911" s="70"/>
      <c r="L911" s="3"/>
      <c r="M911" s="9"/>
      <c r="N911" s="5"/>
      <c r="O911" s="70"/>
      <c r="P911" s="70"/>
      <c r="Q911" s="70"/>
      <c r="R911" s="3"/>
      <c r="S911" s="3"/>
      <c r="T911" s="3"/>
    </row>
    <row r="912">
      <c r="A912" s="3"/>
      <c r="B912" s="3"/>
      <c r="C912" s="3"/>
      <c r="E912" s="3"/>
      <c r="F912" s="9"/>
      <c r="G912" s="9"/>
      <c r="H912" s="70"/>
      <c r="I912" s="70"/>
      <c r="J912" s="70"/>
      <c r="K912" s="70"/>
      <c r="L912" s="3"/>
      <c r="M912" s="9"/>
      <c r="N912" s="5"/>
      <c r="O912" s="70"/>
      <c r="P912" s="70"/>
      <c r="Q912" s="70"/>
      <c r="R912" s="3"/>
      <c r="S912" s="3"/>
      <c r="T912" s="3"/>
    </row>
    <row r="913">
      <c r="A913" s="3"/>
      <c r="B913" s="3"/>
      <c r="C913" s="3"/>
      <c r="E913" s="3"/>
      <c r="F913" s="9"/>
      <c r="G913" s="9"/>
      <c r="H913" s="70"/>
      <c r="I913" s="70"/>
      <c r="J913" s="70"/>
      <c r="K913" s="70"/>
      <c r="L913" s="3"/>
      <c r="M913" s="9"/>
      <c r="N913" s="5"/>
      <c r="O913" s="70"/>
      <c r="P913" s="70"/>
      <c r="Q913" s="70"/>
      <c r="R913" s="3"/>
      <c r="S913" s="3"/>
      <c r="T913" s="3"/>
    </row>
    <row r="914">
      <c r="A914" s="3"/>
      <c r="B914" s="3"/>
      <c r="C914" s="3"/>
      <c r="E914" s="3"/>
      <c r="F914" s="9"/>
      <c r="G914" s="9"/>
      <c r="H914" s="70"/>
      <c r="I914" s="70"/>
      <c r="J914" s="70"/>
      <c r="K914" s="70"/>
      <c r="L914" s="3"/>
      <c r="M914" s="9"/>
      <c r="N914" s="5"/>
      <c r="O914" s="70"/>
      <c r="P914" s="70"/>
      <c r="Q914" s="70"/>
      <c r="R914" s="3"/>
      <c r="S914" s="3"/>
      <c r="T914" s="3"/>
    </row>
    <row r="915">
      <c r="A915" s="3"/>
      <c r="B915" s="3"/>
      <c r="C915" s="3"/>
      <c r="E915" s="3"/>
      <c r="F915" s="9"/>
      <c r="G915" s="9"/>
      <c r="H915" s="70"/>
      <c r="I915" s="70"/>
      <c r="J915" s="70"/>
      <c r="K915" s="70"/>
      <c r="L915" s="3"/>
      <c r="M915" s="9"/>
      <c r="N915" s="5"/>
      <c r="O915" s="70"/>
      <c r="P915" s="70"/>
      <c r="Q915" s="70"/>
      <c r="R915" s="3"/>
      <c r="S915" s="3"/>
      <c r="T915" s="3"/>
    </row>
    <row r="916">
      <c r="A916" s="3"/>
      <c r="B916" s="3"/>
      <c r="C916" s="3"/>
      <c r="E916" s="3"/>
      <c r="F916" s="9"/>
      <c r="G916" s="9"/>
      <c r="H916" s="70"/>
      <c r="I916" s="70"/>
      <c r="J916" s="70"/>
      <c r="K916" s="70"/>
      <c r="L916" s="3"/>
      <c r="M916" s="9"/>
      <c r="N916" s="5"/>
      <c r="O916" s="70"/>
      <c r="P916" s="70"/>
      <c r="Q916" s="70"/>
      <c r="R916" s="3"/>
      <c r="S916" s="3"/>
      <c r="T916" s="3"/>
    </row>
    <row r="917">
      <c r="A917" s="3"/>
      <c r="B917" s="3"/>
      <c r="C917" s="3"/>
      <c r="E917" s="3"/>
      <c r="F917" s="9"/>
      <c r="G917" s="9"/>
      <c r="H917" s="70"/>
      <c r="I917" s="70"/>
      <c r="J917" s="70"/>
      <c r="K917" s="70"/>
      <c r="L917" s="3"/>
      <c r="M917" s="9"/>
      <c r="N917" s="5"/>
      <c r="O917" s="70"/>
      <c r="P917" s="70"/>
      <c r="Q917" s="70"/>
      <c r="R917" s="3"/>
      <c r="S917" s="3"/>
      <c r="T917" s="3"/>
    </row>
    <row r="918">
      <c r="A918" s="3"/>
      <c r="B918" s="3"/>
      <c r="C918" s="3"/>
      <c r="E918" s="3"/>
      <c r="F918" s="9"/>
      <c r="G918" s="9"/>
      <c r="H918" s="70"/>
      <c r="I918" s="70"/>
      <c r="J918" s="70"/>
      <c r="K918" s="70"/>
      <c r="L918" s="3"/>
      <c r="M918" s="9"/>
      <c r="N918" s="5"/>
      <c r="O918" s="70"/>
      <c r="P918" s="70"/>
      <c r="Q918" s="70"/>
      <c r="R918" s="3"/>
      <c r="S918" s="3"/>
      <c r="T918" s="3"/>
    </row>
    <row r="919">
      <c r="A919" s="3"/>
      <c r="B919" s="3"/>
      <c r="C919" s="3"/>
      <c r="E919" s="3"/>
      <c r="F919" s="9"/>
      <c r="G919" s="9"/>
      <c r="H919" s="70"/>
      <c r="I919" s="70"/>
      <c r="J919" s="70"/>
      <c r="K919" s="70"/>
      <c r="L919" s="3"/>
      <c r="M919" s="9"/>
      <c r="N919" s="5"/>
      <c r="O919" s="70"/>
      <c r="P919" s="70"/>
      <c r="Q919" s="70"/>
      <c r="R919" s="3"/>
      <c r="S919" s="3"/>
      <c r="T919" s="3"/>
    </row>
    <row r="920">
      <c r="A920" s="3"/>
      <c r="B920" s="3"/>
      <c r="C920" s="3"/>
      <c r="E920" s="3"/>
      <c r="F920" s="9"/>
      <c r="G920" s="9"/>
      <c r="H920" s="70"/>
      <c r="I920" s="70"/>
      <c r="J920" s="70"/>
      <c r="K920" s="70"/>
      <c r="L920" s="3"/>
      <c r="M920" s="9"/>
      <c r="N920" s="5"/>
      <c r="O920" s="70"/>
      <c r="P920" s="70"/>
      <c r="Q920" s="70"/>
      <c r="R920" s="3"/>
      <c r="S920" s="3"/>
      <c r="T920" s="3"/>
    </row>
    <row r="921">
      <c r="A921" s="3"/>
      <c r="B921" s="3"/>
      <c r="C921" s="3"/>
      <c r="E921" s="3"/>
      <c r="F921" s="9"/>
      <c r="G921" s="9"/>
      <c r="H921" s="70"/>
      <c r="I921" s="70"/>
      <c r="J921" s="70"/>
      <c r="K921" s="70"/>
      <c r="L921" s="3"/>
      <c r="M921" s="9"/>
      <c r="N921" s="5"/>
      <c r="O921" s="70"/>
      <c r="P921" s="70"/>
      <c r="Q921" s="70"/>
      <c r="R921" s="3"/>
      <c r="S921" s="3"/>
      <c r="T921" s="3"/>
    </row>
    <row r="922">
      <c r="A922" s="3"/>
      <c r="B922" s="3"/>
      <c r="C922" s="3"/>
      <c r="E922" s="3"/>
      <c r="F922" s="9"/>
      <c r="G922" s="9"/>
      <c r="H922" s="70"/>
      <c r="I922" s="70"/>
      <c r="J922" s="70"/>
      <c r="K922" s="70"/>
      <c r="L922" s="3"/>
      <c r="M922" s="9"/>
      <c r="N922" s="5"/>
      <c r="O922" s="70"/>
      <c r="P922" s="70"/>
      <c r="Q922" s="70"/>
      <c r="R922" s="3"/>
      <c r="S922" s="3"/>
      <c r="T922" s="3"/>
    </row>
    <row r="923">
      <c r="A923" s="3"/>
      <c r="B923" s="3"/>
      <c r="C923" s="3"/>
      <c r="E923" s="3"/>
      <c r="F923" s="9"/>
      <c r="G923" s="9"/>
      <c r="H923" s="70"/>
      <c r="I923" s="70"/>
      <c r="J923" s="70"/>
      <c r="K923" s="70"/>
      <c r="L923" s="3"/>
      <c r="M923" s="9"/>
      <c r="N923" s="5"/>
      <c r="O923" s="70"/>
      <c r="P923" s="70"/>
      <c r="Q923" s="70"/>
      <c r="R923" s="3"/>
      <c r="S923" s="3"/>
      <c r="T923" s="3"/>
    </row>
    <row r="924">
      <c r="A924" s="3"/>
      <c r="B924" s="3"/>
      <c r="C924" s="3"/>
      <c r="E924" s="3"/>
      <c r="F924" s="9"/>
      <c r="G924" s="9"/>
      <c r="H924" s="70"/>
      <c r="I924" s="70"/>
      <c r="J924" s="70"/>
      <c r="K924" s="70"/>
      <c r="L924" s="3"/>
      <c r="M924" s="9"/>
      <c r="N924" s="5"/>
      <c r="O924" s="70"/>
      <c r="P924" s="70"/>
      <c r="Q924" s="70"/>
      <c r="R924" s="3"/>
      <c r="S924" s="3"/>
      <c r="T924" s="3"/>
    </row>
    <row r="925">
      <c r="A925" s="3"/>
      <c r="B925" s="3"/>
      <c r="C925" s="3"/>
      <c r="E925" s="3"/>
      <c r="F925" s="9"/>
      <c r="G925" s="9"/>
      <c r="H925" s="70"/>
      <c r="I925" s="70"/>
      <c r="J925" s="70"/>
      <c r="K925" s="70"/>
      <c r="L925" s="3"/>
      <c r="M925" s="9"/>
      <c r="N925" s="5"/>
      <c r="O925" s="70"/>
      <c r="P925" s="70"/>
      <c r="Q925" s="70"/>
      <c r="R925" s="3"/>
      <c r="S925" s="3"/>
      <c r="T925" s="3"/>
    </row>
    <row r="926">
      <c r="A926" s="3"/>
      <c r="B926" s="3"/>
      <c r="C926" s="3"/>
      <c r="E926" s="3"/>
      <c r="F926" s="9"/>
      <c r="G926" s="9"/>
      <c r="H926" s="70"/>
      <c r="I926" s="70"/>
      <c r="J926" s="70"/>
      <c r="K926" s="70"/>
      <c r="L926" s="3"/>
      <c r="M926" s="9"/>
      <c r="N926" s="5"/>
      <c r="O926" s="70"/>
      <c r="P926" s="70"/>
      <c r="Q926" s="70"/>
      <c r="R926" s="3"/>
      <c r="S926" s="3"/>
      <c r="T926" s="3"/>
    </row>
    <row r="927">
      <c r="A927" s="3"/>
      <c r="B927" s="3"/>
      <c r="C927" s="3"/>
      <c r="E927" s="3"/>
      <c r="F927" s="9"/>
      <c r="G927" s="9"/>
      <c r="H927" s="70"/>
      <c r="I927" s="70"/>
      <c r="J927" s="70"/>
      <c r="K927" s="70"/>
      <c r="L927" s="3"/>
      <c r="M927" s="9"/>
      <c r="N927" s="5"/>
      <c r="O927" s="70"/>
      <c r="P927" s="70"/>
      <c r="Q927" s="70"/>
      <c r="R927" s="3"/>
      <c r="S927" s="3"/>
      <c r="T927" s="3"/>
    </row>
    <row r="928">
      <c r="A928" s="3"/>
      <c r="B928" s="3"/>
      <c r="C928" s="3"/>
      <c r="E928" s="3"/>
      <c r="F928" s="9"/>
      <c r="G928" s="9"/>
      <c r="H928" s="70"/>
      <c r="I928" s="70"/>
      <c r="J928" s="70"/>
      <c r="K928" s="70"/>
      <c r="L928" s="3"/>
      <c r="M928" s="9"/>
      <c r="N928" s="5"/>
      <c r="O928" s="70"/>
      <c r="P928" s="70"/>
      <c r="Q928" s="70"/>
      <c r="R928" s="3"/>
      <c r="S928" s="3"/>
      <c r="T928" s="3"/>
    </row>
    <row r="929">
      <c r="A929" s="3"/>
      <c r="B929" s="3"/>
      <c r="C929" s="3"/>
      <c r="E929" s="3"/>
      <c r="F929" s="9"/>
      <c r="G929" s="9"/>
      <c r="H929" s="70"/>
      <c r="I929" s="70"/>
      <c r="J929" s="70"/>
      <c r="K929" s="70"/>
      <c r="L929" s="3"/>
      <c r="M929" s="9"/>
      <c r="N929" s="5"/>
      <c r="O929" s="70"/>
      <c r="P929" s="70"/>
      <c r="Q929" s="70"/>
      <c r="R929" s="3"/>
      <c r="S929" s="3"/>
      <c r="T929" s="3"/>
    </row>
    <row r="930">
      <c r="A930" s="3"/>
      <c r="B930" s="3"/>
      <c r="C930" s="3"/>
      <c r="E930" s="3"/>
      <c r="F930" s="9"/>
      <c r="G930" s="9"/>
      <c r="H930" s="70"/>
      <c r="I930" s="70"/>
      <c r="J930" s="70"/>
      <c r="K930" s="70"/>
      <c r="L930" s="3"/>
      <c r="M930" s="9"/>
      <c r="N930" s="5"/>
      <c r="O930" s="70"/>
      <c r="P930" s="70"/>
      <c r="Q930" s="70"/>
      <c r="R930" s="3"/>
      <c r="S930" s="3"/>
      <c r="T930" s="3"/>
    </row>
    <row r="931">
      <c r="A931" s="3"/>
      <c r="B931" s="3"/>
      <c r="C931" s="3"/>
      <c r="E931" s="3"/>
      <c r="F931" s="9"/>
      <c r="G931" s="9"/>
      <c r="H931" s="70"/>
      <c r="I931" s="70"/>
      <c r="J931" s="70"/>
      <c r="K931" s="70"/>
      <c r="L931" s="3"/>
      <c r="M931" s="9"/>
      <c r="N931" s="5"/>
      <c r="O931" s="70"/>
      <c r="P931" s="70"/>
      <c r="Q931" s="70"/>
      <c r="R931" s="3"/>
      <c r="S931" s="3"/>
      <c r="T931" s="3"/>
    </row>
    <row r="932">
      <c r="A932" s="3"/>
      <c r="B932" s="3"/>
      <c r="C932" s="3"/>
      <c r="E932" s="3"/>
      <c r="F932" s="9"/>
      <c r="G932" s="9"/>
      <c r="H932" s="70"/>
      <c r="I932" s="70"/>
      <c r="J932" s="70"/>
      <c r="K932" s="70"/>
      <c r="L932" s="3"/>
      <c r="M932" s="9"/>
      <c r="N932" s="5"/>
      <c r="O932" s="70"/>
      <c r="P932" s="70"/>
      <c r="Q932" s="70"/>
      <c r="R932" s="3"/>
      <c r="S932" s="3"/>
      <c r="T932" s="3"/>
    </row>
    <row r="933">
      <c r="A933" s="3"/>
      <c r="B933" s="3"/>
      <c r="C933" s="3"/>
      <c r="E933" s="3"/>
      <c r="F933" s="9"/>
      <c r="G933" s="9"/>
      <c r="H933" s="70"/>
      <c r="I933" s="70"/>
      <c r="J933" s="70"/>
      <c r="K933" s="70"/>
      <c r="L933" s="3"/>
      <c r="M933" s="9"/>
      <c r="N933" s="5"/>
      <c r="O933" s="70"/>
      <c r="P933" s="70"/>
      <c r="Q933" s="70"/>
      <c r="R933" s="3"/>
      <c r="S933" s="3"/>
      <c r="T933" s="3"/>
    </row>
    <row r="934">
      <c r="A934" s="3"/>
      <c r="B934" s="3"/>
      <c r="C934" s="3"/>
      <c r="E934" s="3"/>
      <c r="F934" s="9"/>
      <c r="G934" s="9"/>
      <c r="H934" s="70"/>
      <c r="I934" s="70"/>
      <c r="J934" s="70"/>
      <c r="K934" s="70"/>
      <c r="L934" s="3"/>
      <c r="M934" s="9"/>
      <c r="N934" s="5"/>
      <c r="O934" s="70"/>
      <c r="P934" s="70"/>
      <c r="Q934" s="70"/>
      <c r="R934" s="3"/>
      <c r="S934" s="3"/>
      <c r="T934" s="3"/>
    </row>
    <row r="935">
      <c r="A935" s="3"/>
      <c r="B935" s="3"/>
      <c r="C935" s="3"/>
      <c r="E935" s="3"/>
      <c r="F935" s="9"/>
      <c r="G935" s="9"/>
      <c r="H935" s="70"/>
      <c r="I935" s="70"/>
      <c r="J935" s="70"/>
      <c r="K935" s="70"/>
      <c r="L935" s="3"/>
      <c r="M935" s="9"/>
      <c r="N935" s="5"/>
      <c r="O935" s="70"/>
      <c r="P935" s="70"/>
      <c r="Q935" s="70"/>
      <c r="R935" s="3"/>
      <c r="S935" s="3"/>
      <c r="T935" s="3"/>
    </row>
    <row r="936">
      <c r="A936" s="3"/>
      <c r="B936" s="3"/>
      <c r="C936" s="3"/>
      <c r="E936" s="3"/>
      <c r="F936" s="9"/>
      <c r="G936" s="9"/>
      <c r="H936" s="70"/>
      <c r="I936" s="70"/>
      <c r="J936" s="70"/>
      <c r="K936" s="70"/>
      <c r="L936" s="3"/>
      <c r="M936" s="9"/>
      <c r="N936" s="5"/>
      <c r="O936" s="70"/>
      <c r="P936" s="70"/>
      <c r="Q936" s="70"/>
      <c r="R936" s="3"/>
      <c r="S936" s="3"/>
      <c r="T936" s="3"/>
    </row>
    <row r="937">
      <c r="A937" s="3"/>
      <c r="B937" s="3"/>
      <c r="C937" s="3"/>
      <c r="E937" s="3"/>
      <c r="F937" s="9"/>
      <c r="G937" s="9"/>
      <c r="H937" s="70"/>
      <c r="I937" s="70"/>
      <c r="J937" s="70"/>
      <c r="K937" s="70"/>
      <c r="L937" s="3"/>
      <c r="M937" s="9"/>
      <c r="N937" s="5"/>
      <c r="O937" s="70"/>
      <c r="P937" s="70"/>
      <c r="Q937" s="70"/>
      <c r="R937" s="3"/>
      <c r="S937" s="3"/>
      <c r="T937" s="3"/>
    </row>
    <row r="938">
      <c r="A938" s="3"/>
      <c r="B938" s="3"/>
      <c r="C938" s="3"/>
      <c r="E938" s="3"/>
      <c r="F938" s="9"/>
      <c r="G938" s="9"/>
      <c r="H938" s="70"/>
      <c r="I938" s="70"/>
      <c r="J938" s="70"/>
      <c r="K938" s="70"/>
      <c r="L938" s="3"/>
      <c r="M938" s="9"/>
      <c r="N938" s="5"/>
      <c r="O938" s="70"/>
      <c r="P938" s="70"/>
      <c r="Q938" s="70"/>
      <c r="R938" s="3"/>
      <c r="S938" s="3"/>
      <c r="T938" s="3"/>
    </row>
    <row r="939">
      <c r="A939" s="3"/>
      <c r="B939" s="3"/>
      <c r="C939" s="3"/>
      <c r="E939" s="3"/>
      <c r="F939" s="9"/>
      <c r="G939" s="9"/>
      <c r="H939" s="70"/>
      <c r="I939" s="70"/>
      <c r="J939" s="70"/>
      <c r="K939" s="70"/>
      <c r="L939" s="3"/>
      <c r="M939" s="9"/>
      <c r="N939" s="5"/>
      <c r="O939" s="70"/>
      <c r="P939" s="70"/>
      <c r="Q939" s="70"/>
      <c r="R939" s="3"/>
      <c r="S939" s="3"/>
      <c r="T939" s="3"/>
    </row>
    <row r="940">
      <c r="A940" s="3"/>
      <c r="B940" s="3"/>
      <c r="C940" s="3"/>
      <c r="E940" s="3"/>
      <c r="F940" s="9"/>
      <c r="G940" s="9"/>
      <c r="H940" s="70"/>
      <c r="I940" s="70"/>
      <c r="J940" s="70"/>
      <c r="K940" s="70"/>
      <c r="L940" s="3"/>
      <c r="M940" s="9"/>
      <c r="N940" s="5"/>
      <c r="O940" s="70"/>
      <c r="P940" s="70"/>
      <c r="Q940" s="70"/>
      <c r="R940" s="3"/>
      <c r="S940" s="3"/>
      <c r="T940" s="3"/>
    </row>
    <row r="941">
      <c r="A941" s="3"/>
      <c r="B941" s="3"/>
      <c r="C941" s="3"/>
      <c r="E941" s="3"/>
      <c r="F941" s="9"/>
      <c r="G941" s="9"/>
      <c r="H941" s="70"/>
      <c r="I941" s="70"/>
      <c r="J941" s="70"/>
      <c r="K941" s="70"/>
      <c r="L941" s="3"/>
      <c r="M941" s="9"/>
      <c r="N941" s="5"/>
      <c r="O941" s="70"/>
      <c r="P941" s="70"/>
      <c r="Q941" s="70"/>
      <c r="R941" s="3"/>
      <c r="S941" s="3"/>
      <c r="T941" s="3"/>
    </row>
    <row r="942">
      <c r="A942" s="3"/>
      <c r="B942" s="3"/>
      <c r="C942" s="3"/>
      <c r="E942" s="3"/>
      <c r="F942" s="9"/>
      <c r="G942" s="9"/>
      <c r="H942" s="70"/>
      <c r="I942" s="70"/>
      <c r="J942" s="70"/>
      <c r="K942" s="70"/>
      <c r="L942" s="3"/>
      <c r="M942" s="9"/>
      <c r="N942" s="5"/>
      <c r="O942" s="70"/>
      <c r="P942" s="70"/>
      <c r="Q942" s="70"/>
      <c r="R942" s="3"/>
      <c r="S942" s="3"/>
      <c r="T942" s="3"/>
    </row>
    <row r="943">
      <c r="A943" s="3"/>
      <c r="B943" s="3"/>
      <c r="C943" s="3"/>
      <c r="E943" s="3"/>
      <c r="F943" s="9"/>
      <c r="G943" s="9"/>
      <c r="H943" s="70"/>
      <c r="I943" s="70"/>
      <c r="J943" s="70"/>
      <c r="K943" s="70"/>
      <c r="L943" s="3"/>
      <c r="M943" s="9"/>
      <c r="N943" s="5"/>
      <c r="O943" s="70"/>
      <c r="P943" s="70"/>
      <c r="Q943" s="70"/>
      <c r="R943" s="3"/>
      <c r="S943" s="3"/>
      <c r="T943" s="3"/>
    </row>
    <row r="944">
      <c r="A944" s="3"/>
      <c r="B944" s="3"/>
      <c r="C944" s="3"/>
      <c r="E944" s="3"/>
      <c r="F944" s="9"/>
      <c r="G944" s="9"/>
      <c r="H944" s="70"/>
      <c r="I944" s="70"/>
      <c r="J944" s="70"/>
      <c r="K944" s="70"/>
      <c r="L944" s="3"/>
      <c r="M944" s="9"/>
      <c r="N944" s="5"/>
      <c r="O944" s="70"/>
      <c r="P944" s="70"/>
      <c r="Q944" s="70"/>
      <c r="R944" s="3"/>
      <c r="S944" s="3"/>
      <c r="T944" s="3"/>
    </row>
    <row r="945">
      <c r="A945" s="3"/>
      <c r="B945" s="3"/>
      <c r="C945" s="3"/>
      <c r="E945" s="3"/>
      <c r="F945" s="9"/>
      <c r="G945" s="9"/>
      <c r="H945" s="70"/>
      <c r="I945" s="70"/>
      <c r="J945" s="70"/>
      <c r="K945" s="70"/>
      <c r="L945" s="3"/>
      <c r="M945" s="9"/>
      <c r="N945" s="5"/>
      <c r="O945" s="70"/>
      <c r="P945" s="70"/>
      <c r="Q945" s="70"/>
      <c r="R945" s="3"/>
      <c r="S945" s="3"/>
      <c r="T945" s="3"/>
    </row>
    <row r="946">
      <c r="A946" s="3"/>
      <c r="B946" s="3"/>
      <c r="C946" s="3"/>
      <c r="E946" s="3"/>
      <c r="F946" s="9"/>
      <c r="G946" s="9"/>
      <c r="H946" s="70"/>
      <c r="I946" s="70"/>
      <c r="J946" s="70"/>
      <c r="K946" s="70"/>
      <c r="L946" s="3"/>
      <c r="M946" s="9"/>
      <c r="N946" s="5"/>
      <c r="O946" s="70"/>
      <c r="P946" s="70"/>
      <c r="Q946" s="70"/>
      <c r="R946" s="3"/>
      <c r="S946" s="3"/>
      <c r="T946" s="3"/>
    </row>
    <row r="947">
      <c r="A947" s="3"/>
      <c r="B947" s="3"/>
      <c r="C947" s="3"/>
      <c r="E947" s="3"/>
      <c r="F947" s="9"/>
      <c r="G947" s="9"/>
      <c r="H947" s="70"/>
      <c r="I947" s="70"/>
      <c r="J947" s="70"/>
      <c r="K947" s="70"/>
      <c r="L947" s="3"/>
      <c r="M947" s="9"/>
      <c r="N947" s="5"/>
      <c r="O947" s="70"/>
      <c r="P947" s="70"/>
      <c r="Q947" s="70"/>
      <c r="R947" s="3"/>
      <c r="S947" s="3"/>
      <c r="T947" s="3"/>
    </row>
    <row r="948">
      <c r="A948" s="3"/>
      <c r="B948" s="3"/>
      <c r="C948" s="3"/>
      <c r="E948" s="3"/>
      <c r="F948" s="9"/>
      <c r="G948" s="9"/>
      <c r="H948" s="70"/>
      <c r="I948" s="70"/>
      <c r="J948" s="70"/>
      <c r="K948" s="70"/>
      <c r="L948" s="3"/>
      <c r="M948" s="9"/>
      <c r="N948" s="5"/>
      <c r="O948" s="70"/>
      <c r="P948" s="70"/>
      <c r="Q948" s="70"/>
      <c r="R948" s="3"/>
      <c r="S948" s="3"/>
      <c r="T948" s="3"/>
    </row>
    <row r="949">
      <c r="A949" s="3"/>
      <c r="B949" s="3"/>
      <c r="C949" s="3"/>
      <c r="E949" s="3"/>
      <c r="F949" s="9"/>
      <c r="G949" s="9"/>
      <c r="H949" s="70"/>
      <c r="I949" s="70"/>
      <c r="J949" s="70"/>
      <c r="K949" s="70"/>
      <c r="L949" s="3"/>
      <c r="M949" s="9"/>
      <c r="N949" s="5"/>
      <c r="O949" s="70"/>
      <c r="P949" s="70"/>
      <c r="Q949" s="70"/>
      <c r="R949" s="3"/>
      <c r="S949" s="3"/>
      <c r="T949" s="3"/>
    </row>
    <row r="950">
      <c r="A950" s="3"/>
      <c r="B950" s="3"/>
      <c r="C950" s="3"/>
      <c r="E950" s="3"/>
      <c r="F950" s="9"/>
      <c r="G950" s="9"/>
      <c r="H950" s="70"/>
      <c r="I950" s="70"/>
      <c r="J950" s="70"/>
      <c r="K950" s="70"/>
      <c r="L950" s="3"/>
      <c r="M950" s="9"/>
      <c r="N950" s="5"/>
      <c r="O950" s="70"/>
      <c r="P950" s="70"/>
      <c r="Q950" s="70"/>
      <c r="R950" s="3"/>
      <c r="S950" s="3"/>
      <c r="T950" s="3"/>
    </row>
    <row r="951">
      <c r="A951" s="3"/>
      <c r="B951" s="3"/>
      <c r="C951" s="3"/>
      <c r="E951" s="3"/>
      <c r="F951" s="9"/>
      <c r="G951" s="9"/>
      <c r="H951" s="70"/>
      <c r="I951" s="70"/>
      <c r="J951" s="70"/>
      <c r="K951" s="70"/>
      <c r="L951" s="3"/>
      <c r="M951" s="9"/>
      <c r="N951" s="5"/>
      <c r="O951" s="70"/>
      <c r="P951" s="70"/>
      <c r="Q951" s="70"/>
      <c r="R951" s="3"/>
      <c r="S951" s="3"/>
      <c r="T951" s="3"/>
    </row>
    <row r="952">
      <c r="A952" s="3"/>
      <c r="B952" s="3"/>
      <c r="C952" s="3"/>
      <c r="E952" s="3"/>
      <c r="F952" s="9"/>
      <c r="G952" s="9"/>
      <c r="H952" s="70"/>
      <c r="I952" s="70"/>
      <c r="J952" s="70"/>
      <c r="K952" s="70"/>
      <c r="L952" s="3"/>
      <c r="M952" s="9"/>
      <c r="N952" s="5"/>
      <c r="O952" s="70"/>
      <c r="P952" s="70"/>
      <c r="Q952" s="70"/>
      <c r="R952" s="3"/>
      <c r="S952" s="3"/>
      <c r="T952" s="3"/>
    </row>
    <row r="953">
      <c r="A953" s="3"/>
      <c r="B953" s="3"/>
      <c r="C953" s="3"/>
      <c r="E953" s="3"/>
      <c r="F953" s="9"/>
      <c r="G953" s="9"/>
      <c r="H953" s="70"/>
      <c r="I953" s="70"/>
      <c r="J953" s="70"/>
      <c r="K953" s="70"/>
      <c r="L953" s="3"/>
      <c r="M953" s="9"/>
      <c r="N953" s="5"/>
      <c r="O953" s="70"/>
      <c r="P953" s="70"/>
      <c r="Q953" s="70"/>
      <c r="R953" s="3"/>
      <c r="S953" s="3"/>
      <c r="T953" s="3"/>
    </row>
    <row r="954">
      <c r="A954" s="3"/>
      <c r="B954" s="3"/>
      <c r="C954" s="3"/>
      <c r="E954" s="3"/>
      <c r="F954" s="9"/>
      <c r="G954" s="9"/>
      <c r="H954" s="70"/>
      <c r="I954" s="70"/>
      <c r="J954" s="70"/>
      <c r="K954" s="70"/>
      <c r="L954" s="3"/>
      <c r="M954" s="9"/>
      <c r="N954" s="5"/>
      <c r="O954" s="70"/>
      <c r="P954" s="70"/>
      <c r="Q954" s="70"/>
      <c r="R954" s="3"/>
      <c r="S954" s="3"/>
      <c r="T954" s="3"/>
    </row>
    <row r="955">
      <c r="A955" s="3"/>
      <c r="B955" s="3"/>
      <c r="C955" s="3"/>
      <c r="E955" s="3"/>
      <c r="F955" s="9"/>
      <c r="G955" s="9"/>
      <c r="H955" s="70"/>
      <c r="I955" s="70"/>
      <c r="J955" s="70"/>
      <c r="K955" s="70"/>
      <c r="L955" s="3"/>
      <c r="M955" s="9"/>
      <c r="N955" s="5"/>
      <c r="O955" s="70"/>
      <c r="P955" s="70"/>
      <c r="Q955" s="70"/>
      <c r="R955" s="3"/>
      <c r="S955" s="3"/>
      <c r="T955" s="3"/>
    </row>
    <row r="956">
      <c r="A956" s="3"/>
      <c r="B956" s="3"/>
      <c r="C956" s="3"/>
      <c r="E956" s="3"/>
      <c r="F956" s="9"/>
      <c r="G956" s="9"/>
      <c r="H956" s="70"/>
      <c r="I956" s="70"/>
      <c r="J956" s="70"/>
      <c r="K956" s="70"/>
      <c r="L956" s="3"/>
      <c r="M956" s="9"/>
      <c r="N956" s="5"/>
      <c r="O956" s="70"/>
      <c r="P956" s="70"/>
      <c r="Q956" s="70"/>
      <c r="R956" s="3"/>
      <c r="S956" s="3"/>
      <c r="T956" s="3"/>
    </row>
    <row r="957">
      <c r="A957" s="3"/>
      <c r="B957" s="3"/>
      <c r="C957" s="3"/>
      <c r="E957" s="3"/>
      <c r="F957" s="9"/>
      <c r="G957" s="9"/>
      <c r="H957" s="70"/>
      <c r="I957" s="70"/>
      <c r="J957" s="70"/>
      <c r="K957" s="70"/>
      <c r="L957" s="3"/>
      <c r="M957" s="9"/>
      <c r="N957" s="5"/>
      <c r="O957" s="70"/>
      <c r="P957" s="70"/>
      <c r="Q957" s="70"/>
      <c r="R957" s="3"/>
      <c r="S957" s="3"/>
      <c r="T957" s="3"/>
    </row>
    <row r="958">
      <c r="A958" s="3"/>
      <c r="B958" s="3"/>
      <c r="C958" s="3"/>
      <c r="E958" s="3"/>
      <c r="F958" s="9"/>
      <c r="G958" s="9"/>
      <c r="H958" s="70"/>
      <c r="I958" s="70"/>
      <c r="J958" s="70"/>
      <c r="K958" s="70"/>
      <c r="L958" s="3"/>
      <c r="M958" s="9"/>
      <c r="N958" s="5"/>
      <c r="O958" s="70"/>
      <c r="P958" s="70"/>
      <c r="Q958" s="70"/>
      <c r="R958" s="3"/>
      <c r="S958" s="3"/>
      <c r="T958" s="3"/>
    </row>
    <row r="959">
      <c r="A959" s="3"/>
      <c r="B959" s="3"/>
      <c r="C959" s="3"/>
      <c r="E959" s="3"/>
      <c r="F959" s="9"/>
      <c r="G959" s="9"/>
      <c r="H959" s="70"/>
      <c r="I959" s="70"/>
      <c r="J959" s="70"/>
      <c r="K959" s="70"/>
      <c r="L959" s="3"/>
      <c r="M959" s="9"/>
      <c r="N959" s="5"/>
      <c r="O959" s="70"/>
      <c r="P959" s="70"/>
      <c r="Q959" s="70"/>
      <c r="R959" s="3"/>
      <c r="S959" s="3"/>
      <c r="T959" s="3"/>
    </row>
    <row r="960">
      <c r="A960" s="3"/>
      <c r="B960" s="3"/>
      <c r="C960" s="3"/>
      <c r="E960" s="3"/>
      <c r="F960" s="9"/>
      <c r="G960" s="9"/>
      <c r="H960" s="70"/>
      <c r="I960" s="70"/>
      <c r="J960" s="70"/>
      <c r="K960" s="70"/>
      <c r="L960" s="3"/>
      <c r="M960" s="9"/>
      <c r="N960" s="5"/>
      <c r="O960" s="70"/>
      <c r="P960" s="70"/>
      <c r="Q960" s="70"/>
      <c r="R960" s="3"/>
      <c r="S960" s="3"/>
      <c r="T960" s="3"/>
    </row>
    <row r="961">
      <c r="A961" s="3"/>
      <c r="B961" s="3"/>
      <c r="C961" s="3"/>
      <c r="E961" s="3"/>
      <c r="F961" s="9"/>
      <c r="G961" s="9"/>
      <c r="H961" s="70"/>
      <c r="I961" s="70"/>
      <c r="J961" s="70"/>
      <c r="K961" s="70"/>
      <c r="L961" s="3"/>
      <c r="M961" s="9"/>
      <c r="N961" s="5"/>
      <c r="O961" s="70"/>
      <c r="P961" s="70"/>
      <c r="Q961" s="70"/>
      <c r="R961" s="3"/>
      <c r="S961" s="3"/>
      <c r="T961" s="3"/>
    </row>
    <row r="962">
      <c r="A962" s="3"/>
      <c r="B962" s="3"/>
      <c r="C962" s="3"/>
      <c r="E962" s="3"/>
      <c r="F962" s="9"/>
      <c r="G962" s="9"/>
      <c r="H962" s="70"/>
      <c r="I962" s="70"/>
      <c r="J962" s="70"/>
      <c r="K962" s="70"/>
      <c r="L962" s="3"/>
      <c r="M962" s="9"/>
      <c r="N962" s="5"/>
      <c r="O962" s="70"/>
      <c r="P962" s="70"/>
      <c r="Q962" s="70"/>
      <c r="R962" s="3"/>
      <c r="S962" s="3"/>
      <c r="T962" s="3"/>
    </row>
    <row r="963">
      <c r="A963" s="3"/>
      <c r="B963" s="3"/>
      <c r="C963" s="3"/>
      <c r="E963" s="3"/>
      <c r="F963" s="9"/>
      <c r="G963" s="9"/>
      <c r="H963" s="70"/>
      <c r="I963" s="70"/>
      <c r="J963" s="70"/>
      <c r="K963" s="70"/>
      <c r="L963" s="3"/>
      <c r="M963" s="9"/>
      <c r="N963" s="5"/>
      <c r="O963" s="70"/>
      <c r="P963" s="70"/>
      <c r="Q963" s="70"/>
      <c r="R963" s="3"/>
      <c r="S963" s="3"/>
      <c r="T963" s="3"/>
    </row>
    <row r="964">
      <c r="A964" s="3"/>
      <c r="B964" s="3"/>
      <c r="C964" s="3"/>
      <c r="E964" s="3"/>
      <c r="F964" s="9"/>
      <c r="G964" s="9"/>
      <c r="H964" s="70"/>
      <c r="I964" s="70"/>
      <c r="J964" s="70"/>
      <c r="K964" s="70"/>
      <c r="L964" s="3"/>
      <c r="M964" s="9"/>
      <c r="N964" s="5"/>
      <c r="O964" s="70"/>
      <c r="P964" s="70"/>
      <c r="Q964" s="70"/>
      <c r="R964" s="3"/>
      <c r="S964" s="3"/>
      <c r="T964" s="3"/>
    </row>
    <row r="965">
      <c r="A965" s="3"/>
      <c r="B965" s="3"/>
      <c r="C965" s="3"/>
      <c r="E965" s="3"/>
      <c r="F965" s="9"/>
      <c r="G965" s="9"/>
      <c r="H965" s="70"/>
      <c r="I965" s="70"/>
      <c r="J965" s="70"/>
      <c r="K965" s="70"/>
      <c r="L965" s="3"/>
      <c r="M965" s="9"/>
      <c r="N965" s="5"/>
      <c r="O965" s="70"/>
      <c r="P965" s="70"/>
      <c r="Q965" s="70"/>
      <c r="R965" s="3"/>
      <c r="S965" s="3"/>
      <c r="T965" s="3"/>
    </row>
    <row r="966">
      <c r="A966" s="3"/>
      <c r="B966" s="3"/>
      <c r="C966" s="3"/>
      <c r="E966" s="3"/>
      <c r="F966" s="9"/>
      <c r="G966" s="9"/>
      <c r="H966" s="70"/>
      <c r="I966" s="70"/>
      <c r="J966" s="70"/>
      <c r="K966" s="70"/>
      <c r="L966" s="3"/>
      <c r="M966" s="9"/>
      <c r="N966" s="5"/>
      <c r="O966" s="70"/>
      <c r="P966" s="70"/>
      <c r="Q966" s="70"/>
      <c r="R966" s="3"/>
      <c r="S966" s="3"/>
      <c r="T966" s="3"/>
    </row>
    <row r="967">
      <c r="A967" s="3"/>
      <c r="B967" s="3"/>
      <c r="C967" s="3"/>
      <c r="E967" s="3"/>
      <c r="F967" s="9"/>
      <c r="G967" s="9"/>
      <c r="H967" s="70"/>
      <c r="I967" s="70"/>
      <c r="J967" s="70"/>
      <c r="K967" s="70"/>
      <c r="L967" s="3"/>
      <c r="M967" s="9"/>
      <c r="N967" s="5"/>
      <c r="O967" s="70"/>
      <c r="P967" s="70"/>
      <c r="Q967" s="70"/>
      <c r="R967" s="3"/>
      <c r="S967" s="3"/>
      <c r="T967" s="3"/>
    </row>
    <row r="968">
      <c r="A968" s="3"/>
      <c r="B968" s="3"/>
      <c r="C968" s="3"/>
      <c r="E968" s="3"/>
      <c r="F968" s="9"/>
      <c r="G968" s="9"/>
      <c r="H968" s="70"/>
      <c r="I968" s="70"/>
      <c r="J968" s="70"/>
      <c r="K968" s="70"/>
      <c r="L968" s="3"/>
      <c r="M968" s="9"/>
      <c r="N968" s="5"/>
      <c r="O968" s="70"/>
      <c r="P968" s="70"/>
      <c r="Q968" s="70"/>
      <c r="R968" s="3"/>
      <c r="S968" s="3"/>
      <c r="T968" s="3"/>
    </row>
    <row r="969">
      <c r="A969" s="3"/>
      <c r="B969" s="3"/>
      <c r="C969" s="3"/>
      <c r="E969" s="3"/>
      <c r="F969" s="9"/>
      <c r="G969" s="9"/>
      <c r="H969" s="70"/>
      <c r="I969" s="70"/>
      <c r="J969" s="70"/>
      <c r="K969" s="70"/>
      <c r="L969" s="3"/>
      <c r="M969" s="9"/>
      <c r="N969" s="5"/>
      <c r="O969" s="70"/>
      <c r="P969" s="70"/>
      <c r="Q969" s="70"/>
      <c r="R969" s="3"/>
      <c r="S969" s="3"/>
      <c r="T969" s="3"/>
    </row>
    <row r="970">
      <c r="A970" s="3"/>
      <c r="B970" s="3"/>
      <c r="C970" s="3"/>
      <c r="E970" s="3"/>
      <c r="F970" s="9"/>
      <c r="G970" s="9"/>
      <c r="H970" s="70"/>
      <c r="I970" s="70"/>
      <c r="J970" s="70"/>
      <c r="K970" s="70"/>
      <c r="L970" s="3"/>
      <c r="M970" s="9"/>
      <c r="N970" s="5"/>
      <c r="O970" s="70"/>
      <c r="P970" s="70"/>
      <c r="Q970" s="70"/>
      <c r="R970" s="3"/>
      <c r="S970" s="3"/>
      <c r="T970" s="3"/>
    </row>
    <row r="971">
      <c r="A971" s="3"/>
      <c r="B971" s="3"/>
      <c r="C971" s="3"/>
      <c r="E971" s="3"/>
      <c r="F971" s="9"/>
      <c r="G971" s="9"/>
      <c r="H971" s="70"/>
      <c r="I971" s="70"/>
      <c r="J971" s="70"/>
      <c r="K971" s="70"/>
      <c r="L971" s="3"/>
      <c r="M971" s="9"/>
      <c r="N971" s="5"/>
      <c r="O971" s="70"/>
      <c r="P971" s="70"/>
      <c r="Q971" s="70"/>
      <c r="R971" s="3"/>
      <c r="S971" s="3"/>
      <c r="T971" s="3"/>
    </row>
    <row r="972">
      <c r="A972" s="3"/>
      <c r="B972" s="3"/>
      <c r="C972" s="3"/>
      <c r="E972" s="3"/>
      <c r="F972" s="9"/>
      <c r="G972" s="9"/>
      <c r="H972" s="70"/>
      <c r="I972" s="70"/>
      <c r="J972" s="70"/>
      <c r="K972" s="70"/>
      <c r="L972" s="3"/>
      <c r="M972" s="9"/>
      <c r="N972" s="5"/>
      <c r="O972" s="70"/>
      <c r="P972" s="70"/>
      <c r="Q972" s="70"/>
      <c r="R972" s="3"/>
      <c r="S972" s="3"/>
      <c r="T972" s="3"/>
    </row>
    <row r="973">
      <c r="A973" s="3"/>
      <c r="B973" s="3"/>
      <c r="C973" s="3"/>
      <c r="E973" s="3"/>
      <c r="F973" s="9"/>
      <c r="G973" s="9"/>
      <c r="H973" s="70"/>
      <c r="I973" s="70"/>
      <c r="J973" s="70"/>
      <c r="K973" s="70"/>
      <c r="L973" s="3"/>
      <c r="M973" s="9"/>
      <c r="N973" s="5"/>
      <c r="O973" s="70"/>
      <c r="P973" s="70"/>
      <c r="Q973" s="70"/>
      <c r="R973" s="3"/>
      <c r="S973" s="3"/>
      <c r="T973" s="3"/>
    </row>
    <row r="974">
      <c r="A974" s="3"/>
      <c r="B974" s="3"/>
      <c r="C974" s="3"/>
      <c r="E974" s="3"/>
      <c r="F974" s="9"/>
      <c r="G974" s="9"/>
      <c r="H974" s="70"/>
      <c r="I974" s="70"/>
      <c r="J974" s="70"/>
      <c r="K974" s="70"/>
      <c r="L974" s="3"/>
      <c r="M974" s="9"/>
      <c r="N974" s="5"/>
      <c r="O974" s="70"/>
      <c r="P974" s="70"/>
      <c r="Q974" s="70"/>
      <c r="R974" s="3"/>
      <c r="S974" s="3"/>
      <c r="T974" s="3"/>
    </row>
    <row r="975">
      <c r="A975" s="3"/>
      <c r="B975" s="3"/>
      <c r="C975" s="3"/>
      <c r="E975" s="3"/>
      <c r="F975" s="9"/>
      <c r="G975" s="9"/>
      <c r="H975" s="70"/>
      <c r="I975" s="70"/>
      <c r="J975" s="70"/>
      <c r="K975" s="70"/>
      <c r="L975" s="3"/>
      <c r="M975" s="9"/>
      <c r="N975" s="5"/>
      <c r="O975" s="70"/>
      <c r="P975" s="70"/>
      <c r="Q975" s="70"/>
      <c r="R975" s="3"/>
      <c r="S975" s="3"/>
      <c r="T975" s="3"/>
    </row>
    <row r="976">
      <c r="A976" s="3"/>
      <c r="B976" s="3"/>
      <c r="C976" s="3"/>
      <c r="E976" s="3"/>
      <c r="F976" s="9"/>
      <c r="G976" s="9"/>
      <c r="H976" s="70"/>
      <c r="I976" s="70"/>
      <c r="J976" s="70"/>
      <c r="K976" s="70"/>
      <c r="L976" s="3"/>
      <c r="M976" s="9"/>
      <c r="N976" s="5"/>
      <c r="O976" s="70"/>
      <c r="P976" s="70"/>
      <c r="Q976" s="70"/>
      <c r="R976" s="3"/>
      <c r="S976" s="3"/>
      <c r="T976" s="3"/>
    </row>
    <row r="977">
      <c r="A977" s="3"/>
      <c r="B977" s="3"/>
      <c r="C977" s="3"/>
      <c r="E977" s="3"/>
      <c r="F977" s="9"/>
      <c r="G977" s="9"/>
      <c r="H977" s="70"/>
      <c r="I977" s="70"/>
      <c r="J977" s="70"/>
      <c r="K977" s="70"/>
      <c r="L977" s="3"/>
      <c r="M977" s="9"/>
      <c r="N977" s="5"/>
      <c r="O977" s="70"/>
      <c r="P977" s="70"/>
      <c r="Q977" s="70"/>
      <c r="R977" s="3"/>
      <c r="S977" s="3"/>
      <c r="T977" s="3"/>
    </row>
    <row r="978">
      <c r="A978" s="3"/>
      <c r="B978" s="3"/>
      <c r="C978" s="3"/>
      <c r="E978" s="3"/>
      <c r="F978" s="9"/>
      <c r="G978" s="9"/>
      <c r="H978" s="70"/>
      <c r="I978" s="70"/>
      <c r="J978" s="70"/>
      <c r="K978" s="70"/>
      <c r="L978" s="3"/>
      <c r="M978" s="9"/>
      <c r="N978" s="5"/>
      <c r="O978" s="70"/>
      <c r="P978" s="70"/>
      <c r="Q978" s="70"/>
      <c r="R978" s="3"/>
      <c r="S978" s="3"/>
      <c r="T978" s="3"/>
    </row>
    <row r="979">
      <c r="A979" s="3"/>
      <c r="B979" s="3"/>
      <c r="C979" s="3"/>
      <c r="E979" s="3"/>
      <c r="F979" s="9"/>
      <c r="G979" s="9"/>
      <c r="H979" s="70"/>
      <c r="I979" s="70"/>
      <c r="J979" s="70"/>
      <c r="K979" s="70"/>
      <c r="L979" s="3"/>
      <c r="M979" s="9"/>
      <c r="N979" s="5"/>
      <c r="O979" s="70"/>
      <c r="P979" s="70"/>
      <c r="Q979" s="70"/>
      <c r="R979" s="3"/>
      <c r="S979" s="3"/>
      <c r="T979" s="3"/>
    </row>
    <row r="980">
      <c r="A980" s="3"/>
      <c r="B980" s="3"/>
      <c r="C980" s="3"/>
      <c r="E980" s="3"/>
      <c r="F980" s="9"/>
      <c r="G980" s="9"/>
      <c r="H980" s="70"/>
      <c r="I980" s="70"/>
      <c r="J980" s="70"/>
      <c r="K980" s="70"/>
      <c r="L980" s="3"/>
      <c r="M980" s="9"/>
      <c r="N980" s="5"/>
      <c r="O980" s="70"/>
      <c r="P980" s="70"/>
      <c r="Q980" s="70"/>
      <c r="R980" s="3"/>
      <c r="S980" s="3"/>
      <c r="T980" s="3"/>
    </row>
    <row r="981">
      <c r="A981" s="3"/>
      <c r="B981" s="3"/>
      <c r="C981" s="3"/>
      <c r="E981" s="3"/>
      <c r="F981" s="9"/>
      <c r="G981" s="9"/>
      <c r="H981" s="70"/>
      <c r="I981" s="70"/>
      <c r="J981" s="70"/>
      <c r="K981" s="70"/>
      <c r="L981" s="3"/>
      <c r="M981" s="9"/>
      <c r="N981" s="5"/>
      <c r="O981" s="70"/>
      <c r="P981" s="70"/>
      <c r="Q981" s="70"/>
      <c r="R981" s="3"/>
      <c r="S981" s="3"/>
      <c r="T981" s="3"/>
    </row>
    <row r="982">
      <c r="A982" s="3"/>
      <c r="B982" s="3"/>
      <c r="C982" s="3"/>
      <c r="E982" s="3"/>
      <c r="F982" s="9"/>
      <c r="G982" s="9"/>
      <c r="H982" s="70"/>
      <c r="I982" s="70"/>
      <c r="J982" s="70"/>
      <c r="K982" s="70"/>
      <c r="L982" s="3"/>
      <c r="M982" s="9"/>
      <c r="N982" s="5"/>
      <c r="O982" s="70"/>
      <c r="P982" s="70"/>
      <c r="Q982" s="70"/>
      <c r="R982" s="3"/>
      <c r="S982" s="3"/>
      <c r="T982" s="3"/>
    </row>
    <row r="983">
      <c r="A983" s="3"/>
      <c r="B983" s="3"/>
      <c r="C983" s="3"/>
      <c r="E983" s="3"/>
      <c r="F983" s="9"/>
      <c r="G983" s="9"/>
      <c r="H983" s="70"/>
      <c r="I983" s="70"/>
      <c r="J983" s="70"/>
      <c r="K983" s="70"/>
      <c r="L983" s="3"/>
      <c r="M983" s="9"/>
      <c r="N983" s="5"/>
      <c r="O983" s="70"/>
      <c r="P983" s="70"/>
      <c r="Q983" s="70"/>
      <c r="R983" s="3"/>
      <c r="S983" s="3"/>
      <c r="T983" s="3"/>
    </row>
    <row r="984">
      <c r="A984" s="3"/>
      <c r="B984" s="3"/>
      <c r="C984" s="3"/>
      <c r="E984" s="3"/>
      <c r="F984" s="9"/>
      <c r="G984" s="9"/>
      <c r="H984" s="70"/>
      <c r="I984" s="70"/>
      <c r="J984" s="70"/>
      <c r="K984" s="70"/>
      <c r="L984" s="3"/>
      <c r="M984" s="9"/>
      <c r="N984" s="5"/>
      <c r="O984" s="70"/>
      <c r="P984" s="70"/>
      <c r="Q984" s="70"/>
      <c r="R984" s="3"/>
      <c r="S984" s="3"/>
      <c r="T984" s="3"/>
    </row>
    <row r="985">
      <c r="A985" s="3"/>
      <c r="B985" s="3"/>
      <c r="C985" s="3"/>
      <c r="E985" s="3"/>
      <c r="F985" s="9"/>
      <c r="G985" s="9"/>
      <c r="H985" s="70"/>
      <c r="I985" s="70"/>
      <c r="J985" s="70"/>
      <c r="K985" s="70"/>
      <c r="L985" s="3"/>
      <c r="M985" s="9"/>
      <c r="N985" s="5"/>
      <c r="O985" s="70"/>
      <c r="P985" s="70"/>
      <c r="Q985" s="70"/>
      <c r="R985" s="3"/>
      <c r="S985" s="3"/>
      <c r="T985" s="3"/>
    </row>
    <row r="986">
      <c r="A986" s="3"/>
      <c r="B986" s="3"/>
      <c r="C986" s="3"/>
      <c r="E986" s="3"/>
      <c r="F986" s="9"/>
      <c r="G986" s="9"/>
      <c r="H986" s="70"/>
      <c r="I986" s="70"/>
      <c r="J986" s="70"/>
      <c r="K986" s="70"/>
      <c r="L986" s="3"/>
      <c r="M986" s="9"/>
      <c r="N986" s="5"/>
      <c r="O986" s="70"/>
      <c r="P986" s="70"/>
      <c r="Q986" s="70"/>
      <c r="R986" s="3"/>
      <c r="S986" s="3"/>
      <c r="T986" s="3"/>
    </row>
    <row r="987">
      <c r="A987" s="3"/>
      <c r="B987" s="3"/>
      <c r="C987" s="3"/>
      <c r="E987" s="3"/>
      <c r="F987" s="9"/>
      <c r="G987" s="9"/>
      <c r="H987" s="70"/>
      <c r="I987" s="70"/>
      <c r="J987" s="70"/>
      <c r="K987" s="70"/>
      <c r="L987" s="3"/>
      <c r="M987" s="9"/>
      <c r="N987" s="5"/>
      <c r="O987" s="70"/>
      <c r="P987" s="70"/>
      <c r="Q987" s="70"/>
      <c r="R987" s="3"/>
      <c r="S987" s="3"/>
      <c r="T987" s="3"/>
    </row>
    <row r="988">
      <c r="A988" s="3"/>
      <c r="B988" s="3"/>
      <c r="C988" s="3"/>
      <c r="E988" s="3"/>
      <c r="F988" s="9"/>
      <c r="G988" s="9"/>
      <c r="H988" s="70"/>
      <c r="I988" s="70"/>
      <c r="J988" s="70"/>
      <c r="K988" s="70"/>
      <c r="L988" s="3"/>
      <c r="M988" s="9"/>
      <c r="N988" s="5"/>
      <c r="O988" s="70"/>
      <c r="P988" s="70"/>
      <c r="Q988" s="70"/>
      <c r="R988" s="3"/>
      <c r="S988" s="3"/>
      <c r="T988" s="3"/>
    </row>
    <row r="989">
      <c r="A989" s="3"/>
      <c r="B989" s="3"/>
      <c r="C989" s="3"/>
      <c r="E989" s="3"/>
      <c r="F989" s="9"/>
      <c r="G989" s="9"/>
      <c r="H989" s="70"/>
      <c r="I989" s="70"/>
      <c r="J989" s="70"/>
      <c r="K989" s="70"/>
      <c r="L989" s="3"/>
      <c r="M989" s="9"/>
      <c r="N989" s="5"/>
      <c r="O989" s="70"/>
      <c r="P989" s="70"/>
      <c r="Q989" s="70"/>
      <c r="R989" s="3"/>
      <c r="S989" s="3"/>
      <c r="T989" s="3"/>
    </row>
    <row r="990">
      <c r="A990" s="3"/>
      <c r="B990" s="3"/>
      <c r="C990" s="3"/>
      <c r="E990" s="3"/>
      <c r="F990" s="9"/>
      <c r="G990" s="9"/>
      <c r="H990" s="70"/>
      <c r="I990" s="70"/>
      <c r="J990" s="70"/>
      <c r="K990" s="70"/>
      <c r="L990" s="3"/>
      <c r="M990" s="9"/>
      <c r="N990" s="5"/>
      <c r="O990" s="70"/>
      <c r="P990" s="70"/>
      <c r="Q990" s="70"/>
      <c r="R990" s="3"/>
      <c r="S990" s="3"/>
      <c r="T990" s="3"/>
    </row>
    <row r="991">
      <c r="A991" s="3"/>
      <c r="B991" s="3"/>
      <c r="C991" s="3"/>
      <c r="E991" s="3"/>
      <c r="F991" s="9"/>
      <c r="G991" s="9"/>
      <c r="H991" s="70"/>
      <c r="I991" s="70"/>
      <c r="J991" s="70"/>
      <c r="K991" s="70"/>
      <c r="L991" s="3"/>
      <c r="M991" s="9"/>
      <c r="N991" s="5"/>
      <c r="O991" s="70"/>
      <c r="P991" s="70"/>
      <c r="Q991" s="70"/>
      <c r="R991" s="3"/>
      <c r="S991" s="3"/>
      <c r="T991" s="3"/>
    </row>
    <row r="992">
      <c r="A992" s="3"/>
      <c r="B992" s="3"/>
      <c r="C992" s="3"/>
      <c r="E992" s="3"/>
      <c r="F992" s="9"/>
      <c r="G992" s="9"/>
      <c r="H992" s="70"/>
      <c r="I992" s="70"/>
      <c r="J992" s="70"/>
      <c r="K992" s="70"/>
      <c r="L992" s="3"/>
      <c r="M992" s="9"/>
      <c r="N992" s="5"/>
      <c r="O992" s="70"/>
      <c r="P992" s="70"/>
      <c r="Q992" s="70"/>
      <c r="R992" s="3"/>
      <c r="S992" s="3"/>
      <c r="T992" s="3"/>
    </row>
    <row r="993">
      <c r="A993" s="3"/>
      <c r="B993" s="3"/>
      <c r="C993" s="3"/>
      <c r="E993" s="3"/>
      <c r="F993" s="9"/>
      <c r="G993" s="9"/>
      <c r="H993" s="70"/>
      <c r="I993" s="70"/>
      <c r="J993" s="70"/>
      <c r="K993" s="70"/>
      <c r="L993" s="3"/>
      <c r="M993" s="9"/>
      <c r="N993" s="5"/>
      <c r="O993" s="70"/>
      <c r="P993" s="70"/>
      <c r="Q993" s="70"/>
      <c r="R993" s="3"/>
      <c r="S993" s="3"/>
      <c r="T993" s="3"/>
    </row>
    <row r="994">
      <c r="A994" s="3"/>
      <c r="B994" s="3"/>
      <c r="C994" s="3"/>
      <c r="E994" s="3"/>
      <c r="F994" s="9"/>
      <c r="G994" s="9"/>
      <c r="H994" s="70"/>
      <c r="I994" s="70"/>
      <c r="J994" s="70"/>
      <c r="K994" s="70"/>
      <c r="L994" s="3"/>
      <c r="M994" s="9"/>
      <c r="N994" s="5"/>
      <c r="O994" s="70"/>
      <c r="P994" s="70"/>
      <c r="Q994" s="70"/>
      <c r="R994" s="3"/>
      <c r="S994" s="3"/>
      <c r="T994" s="3"/>
    </row>
    <row r="995">
      <c r="A995" s="3"/>
      <c r="B995" s="3"/>
      <c r="C995" s="3"/>
      <c r="E995" s="3"/>
      <c r="F995" s="9"/>
      <c r="G995" s="9"/>
      <c r="H995" s="70"/>
      <c r="I995" s="70"/>
      <c r="J995" s="70"/>
      <c r="K995" s="70"/>
      <c r="L995" s="3"/>
      <c r="M995" s="9"/>
      <c r="N995" s="5"/>
      <c r="O995" s="70"/>
      <c r="P995" s="70"/>
      <c r="Q995" s="70"/>
      <c r="R995" s="3"/>
      <c r="S995" s="3"/>
      <c r="T995" s="3"/>
    </row>
    <row r="996">
      <c r="A996" s="3"/>
      <c r="B996" s="3"/>
      <c r="C996" s="3"/>
      <c r="E996" s="3"/>
      <c r="F996" s="9"/>
      <c r="G996" s="9"/>
      <c r="H996" s="70"/>
      <c r="I996" s="70"/>
      <c r="J996" s="70"/>
      <c r="K996" s="70"/>
      <c r="L996" s="3"/>
      <c r="M996" s="9"/>
      <c r="N996" s="5"/>
      <c r="O996" s="70"/>
      <c r="P996" s="70"/>
      <c r="Q996" s="70"/>
      <c r="R996" s="3"/>
      <c r="S996" s="3"/>
      <c r="T996" s="3"/>
    </row>
    <row r="997">
      <c r="A997" s="3"/>
      <c r="B997" s="3"/>
      <c r="C997" s="3"/>
      <c r="E997" s="3"/>
      <c r="F997" s="9"/>
      <c r="G997" s="9"/>
      <c r="H997" s="70"/>
      <c r="I997" s="70"/>
      <c r="J997" s="70"/>
      <c r="K997" s="70"/>
      <c r="L997" s="3"/>
      <c r="M997" s="9"/>
      <c r="N997" s="5"/>
      <c r="O997" s="70"/>
      <c r="P997" s="70"/>
      <c r="Q997" s="70"/>
      <c r="R997" s="3"/>
      <c r="S997" s="3"/>
      <c r="T997" s="3"/>
    </row>
    <row r="998">
      <c r="A998" s="3"/>
      <c r="B998" s="3"/>
      <c r="C998" s="3"/>
      <c r="E998" s="3"/>
      <c r="F998" s="9"/>
      <c r="G998" s="9"/>
      <c r="H998" s="70"/>
      <c r="I998" s="70"/>
      <c r="J998" s="70"/>
      <c r="K998" s="70"/>
      <c r="L998" s="3"/>
      <c r="M998" s="9"/>
      <c r="N998" s="5"/>
      <c r="O998" s="70"/>
      <c r="P998" s="70"/>
      <c r="Q998" s="70"/>
      <c r="R998" s="3"/>
      <c r="S998" s="3"/>
      <c r="T998" s="3"/>
    </row>
    <row r="999">
      <c r="A999" s="3"/>
      <c r="B999" s="3"/>
      <c r="C999" s="3"/>
      <c r="E999" s="3"/>
      <c r="F999" s="9"/>
      <c r="G999" s="9"/>
      <c r="H999" s="70"/>
      <c r="I999" s="70"/>
      <c r="J999" s="70"/>
      <c r="K999" s="70"/>
      <c r="L999" s="3"/>
      <c r="M999" s="9"/>
      <c r="N999" s="5"/>
      <c r="O999" s="70"/>
      <c r="P999" s="70"/>
      <c r="Q999" s="70"/>
      <c r="R999" s="3"/>
      <c r="S999" s="3"/>
      <c r="T999" s="3"/>
    </row>
  </sheetData>
  <autoFilter ref="$A$1:$U$39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7.86"/>
    <col customWidth="1" min="2" max="2" width="44.43"/>
    <col customWidth="1" min="3" max="3" width="58.14"/>
    <col customWidth="1" min="4" max="4" width="52.71"/>
    <col customWidth="1" min="5" max="5" width="50.71"/>
    <col customWidth="1" min="6" max="6" width="9.14"/>
    <col customWidth="1" min="7" max="7" width="11.43"/>
    <col customWidth="1" min="8" max="8" width="13.29"/>
    <col customWidth="1" min="9" max="12" width="11.43"/>
    <col customWidth="1" min="13" max="13" width="12.86"/>
    <col customWidth="1" min="14" max="14" width="23.86"/>
    <col customWidth="1" min="15" max="15" width="29.14"/>
    <col customWidth="1" min="16" max="17" width="35.29"/>
    <col customWidth="1" min="18" max="18" width="12.0"/>
    <col customWidth="1" min="19" max="19" width="11.86"/>
    <col customWidth="1" min="20" max="20" width="11.43"/>
    <col customWidth="1" min="21" max="21" width="13.43"/>
    <col customWidth="1" min="22" max="22" width="35.14"/>
    <col customWidth="1" min="23" max="23" width="11.43"/>
    <col customWidth="1" min="24" max="27" width="10.71"/>
  </cols>
  <sheetData>
    <row r="1" ht="38.25" customHeight="1">
      <c r="A1" s="29" t="s">
        <v>1587</v>
      </c>
      <c r="B1" s="29" t="s">
        <v>1545</v>
      </c>
      <c r="C1" s="29" t="s">
        <v>1546</v>
      </c>
      <c r="D1" s="101" t="s">
        <v>1547</v>
      </c>
      <c r="E1" s="28" t="s">
        <v>1548</v>
      </c>
      <c r="F1" s="29" t="s">
        <v>1589</v>
      </c>
      <c r="G1" s="29" t="s">
        <v>1551</v>
      </c>
      <c r="H1" s="102" t="s">
        <v>1552</v>
      </c>
      <c r="I1" s="29" t="s">
        <v>1553</v>
      </c>
      <c r="J1" s="29" t="s">
        <v>1554</v>
      </c>
      <c r="K1" s="29" t="s">
        <v>1555</v>
      </c>
      <c r="L1" s="29" t="s">
        <v>1554</v>
      </c>
      <c r="M1" s="102" t="s">
        <v>1559</v>
      </c>
      <c r="N1" s="29" t="s">
        <v>1560</v>
      </c>
      <c r="O1" s="29" t="s">
        <v>1561</v>
      </c>
      <c r="P1" s="29" t="s">
        <v>1562</v>
      </c>
      <c r="Q1" s="29" t="s">
        <v>1895</v>
      </c>
      <c r="R1" s="29" t="s">
        <v>1567</v>
      </c>
      <c r="S1" s="29" t="s">
        <v>1568</v>
      </c>
      <c r="T1" s="29" t="s">
        <v>1569</v>
      </c>
      <c r="U1" s="29" t="s">
        <v>1570</v>
      </c>
      <c r="V1" s="102" t="s">
        <v>1572</v>
      </c>
      <c r="W1" s="29" t="s">
        <v>1573</v>
      </c>
      <c r="X1" s="103" t="s">
        <v>1896</v>
      </c>
    </row>
    <row r="2" ht="13.5" customHeight="1">
      <c r="A2" s="4">
        <v>1.0</v>
      </c>
      <c r="B2" s="104" t="s">
        <v>1623</v>
      </c>
      <c r="C2" s="104" t="s">
        <v>1624</v>
      </c>
      <c r="D2" s="105" t="s">
        <v>1897</v>
      </c>
      <c r="E2" s="104" t="s">
        <v>1898</v>
      </c>
      <c r="F2" s="106">
        <v>17.0</v>
      </c>
      <c r="G2" s="4" t="s">
        <v>112</v>
      </c>
      <c r="H2" s="104" t="s">
        <v>120</v>
      </c>
      <c r="I2" s="4" t="s">
        <v>117</v>
      </c>
      <c r="J2" s="4">
        <v>1.0</v>
      </c>
      <c r="K2" s="4" t="s">
        <v>122</v>
      </c>
      <c r="L2" s="4">
        <v>0.0</v>
      </c>
      <c r="M2" s="104" t="s">
        <v>115</v>
      </c>
      <c r="N2" s="52">
        <v>41437.0</v>
      </c>
      <c r="O2" s="107" t="s">
        <v>1899</v>
      </c>
      <c r="P2" s="104" t="s">
        <v>1592</v>
      </c>
      <c r="Q2" s="104"/>
      <c r="R2" s="108">
        <v>41409.0</v>
      </c>
      <c r="S2" s="108">
        <v>41416.0</v>
      </c>
      <c r="T2" s="4">
        <v>19.0</v>
      </c>
      <c r="U2" s="4" t="s">
        <v>120</v>
      </c>
      <c r="V2" s="104" t="s">
        <v>1900</v>
      </c>
      <c r="W2" s="4" t="s">
        <v>1592</v>
      </c>
      <c r="X2" s="109">
        <f t="shared" ref="X2:X47" si="1">N2-S2</f>
        <v>21</v>
      </c>
      <c r="Y2" s="110">
        <f t="shared" ref="Y2:Y34" si="2">IF(AND(NETWORKDAYS(S2,N2)&gt;1000,NETWORKDAYS(S2,N2)&lt;1),"",(NETWORKDAYS(S2,N2)))</f>
        <v>16</v>
      </c>
      <c r="Z2" s="59"/>
      <c r="AA2" s="59"/>
    </row>
    <row r="3">
      <c r="A3" s="49">
        <v>2.0</v>
      </c>
      <c r="B3" s="50" t="s">
        <v>1602</v>
      </c>
      <c r="C3" s="50" t="s">
        <v>1901</v>
      </c>
      <c r="D3" s="111" t="s">
        <v>1902</v>
      </c>
      <c r="E3" s="112" t="s">
        <v>1903</v>
      </c>
      <c r="F3" s="50">
        <v>10.0</v>
      </c>
      <c r="G3" s="50" t="s">
        <v>112</v>
      </c>
      <c r="H3" s="112" t="s">
        <v>120</v>
      </c>
      <c r="I3" s="4" t="s">
        <v>117</v>
      </c>
      <c r="J3" s="49">
        <v>7.0</v>
      </c>
      <c r="K3" s="49" t="s">
        <v>122</v>
      </c>
      <c r="L3" s="4">
        <v>0.0</v>
      </c>
      <c r="M3" s="104" t="s">
        <v>115</v>
      </c>
      <c r="N3" s="52">
        <v>41404.0</v>
      </c>
      <c r="O3" s="113" t="s">
        <v>1904</v>
      </c>
      <c r="P3" s="112" t="s">
        <v>1592</v>
      </c>
      <c r="Q3" s="112"/>
      <c r="R3" s="52">
        <v>41358.0</v>
      </c>
      <c r="S3" s="52">
        <v>41365.0</v>
      </c>
      <c r="T3" s="4">
        <v>19.0</v>
      </c>
      <c r="U3" s="50" t="s">
        <v>120</v>
      </c>
      <c r="V3" s="112" t="s">
        <v>1901</v>
      </c>
      <c r="W3" s="4" t="s">
        <v>1592</v>
      </c>
      <c r="X3" s="109">
        <f t="shared" si="1"/>
        <v>39</v>
      </c>
      <c r="Y3" s="110">
        <f t="shared" si="2"/>
        <v>30</v>
      </c>
    </row>
    <row r="4">
      <c r="A4" s="49">
        <v>3.0</v>
      </c>
      <c r="B4" s="50" t="s">
        <v>1642</v>
      </c>
      <c r="C4" s="50" t="s">
        <v>1905</v>
      </c>
      <c r="D4" s="111" t="s">
        <v>1906</v>
      </c>
      <c r="E4" s="112" t="s">
        <v>1907</v>
      </c>
      <c r="F4" s="50">
        <v>10.0</v>
      </c>
      <c r="G4" s="50" t="s">
        <v>112</v>
      </c>
      <c r="H4" s="112" t="s">
        <v>114</v>
      </c>
      <c r="I4" s="4" t="s">
        <v>117</v>
      </c>
      <c r="J4" s="49">
        <v>8.0</v>
      </c>
      <c r="K4" s="49" t="s">
        <v>116</v>
      </c>
      <c r="L4" s="49">
        <v>10.0</v>
      </c>
      <c r="M4" s="112" t="s">
        <v>115</v>
      </c>
      <c r="N4" s="52">
        <v>41396.0</v>
      </c>
      <c r="O4" s="113" t="s">
        <v>122</v>
      </c>
      <c r="P4" s="112" t="s">
        <v>1908</v>
      </c>
      <c r="Q4" s="112"/>
      <c r="R4" s="52">
        <v>41353.0</v>
      </c>
      <c r="S4" s="52">
        <v>41360.0</v>
      </c>
      <c r="T4" s="4" t="s">
        <v>1592</v>
      </c>
      <c r="U4" s="50" t="s">
        <v>1592</v>
      </c>
      <c r="V4" s="112" t="s">
        <v>1592</v>
      </c>
      <c r="W4" s="4" t="s">
        <v>1592</v>
      </c>
      <c r="X4" s="109">
        <f t="shared" si="1"/>
        <v>36</v>
      </c>
      <c r="Y4" s="110">
        <f t="shared" si="2"/>
        <v>27</v>
      </c>
    </row>
    <row r="5">
      <c r="A5" s="4">
        <v>4.0</v>
      </c>
      <c r="B5" s="50" t="s">
        <v>1598</v>
      </c>
      <c r="C5" s="50" t="s">
        <v>1909</v>
      </c>
      <c r="D5" s="111" t="s">
        <v>1910</v>
      </c>
      <c r="E5" s="112" t="s">
        <v>1911</v>
      </c>
      <c r="F5" s="50">
        <v>17.0</v>
      </c>
      <c r="G5" s="50" t="s">
        <v>112</v>
      </c>
      <c r="H5" s="112" t="s">
        <v>120</v>
      </c>
      <c r="I5" s="4" t="s">
        <v>117</v>
      </c>
      <c r="J5" s="49">
        <v>2.0</v>
      </c>
      <c r="K5" s="49" t="s">
        <v>116</v>
      </c>
      <c r="L5" s="49">
        <v>0.0</v>
      </c>
      <c r="M5" s="112" t="s">
        <v>115</v>
      </c>
      <c r="N5" s="52">
        <v>41395.0</v>
      </c>
      <c r="O5" s="113" t="s">
        <v>122</v>
      </c>
      <c r="P5" s="112" t="s">
        <v>1912</v>
      </c>
      <c r="Q5" s="112"/>
      <c r="R5" s="52">
        <v>41358.0</v>
      </c>
      <c r="S5" s="52">
        <v>41365.0</v>
      </c>
      <c r="T5" s="4" t="s">
        <v>1592</v>
      </c>
      <c r="U5" s="50" t="s">
        <v>1592</v>
      </c>
      <c r="V5" s="112" t="s">
        <v>1592</v>
      </c>
      <c r="W5" s="4" t="s">
        <v>1592</v>
      </c>
      <c r="X5" s="109">
        <f t="shared" si="1"/>
        <v>30</v>
      </c>
      <c r="Y5" s="110">
        <f t="shared" si="2"/>
        <v>23</v>
      </c>
    </row>
    <row r="6">
      <c r="A6" s="4">
        <v>5.0</v>
      </c>
      <c r="B6" s="50" t="s">
        <v>1642</v>
      </c>
      <c r="C6" s="50" t="s">
        <v>1643</v>
      </c>
      <c r="D6" s="111" t="s">
        <v>1910</v>
      </c>
      <c r="E6" s="112" t="s">
        <v>1913</v>
      </c>
      <c r="F6" s="50">
        <v>17.0</v>
      </c>
      <c r="G6" s="50" t="s">
        <v>112</v>
      </c>
      <c r="H6" s="112" t="s">
        <v>120</v>
      </c>
      <c r="I6" s="4" t="s">
        <v>117</v>
      </c>
      <c r="J6" s="49">
        <v>3.0</v>
      </c>
      <c r="K6" s="49" t="s">
        <v>122</v>
      </c>
      <c r="L6" s="49">
        <v>0.0</v>
      </c>
      <c r="M6" s="112" t="s">
        <v>115</v>
      </c>
      <c r="N6" s="52">
        <v>41365.0</v>
      </c>
      <c r="O6" s="113" t="s">
        <v>1914</v>
      </c>
      <c r="P6" s="112" t="s">
        <v>1592</v>
      </c>
      <c r="Q6" s="112"/>
      <c r="R6" s="52">
        <v>41290.0</v>
      </c>
      <c r="S6" s="52">
        <v>41296.0</v>
      </c>
      <c r="T6" s="4">
        <v>21.0</v>
      </c>
      <c r="U6" s="50" t="s">
        <v>120</v>
      </c>
      <c r="V6" s="112" t="s">
        <v>1643</v>
      </c>
      <c r="W6" s="4" t="s">
        <v>1592</v>
      </c>
      <c r="X6" s="109">
        <f t="shared" si="1"/>
        <v>69</v>
      </c>
      <c r="Y6" s="110">
        <f t="shared" si="2"/>
        <v>50</v>
      </c>
    </row>
    <row r="7">
      <c r="A7" s="49">
        <v>6.0</v>
      </c>
      <c r="B7" s="50" t="s">
        <v>1598</v>
      </c>
      <c r="C7" s="50" t="s">
        <v>1871</v>
      </c>
      <c r="D7" s="111" t="s">
        <v>1915</v>
      </c>
      <c r="E7" s="112" t="s">
        <v>1916</v>
      </c>
      <c r="F7" s="50">
        <v>20.0</v>
      </c>
      <c r="G7" s="50" t="s">
        <v>112</v>
      </c>
      <c r="H7" s="112" t="s">
        <v>125</v>
      </c>
      <c r="I7" s="4" t="s">
        <v>117</v>
      </c>
      <c r="J7" s="49">
        <v>0.0</v>
      </c>
      <c r="K7" s="49" t="s">
        <v>116</v>
      </c>
      <c r="L7" s="49">
        <v>2.0</v>
      </c>
      <c r="M7" s="112" t="s">
        <v>115</v>
      </c>
      <c r="N7" s="52">
        <v>41410.0</v>
      </c>
      <c r="O7" s="113" t="s">
        <v>122</v>
      </c>
      <c r="P7" s="112" t="s">
        <v>1917</v>
      </c>
      <c r="Q7" s="112"/>
      <c r="R7" s="52">
        <v>41279.0</v>
      </c>
      <c r="S7" s="52">
        <v>41376.0</v>
      </c>
      <c r="T7" s="4" t="s">
        <v>1592</v>
      </c>
      <c r="U7" s="4" t="s">
        <v>1592</v>
      </c>
      <c r="V7" s="104" t="s">
        <v>1592</v>
      </c>
      <c r="W7" s="4" t="s">
        <v>1592</v>
      </c>
      <c r="X7" s="109">
        <f t="shared" si="1"/>
        <v>34</v>
      </c>
      <c r="Y7" s="110">
        <f t="shared" si="2"/>
        <v>25</v>
      </c>
    </row>
    <row r="8">
      <c r="A8" s="49">
        <v>7.0</v>
      </c>
      <c r="B8" s="50" t="s">
        <v>1598</v>
      </c>
      <c r="C8" s="50" t="s">
        <v>1871</v>
      </c>
      <c r="D8" s="111" t="s">
        <v>1918</v>
      </c>
      <c r="E8" s="112" t="s">
        <v>1919</v>
      </c>
      <c r="F8" s="50">
        <v>17.0</v>
      </c>
      <c r="G8" s="50" t="s">
        <v>112</v>
      </c>
      <c r="H8" s="112" t="s">
        <v>125</v>
      </c>
      <c r="I8" s="4" t="s">
        <v>117</v>
      </c>
      <c r="J8" s="49">
        <v>6.0</v>
      </c>
      <c r="K8" s="49" t="s">
        <v>122</v>
      </c>
      <c r="L8" s="49">
        <v>0.0</v>
      </c>
      <c r="M8" s="112" t="s">
        <v>115</v>
      </c>
      <c r="N8" s="52">
        <v>41358.0</v>
      </c>
      <c r="O8" s="113" t="s">
        <v>1920</v>
      </c>
      <c r="P8" s="112" t="s">
        <v>1592</v>
      </c>
      <c r="Q8" s="112"/>
      <c r="R8" s="52">
        <v>41291.0</v>
      </c>
      <c r="S8" s="52">
        <v>41298.0</v>
      </c>
      <c r="T8" s="4">
        <v>18.0</v>
      </c>
      <c r="U8" s="50" t="s">
        <v>125</v>
      </c>
      <c r="V8" s="112" t="s">
        <v>1871</v>
      </c>
      <c r="W8" s="50"/>
      <c r="X8" s="109">
        <f t="shared" si="1"/>
        <v>60</v>
      </c>
      <c r="Y8" s="110">
        <f t="shared" si="2"/>
        <v>43</v>
      </c>
    </row>
    <row r="9">
      <c r="A9" s="4">
        <v>8.0</v>
      </c>
      <c r="B9" s="50" t="s">
        <v>1892</v>
      </c>
      <c r="C9" s="50" t="s">
        <v>1921</v>
      </c>
      <c r="D9" s="111" t="s">
        <v>1922</v>
      </c>
      <c r="E9" s="112" t="s">
        <v>1923</v>
      </c>
      <c r="F9" s="50">
        <v>12.0</v>
      </c>
      <c r="G9" s="50" t="s">
        <v>112</v>
      </c>
      <c r="H9" s="112" t="s">
        <v>114</v>
      </c>
      <c r="I9" s="4" t="s">
        <v>117</v>
      </c>
      <c r="J9" s="49">
        <v>4.0</v>
      </c>
      <c r="K9" s="49" t="s">
        <v>116</v>
      </c>
      <c r="L9" s="49">
        <v>4.0</v>
      </c>
      <c r="M9" s="112" t="s">
        <v>1596</v>
      </c>
      <c r="N9" s="52">
        <v>41396.0</v>
      </c>
      <c r="O9" s="113" t="s">
        <v>122</v>
      </c>
      <c r="P9" s="112" t="s">
        <v>781</v>
      </c>
      <c r="Q9" s="112"/>
      <c r="R9" s="52">
        <v>41365.0</v>
      </c>
      <c r="S9" s="52">
        <v>41369.0</v>
      </c>
      <c r="T9" s="4" t="s">
        <v>1592</v>
      </c>
      <c r="U9" s="4" t="s">
        <v>1592</v>
      </c>
      <c r="V9" s="104" t="s">
        <v>1592</v>
      </c>
      <c r="W9" s="4" t="s">
        <v>1592</v>
      </c>
      <c r="X9" s="109">
        <f t="shared" si="1"/>
        <v>27</v>
      </c>
      <c r="Y9" s="110">
        <f t="shared" si="2"/>
        <v>20</v>
      </c>
    </row>
    <row r="10">
      <c r="A10" s="4">
        <v>9.0</v>
      </c>
      <c r="B10" s="50" t="s">
        <v>1892</v>
      </c>
      <c r="C10" s="50" t="s">
        <v>1924</v>
      </c>
      <c r="D10" s="111" t="s">
        <v>1925</v>
      </c>
      <c r="E10" s="112" t="s">
        <v>1926</v>
      </c>
      <c r="F10" s="50">
        <v>10.0</v>
      </c>
      <c r="G10" s="50" t="s">
        <v>112</v>
      </c>
      <c r="H10" s="112" t="s">
        <v>120</v>
      </c>
      <c r="I10" s="4" t="s">
        <v>117</v>
      </c>
      <c r="J10" s="49">
        <v>4.0</v>
      </c>
      <c r="K10" s="49" t="s">
        <v>116</v>
      </c>
      <c r="L10" s="49">
        <v>13.0</v>
      </c>
      <c r="M10" s="112" t="s">
        <v>1596</v>
      </c>
      <c r="N10" s="52">
        <v>41426.0</v>
      </c>
      <c r="O10" s="113" t="s">
        <v>122</v>
      </c>
      <c r="P10" s="112" t="s">
        <v>1927</v>
      </c>
      <c r="Q10" s="112"/>
      <c r="R10" s="52">
        <v>41388.0</v>
      </c>
      <c r="S10" s="52">
        <v>41397.0</v>
      </c>
      <c r="T10" s="4" t="s">
        <v>1592</v>
      </c>
      <c r="U10" s="4" t="s">
        <v>1592</v>
      </c>
      <c r="V10" s="104" t="s">
        <v>1592</v>
      </c>
      <c r="W10" s="4" t="s">
        <v>1592</v>
      </c>
      <c r="X10" s="109">
        <f t="shared" si="1"/>
        <v>29</v>
      </c>
      <c r="Y10" s="110">
        <f t="shared" si="2"/>
        <v>21</v>
      </c>
    </row>
    <row r="11">
      <c r="A11" s="49">
        <v>10.0</v>
      </c>
      <c r="B11" s="114" t="s">
        <v>1627</v>
      </c>
      <c r="C11" s="50" t="s">
        <v>1928</v>
      </c>
      <c r="D11" s="111" t="s">
        <v>1929</v>
      </c>
      <c r="E11" s="112" t="s">
        <v>1930</v>
      </c>
      <c r="F11" s="50">
        <v>17.0</v>
      </c>
      <c r="G11" s="50" t="s">
        <v>112</v>
      </c>
      <c r="H11" s="112" t="s">
        <v>120</v>
      </c>
      <c r="I11" s="4" t="s">
        <v>117</v>
      </c>
      <c r="J11" s="49">
        <v>6.0</v>
      </c>
      <c r="K11" s="49" t="s">
        <v>122</v>
      </c>
      <c r="L11" s="49">
        <v>0.0</v>
      </c>
      <c r="M11" s="112" t="s">
        <v>115</v>
      </c>
      <c r="N11" s="52">
        <v>41379.0</v>
      </c>
      <c r="O11" s="113" t="s">
        <v>1931</v>
      </c>
      <c r="P11" s="112" t="s">
        <v>1592</v>
      </c>
      <c r="Q11" s="112"/>
      <c r="R11" s="52">
        <v>41351.0</v>
      </c>
      <c r="S11" s="52">
        <v>41354.0</v>
      </c>
      <c r="T11" s="4">
        <v>17.0</v>
      </c>
      <c r="U11" s="4" t="s">
        <v>120</v>
      </c>
      <c r="V11" s="104" t="s">
        <v>1932</v>
      </c>
      <c r="W11" s="50"/>
      <c r="X11" s="109">
        <f t="shared" si="1"/>
        <v>25</v>
      </c>
      <c r="Y11" s="110">
        <f t="shared" si="2"/>
        <v>18</v>
      </c>
    </row>
    <row r="12">
      <c r="A12" s="49">
        <v>11.0</v>
      </c>
      <c r="B12" s="50" t="s">
        <v>1642</v>
      </c>
      <c r="C12" s="50" t="s">
        <v>1933</v>
      </c>
      <c r="D12" s="111" t="s">
        <v>1934</v>
      </c>
      <c r="E12" s="112" t="s">
        <v>1611</v>
      </c>
      <c r="F12" s="50">
        <v>14.0</v>
      </c>
      <c r="G12" s="50" t="s">
        <v>112</v>
      </c>
      <c r="H12" s="112" t="s">
        <v>114</v>
      </c>
      <c r="I12" s="4" t="s">
        <v>117</v>
      </c>
      <c r="J12" s="49">
        <v>11.0</v>
      </c>
      <c r="K12" s="49" t="s">
        <v>122</v>
      </c>
      <c r="L12" s="49">
        <v>0.0</v>
      </c>
      <c r="M12" s="112" t="s">
        <v>115</v>
      </c>
      <c r="N12" s="52">
        <v>41429.0</v>
      </c>
      <c r="O12" s="113" t="s">
        <v>1592</v>
      </c>
      <c r="P12" s="112" t="s">
        <v>1935</v>
      </c>
      <c r="Q12" s="112"/>
      <c r="R12" s="52">
        <v>41375.0</v>
      </c>
      <c r="S12" s="52">
        <v>41379.0</v>
      </c>
      <c r="T12" s="4" t="s">
        <v>1592</v>
      </c>
      <c r="U12" s="4" t="s">
        <v>1592</v>
      </c>
      <c r="V12" s="104" t="s">
        <v>1592</v>
      </c>
      <c r="W12" s="4" t="s">
        <v>1592</v>
      </c>
      <c r="X12" s="109">
        <f t="shared" si="1"/>
        <v>50</v>
      </c>
      <c r="Y12" s="110">
        <f t="shared" si="2"/>
        <v>37</v>
      </c>
    </row>
    <row r="13">
      <c r="A13" s="4">
        <v>12.0</v>
      </c>
      <c r="B13" s="114" t="s">
        <v>1627</v>
      </c>
      <c r="C13" s="50" t="s">
        <v>1936</v>
      </c>
      <c r="D13" s="111" t="s">
        <v>1937</v>
      </c>
      <c r="E13" s="112" t="s">
        <v>1711</v>
      </c>
      <c r="F13" s="50" t="s">
        <v>1938</v>
      </c>
      <c r="G13" s="50" t="s">
        <v>112</v>
      </c>
      <c r="H13" s="112" t="s">
        <v>114</v>
      </c>
      <c r="I13" s="4" t="s">
        <v>117</v>
      </c>
      <c r="J13" s="49">
        <v>0.0</v>
      </c>
      <c r="K13" s="49" t="s">
        <v>116</v>
      </c>
      <c r="L13" s="49">
        <v>7.0</v>
      </c>
      <c r="M13" s="112" t="s">
        <v>1596</v>
      </c>
      <c r="N13" s="52">
        <v>41441.0</v>
      </c>
      <c r="O13" s="113" t="s">
        <v>1592</v>
      </c>
      <c r="P13" s="112" t="s">
        <v>1939</v>
      </c>
      <c r="Q13" s="112"/>
      <c r="R13" s="52">
        <v>41382.0</v>
      </c>
      <c r="S13" s="52">
        <v>41389.0</v>
      </c>
      <c r="T13" s="4" t="s">
        <v>1592</v>
      </c>
      <c r="U13" s="4" t="s">
        <v>1592</v>
      </c>
      <c r="V13" s="104" t="s">
        <v>1592</v>
      </c>
      <c r="W13" s="4" t="s">
        <v>1592</v>
      </c>
      <c r="X13" s="109">
        <f t="shared" si="1"/>
        <v>52</v>
      </c>
      <c r="Y13" s="110">
        <f t="shared" si="2"/>
        <v>37</v>
      </c>
    </row>
    <row r="14">
      <c r="A14" s="4">
        <v>13.0</v>
      </c>
      <c r="B14" s="50" t="s">
        <v>1940</v>
      </c>
      <c r="C14" s="50" t="s">
        <v>1941</v>
      </c>
      <c r="D14" s="111" t="s">
        <v>1942</v>
      </c>
      <c r="E14" s="112" t="s">
        <v>1943</v>
      </c>
      <c r="F14" s="50">
        <v>14.0</v>
      </c>
      <c r="G14" s="50" t="s">
        <v>112</v>
      </c>
      <c r="H14" s="112" t="s">
        <v>114</v>
      </c>
      <c r="I14" s="4" t="s">
        <v>117</v>
      </c>
      <c r="J14" s="49">
        <v>1.0</v>
      </c>
      <c r="K14" s="49" t="s">
        <v>122</v>
      </c>
      <c r="L14" s="49">
        <v>0.0</v>
      </c>
      <c r="M14" s="112" t="s">
        <v>115</v>
      </c>
      <c r="N14" s="52">
        <v>41402.0</v>
      </c>
      <c r="O14" s="113" t="s">
        <v>1944</v>
      </c>
      <c r="P14" s="112" t="s">
        <v>1592</v>
      </c>
      <c r="Q14" s="112"/>
      <c r="R14" s="52">
        <v>41394.0</v>
      </c>
      <c r="S14" s="52">
        <v>41397.0</v>
      </c>
      <c r="T14" s="4"/>
      <c r="U14" s="4" t="s">
        <v>1945</v>
      </c>
      <c r="V14" s="104" t="s">
        <v>1940</v>
      </c>
      <c r="W14" s="50"/>
      <c r="X14" s="109">
        <f t="shared" si="1"/>
        <v>5</v>
      </c>
      <c r="Y14" s="110">
        <f t="shared" si="2"/>
        <v>4</v>
      </c>
    </row>
    <row r="15">
      <c r="A15" s="49">
        <v>14.0</v>
      </c>
      <c r="B15" s="50" t="s">
        <v>1598</v>
      </c>
      <c r="C15" s="50" t="s">
        <v>1909</v>
      </c>
      <c r="D15" s="111" t="s">
        <v>1946</v>
      </c>
      <c r="E15" s="112" t="s">
        <v>1869</v>
      </c>
      <c r="F15" s="50">
        <v>17.0</v>
      </c>
      <c r="G15" s="50" t="s">
        <v>112</v>
      </c>
      <c r="H15" s="112" t="s">
        <v>120</v>
      </c>
      <c r="I15" s="4" t="s">
        <v>117</v>
      </c>
      <c r="J15" s="49">
        <v>5.0</v>
      </c>
      <c r="K15" s="49" t="s">
        <v>122</v>
      </c>
      <c r="L15" s="49">
        <v>0.0</v>
      </c>
      <c r="M15" s="112" t="s">
        <v>115</v>
      </c>
      <c r="N15" s="52">
        <v>41351.0</v>
      </c>
      <c r="O15" s="113" t="s">
        <v>1870</v>
      </c>
      <c r="P15" s="112" t="s">
        <v>1592</v>
      </c>
      <c r="Q15" s="112"/>
      <c r="R15" s="52">
        <v>41256.0</v>
      </c>
      <c r="S15" s="52">
        <v>41262.0</v>
      </c>
      <c r="T15" s="4">
        <v>21.0</v>
      </c>
      <c r="U15" s="4" t="s">
        <v>120</v>
      </c>
      <c r="V15" s="104" t="s">
        <v>1871</v>
      </c>
      <c r="W15" s="50" t="s">
        <v>1592</v>
      </c>
      <c r="X15" s="109">
        <f t="shared" si="1"/>
        <v>89</v>
      </c>
      <c r="Y15" s="110">
        <f t="shared" si="2"/>
        <v>64</v>
      </c>
    </row>
    <row r="16">
      <c r="A16" s="49">
        <v>15.0</v>
      </c>
      <c r="B16" s="104" t="s">
        <v>1602</v>
      </c>
      <c r="C16" s="104" t="s">
        <v>1901</v>
      </c>
      <c r="D16" s="105" t="s">
        <v>1947</v>
      </c>
      <c r="E16" s="104" t="s">
        <v>1948</v>
      </c>
      <c r="F16" s="106">
        <v>21.0</v>
      </c>
      <c r="G16" s="4" t="s">
        <v>112</v>
      </c>
      <c r="H16" s="104" t="s">
        <v>127</v>
      </c>
      <c r="I16" s="4" t="s">
        <v>117</v>
      </c>
      <c r="J16" s="4">
        <v>1.0</v>
      </c>
      <c r="K16" s="4" t="s">
        <v>122</v>
      </c>
      <c r="L16" s="4">
        <v>0.0</v>
      </c>
      <c r="M16" s="104" t="s">
        <v>115</v>
      </c>
      <c r="N16" s="52">
        <v>41411.0</v>
      </c>
      <c r="O16" s="113" t="s">
        <v>1949</v>
      </c>
      <c r="P16" s="104" t="s">
        <v>1592</v>
      </c>
      <c r="Q16" s="104"/>
      <c r="R16" s="52">
        <v>41358.0</v>
      </c>
      <c r="S16" s="52">
        <v>41365.0</v>
      </c>
      <c r="T16" s="4">
        <v>21.0</v>
      </c>
      <c r="U16" s="4" t="s">
        <v>127</v>
      </c>
      <c r="V16" s="104" t="s">
        <v>1602</v>
      </c>
      <c r="W16" s="50" t="s">
        <v>1592</v>
      </c>
      <c r="X16" s="109">
        <f t="shared" si="1"/>
        <v>46</v>
      </c>
      <c r="Y16" s="110">
        <f t="shared" si="2"/>
        <v>35</v>
      </c>
    </row>
    <row r="17">
      <c r="A17" s="4">
        <v>16.0</v>
      </c>
      <c r="B17" s="115" t="s">
        <v>1627</v>
      </c>
      <c r="C17" s="116" t="s">
        <v>1831</v>
      </c>
      <c r="D17" s="111" t="s">
        <v>1950</v>
      </c>
      <c r="E17" s="112" t="s">
        <v>1832</v>
      </c>
      <c r="F17" s="50">
        <v>10.0</v>
      </c>
      <c r="G17" s="117"/>
      <c r="H17" s="112" t="s">
        <v>114</v>
      </c>
      <c r="I17" s="4" t="s">
        <v>117</v>
      </c>
      <c r="J17" s="118"/>
      <c r="K17" s="119" t="s">
        <v>122</v>
      </c>
      <c r="L17" s="119"/>
      <c r="M17" s="120"/>
      <c r="N17" s="121">
        <v>41446.0</v>
      </c>
      <c r="O17" s="113" t="s">
        <v>1951</v>
      </c>
      <c r="P17" s="120"/>
      <c r="Q17" s="120"/>
      <c r="R17" s="121">
        <v>41401.0</v>
      </c>
      <c r="S17" s="121">
        <v>41408.0</v>
      </c>
      <c r="T17" s="116"/>
      <c r="U17" s="116"/>
      <c r="V17" s="120"/>
      <c r="W17" s="116"/>
      <c r="X17" s="109">
        <f t="shared" si="1"/>
        <v>38</v>
      </c>
      <c r="Y17" s="110">
        <f t="shared" si="2"/>
        <v>29</v>
      </c>
    </row>
    <row r="18">
      <c r="A18" s="4">
        <v>17.0</v>
      </c>
      <c r="B18" s="116" t="s">
        <v>1637</v>
      </c>
      <c r="C18" s="116" t="s">
        <v>1637</v>
      </c>
      <c r="D18" s="111" t="s">
        <v>1925</v>
      </c>
      <c r="E18" s="112" t="s">
        <v>1926</v>
      </c>
      <c r="F18" s="50">
        <v>11.0</v>
      </c>
      <c r="G18" s="117"/>
      <c r="H18" s="112" t="s">
        <v>120</v>
      </c>
      <c r="I18" s="4" t="s">
        <v>117</v>
      </c>
      <c r="J18" s="119">
        <v>11.0</v>
      </c>
      <c r="K18" s="119" t="s">
        <v>122</v>
      </c>
      <c r="L18" s="119"/>
      <c r="M18" s="120" t="s">
        <v>115</v>
      </c>
      <c r="N18" s="121">
        <v>41472.0</v>
      </c>
      <c r="O18" s="113" t="s">
        <v>1952</v>
      </c>
      <c r="P18" s="120"/>
      <c r="Q18" s="120"/>
      <c r="R18" s="121">
        <v>41444.0</v>
      </c>
      <c r="S18" s="121">
        <v>41449.0</v>
      </c>
      <c r="T18" s="116">
        <v>19.0</v>
      </c>
      <c r="U18" s="116" t="s">
        <v>120</v>
      </c>
      <c r="V18" s="120" t="s">
        <v>1637</v>
      </c>
      <c r="W18" s="116"/>
      <c r="X18" s="109">
        <f t="shared" si="1"/>
        <v>23</v>
      </c>
      <c r="Y18" s="110">
        <f t="shared" si="2"/>
        <v>18</v>
      </c>
    </row>
    <row r="19">
      <c r="A19" s="49">
        <v>19.0</v>
      </c>
      <c r="B19" s="116" t="s">
        <v>1642</v>
      </c>
      <c r="C19" s="116" t="s">
        <v>1643</v>
      </c>
      <c r="D19" s="111" t="s">
        <v>1946</v>
      </c>
      <c r="E19" s="112" t="s">
        <v>1869</v>
      </c>
      <c r="F19" s="50">
        <v>17.0</v>
      </c>
      <c r="G19" s="122" t="s">
        <v>112</v>
      </c>
      <c r="H19" s="112" t="s">
        <v>120</v>
      </c>
      <c r="I19" s="4" t="s">
        <v>117</v>
      </c>
      <c r="J19" s="119">
        <v>4.0</v>
      </c>
      <c r="K19" s="119" t="s">
        <v>122</v>
      </c>
      <c r="L19" s="119">
        <v>0.0</v>
      </c>
      <c r="M19" s="120" t="s">
        <v>115</v>
      </c>
      <c r="N19" s="121">
        <v>41487.0</v>
      </c>
      <c r="O19" s="113" t="s">
        <v>1953</v>
      </c>
      <c r="P19" s="120"/>
      <c r="Q19" s="120"/>
      <c r="R19" s="121">
        <v>41423.0</v>
      </c>
      <c r="S19" s="121">
        <v>41431.0</v>
      </c>
      <c r="T19" s="116">
        <v>21.0</v>
      </c>
      <c r="U19" s="116" t="s">
        <v>120</v>
      </c>
      <c r="V19" s="120" t="s">
        <v>1871</v>
      </c>
      <c r="W19" s="116"/>
      <c r="X19" s="109">
        <f t="shared" si="1"/>
        <v>56</v>
      </c>
      <c r="Y19" s="110">
        <f t="shared" si="2"/>
        <v>41</v>
      </c>
    </row>
    <row r="20">
      <c r="A20" s="49">
        <v>21.0</v>
      </c>
      <c r="B20" s="116"/>
      <c r="C20" s="116"/>
      <c r="D20" s="120"/>
      <c r="E20" s="120"/>
      <c r="F20" s="116"/>
      <c r="G20" s="116"/>
      <c r="H20" s="120"/>
      <c r="I20" s="49" t="s">
        <v>117</v>
      </c>
      <c r="J20" s="119"/>
      <c r="K20" s="119"/>
      <c r="L20" s="119"/>
      <c r="M20" s="120"/>
      <c r="N20" s="116"/>
      <c r="O20" s="123" t="s">
        <v>1886</v>
      </c>
      <c r="P20" s="120"/>
      <c r="Q20" s="120"/>
      <c r="R20" s="116"/>
      <c r="S20" s="116"/>
      <c r="T20" s="116"/>
      <c r="U20" s="116"/>
      <c r="V20" s="120"/>
      <c r="W20" s="116"/>
      <c r="X20" s="124">
        <f t="shared" si="1"/>
        <v>0</v>
      </c>
      <c r="Y20" s="110">
        <f t="shared" si="2"/>
        <v>0</v>
      </c>
    </row>
    <row r="21">
      <c r="A21" s="49">
        <v>22.0</v>
      </c>
      <c r="B21" s="116"/>
      <c r="C21" s="116"/>
      <c r="D21" s="120"/>
      <c r="E21" s="120"/>
      <c r="F21" s="116"/>
      <c r="G21" s="116"/>
      <c r="H21" s="120"/>
      <c r="I21" s="49" t="s">
        <v>117</v>
      </c>
      <c r="J21" s="119"/>
      <c r="K21" s="119"/>
      <c r="L21" s="119"/>
      <c r="M21" s="120"/>
      <c r="N21" s="116"/>
      <c r="O21" s="123" t="s">
        <v>1856</v>
      </c>
      <c r="P21" s="120"/>
      <c r="Q21" s="120"/>
      <c r="R21" s="116"/>
      <c r="S21" s="116"/>
      <c r="T21" s="116"/>
      <c r="U21" s="116"/>
      <c r="V21" s="120"/>
      <c r="W21" s="116"/>
      <c r="X21" s="124">
        <f t="shared" si="1"/>
        <v>0</v>
      </c>
      <c r="Y21" s="110">
        <f t="shared" si="2"/>
        <v>0</v>
      </c>
      <c r="Z21" s="5"/>
      <c r="AA21" s="5"/>
    </row>
    <row r="22">
      <c r="A22" s="4">
        <v>23.0</v>
      </c>
      <c r="B22" s="116"/>
      <c r="C22" s="116"/>
      <c r="D22" s="120"/>
      <c r="E22" s="120"/>
      <c r="F22" s="116"/>
      <c r="G22" s="116"/>
      <c r="H22" s="120"/>
      <c r="I22" s="49" t="s">
        <v>117</v>
      </c>
      <c r="J22" s="119"/>
      <c r="K22" s="119"/>
      <c r="L22" s="119"/>
      <c r="M22" s="120"/>
      <c r="N22" s="116"/>
      <c r="O22" s="123" t="s">
        <v>1836</v>
      </c>
      <c r="P22" s="120"/>
      <c r="Q22" s="120"/>
      <c r="R22" s="116"/>
      <c r="S22" s="116"/>
      <c r="T22" s="116"/>
      <c r="U22" s="116"/>
      <c r="V22" s="120"/>
      <c r="W22" s="116"/>
      <c r="X22" s="124">
        <f t="shared" si="1"/>
        <v>0</v>
      </c>
      <c r="Y22" s="110">
        <f t="shared" si="2"/>
        <v>0</v>
      </c>
      <c r="Z22" s="5"/>
      <c r="AA22" s="5"/>
    </row>
    <row r="23">
      <c r="A23" s="4">
        <v>24.0</v>
      </c>
      <c r="B23" s="116"/>
      <c r="C23" s="116"/>
      <c r="D23" s="120"/>
      <c r="E23" s="120"/>
      <c r="F23" s="116"/>
      <c r="G23" s="116"/>
      <c r="H23" s="120"/>
      <c r="I23" s="49" t="s">
        <v>117</v>
      </c>
      <c r="J23" s="119"/>
      <c r="K23" s="119"/>
      <c r="L23" s="119"/>
      <c r="M23" s="120"/>
      <c r="N23" s="116"/>
      <c r="O23" s="123" t="s">
        <v>637</v>
      </c>
      <c r="P23" s="120"/>
      <c r="Q23" s="120"/>
      <c r="R23" s="116"/>
      <c r="S23" s="116"/>
      <c r="T23" s="116"/>
      <c r="U23" s="116"/>
      <c r="V23" s="120"/>
      <c r="W23" s="116"/>
      <c r="X23" s="124">
        <f t="shared" si="1"/>
        <v>0</v>
      </c>
      <c r="Y23" s="110">
        <f t="shared" si="2"/>
        <v>0</v>
      </c>
      <c r="Z23" s="5"/>
      <c r="AA23" s="5"/>
    </row>
    <row r="24">
      <c r="A24" s="49">
        <v>25.0</v>
      </c>
      <c r="B24" s="116"/>
      <c r="C24" s="116"/>
      <c r="D24" s="120"/>
      <c r="E24" s="120"/>
      <c r="F24" s="116"/>
      <c r="G24" s="116"/>
      <c r="H24" s="120"/>
      <c r="I24" s="49" t="s">
        <v>117</v>
      </c>
      <c r="J24" s="119"/>
      <c r="K24" s="119"/>
      <c r="L24" s="119"/>
      <c r="M24" s="120"/>
      <c r="N24" s="116"/>
      <c r="O24" s="123" t="s">
        <v>1828</v>
      </c>
      <c r="P24" s="120"/>
      <c r="Q24" s="120"/>
      <c r="R24" s="116"/>
      <c r="S24" s="116"/>
      <c r="T24" s="116"/>
      <c r="U24" s="116"/>
      <c r="V24" s="120"/>
      <c r="W24" s="116"/>
      <c r="X24" s="124">
        <f t="shared" si="1"/>
        <v>0</v>
      </c>
      <c r="Y24" s="110">
        <f t="shared" si="2"/>
        <v>0</v>
      </c>
      <c r="Z24" s="5"/>
      <c r="AA24" s="5"/>
    </row>
    <row r="25">
      <c r="A25" s="49">
        <v>26.0</v>
      </c>
      <c r="B25" s="116" t="s">
        <v>1892</v>
      </c>
      <c r="C25" s="116" t="s">
        <v>1921</v>
      </c>
      <c r="D25" s="125" t="s">
        <v>1954</v>
      </c>
      <c r="E25" s="120" t="s">
        <v>1591</v>
      </c>
      <c r="F25" s="116">
        <v>19.0</v>
      </c>
      <c r="G25" s="116" t="s">
        <v>112</v>
      </c>
      <c r="H25" s="120" t="s">
        <v>120</v>
      </c>
      <c r="I25" s="4" t="s">
        <v>117</v>
      </c>
      <c r="J25" s="119"/>
      <c r="K25" s="119" t="s">
        <v>116</v>
      </c>
      <c r="L25" s="118"/>
      <c r="M25" s="120" t="s">
        <v>115</v>
      </c>
      <c r="N25" s="121">
        <v>41487.0</v>
      </c>
      <c r="O25" s="120"/>
      <c r="P25" s="120" t="s">
        <v>1441</v>
      </c>
      <c r="Q25" s="120"/>
      <c r="R25" s="121">
        <v>41430.0</v>
      </c>
      <c r="S25" s="121">
        <v>41437.0</v>
      </c>
      <c r="T25" s="116"/>
      <c r="U25" s="116"/>
      <c r="V25" s="120"/>
      <c r="W25" s="116"/>
      <c r="X25" s="109">
        <f t="shared" si="1"/>
        <v>50</v>
      </c>
      <c r="Y25" s="110">
        <f t="shared" si="2"/>
        <v>37</v>
      </c>
    </row>
    <row r="26">
      <c r="A26" s="4">
        <v>27.0</v>
      </c>
      <c r="B26" s="116" t="s">
        <v>1740</v>
      </c>
      <c r="C26" s="116" t="s">
        <v>1740</v>
      </c>
      <c r="D26" s="125" t="s">
        <v>1955</v>
      </c>
      <c r="E26" s="120" t="s">
        <v>1741</v>
      </c>
      <c r="F26" s="116">
        <v>21.0</v>
      </c>
      <c r="G26" s="116" t="s">
        <v>112</v>
      </c>
      <c r="H26" s="120" t="s">
        <v>127</v>
      </c>
      <c r="I26" s="4" t="s">
        <v>117</v>
      </c>
      <c r="J26" s="119">
        <v>0.0</v>
      </c>
      <c r="K26" s="119" t="s">
        <v>116</v>
      </c>
      <c r="L26" s="119">
        <v>4.0</v>
      </c>
      <c r="M26" s="120" t="s">
        <v>115</v>
      </c>
      <c r="N26" s="121">
        <v>41477.0</v>
      </c>
      <c r="O26" s="120"/>
      <c r="P26" s="120" t="s">
        <v>1956</v>
      </c>
      <c r="Q26" s="120"/>
      <c r="R26" s="126">
        <v>41416.0</v>
      </c>
      <c r="S26" s="121">
        <v>41424.0</v>
      </c>
      <c r="T26" s="116"/>
      <c r="U26" s="116"/>
      <c r="V26" s="120"/>
      <c r="W26" s="116"/>
      <c r="X26" s="109">
        <f t="shared" si="1"/>
        <v>53</v>
      </c>
      <c r="Y26" s="110">
        <f t="shared" si="2"/>
        <v>38</v>
      </c>
    </row>
    <row r="27">
      <c r="A27" s="4">
        <v>28.0</v>
      </c>
      <c r="B27" s="116" t="s">
        <v>1940</v>
      </c>
      <c r="C27" s="116" t="s">
        <v>1940</v>
      </c>
      <c r="D27" s="125" t="s">
        <v>1947</v>
      </c>
      <c r="E27" s="120" t="s">
        <v>1687</v>
      </c>
      <c r="F27" s="116">
        <v>23.0</v>
      </c>
      <c r="G27" s="116" t="s">
        <v>112</v>
      </c>
      <c r="H27" s="120" t="s">
        <v>127</v>
      </c>
      <c r="I27" s="4" t="s">
        <v>117</v>
      </c>
      <c r="J27" s="119">
        <v>0.0</v>
      </c>
      <c r="K27" s="119" t="s">
        <v>116</v>
      </c>
      <c r="L27" s="119">
        <v>3.0</v>
      </c>
      <c r="M27" s="120" t="s">
        <v>115</v>
      </c>
      <c r="N27" s="121">
        <v>41474.0</v>
      </c>
      <c r="O27" s="120"/>
      <c r="P27" s="120" t="s">
        <v>938</v>
      </c>
      <c r="Q27" s="120"/>
      <c r="R27" s="126">
        <v>41390.0</v>
      </c>
      <c r="S27" s="126">
        <v>41397.0</v>
      </c>
      <c r="T27" s="116"/>
      <c r="U27" s="116"/>
      <c r="V27" s="120"/>
      <c r="W27" s="116"/>
      <c r="X27" s="109">
        <f t="shared" si="1"/>
        <v>77</v>
      </c>
      <c r="Y27" s="110">
        <f t="shared" si="2"/>
        <v>56</v>
      </c>
    </row>
    <row r="28">
      <c r="A28" s="49">
        <v>29.0</v>
      </c>
      <c r="B28" s="116" t="s">
        <v>1740</v>
      </c>
      <c r="C28" s="116" t="s">
        <v>1957</v>
      </c>
      <c r="D28" s="125" t="s">
        <v>1947</v>
      </c>
      <c r="E28" s="120" t="s">
        <v>1687</v>
      </c>
      <c r="F28" s="116">
        <v>23.0</v>
      </c>
      <c r="G28" s="116" t="s">
        <v>112</v>
      </c>
      <c r="H28" s="120" t="s">
        <v>127</v>
      </c>
      <c r="I28" s="4" t="s">
        <v>117</v>
      </c>
      <c r="J28" s="119"/>
      <c r="K28" s="119" t="s">
        <v>116</v>
      </c>
      <c r="L28" s="119">
        <v>3.0</v>
      </c>
      <c r="M28" s="120" t="s">
        <v>115</v>
      </c>
      <c r="N28" s="121">
        <v>41472.0</v>
      </c>
      <c r="O28" s="120"/>
      <c r="P28" s="120" t="s">
        <v>1958</v>
      </c>
      <c r="Q28" s="120"/>
      <c r="R28" s="121">
        <v>41460.0</v>
      </c>
      <c r="S28" s="121">
        <v>41467.0</v>
      </c>
      <c r="T28" s="116"/>
      <c r="U28" s="116"/>
      <c r="V28" s="120"/>
      <c r="W28" s="116"/>
      <c r="X28" s="109">
        <f t="shared" si="1"/>
        <v>5</v>
      </c>
      <c r="Y28" s="110">
        <f t="shared" si="2"/>
        <v>4</v>
      </c>
    </row>
    <row r="29">
      <c r="A29" s="49">
        <v>30.0</v>
      </c>
      <c r="B29" s="116" t="s">
        <v>1740</v>
      </c>
      <c r="C29" s="116" t="s">
        <v>1740</v>
      </c>
      <c r="D29" s="125" t="s">
        <v>1959</v>
      </c>
      <c r="E29" s="120" t="s">
        <v>1872</v>
      </c>
      <c r="F29" s="116">
        <v>14.0</v>
      </c>
      <c r="G29" s="116" t="s">
        <v>112</v>
      </c>
      <c r="H29" s="120" t="s">
        <v>114</v>
      </c>
      <c r="I29" s="4" t="s">
        <v>117</v>
      </c>
      <c r="J29" s="119"/>
      <c r="K29" s="119" t="s">
        <v>116</v>
      </c>
      <c r="L29" s="118"/>
      <c r="M29" s="120" t="s">
        <v>115</v>
      </c>
      <c r="N29" s="121">
        <v>41472.0</v>
      </c>
      <c r="O29" s="120"/>
      <c r="P29" s="120" t="s">
        <v>1960</v>
      </c>
      <c r="Q29" s="120"/>
      <c r="R29" s="121">
        <v>41417.0</v>
      </c>
      <c r="S29" s="121">
        <v>41425.0</v>
      </c>
      <c r="T29" s="116"/>
      <c r="U29" s="116"/>
      <c r="V29" s="120"/>
      <c r="W29" s="116"/>
      <c r="X29" s="109">
        <f t="shared" si="1"/>
        <v>47</v>
      </c>
      <c r="Y29" s="110">
        <f t="shared" si="2"/>
        <v>34</v>
      </c>
    </row>
    <row r="30">
      <c r="A30" s="4">
        <v>31.0</v>
      </c>
      <c r="B30" s="116" t="s">
        <v>1940</v>
      </c>
      <c r="C30" s="116" t="s">
        <v>1961</v>
      </c>
      <c r="D30" s="125" t="s">
        <v>1962</v>
      </c>
      <c r="E30" s="120" t="s">
        <v>1963</v>
      </c>
      <c r="F30" s="116">
        <v>18.0</v>
      </c>
      <c r="G30" s="116" t="s">
        <v>112</v>
      </c>
      <c r="H30" s="120" t="s">
        <v>125</v>
      </c>
      <c r="I30" s="4" t="s">
        <v>117</v>
      </c>
      <c r="J30" s="119">
        <v>0.0</v>
      </c>
      <c r="K30" s="119" t="s">
        <v>116</v>
      </c>
      <c r="L30" s="119">
        <v>2.0</v>
      </c>
      <c r="M30" s="120" t="s">
        <v>115</v>
      </c>
      <c r="N30" s="121">
        <v>41487.0</v>
      </c>
      <c r="O30" s="120"/>
      <c r="P30" s="120" t="s">
        <v>1964</v>
      </c>
      <c r="Q30" s="120"/>
      <c r="R30" s="121">
        <v>41409.0</v>
      </c>
      <c r="S30" s="121">
        <v>41418.0</v>
      </c>
      <c r="T30" s="116"/>
      <c r="U30" s="116"/>
      <c r="V30" s="120"/>
      <c r="W30" s="116"/>
      <c r="X30" s="109">
        <f t="shared" si="1"/>
        <v>69</v>
      </c>
      <c r="Y30" s="110">
        <f t="shared" si="2"/>
        <v>50</v>
      </c>
    </row>
    <row r="31">
      <c r="A31" s="4">
        <v>32.0</v>
      </c>
      <c r="B31" s="115" t="s">
        <v>1965</v>
      </c>
      <c r="C31" s="116" t="s">
        <v>15</v>
      </c>
      <c r="D31" s="125" t="s">
        <v>1959</v>
      </c>
      <c r="E31" s="120" t="s">
        <v>1966</v>
      </c>
      <c r="F31" s="116">
        <v>14.0</v>
      </c>
      <c r="G31" s="116" t="s">
        <v>112</v>
      </c>
      <c r="H31" s="120" t="s">
        <v>114</v>
      </c>
      <c r="I31" s="4" t="s">
        <v>117</v>
      </c>
      <c r="J31" s="119"/>
      <c r="K31" s="119" t="s">
        <v>116</v>
      </c>
      <c r="L31" s="118"/>
      <c r="M31" s="120" t="s">
        <v>115</v>
      </c>
      <c r="N31" s="121">
        <v>41487.0</v>
      </c>
      <c r="O31" s="120"/>
      <c r="P31" s="120" t="s">
        <v>1967</v>
      </c>
      <c r="Q31" s="120"/>
      <c r="R31" s="121">
        <v>41416.0</v>
      </c>
      <c r="S31" s="121">
        <v>41425.0</v>
      </c>
      <c r="T31" s="116"/>
      <c r="U31" s="116"/>
      <c r="V31" s="120"/>
      <c r="W31" s="116"/>
      <c r="X31" s="109">
        <f t="shared" si="1"/>
        <v>62</v>
      </c>
      <c r="Y31" s="110">
        <f t="shared" si="2"/>
        <v>45</v>
      </c>
    </row>
    <row r="32">
      <c r="A32" s="49">
        <v>33.0</v>
      </c>
      <c r="B32" s="116" t="s">
        <v>1598</v>
      </c>
      <c r="C32" s="116" t="s">
        <v>1909</v>
      </c>
      <c r="D32" s="125" t="s">
        <v>1968</v>
      </c>
      <c r="E32" s="120" t="s">
        <v>1816</v>
      </c>
      <c r="F32" s="116">
        <v>21.0</v>
      </c>
      <c r="G32" s="116" t="s">
        <v>112</v>
      </c>
      <c r="H32" s="120" t="s">
        <v>120</v>
      </c>
      <c r="I32" s="4" t="s">
        <v>117</v>
      </c>
      <c r="J32" s="119"/>
      <c r="K32" s="119" t="s">
        <v>116</v>
      </c>
      <c r="L32" s="118"/>
      <c r="M32" s="120" t="s">
        <v>115</v>
      </c>
      <c r="N32" s="121">
        <v>41487.0</v>
      </c>
      <c r="O32" s="120"/>
      <c r="P32" s="120" t="s">
        <v>1969</v>
      </c>
      <c r="Q32" s="120"/>
      <c r="R32" s="121">
        <v>41409.0</v>
      </c>
      <c r="S32" s="121">
        <v>41417.0</v>
      </c>
      <c r="T32" s="116"/>
      <c r="U32" s="116"/>
      <c r="V32" s="120"/>
      <c r="W32" s="116"/>
      <c r="X32" s="109">
        <f t="shared" si="1"/>
        <v>70</v>
      </c>
      <c r="Y32" s="110">
        <f t="shared" si="2"/>
        <v>51</v>
      </c>
    </row>
    <row r="33">
      <c r="A33" s="49">
        <v>34.0</v>
      </c>
      <c r="B33" s="116" t="s">
        <v>1598</v>
      </c>
      <c r="C33" s="116" t="s">
        <v>1909</v>
      </c>
      <c r="D33" s="125" t="s">
        <v>1970</v>
      </c>
      <c r="E33" s="120" t="s">
        <v>1638</v>
      </c>
      <c r="F33" s="116">
        <v>21.0</v>
      </c>
      <c r="G33" s="116" t="s">
        <v>112</v>
      </c>
      <c r="H33" s="120" t="s">
        <v>127</v>
      </c>
      <c r="I33" s="4" t="s">
        <v>117</v>
      </c>
      <c r="J33" s="119"/>
      <c r="K33" s="119" t="s">
        <v>116</v>
      </c>
      <c r="L33" s="118"/>
      <c r="M33" s="120" t="s">
        <v>115</v>
      </c>
      <c r="N33" s="121">
        <v>41493.0</v>
      </c>
      <c r="O33" s="120"/>
      <c r="P33" s="120" t="s">
        <v>1971</v>
      </c>
      <c r="Q33" s="120"/>
      <c r="R33" s="121">
        <v>41409.0</v>
      </c>
      <c r="S33" s="121">
        <v>41417.0</v>
      </c>
      <c r="T33" s="116"/>
      <c r="U33" s="116"/>
      <c r="V33" s="120"/>
      <c r="W33" s="116"/>
      <c r="X33" s="109">
        <f t="shared" si="1"/>
        <v>76</v>
      </c>
      <c r="Y33" s="110">
        <f t="shared" si="2"/>
        <v>55</v>
      </c>
    </row>
    <row r="34">
      <c r="A34" s="4">
        <v>35.0</v>
      </c>
      <c r="B34" s="116" t="s">
        <v>1615</v>
      </c>
      <c r="C34" s="116" t="s">
        <v>1850</v>
      </c>
      <c r="D34" s="125" t="s">
        <v>1972</v>
      </c>
      <c r="E34" s="120" t="s">
        <v>1973</v>
      </c>
      <c r="F34" s="116">
        <v>13.0</v>
      </c>
      <c r="G34" s="116" t="s">
        <v>112</v>
      </c>
      <c r="H34" s="120" t="s">
        <v>114</v>
      </c>
      <c r="I34" s="4" t="s">
        <v>117</v>
      </c>
      <c r="J34" s="119">
        <v>0.0</v>
      </c>
      <c r="K34" s="119" t="s">
        <v>116</v>
      </c>
      <c r="L34" s="119">
        <v>4.0</v>
      </c>
      <c r="M34" s="120" t="s">
        <v>115</v>
      </c>
      <c r="N34" s="121">
        <v>41495.0</v>
      </c>
      <c r="O34" s="120"/>
      <c r="P34" s="120" t="s">
        <v>1974</v>
      </c>
      <c r="Q34" s="120"/>
      <c r="R34" s="126">
        <v>41389.0</v>
      </c>
      <c r="S34" s="126">
        <v>41409.0</v>
      </c>
      <c r="T34" s="116"/>
      <c r="U34" s="116"/>
      <c r="V34" s="120"/>
      <c r="W34" s="116"/>
      <c r="X34" s="109">
        <f t="shared" si="1"/>
        <v>86</v>
      </c>
      <c r="Y34" s="110">
        <f t="shared" si="2"/>
        <v>63</v>
      </c>
    </row>
    <row r="35">
      <c r="A35" s="4">
        <v>36.0</v>
      </c>
      <c r="B35" s="116" t="s">
        <v>1975</v>
      </c>
      <c r="C35" s="116" t="s">
        <v>1614</v>
      </c>
      <c r="D35" s="125" t="s">
        <v>1934</v>
      </c>
      <c r="E35" s="120" t="s">
        <v>1611</v>
      </c>
      <c r="F35" s="116">
        <v>14.0</v>
      </c>
      <c r="G35" s="116" t="s">
        <v>112</v>
      </c>
      <c r="H35" s="120" t="s">
        <v>114</v>
      </c>
      <c r="I35" s="4" t="s">
        <v>117</v>
      </c>
      <c r="J35" s="119"/>
      <c r="K35" s="119" t="s">
        <v>116</v>
      </c>
      <c r="L35" s="119">
        <v>11.0</v>
      </c>
      <c r="M35" s="120" t="s">
        <v>115</v>
      </c>
      <c r="N35" s="121">
        <v>41348.0</v>
      </c>
      <c r="O35" s="120"/>
      <c r="P35" s="120" t="s">
        <v>1976</v>
      </c>
      <c r="Q35" s="120"/>
      <c r="R35" s="121">
        <v>41241.0</v>
      </c>
      <c r="S35" s="121">
        <v>41246.0</v>
      </c>
      <c r="T35" s="116"/>
      <c r="U35" s="116"/>
      <c r="V35" s="120"/>
      <c r="W35" s="116"/>
      <c r="X35" s="127">
        <f t="shared" si="1"/>
        <v>102</v>
      </c>
      <c r="Y35" s="110"/>
    </row>
    <row r="36">
      <c r="A36" s="49">
        <v>37.0</v>
      </c>
      <c r="B36" s="116" t="s">
        <v>1642</v>
      </c>
      <c r="C36" s="116" t="s">
        <v>1905</v>
      </c>
      <c r="D36" s="125" t="s">
        <v>1906</v>
      </c>
      <c r="E36" s="120" t="s">
        <v>1907</v>
      </c>
      <c r="F36" s="116">
        <v>10.0</v>
      </c>
      <c r="G36" s="116" t="s">
        <v>112</v>
      </c>
      <c r="H36" s="120" t="s">
        <v>114</v>
      </c>
      <c r="I36" s="4" t="s">
        <v>117</v>
      </c>
      <c r="J36" s="119"/>
      <c r="K36" s="119" t="s">
        <v>116</v>
      </c>
      <c r="L36" s="118"/>
      <c r="M36" s="120" t="s">
        <v>115</v>
      </c>
      <c r="N36" s="121">
        <v>41396.0</v>
      </c>
      <c r="O36" s="120"/>
      <c r="P36" s="120" t="s">
        <v>337</v>
      </c>
      <c r="Q36" s="120"/>
      <c r="R36" s="121">
        <v>41353.0</v>
      </c>
      <c r="S36" s="121">
        <v>41360.0</v>
      </c>
      <c r="T36" s="116"/>
      <c r="U36" s="116"/>
      <c r="V36" s="120"/>
      <c r="W36" s="116"/>
      <c r="X36" s="109">
        <f t="shared" si="1"/>
        <v>36</v>
      </c>
      <c r="Y36" s="110">
        <f t="shared" ref="Y36:Y47" si="3">IF(AND(NETWORKDAYS(S36,N36)&gt;1000,NETWORKDAYS(S36,N36)&lt;1),"",(NETWORKDAYS(S36,N36)))</f>
        <v>27</v>
      </c>
    </row>
    <row r="37">
      <c r="A37" s="49">
        <v>38.0</v>
      </c>
      <c r="B37" s="116" t="s">
        <v>1892</v>
      </c>
      <c r="C37" s="116" t="s">
        <v>1936</v>
      </c>
      <c r="D37" s="125" t="s">
        <v>1968</v>
      </c>
      <c r="E37" s="120" t="s">
        <v>1816</v>
      </c>
      <c r="F37" s="116">
        <v>21.0</v>
      </c>
      <c r="G37" s="116" t="s">
        <v>112</v>
      </c>
      <c r="H37" s="120" t="s">
        <v>120</v>
      </c>
      <c r="I37" s="4" t="s">
        <v>117</v>
      </c>
      <c r="J37" s="119">
        <v>0.0</v>
      </c>
      <c r="K37" s="119" t="s">
        <v>116</v>
      </c>
      <c r="L37" s="119">
        <v>6.0</v>
      </c>
      <c r="M37" s="120" t="s">
        <v>115</v>
      </c>
      <c r="N37" s="121">
        <v>41512.0</v>
      </c>
      <c r="O37" s="120"/>
      <c r="P37" s="120" t="s">
        <v>1977</v>
      </c>
      <c r="Q37" s="120"/>
      <c r="R37" s="121">
        <v>41382.0</v>
      </c>
      <c r="S37" s="121">
        <v>41389.0</v>
      </c>
      <c r="T37" s="116"/>
      <c r="U37" s="116"/>
      <c r="V37" s="120"/>
      <c r="W37" s="116"/>
      <c r="X37" s="109">
        <f t="shared" si="1"/>
        <v>123</v>
      </c>
      <c r="Y37" s="110">
        <f t="shared" si="3"/>
        <v>88</v>
      </c>
    </row>
    <row r="38">
      <c r="A38" s="49">
        <v>39.0</v>
      </c>
      <c r="B38" s="116" t="s">
        <v>1598</v>
      </c>
      <c r="C38" s="116" t="s">
        <v>1871</v>
      </c>
      <c r="D38" s="125" t="s">
        <v>1968</v>
      </c>
      <c r="E38" s="120" t="s">
        <v>1816</v>
      </c>
      <c r="F38" s="116">
        <v>21.0</v>
      </c>
      <c r="G38" s="116" t="s">
        <v>112</v>
      </c>
      <c r="H38" s="120" t="s">
        <v>120</v>
      </c>
      <c r="I38" s="4" t="s">
        <v>117</v>
      </c>
      <c r="J38" s="119">
        <v>1.0</v>
      </c>
      <c r="K38" s="119" t="s">
        <v>122</v>
      </c>
      <c r="L38" s="119"/>
      <c r="M38" s="120" t="s">
        <v>115</v>
      </c>
      <c r="N38" s="121">
        <v>41519.0</v>
      </c>
      <c r="O38" s="120" t="s">
        <v>1978</v>
      </c>
      <c r="P38" s="120"/>
      <c r="Q38" s="120"/>
      <c r="R38" s="121">
        <v>41486.0</v>
      </c>
      <c r="S38" s="121">
        <v>41493.0</v>
      </c>
      <c r="T38" s="116">
        <v>24.0</v>
      </c>
      <c r="U38" s="116" t="s">
        <v>127</v>
      </c>
      <c r="V38" s="120" t="s">
        <v>1871</v>
      </c>
      <c r="W38" s="116"/>
      <c r="X38" s="109">
        <f t="shared" si="1"/>
        <v>26</v>
      </c>
      <c r="Y38" s="110">
        <f t="shared" si="3"/>
        <v>19</v>
      </c>
    </row>
    <row r="39">
      <c r="A39" s="49">
        <v>40.0</v>
      </c>
      <c r="B39" s="116" t="s">
        <v>1892</v>
      </c>
      <c r="C39" s="116" t="s">
        <v>1979</v>
      </c>
      <c r="D39" s="125" t="s">
        <v>1937</v>
      </c>
      <c r="E39" s="120" t="s">
        <v>1711</v>
      </c>
      <c r="F39" s="116">
        <v>14.0</v>
      </c>
      <c r="G39" s="116" t="s">
        <v>112</v>
      </c>
      <c r="H39" s="120" t="s">
        <v>114</v>
      </c>
      <c r="I39" s="4" t="s">
        <v>117</v>
      </c>
      <c r="J39" s="119">
        <v>0.0</v>
      </c>
      <c r="K39" s="119" t="s">
        <v>116</v>
      </c>
      <c r="L39" s="119">
        <v>20.0</v>
      </c>
      <c r="M39" s="120" t="s">
        <v>115</v>
      </c>
      <c r="N39" s="121">
        <v>41519.0</v>
      </c>
      <c r="O39" s="120"/>
      <c r="P39" s="120" t="s">
        <v>1980</v>
      </c>
      <c r="Q39" s="120"/>
      <c r="R39" s="121">
        <v>41402.0</v>
      </c>
      <c r="S39" s="121">
        <v>41409.0</v>
      </c>
      <c r="T39" s="116"/>
      <c r="U39" s="116"/>
      <c r="V39" s="120"/>
      <c r="W39" s="116"/>
      <c r="X39" s="109">
        <f t="shared" si="1"/>
        <v>110</v>
      </c>
      <c r="Y39" s="110">
        <f t="shared" si="3"/>
        <v>79</v>
      </c>
    </row>
    <row r="40">
      <c r="A40" s="49">
        <v>41.0</v>
      </c>
      <c r="B40" s="116" t="s">
        <v>1637</v>
      </c>
      <c r="C40" s="116" t="s">
        <v>1637</v>
      </c>
      <c r="D40" s="125" t="s">
        <v>1968</v>
      </c>
      <c r="E40" s="120" t="s">
        <v>1816</v>
      </c>
      <c r="F40" s="116">
        <v>20.0</v>
      </c>
      <c r="G40" s="116" t="s">
        <v>112</v>
      </c>
      <c r="H40" s="120" t="s">
        <v>120</v>
      </c>
      <c r="I40" s="4" t="s">
        <v>117</v>
      </c>
      <c r="J40" s="119">
        <v>0.0</v>
      </c>
      <c r="K40" s="119" t="s">
        <v>116</v>
      </c>
      <c r="L40" s="119">
        <v>7.0</v>
      </c>
      <c r="M40" s="120" t="s">
        <v>115</v>
      </c>
      <c r="N40" s="121">
        <v>41519.0</v>
      </c>
      <c r="O40" s="120"/>
      <c r="P40" s="120" t="s">
        <v>1981</v>
      </c>
      <c r="Q40" s="120"/>
      <c r="R40" s="121">
        <v>41439.0</v>
      </c>
      <c r="S40" s="121">
        <v>41446.0</v>
      </c>
      <c r="T40" s="116"/>
      <c r="U40" s="116"/>
      <c r="V40" s="120"/>
      <c r="W40" s="116"/>
      <c r="X40" s="109">
        <f t="shared" si="1"/>
        <v>73</v>
      </c>
      <c r="Y40" s="110">
        <f t="shared" si="3"/>
        <v>52</v>
      </c>
    </row>
    <row r="41">
      <c r="A41" s="49">
        <v>42.0</v>
      </c>
      <c r="B41" s="116" t="s">
        <v>1982</v>
      </c>
      <c r="C41" s="116" t="s">
        <v>1871</v>
      </c>
      <c r="D41" s="125" t="s">
        <v>1915</v>
      </c>
      <c r="E41" s="120" t="s">
        <v>1916</v>
      </c>
      <c r="F41" s="116">
        <v>20.0</v>
      </c>
      <c r="G41" s="116" t="s">
        <v>112</v>
      </c>
      <c r="H41" s="120" t="s">
        <v>125</v>
      </c>
      <c r="I41" s="4" t="s">
        <v>117</v>
      </c>
      <c r="J41" s="119">
        <v>0.0</v>
      </c>
      <c r="K41" s="119" t="s">
        <v>116</v>
      </c>
      <c r="L41" s="119">
        <v>4.0</v>
      </c>
      <c r="M41" s="120" t="s">
        <v>115</v>
      </c>
      <c r="N41" s="121">
        <v>41519.0</v>
      </c>
      <c r="O41" s="120"/>
      <c r="P41" s="120" t="s">
        <v>1983</v>
      </c>
      <c r="Q41" s="120"/>
      <c r="R41" s="121">
        <v>41435.0</v>
      </c>
      <c r="S41" s="121">
        <v>41442.0</v>
      </c>
      <c r="T41" s="116"/>
      <c r="U41" s="116"/>
      <c r="V41" s="120"/>
      <c r="W41" s="116"/>
      <c r="X41" s="109">
        <f t="shared" si="1"/>
        <v>77</v>
      </c>
      <c r="Y41" s="110">
        <f t="shared" si="3"/>
        <v>56</v>
      </c>
    </row>
    <row r="42">
      <c r="A42" s="49">
        <v>43.0</v>
      </c>
      <c r="B42" s="116" t="s">
        <v>1740</v>
      </c>
      <c r="C42" s="116" t="s">
        <v>1984</v>
      </c>
      <c r="D42" s="125" t="s">
        <v>1947</v>
      </c>
      <c r="E42" s="120" t="s">
        <v>1948</v>
      </c>
      <c r="F42" s="116">
        <v>23.0</v>
      </c>
      <c r="G42" s="116" t="s">
        <v>112</v>
      </c>
      <c r="H42" s="120" t="s">
        <v>127</v>
      </c>
      <c r="I42" s="4" t="s">
        <v>117</v>
      </c>
      <c r="J42" s="119">
        <v>1.0</v>
      </c>
      <c r="K42" s="119" t="s">
        <v>116</v>
      </c>
      <c r="L42" s="119">
        <v>9.0</v>
      </c>
      <c r="M42" s="120" t="s">
        <v>115</v>
      </c>
      <c r="N42" s="121">
        <v>41519.0</v>
      </c>
      <c r="O42" s="120"/>
      <c r="P42" s="120" t="s">
        <v>1985</v>
      </c>
      <c r="Q42" s="120"/>
      <c r="R42" s="121">
        <v>41387.0</v>
      </c>
      <c r="S42" s="121">
        <v>41415.0</v>
      </c>
      <c r="T42" s="116"/>
      <c r="U42" s="116"/>
      <c r="V42" s="120"/>
      <c r="W42" s="116"/>
      <c r="X42" s="109">
        <f t="shared" si="1"/>
        <v>104</v>
      </c>
      <c r="Y42" s="110">
        <f t="shared" si="3"/>
        <v>75</v>
      </c>
    </row>
    <row r="43">
      <c r="A43" s="49">
        <v>44.0</v>
      </c>
      <c r="B43" s="116" t="s">
        <v>1982</v>
      </c>
      <c r="C43" s="116" t="s">
        <v>1986</v>
      </c>
      <c r="D43" s="125" t="s">
        <v>1955</v>
      </c>
      <c r="E43" s="120" t="s">
        <v>1741</v>
      </c>
      <c r="F43" s="116">
        <v>21.0</v>
      </c>
      <c r="G43" s="116" t="s">
        <v>112</v>
      </c>
      <c r="H43" s="120" t="s">
        <v>127</v>
      </c>
      <c r="I43" s="4" t="s">
        <v>117</v>
      </c>
      <c r="J43" s="119">
        <v>1.0</v>
      </c>
      <c r="K43" s="119" t="s">
        <v>116</v>
      </c>
      <c r="L43" s="119">
        <v>4.0</v>
      </c>
      <c r="M43" s="120" t="s">
        <v>115</v>
      </c>
      <c r="N43" s="121">
        <v>41505.0</v>
      </c>
      <c r="O43" s="120"/>
      <c r="P43" s="120" t="s">
        <v>1987</v>
      </c>
      <c r="Q43" s="120"/>
      <c r="R43" s="121">
        <v>41410.0</v>
      </c>
      <c r="S43" s="121">
        <v>41425.0</v>
      </c>
      <c r="T43" s="116"/>
      <c r="U43" s="116"/>
      <c r="V43" s="120"/>
      <c r="W43" s="116"/>
      <c r="X43" s="109">
        <f t="shared" si="1"/>
        <v>80</v>
      </c>
      <c r="Y43" s="110">
        <f t="shared" si="3"/>
        <v>57</v>
      </c>
    </row>
    <row r="44">
      <c r="A44" s="49">
        <v>45.0</v>
      </c>
      <c r="B44" s="116" t="s">
        <v>1594</v>
      </c>
      <c r="C44" s="116" t="s">
        <v>1594</v>
      </c>
      <c r="D44" s="125" t="s">
        <v>1988</v>
      </c>
      <c r="E44" s="120" t="s">
        <v>1989</v>
      </c>
      <c r="F44" s="116">
        <v>10.0</v>
      </c>
      <c r="G44" s="116" t="s">
        <v>112</v>
      </c>
      <c r="H44" s="120" t="s">
        <v>114</v>
      </c>
      <c r="I44" s="4" t="s">
        <v>117</v>
      </c>
      <c r="J44" s="119">
        <v>5.0</v>
      </c>
      <c r="K44" s="119" t="s">
        <v>122</v>
      </c>
      <c r="L44" s="119"/>
      <c r="M44" s="120" t="s">
        <v>115</v>
      </c>
      <c r="N44" s="121">
        <v>41519.0</v>
      </c>
      <c r="O44" s="120" t="s">
        <v>1990</v>
      </c>
      <c r="P44" s="120"/>
      <c r="Q44" s="120"/>
      <c r="R44" s="121">
        <v>41390.0</v>
      </c>
      <c r="S44" s="121">
        <v>41404.0</v>
      </c>
      <c r="T44" s="116"/>
      <c r="U44" s="116" t="s">
        <v>120</v>
      </c>
      <c r="V44" s="120" t="s">
        <v>1991</v>
      </c>
      <c r="W44" s="116"/>
      <c r="X44" s="109">
        <f t="shared" si="1"/>
        <v>115</v>
      </c>
      <c r="Y44" s="110">
        <f t="shared" si="3"/>
        <v>82</v>
      </c>
    </row>
    <row r="45">
      <c r="A45" s="49">
        <v>46.0</v>
      </c>
      <c r="B45" s="115" t="s">
        <v>1627</v>
      </c>
      <c r="C45" s="116" t="s">
        <v>1834</v>
      </c>
      <c r="D45" s="125" t="s">
        <v>1992</v>
      </c>
      <c r="E45" s="120" t="s">
        <v>1993</v>
      </c>
      <c r="F45" s="116">
        <v>10.0</v>
      </c>
      <c r="G45" s="116" t="s">
        <v>112</v>
      </c>
      <c r="H45" s="120" t="s">
        <v>114</v>
      </c>
      <c r="I45" s="4" t="s">
        <v>117</v>
      </c>
      <c r="J45" s="119">
        <v>0.0</v>
      </c>
      <c r="K45" s="119" t="s">
        <v>116</v>
      </c>
      <c r="L45" s="119">
        <v>5.0</v>
      </c>
      <c r="M45" s="120" t="s">
        <v>115</v>
      </c>
      <c r="N45" s="121">
        <v>41540.0</v>
      </c>
      <c r="O45" s="120"/>
      <c r="P45" s="120" t="s">
        <v>1994</v>
      </c>
      <c r="Q45" s="120"/>
      <c r="R45" s="121">
        <v>41402.0</v>
      </c>
      <c r="S45" s="121">
        <v>41409.0</v>
      </c>
      <c r="T45" s="116"/>
      <c r="U45" s="116"/>
      <c r="V45" s="120"/>
      <c r="W45" s="116"/>
      <c r="X45" s="109">
        <f t="shared" si="1"/>
        <v>131</v>
      </c>
      <c r="Y45" s="110">
        <f t="shared" si="3"/>
        <v>94</v>
      </c>
    </row>
    <row r="46">
      <c r="A46" s="49">
        <v>47.0</v>
      </c>
      <c r="B46" s="116" t="s">
        <v>1642</v>
      </c>
      <c r="C46" s="116" t="s">
        <v>1643</v>
      </c>
      <c r="D46" s="125" t="s">
        <v>1897</v>
      </c>
      <c r="E46" s="120" t="s">
        <v>1898</v>
      </c>
      <c r="F46" s="116">
        <v>17.0</v>
      </c>
      <c r="G46" s="116" t="s">
        <v>112</v>
      </c>
      <c r="H46" s="120" t="s">
        <v>120</v>
      </c>
      <c r="I46" s="4" t="s">
        <v>117</v>
      </c>
      <c r="J46" s="119">
        <v>2.0</v>
      </c>
      <c r="K46" s="119" t="s">
        <v>122</v>
      </c>
      <c r="L46" s="119"/>
      <c r="M46" s="120" t="s">
        <v>115</v>
      </c>
      <c r="N46" s="121">
        <v>41498.0</v>
      </c>
      <c r="O46" s="120" t="s">
        <v>1995</v>
      </c>
      <c r="P46" s="120"/>
      <c r="Q46" s="120"/>
      <c r="R46" s="121">
        <v>41423.0</v>
      </c>
      <c r="S46" s="121">
        <v>41431.0</v>
      </c>
      <c r="T46" s="116">
        <v>21.0</v>
      </c>
      <c r="U46" s="116" t="s">
        <v>120</v>
      </c>
      <c r="V46" s="120" t="s">
        <v>1996</v>
      </c>
      <c r="W46" s="116"/>
      <c r="X46" s="109">
        <f t="shared" si="1"/>
        <v>67</v>
      </c>
      <c r="Y46" s="110">
        <f t="shared" si="3"/>
        <v>48</v>
      </c>
    </row>
    <row r="47">
      <c r="A47" s="49">
        <v>48.0</v>
      </c>
      <c r="B47" s="116" t="s">
        <v>1642</v>
      </c>
      <c r="C47" s="116" t="s">
        <v>1642</v>
      </c>
      <c r="D47" s="125" t="s">
        <v>1997</v>
      </c>
      <c r="E47" s="120" t="s">
        <v>1998</v>
      </c>
      <c r="F47" s="116">
        <v>12.0</v>
      </c>
      <c r="G47" s="116" t="s">
        <v>112</v>
      </c>
      <c r="H47" s="120" t="s">
        <v>114</v>
      </c>
      <c r="I47" s="4" t="s">
        <v>117</v>
      </c>
      <c r="J47" s="119">
        <v>3.0</v>
      </c>
      <c r="K47" s="118" t="s">
        <v>116</v>
      </c>
      <c r="L47" s="118"/>
      <c r="M47" s="120" t="s">
        <v>115</v>
      </c>
      <c r="N47" s="121">
        <v>41499.0</v>
      </c>
      <c r="O47" s="120"/>
      <c r="P47" s="120" t="s">
        <v>1999</v>
      </c>
      <c r="Q47" s="120"/>
      <c r="R47" s="121">
        <v>41474.0</v>
      </c>
      <c r="S47" s="121">
        <v>41479.0</v>
      </c>
      <c r="T47" s="116"/>
      <c r="U47" s="116"/>
      <c r="V47" s="120"/>
      <c r="W47" s="116"/>
      <c r="X47" s="109">
        <f t="shared" si="1"/>
        <v>20</v>
      </c>
      <c r="Y47" s="110">
        <f t="shared" si="3"/>
        <v>15</v>
      </c>
    </row>
    <row r="48">
      <c r="A48" s="49">
        <v>49.0</v>
      </c>
      <c r="B48" s="115" t="s">
        <v>1627</v>
      </c>
      <c r="C48" s="115" t="s">
        <v>1627</v>
      </c>
      <c r="D48" s="125" t="s">
        <v>2000</v>
      </c>
      <c r="E48" s="120" t="s">
        <v>2001</v>
      </c>
      <c r="F48" s="116">
        <v>9.0</v>
      </c>
      <c r="G48" s="116" t="s">
        <v>112</v>
      </c>
      <c r="H48" s="120" t="s">
        <v>114</v>
      </c>
      <c r="I48" s="4" t="s">
        <v>117</v>
      </c>
      <c r="J48" s="119">
        <v>0.0</v>
      </c>
      <c r="K48" s="119" t="s">
        <v>116</v>
      </c>
      <c r="L48" s="119">
        <v>2.0</v>
      </c>
      <c r="M48" s="120" t="s">
        <v>115</v>
      </c>
      <c r="N48" s="128">
        <v>41526.0</v>
      </c>
      <c r="O48" s="120"/>
      <c r="P48" s="120" t="s">
        <v>2002</v>
      </c>
      <c r="Q48" s="120"/>
      <c r="R48" s="121">
        <v>41479.0</v>
      </c>
      <c r="S48" s="121">
        <v>41487.0</v>
      </c>
      <c r="T48" s="116"/>
      <c r="U48" s="116"/>
      <c r="V48" s="120"/>
      <c r="W48" s="116"/>
      <c r="X48" s="124"/>
      <c r="Y48" s="110"/>
    </row>
    <row r="49">
      <c r="A49" s="49">
        <v>50.0</v>
      </c>
      <c r="B49" s="116" t="s">
        <v>2003</v>
      </c>
      <c r="C49" s="116" t="s">
        <v>1932</v>
      </c>
      <c r="D49" s="129" t="s">
        <v>2004</v>
      </c>
      <c r="E49" s="130" t="s">
        <v>2005</v>
      </c>
      <c r="F49" s="116">
        <v>17.0</v>
      </c>
      <c r="G49" s="116" t="s">
        <v>112</v>
      </c>
      <c r="H49" s="120" t="s">
        <v>125</v>
      </c>
      <c r="I49" s="4" t="s">
        <v>117</v>
      </c>
      <c r="J49" s="119">
        <v>2.0</v>
      </c>
      <c r="K49" s="119" t="s">
        <v>122</v>
      </c>
      <c r="L49" s="119">
        <v>0.0</v>
      </c>
      <c r="M49" s="120" t="s">
        <v>115</v>
      </c>
      <c r="N49" s="121">
        <v>41487.0</v>
      </c>
      <c r="O49" s="120" t="s">
        <v>2006</v>
      </c>
      <c r="P49" s="120"/>
      <c r="Q49" s="120"/>
      <c r="R49" s="121">
        <v>41444.0</v>
      </c>
      <c r="S49" s="121">
        <v>41451.0</v>
      </c>
      <c r="T49" s="116">
        <v>19.0</v>
      </c>
      <c r="U49" s="116" t="s">
        <v>120</v>
      </c>
      <c r="V49" s="120" t="s">
        <v>1932</v>
      </c>
      <c r="W49" s="116"/>
      <c r="X49" s="109">
        <f t="shared" ref="X49:X50" si="4">N49-S49</f>
        <v>36</v>
      </c>
      <c r="Y49" s="110">
        <f t="shared" ref="Y49:Y50" si="5">IF(AND(NETWORKDAYS(S49,N49)&gt;1000,NETWORKDAYS(S49,N49)&lt;1),"",(NETWORKDAYS(S49,N49)))</f>
        <v>27</v>
      </c>
    </row>
    <row r="50">
      <c r="A50" s="49">
        <v>51.0</v>
      </c>
      <c r="B50" s="116" t="s">
        <v>1740</v>
      </c>
      <c r="C50" s="115" t="s">
        <v>1740</v>
      </c>
      <c r="D50" s="125" t="s">
        <v>1959</v>
      </c>
      <c r="E50" s="120" t="s">
        <v>1872</v>
      </c>
      <c r="F50" s="116">
        <v>14.0</v>
      </c>
      <c r="G50" s="116" t="s">
        <v>112</v>
      </c>
      <c r="H50" s="120" t="s">
        <v>114</v>
      </c>
      <c r="I50" s="4" t="s">
        <v>117</v>
      </c>
      <c r="J50" s="119">
        <v>0.0</v>
      </c>
      <c r="K50" s="119" t="s">
        <v>116</v>
      </c>
      <c r="L50" s="119">
        <v>2.0</v>
      </c>
      <c r="M50" s="120" t="s">
        <v>115</v>
      </c>
      <c r="N50" s="121">
        <v>41472.0</v>
      </c>
      <c r="O50" s="120"/>
      <c r="P50" s="120" t="s">
        <v>2007</v>
      </c>
      <c r="Q50" s="120"/>
      <c r="R50" s="121">
        <v>41417.0</v>
      </c>
      <c r="S50" s="121">
        <v>41425.0</v>
      </c>
      <c r="T50" s="116"/>
      <c r="U50" s="116"/>
      <c r="V50" s="120"/>
      <c r="W50" s="116"/>
      <c r="X50" s="109">
        <f t="shared" si="4"/>
        <v>47</v>
      </c>
      <c r="Y50" s="110">
        <f t="shared" si="5"/>
        <v>34</v>
      </c>
    </row>
    <row r="51">
      <c r="A51" s="49">
        <v>52.0</v>
      </c>
      <c r="B51" s="115" t="s">
        <v>1627</v>
      </c>
      <c r="C51" s="115" t="s">
        <v>2008</v>
      </c>
      <c r="D51" s="125" t="s">
        <v>2009</v>
      </c>
      <c r="E51" s="120" t="s">
        <v>1862</v>
      </c>
      <c r="F51" s="116">
        <v>17.0</v>
      </c>
      <c r="G51" s="116" t="s">
        <v>112</v>
      </c>
      <c r="H51" s="120" t="s">
        <v>125</v>
      </c>
      <c r="I51" s="4" t="s">
        <v>117</v>
      </c>
      <c r="J51" s="119">
        <v>4.0</v>
      </c>
      <c r="K51" s="119" t="s">
        <v>122</v>
      </c>
      <c r="L51" s="119"/>
      <c r="M51" s="120" t="s">
        <v>115</v>
      </c>
      <c r="N51" s="121">
        <v>41487.0</v>
      </c>
      <c r="O51" s="120" t="s">
        <v>2010</v>
      </c>
      <c r="P51" s="120"/>
      <c r="Q51" s="120"/>
      <c r="R51" s="121"/>
      <c r="S51" s="121"/>
      <c r="T51" s="116">
        <v>21.0</v>
      </c>
      <c r="U51" s="116" t="s">
        <v>120</v>
      </c>
      <c r="V51" s="120" t="s">
        <v>1932</v>
      </c>
      <c r="W51" s="116"/>
      <c r="X51" s="124"/>
      <c r="Y51" s="110"/>
    </row>
    <row r="52">
      <c r="A52" s="49">
        <v>53.0</v>
      </c>
      <c r="B52" s="116" t="s">
        <v>2011</v>
      </c>
      <c r="C52" s="116" t="s">
        <v>2012</v>
      </c>
      <c r="D52" s="125" t="s">
        <v>1897</v>
      </c>
      <c r="E52" s="120" t="s">
        <v>1898</v>
      </c>
      <c r="F52" s="116">
        <v>17.0</v>
      </c>
      <c r="G52" s="116" t="s">
        <v>112</v>
      </c>
      <c r="H52" s="120" t="s">
        <v>120</v>
      </c>
      <c r="I52" s="4" t="s">
        <v>117</v>
      </c>
      <c r="J52" s="119">
        <v>1.0</v>
      </c>
      <c r="K52" s="119" t="s">
        <v>122</v>
      </c>
      <c r="L52" s="119"/>
      <c r="M52" s="120" t="s">
        <v>115</v>
      </c>
      <c r="N52" s="121">
        <v>41547.0</v>
      </c>
      <c r="O52" s="120" t="s">
        <v>2013</v>
      </c>
      <c r="P52" s="120"/>
      <c r="Q52" s="120"/>
      <c r="R52" s="121">
        <v>41499.0</v>
      </c>
      <c r="S52" s="121">
        <v>41512.0</v>
      </c>
      <c r="T52" s="116">
        <v>18.0</v>
      </c>
      <c r="U52" s="116" t="s">
        <v>120</v>
      </c>
      <c r="V52" s="120" t="s">
        <v>2014</v>
      </c>
      <c r="W52" s="116"/>
      <c r="X52" s="109">
        <f t="shared" ref="X52:X54" si="6">N52-S52</f>
        <v>35</v>
      </c>
      <c r="Y52" s="110">
        <f t="shared" ref="Y52:Y54" si="7">IF(AND(NETWORKDAYS(S52,N52)&gt;1000,NETWORKDAYS(S52,N52)&lt;1),"",(NETWORKDAYS(S52,N52)))</f>
        <v>26</v>
      </c>
    </row>
    <row r="53">
      <c r="A53" s="49">
        <v>54.0</v>
      </c>
      <c r="B53" s="116" t="s">
        <v>1940</v>
      </c>
      <c r="C53" s="116" t="s">
        <v>2015</v>
      </c>
      <c r="D53" s="125" t="s">
        <v>2016</v>
      </c>
      <c r="E53" s="120" t="s">
        <v>1815</v>
      </c>
      <c r="F53" s="116" t="s">
        <v>2017</v>
      </c>
      <c r="G53" s="116" t="s">
        <v>112</v>
      </c>
      <c r="H53" s="120" t="s">
        <v>114</v>
      </c>
      <c r="I53" s="117"/>
      <c r="J53" s="119"/>
      <c r="K53" s="119" t="s">
        <v>116</v>
      </c>
      <c r="L53" s="119">
        <v>5.0</v>
      </c>
      <c r="M53" s="120" t="s">
        <v>115</v>
      </c>
      <c r="N53" s="131">
        <v>41519.0</v>
      </c>
      <c r="O53" s="132"/>
      <c r="P53" s="132" t="s">
        <v>2018</v>
      </c>
      <c r="Q53" s="132"/>
      <c r="R53" s="121">
        <v>41451.0</v>
      </c>
      <c r="S53" s="121">
        <v>41460.0</v>
      </c>
      <c r="T53" s="116"/>
      <c r="U53" s="116"/>
      <c r="V53" s="120"/>
      <c r="W53" s="116"/>
      <c r="X53" s="109">
        <f t="shared" si="6"/>
        <v>59</v>
      </c>
      <c r="Y53" s="110">
        <f t="shared" si="7"/>
        <v>42</v>
      </c>
    </row>
    <row r="54">
      <c r="A54" s="49">
        <v>55.0</v>
      </c>
      <c r="B54" s="116" t="s">
        <v>1598</v>
      </c>
      <c r="C54" s="116" t="s">
        <v>1871</v>
      </c>
      <c r="D54" s="125" t="s">
        <v>1954</v>
      </c>
      <c r="E54" s="120" t="s">
        <v>1591</v>
      </c>
      <c r="F54" s="116">
        <v>19.0</v>
      </c>
      <c r="G54" s="116" t="s">
        <v>112</v>
      </c>
      <c r="H54" s="120" t="s">
        <v>120</v>
      </c>
      <c r="I54" s="116" t="s">
        <v>117</v>
      </c>
      <c r="J54" s="119">
        <v>0.0</v>
      </c>
      <c r="K54" s="119" t="s">
        <v>116</v>
      </c>
      <c r="L54" s="119">
        <v>2.0</v>
      </c>
      <c r="M54" s="133" t="s">
        <v>115</v>
      </c>
      <c r="N54" s="121">
        <v>41551.0</v>
      </c>
      <c r="O54" s="120"/>
      <c r="P54" s="120" t="s">
        <v>2019</v>
      </c>
      <c r="Q54" s="134"/>
      <c r="R54" s="135">
        <v>41516.0</v>
      </c>
      <c r="S54" s="121">
        <v>41523.0</v>
      </c>
      <c r="T54" s="116"/>
      <c r="U54" s="116"/>
      <c r="V54" s="120"/>
      <c r="W54" s="116"/>
      <c r="X54" s="109">
        <f t="shared" si="6"/>
        <v>28</v>
      </c>
      <c r="Y54" s="110">
        <f t="shared" si="7"/>
        <v>21</v>
      </c>
    </row>
    <row r="55">
      <c r="A55" s="49">
        <v>56.0</v>
      </c>
      <c r="B55" s="116" t="s">
        <v>1594</v>
      </c>
      <c r="C55" s="116" t="s">
        <v>1594</v>
      </c>
      <c r="D55" s="125" t="s">
        <v>2020</v>
      </c>
      <c r="E55" s="120" t="s">
        <v>2021</v>
      </c>
      <c r="F55" s="116">
        <v>10.0</v>
      </c>
      <c r="G55" s="116" t="s">
        <v>112</v>
      </c>
      <c r="H55" s="120" t="s">
        <v>120</v>
      </c>
      <c r="I55" s="116" t="s">
        <v>117</v>
      </c>
      <c r="J55" s="119">
        <v>9.0</v>
      </c>
      <c r="K55" s="119" t="s">
        <v>122</v>
      </c>
      <c r="L55" s="119">
        <v>0.0</v>
      </c>
      <c r="M55" s="120" t="s">
        <v>1596</v>
      </c>
      <c r="N55" s="136"/>
      <c r="O55" s="137"/>
      <c r="P55" s="137"/>
      <c r="Q55" s="137"/>
      <c r="R55" s="121">
        <v>41390.0</v>
      </c>
      <c r="S55" s="121">
        <v>41404.0</v>
      </c>
      <c r="T55" s="116"/>
      <c r="U55" s="116"/>
      <c r="V55" s="120"/>
      <c r="W55" s="116"/>
      <c r="X55" s="124"/>
      <c r="Y55" s="110"/>
    </row>
    <row r="56">
      <c r="A56" s="49">
        <v>57.0</v>
      </c>
      <c r="B56" s="116" t="s">
        <v>1594</v>
      </c>
      <c r="C56" s="116" t="s">
        <v>1594</v>
      </c>
      <c r="D56" s="125" t="s">
        <v>1970</v>
      </c>
      <c r="E56" s="120" t="s">
        <v>1638</v>
      </c>
      <c r="F56" s="116">
        <v>21.0</v>
      </c>
      <c r="G56" s="116" t="s">
        <v>112</v>
      </c>
      <c r="H56" s="120" t="s">
        <v>127</v>
      </c>
      <c r="I56" s="116" t="s">
        <v>117</v>
      </c>
      <c r="J56" s="138">
        <v>3.0</v>
      </c>
      <c r="K56" s="138" t="s">
        <v>122</v>
      </c>
      <c r="L56" s="138">
        <v>0.0</v>
      </c>
      <c r="M56" s="139" t="s">
        <v>115</v>
      </c>
      <c r="N56" s="140">
        <v>41540.0</v>
      </c>
      <c r="O56" s="141" t="s">
        <v>2022</v>
      </c>
      <c r="P56" s="139"/>
      <c r="Q56" s="139"/>
      <c r="R56" s="140">
        <v>41390.0</v>
      </c>
      <c r="S56" s="140">
        <v>41404.0</v>
      </c>
      <c r="T56" s="122"/>
      <c r="U56" s="122" t="s">
        <v>127</v>
      </c>
      <c r="V56" s="139" t="s">
        <v>2023</v>
      </c>
      <c r="W56" s="122"/>
      <c r="X56" s="109">
        <f t="shared" ref="X56:X73" si="8">N56-S56</f>
        <v>136</v>
      </c>
      <c r="Y56" s="110">
        <f t="shared" ref="Y56:Y73" si="9">IF(AND(NETWORKDAYS(S56,N56)&gt;1000,NETWORKDAYS(S56,N56)&lt;1),"",(NETWORKDAYS(S56,N56)))</f>
        <v>97</v>
      </c>
    </row>
    <row r="57">
      <c r="A57" s="49">
        <v>58.0</v>
      </c>
      <c r="B57" s="116" t="s">
        <v>1602</v>
      </c>
      <c r="C57" s="116" t="s">
        <v>1602</v>
      </c>
      <c r="D57" s="125" t="s">
        <v>1970</v>
      </c>
      <c r="E57" s="120" t="s">
        <v>1638</v>
      </c>
      <c r="F57" s="116">
        <v>21.0</v>
      </c>
      <c r="G57" s="116" t="s">
        <v>112</v>
      </c>
      <c r="H57" s="120" t="s">
        <v>127</v>
      </c>
      <c r="I57" s="116" t="s">
        <v>117</v>
      </c>
      <c r="J57" s="119">
        <v>1.0</v>
      </c>
      <c r="K57" s="119" t="s">
        <v>122</v>
      </c>
      <c r="L57" s="119"/>
      <c r="M57" s="120" t="s">
        <v>115</v>
      </c>
      <c r="N57" s="121">
        <v>41508.0</v>
      </c>
      <c r="O57" s="120" t="s">
        <v>2024</v>
      </c>
      <c r="P57" s="120"/>
      <c r="Q57" s="120"/>
      <c r="R57" s="121">
        <v>41424.0</v>
      </c>
      <c r="S57" s="121">
        <v>41432.0</v>
      </c>
      <c r="T57" s="116"/>
      <c r="U57" s="116"/>
      <c r="V57" s="120"/>
      <c r="W57" s="116"/>
      <c r="X57" s="109">
        <f t="shared" si="8"/>
        <v>76</v>
      </c>
      <c r="Y57" s="110">
        <f t="shared" si="9"/>
        <v>55</v>
      </c>
    </row>
    <row r="58">
      <c r="A58" s="49">
        <v>59.0</v>
      </c>
      <c r="B58" s="116" t="s">
        <v>1615</v>
      </c>
      <c r="C58" s="116" t="s">
        <v>2025</v>
      </c>
      <c r="D58" s="142" t="s">
        <v>1897</v>
      </c>
      <c r="E58" s="120" t="s">
        <v>1898</v>
      </c>
      <c r="F58" s="116">
        <v>17.0</v>
      </c>
      <c r="G58" s="116" t="s">
        <v>112</v>
      </c>
      <c r="H58" s="120" t="s">
        <v>120</v>
      </c>
      <c r="I58" s="116" t="s">
        <v>117</v>
      </c>
      <c r="J58" s="119">
        <v>1.0</v>
      </c>
      <c r="K58" s="119" t="s">
        <v>116</v>
      </c>
      <c r="L58" s="119">
        <v>3.0</v>
      </c>
      <c r="M58" s="120" t="s">
        <v>115</v>
      </c>
      <c r="N58" s="121">
        <v>41561.0</v>
      </c>
      <c r="O58" s="120"/>
      <c r="P58" s="120" t="s">
        <v>2026</v>
      </c>
      <c r="Q58" s="120"/>
      <c r="R58" s="121">
        <v>41479.0</v>
      </c>
      <c r="S58" s="121">
        <v>41486.0</v>
      </c>
      <c r="T58" s="116"/>
      <c r="U58" s="116"/>
      <c r="V58" s="120"/>
      <c r="W58" s="116"/>
      <c r="X58" s="109">
        <f t="shared" si="8"/>
        <v>75</v>
      </c>
      <c r="Y58" s="110">
        <f t="shared" si="9"/>
        <v>54</v>
      </c>
    </row>
    <row r="59">
      <c r="A59" s="49">
        <v>60.0</v>
      </c>
      <c r="B59" s="116" t="s">
        <v>1975</v>
      </c>
      <c r="C59" s="116" t="s">
        <v>2027</v>
      </c>
      <c r="D59" s="142" t="s">
        <v>1934</v>
      </c>
      <c r="E59" s="120" t="s">
        <v>1611</v>
      </c>
      <c r="F59" s="116">
        <v>14.0</v>
      </c>
      <c r="G59" s="116" t="s">
        <v>112</v>
      </c>
      <c r="H59" s="120" t="s">
        <v>114</v>
      </c>
      <c r="I59" s="116" t="s">
        <v>117</v>
      </c>
      <c r="J59" s="119">
        <v>1.0</v>
      </c>
      <c r="K59" s="119" t="s">
        <v>116</v>
      </c>
      <c r="L59" s="119">
        <v>13.0</v>
      </c>
      <c r="M59" s="120" t="s">
        <v>121</v>
      </c>
      <c r="N59" s="121">
        <v>41519.0</v>
      </c>
      <c r="O59" s="120"/>
      <c r="P59" s="120" t="s">
        <v>2028</v>
      </c>
      <c r="Q59" s="120"/>
      <c r="R59" s="121">
        <v>41464.0</v>
      </c>
      <c r="S59" s="121">
        <v>41472.0</v>
      </c>
      <c r="T59" s="116"/>
      <c r="U59" s="116"/>
      <c r="V59" s="120"/>
      <c r="W59" s="116"/>
      <c r="X59" s="109">
        <f t="shared" si="8"/>
        <v>47</v>
      </c>
      <c r="Y59" s="110">
        <f t="shared" si="9"/>
        <v>34</v>
      </c>
    </row>
    <row r="60">
      <c r="A60" s="49">
        <v>61.0</v>
      </c>
      <c r="B60" s="116" t="s">
        <v>1975</v>
      </c>
      <c r="C60" s="116" t="s">
        <v>2025</v>
      </c>
      <c r="D60" s="142" t="s">
        <v>1934</v>
      </c>
      <c r="E60" s="120" t="s">
        <v>1611</v>
      </c>
      <c r="F60" s="116">
        <v>14.0</v>
      </c>
      <c r="G60" s="116" t="s">
        <v>112</v>
      </c>
      <c r="H60" s="120" t="s">
        <v>114</v>
      </c>
      <c r="I60" s="116" t="s">
        <v>117</v>
      </c>
      <c r="J60" s="119">
        <v>1.0</v>
      </c>
      <c r="K60" s="119" t="s">
        <v>116</v>
      </c>
      <c r="L60" s="119">
        <v>13.0</v>
      </c>
      <c r="M60" s="120" t="s">
        <v>121</v>
      </c>
      <c r="N60" s="121">
        <v>41519.0</v>
      </c>
      <c r="O60" s="120"/>
      <c r="P60" s="120" t="s">
        <v>2029</v>
      </c>
      <c r="Q60" s="120"/>
      <c r="R60" s="121">
        <v>41464.0</v>
      </c>
      <c r="S60" s="121">
        <v>41472.0</v>
      </c>
      <c r="T60" s="116"/>
      <c r="U60" s="116"/>
      <c r="V60" s="120"/>
      <c r="W60" s="116"/>
      <c r="X60" s="109">
        <f t="shared" si="8"/>
        <v>47</v>
      </c>
      <c r="Y60" s="110">
        <f t="shared" si="9"/>
        <v>34</v>
      </c>
    </row>
    <row r="61">
      <c r="A61" s="49">
        <v>62.0</v>
      </c>
      <c r="B61" s="116" t="s">
        <v>1598</v>
      </c>
      <c r="C61" s="116" t="s">
        <v>1986</v>
      </c>
      <c r="D61" s="125" t="s">
        <v>1918</v>
      </c>
      <c r="E61" s="120" t="s">
        <v>1919</v>
      </c>
      <c r="F61" s="116">
        <v>18.0</v>
      </c>
      <c r="G61" s="116" t="s">
        <v>112</v>
      </c>
      <c r="H61" s="120" t="s">
        <v>125</v>
      </c>
      <c r="I61" s="116"/>
      <c r="J61" s="118"/>
      <c r="K61" s="119" t="s">
        <v>116</v>
      </c>
      <c r="L61" s="119">
        <v>6.0</v>
      </c>
      <c r="M61" s="120" t="s">
        <v>115</v>
      </c>
      <c r="N61" s="121">
        <v>41548.0</v>
      </c>
      <c r="O61" s="120"/>
      <c r="P61" s="133" t="s">
        <v>2030</v>
      </c>
      <c r="Q61" s="133"/>
      <c r="R61" s="121">
        <v>41396.0</v>
      </c>
      <c r="S61" s="121">
        <v>41404.0</v>
      </c>
      <c r="T61" s="116"/>
      <c r="U61" s="116"/>
      <c r="V61" s="120"/>
      <c r="W61" s="143"/>
      <c r="X61" s="109">
        <f t="shared" si="8"/>
        <v>144</v>
      </c>
      <c r="Y61" s="110">
        <f t="shared" si="9"/>
        <v>103</v>
      </c>
    </row>
    <row r="62">
      <c r="A62" s="49">
        <v>63.0</v>
      </c>
      <c r="B62" s="116" t="s">
        <v>1699</v>
      </c>
      <c r="C62" s="116" t="s">
        <v>1699</v>
      </c>
      <c r="D62" s="125" t="s">
        <v>2031</v>
      </c>
      <c r="E62" s="120" t="s">
        <v>2032</v>
      </c>
      <c r="F62" s="116">
        <v>12.0</v>
      </c>
      <c r="G62" s="116" t="s">
        <v>112</v>
      </c>
      <c r="H62" s="120" t="s">
        <v>114</v>
      </c>
      <c r="I62" s="116" t="s">
        <v>117</v>
      </c>
      <c r="J62" s="119">
        <v>4.0</v>
      </c>
      <c r="K62" s="119" t="s">
        <v>116</v>
      </c>
      <c r="L62" s="119">
        <v>7.0</v>
      </c>
      <c r="M62" s="120" t="s">
        <v>115</v>
      </c>
      <c r="N62" s="121">
        <v>41554.0</v>
      </c>
      <c r="O62" s="120"/>
      <c r="P62" s="120" t="s">
        <v>2033</v>
      </c>
      <c r="Q62" s="137"/>
      <c r="R62" s="136">
        <v>41521.0</v>
      </c>
      <c r="S62" s="136">
        <v>41528.0</v>
      </c>
      <c r="T62" s="144"/>
      <c r="U62" s="144"/>
      <c r="V62" s="137"/>
      <c r="W62" s="116"/>
      <c r="X62" s="109">
        <f t="shared" si="8"/>
        <v>26</v>
      </c>
      <c r="Y62" s="110">
        <f t="shared" si="9"/>
        <v>19</v>
      </c>
    </row>
    <row r="63">
      <c r="A63" s="49">
        <v>64.0</v>
      </c>
      <c r="B63" s="116" t="s">
        <v>1618</v>
      </c>
      <c r="C63" s="116" t="s">
        <v>1618</v>
      </c>
      <c r="D63" s="125" t="s">
        <v>2034</v>
      </c>
      <c r="E63" s="120" t="s">
        <v>1625</v>
      </c>
      <c r="F63" s="116">
        <v>17.0</v>
      </c>
      <c r="G63" s="116" t="s">
        <v>112</v>
      </c>
      <c r="H63" s="120" t="s">
        <v>125</v>
      </c>
      <c r="I63" s="116" t="s">
        <v>117</v>
      </c>
      <c r="J63" s="119">
        <v>1.0</v>
      </c>
      <c r="K63" s="119" t="s">
        <v>116</v>
      </c>
      <c r="L63" s="119">
        <v>1.0</v>
      </c>
      <c r="M63" s="120" t="s">
        <v>121</v>
      </c>
      <c r="N63" s="121">
        <v>41550.0</v>
      </c>
      <c r="O63" s="120"/>
      <c r="P63" s="120" t="s">
        <v>2035</v>
      </c>
      <c r="Q63" s="137"/>
      <c r="R63" s="136">
        <v>41457.0</v>
      </c>
      <c r="S63" s="136">
        <v>41464.0</v>
      </c>
      <c r="T63" s="144"/>
      <c r="U63" s="144"/>
      <c r="V63" s="137"/>
      <c r="W63" s="116"/>
      <c r="X63" s="109">
        <f t="shared" si="8"/>
        <v>86</v>
      </c>
      <c r="Y63" s="110">
        <f t="shared" si="9"/>
        <v>63</v>
      </c>
      <c r="Z63" s="5"/>
      <c r="AA63" s="5"/>
    </row>
    <row r="64">
      <c r="A64" s="49">
        <v>64.0</v>
      </c>
      <c r="B64" s="115" t="s">
        <v>1627</v>
      </c>
      <c r="C64" s="115" t="s">
        <v>2036</v>
      </c>
      <c r="D64" s="125" t="s">
        <v>2009</v>
      </c>
      <c r="E64" s="120" t="s">
        <v>2037</v>
      </c>
      <c r="F64" s="116">
        <v>17.0</v>
      </c>
      <c r="G64" s="116" t="s">
        <v>112</v>
      </c>
      <c r="H64" s="120" t="s">
        <v>125</v>
      </c>
      <c r="I64" s="116" t="s">
        <v>117</v>
      </c>
      <c r="J64" s="119">
        <v>4.0</v>
      </c>
      <c r="K64" s="119" t="s">
        <v>116</v>
      </c>
      <c r="L64" s="119">
        <v>3.0</v>
      </c>
      <c r="M64" s="120" t="s">
        <v>115</v>
      </c>
      <c r="N64" s="121">
        <v>41582.0</v>
      </c>
      <c r="O64" s="120"/>
      <c r="P64" s="120" t="s">
        <v>2038</v>
      </c>
      <c r="Q64" s="137"/>
      <c r="R64" s="136">
        <v>41467.0</v>
      </c>
      <c r="S64" s="136">
        <v>41474.0</v>
      </c>
      <c r="T64" s="144"/>
      <c r="U64" s="144"/>
      <c r="V64" s="137"/>
      <c r="W64" s="116"/>
      <c r="X64" s="109">
        <f t="shared" si="8"/>
        <v>108</v>
      </c>
      <c r="Y64" s="110">
        <f t="shared" si="9"/>
        <v>77</v>
      </c>
      <c r="Z64" s="5"/>
      <c r="AA64" s="5"/>
    </row>
    <row r="65">
      <c r="A65" s="49">
        <v>65.0</v>
      </c>
      <c r="B65" s="116" t="s">
        <v>1623</v>
      </c>
      <c r="C65" s="116" t="s">
        <v>2039</v>
      </c>
      <c r="D65" s="125" t="s">
        <v>1954</v>
      </c>
      <c r="E65" s="120" t="s">
        <v>1591</v>
      </c>
      <c r="F65" s="116">
        <v>21.0</v>
      </c>
      <c r="G65" s="116" t="s">
        <v>112</v>
      </c>
      <c r="H65" s="120" t="s">
        <v>120</v>
      </c>
      <c r="I65" s="116" t="s">
        <v>117</v>
      </c>
      <c r="J65" s="119">
        <v>0.0</v>
      </c>
      <c r="K65" s="119" t="s">
        <v>116</v>
      </c>
      <c r="L65" s="119">
        <v>6.0</v>
      </c>
      <c r="M65" s="120" t="s">
        <v>121</v>
      </c>
      <c r="N65" s="121">
        <v>41575.0</v>
      </c>
      <c r="O65" s="120"/>
      <c r="P65" s="120" t="s">
        <v>2040</v>
      </c>
      <c r="Q65" s="137"/>
      <c r="R65" s="136">
        <v>41499.0</v>
      </c>
      <c r="S65" s="136">
        <v>41514.0</v>
      </c>
      <c r="T65" s="144"/>
      <c r="U65" s="144"/>
      <c r="V65" s="137"/>
      <c r="W65" s="116"/>
      <c r="X65" s="109">
        <f t="shared" si="8"/>
        <v>61</v>
      </c>
      <c r="Y65" s="110">
        <f t="shared" si="9"/>
        <v>44</v>
      </c>
      <c r="Z65" s="5"/>
      <c r="AA65" s="5"/>
    </row>
    <row r="66">
      <c r="A66" s="49">
        <v>66.0</v>
      </c>
      <c r="B66" s="116" t="s">
        <v>1602</v>
      </c>
      <c r="C66" s="116" t="s">
        <v>1901</v>
      </c>
      <c r="D66" s="142" t="s">
        <v>1954</v>
      </c>
      <c r="E66" s="120" t="s">
        <v>1591</v>
      </c>
      <c r="F66" s="116">
        <v>20.0</v>
      </c>
      <c r="G66" s="116" t="s">
        <v>112</v>
      </c>
      <c r="H66" s="120" t="s">
        <v>120</v>
      </c>
      <c r="I66" s="116" t="s">
        <v>117</v>
      </c>
      <c r="J66" s="119">
        <v>1.0</v>
      </c>
      <c r="K66" s="119" t="s">
        <v>116</v>
      </c>
      <c r="L66" s="119">
        <v>5.0</v>
      </c>
      <c r="M66" s="120" t="s">
        <v>121</v>
      </c>
      <c r="N66" s="121">
        <v>41583.0</v>
      </c>
      <c r="O66" s="120"/>
      <c r="P66" s="120" t="s">
        <v>2041</v>
      </c>
      <c r="Q66" s="137"/>
      <c r="R66" s="136">
        <v>41548.0</v>
      </c>
      <c r="S66" s="136">
        <v>41555.0</v>
      </c>
      <c r="T66" s="144"/>
      <c r="U66" s="144"/>
      <c r="V66" s="137"/>
      <c r="W66" s="116"/>
      <c r="X66" s="109">
        <f t="shared" si="8"/>
        <v>28</v>
      </c>
      <c r="Y66" s="110">
        <f t="shared" si="9"/>
        <v>21</v>
      </c>
      <c r="Z66" s="5"/>
      <c r="AA66" s="5"/>
    </row>
    <row r="67">
      <c r="A67" s="49">
        <v>67.0</v>
      </c>
      <c r="B67" s="116" t="s">
        <v>1637</v>
      </c>
      <c r="C67" s="116" t="s">
        <v>1637</v>
      </c>
      <c r="D67" s="142" t="s">
        <v>1970</v>
      </c>
      <c r="E67" s="120" t="s">
        <v>1638</v>
      </c>
      <c r="F67" s="116">
        <v>21.0</v>
      </c>
      <c r="G67" s="116" t="s">
        <v>112</v>
      </c>
      <c r="H67" s="120" t="s">
        <v>127</v>
      </c>
      <c r="I67" s="116" t="s">
        <v>117</v>
      </c>
      <c r="J67" s="119">
        <v>1.0</v>
      </c>
      <c r="K67" s="119" t="s">
        <v>116</v>
      </c>
      <c r="L67" s="119">
        <v>10.0</v>
      </c>
      <c r="M67" s="120" t="s">
        <v>115</v>
      </c>
      <c r="N67" s="121">
        <v>41582.0</v>
      </c>
      <c r="O67" s="120"/>
      <c r="P67" s="120" t="s">
        <v>2042</v>
      </c>
      <c r="Q67" s="137"/>
      <c r="R67" s="136">
        <v>41457.0</v>
      </c>
      <c r="S67" s="136">
        <v>41464.0</v>
      </c>
      <c r="T67" s="144"/>
      <c r="U67" s="144"/>
      <c r="V67" s="137"/>
      <c r="W67" s="116"/>
      <c r="X67" s="109">
        <f t="shared" si="8"/>
        <v>118</v>
      </c>
      <c r="Y67" s="110">
        <f t="shared" si="9"/>
        <v>85</v>
      </c>
      <c r="Z67" s="5"/>
      <c r="AA67" s="5"/>
    </row>
    <row r="68">
      <c r="A68" s="49">
        <v>68.0</v>
      </c>
      <c r="B68" s="115" t="s">
        <v>1642</v>
      </c>
      <c r="C68" s="116" t="s">
        <v>1975</v>
      </c>
      <c r="D68" s="125" t="s">
        <v>2043</v>
      </c>
      <c r="E68" s="120" t="s">
        <v>1824</v>
      </c>
      <c r="F68" s="116">
        <v>20.0</v>
      </c>
      <c r="G68" s="116" t="s">
        <v>112</v>
      </c>
      <c r="H68" s="120" t="s">
        <v>120</v>
      </c>
      <c r="I68" s="116" t="s">
        <v>117</v>
      </c>
      <c r="J68" s="119">
        <v>0.0</v>
      </c>
      <c r="K68" s="119" t="s">
        <v>116</v>
      </c>
      <c r="L68" s="119">
        <v>5.0</v>
      </c>
      <c r="M68" s="120" t="s">
        <v>115</v>
      </c>
      <c r="N68" s="121">
        <v>41610.0</v>
      </c>
      <c r="O68" s="120"/>
      <c r="P68" s="120" t="s">
        <v>2044</v>
      </c>
      <c r="Q68" s="137"/>
      <c r="R68" s="136">
        <v>41548.0</v>
      </c>
      <c r="S68" s="136">
        <v>41569.0</v>
      </c>
      <c r="T68" s="144"/>
      <c r="U68" s="144"/>
      <c r="V68" s="137"/>
      <c r="W68" s="116"/>
      <c r="X68" s="109">
        <f t="shared" si="8"/>
        <v>41</v>
      </c>
      <c r="Y68" s="110">
        <f t="shared" si="9"/>
        <v>30</v>
      </c>
      <c r="Z68" s="5"/>
      <c r="AA68" s="5"/>
    </row>
    <row r="69">
      <c r="A69" s="49">
        <v>69.0</v>
      </c>
      <c r="B69" s="115" t="s">
        <v>1642</v>
      </c>
      <c r="C69" s="116" t="s">
        <v>1975</v>
      </c>
      <c r="D69" s="125" t="s">
        <v>2045</v>
      </c>
      <c r="E69" s="120" t="s">
        <v>2046</v>
      </c>
      <c r="F69" s="116">
        <v>21.0</v>
      </c>
      <c r="G69" s="116" t="s">
        <v>112</v>
      </c>
      <c r="H69" s="120" t="s">
        <v>127</v>
      </c>
      <c r="I69" s="116" t="s">
        <v>117</v>
      </c>
      <c r="J69" s="119">
        <v>0.0</v>
      </c>
      <c r="K69" s="119" t="s">
        <v>116</v>
      </c>
      <c r="L69" s="119">
        <v>5.0</v>
      </c>
      <c r="M69" s="120" t="s">
        <v>115</v>
      </c>
      <c r="N69" s="121">
        <v>41610.0</v>
      </c>
      <c r="O69" s="120"/>
      <c r="P69" s="120" t="s">
        <v>2047</v>
      </c>
      <c r="Q69" s="137"/>
      <c r="R69" s="136">
        <v>41548.0</v>
      </c>
      <c r="S69" s="136">
        <v>41569.0</v>
      </c>
      <c r="T69" s="144"/>
      <c r="U69" s="144"/>
      <c r="V69" s="137"/>
      <c r="W69" s="116"/>
      <c r="X69" s="109">
        <f t="shared" si="8"/>
        <v>41</v>
      </c>
      <c r="Y69" s="110">
        <f t="shared" si="9"/>
        <v>30</v>
      </c>
      <c r="Z69" s="5"/>
      <c r="AA69" s="5"/>
    </row>
    <row r="70">
      <c r="A70" s="49">
        <v>70.0</v>
      </c>
      <c r="B70" s="115" t="s">
        <v>1627</v>
      </c>
      <c r="C70" s="115" t="s">
        <v>1627</v>
      </c>
      <c r="D70" s="125" t="s">
        <v>2000</v>
      </c>
      <c r="E70" s="120" t="s">
        <v>2001</v>
      </c>
      <c r="F70" s="116">
        <v>9.0</v>
      </c>
      <c r="G70" s="116" t="s">
        <v>112</v>
      </c>
      <c r="H70" s="120" t="s">
        <v>114</v>
      </c>
      <c r="I70" s="116" t="s">
        <v>117</v>
      </c>
      <c r="J70" s="119">
        <v>0.0</v>
      </c>
      <c r="K70" s="119" t="s">
        <v>116</v>
      </c>
      <c r="L70" s="119">
        <v>2.0</v>
      </c>
      <c r="M70" s="120" t="s">
        <v>115</v>
      </c>
      <c r="N70" s="121">
        <v>41596.0</v>
      </c>
      <c r="O70" s="120"/>
      <c r="P70" s="120" t="s">
        <v>2048</v>
      </c>
      <c r="Q70" s="137"/>
      <c r="R70" s="136">
        <v>41563.0</v>
      </c>
      <c r="S70" s="136">
        <v>41570.0</v>
      </c>
      <c r="T70" s="144"/>
      <c r="U70" s="144"/>
      <c r="V70" s="137"/>
      <c r="W70" s="116"/>
      <c r="X70" s="109">
        <f t="shared" si="8"/>
        <v>26</v>
      </c>
      <c r="Y70" s="110">
        <f t="shared" si="9"/>
        <v>19</v>
      </c>
      <c r="Z70" s="5"/>
      <c r="AA70" s="5"/>
    </row>
    <row r="71">
      <c r="A71" s="49">
        <v>71.0</v>
      </c>
      <c r="B71" s="116" t="s">
        <v>1602</v>
      </c>
      <c r="C71" s="116" t="s">
        <v>2049</v>
      </c>
      <c r="D71" s="125" t="s">
        <v>1955</v>
      </c>
      <c r="E71" s="120" t="s">
        <v>1741</v>
      </c>
      <c r="F71" s="116">
        <v>21.0</v>
      </c>
      <c r="G71" s="116" t="s">
        <v>112</v>
      </c>
      <c r="H71" s="120" t="s">
        <v>127</v>
      </c>
      <c r="I71" s="116" t="s">
        <v>117</v>
      </c>
      <c r="J71" s="119">
        <v>2.0</v>
      </c>
      <c r="K71" s="119" t="s">
        <v>116</v>
      </c>
      <c r="L71" s="119">
        <v>8.0</v>
      </c>
      <c r="M71" s="120" t="s">
        <v>115</v>
      </c>
      <c r="N71" s="121">
        <v>41610.0</v>
      </c>
      <c r="O71" s="120"/>
      <c r="P71" s="120" t="s">
        <v>2050</v>
      </c>
      <c r="Q71" s="137"/>
      <c r="R71" s="136">
        <v>41589.0</v>
      </c>
      <c r="S71" s="136">
        <v>41593.0</v>
      </c>
      <c r="T71" s="144"/>
      <c r="U71" s="144"/>
      <c r="V71" s="137"/>
      <c r="W71" s="116"/>
      <c r="X71" s="109">
        <f t="shared" si="8"/>
        <v>17</v>
      </c>
      <c r="Y71" s="110">
        <f t="shared" si="9"/>
        <v>12</v>
      </c>
      <c r="Z71" s="5"/>
      <c r="AA71" s="5"/>
    </row>
    <row r="72">
      <c r="A72" s="49">
        <v>72.0</v>
      </c>
      <c r="B72" s="116" t="s">
        <v>1857</v>
      </c>
      <c r="C72" s="116" t="s">
        <v>2051</v>
      </c>
      <c r="D72" s="125" t="s">
        <v>2052</v>
      </c>
      <c r="E72" s="120" t="s">
        <v>2053</v>
      </c>
      <c r="F72" s="116">
        <v>8.0</v>
      </c>
      <c r="G72" s="116" t="s">
        <v>112</v>
      </c>
      <c r="H72" s="120" t="s">
        <v>114</v>
      </c>
      <c r="I72" s="116" t="s">
        <v>117</v>
      </c>
      <c r="J72" s="119">
        <v>5.0</v>
      </c>
      <c r="K72" s="119" t="s">
        <v>116</v>
      </c>
      <c r="L72" s="119">
        <v>54.0</v>
      </c>
      <c r="M72" s="120" t="s">
        <v>2054</v>
      </c>
      <c r="N72" s="121">
        <v>41610.0</v>
      </c>
      <c r="O72" s="120"/>
      <c r="P72" s="120" t="s">
        <v>2055</v>
      </c>
      <c r="Q72" s="120" t="s">
        <v>2056</v>
      </c>
      <c r="R72" s="121">
        <v>41556.0</v>
      </c>
      <c r="S72" s="121">
        <v>41563.0</v>
      </c>
      <c r="T72" s="116"/>
      <c r="U72" s="116"/>
      <c r="V72" s="120"/>
      <c r="W72" s="116"/>
      <c r="X72" s="109">
        <f t="shared" si="8"/>
        <v>47</v>
      </c>
      <c r="Y72" s="110">
        <f t="shared" si="9"/>
        <v>34</v>
      </c>
    </row>
    <row r="73">
      <c r="A73" s="49">
        <v>73.0</v>
      </c>
      <c r="B73" s="115" t="s">
        <v>1892</v>
      </c>
      <c r="C73" s="116" t="s">
        <v>1996</v>
      </c>
      <c r="D73" s="125" t="s">
        <v>2057</v>
      </c>
      <c r="E73" s="120" t="s">
        <v>2058</v>
      </c>
      <c r="F73" s="116">
        <v>8.0</v>
      </c>
      <c r="G73" s="116" t="s">
        <v>112</v>
      </c>
      <c r="H73" s="120" t="s">
        <v>114</v>
      </c>
      <c r="I73" s="116" t="s">
        <v>117</v>
      </c>
      <c r="J73" s="145">
        <v>0.0</v>
      </c>
      <c r="K73" s="119" t="s">
        <v>116</v>
      </c>
      <c r="L73" s="119">
        <v>12.0</v>
      </c>
      <c r="M73" s="120" t="s">
        <v>121</v>
      </c>
      <c r="N73" s="121">
        <v>41526.0</v>
      </c>
      <c r="O73" s="120"/>
      <c r="P73" s="120" t="s">
        <v>2059</v>
      </c>
      <c r="Q73" s="120"/>
      <c r="R73" s="121">
        <v>41430.0</v>
      </c>
      <c r="S73" s="121">
        <v>41437.0</v>
      </c>
      <c r="T73" s="116"/>
      <c r="U73" s="116"/>
      <c r="V73" s="120"/>
      <c r="W73" s="116"/>
      <c r="X73" s="109">
        <f t="shared" si="8"/>
        <v>89</v>
      </c>
      <c r="Y73" s="110">
        <f t="shared" si="9"/>
        <v>64</v>
      </c>
      <c r="Z73" s="5"/>
      <c r="AA73" s="5"/>
    </row>
    <row r="74">
      <c r="A74" s="146"/>
      <c r="B74" s="146"/>
      <c r="C74" s="146"/>
      <c r="D74" s="147"/>
      <c r="E74" s="146"/>
      <c r="F74" s="146"/>
      <c r="G74" s="146"/>
      <c r="H74" s="147"/>
      <c r="I74" s="146"/>
      <c r="J74" s="148"/>
      <c r="K74" s="148"/>
      <c r="L74" s="148"/>
      <c r="M74" s="147"/>
      <c r="N74" s="146"/>
      <c r="O74" s="147"/>
      <c r="P74" s="147"/>
      <c r="Q74" s="147"/>
      <c r="R74" s="146"/>
      <c r="S74" s="146"/>
      <c r="T74" s="146"/>
      <c r="U74" s="146"/>
      <c r="V74" s="147"/>
      <c r="W74" s="146"/>
    </row>
    <row r="75">
      <c r="A75" s="146"/>
      <c r="B75" s="146"/>
      <c r="C75" s="146"/>
      <c r="D75" s="147"/>
      <c r="E75" s="146"/>
      <c r="F75" s="146"/>
      <c r="G75" s="146"/>
      <c r="H75" s="147"/>
      <c r="I75" s="146"/>
      <c r="J75" s="148"/>
      <c r="K75" s="148"/>
      <c r="L75" s="148"/>
      <c r="M75" s="147"/>
      <c r="N75" s="146"/>
      <c r="O75" s="147"/>
      <c r="P75" s="147"/>
      <c r="Q75" s="147"/>
      <c r="R75" s="146"/>
      <c r="S75" s="146"/>
      <c r="T75" s="146"/>
      <c r="U75" s="146"/>
      <c r="V75" s="147"/>
      <c r="W75" s="146"/>
    </row>
    <row r="76">
      <c r="A76" s="146"/>
      <c r="B76" s="146"/>
      <c r="C76" s="146"/>
      <c r="D76" s="147"/>
      <c r="E76" s="146"/>
      <c r="F76" s="146"/>
      <c r="G76" s="146"/>
      <c r="H76" s="147"/>
      <c r="I76" s="146"/>
      <c r="J76" s="148"/>
      <c r="K76" s="148"/>
      <c r="L76" s="148"/>
      <c r="M76" s="147"/>
      <c r="N76" s="146"/>
      <c r="O76" s="147"/>
      <c r="P76" s="147"/>
      <c r="Q76" s="147"/>
      <c r="R76" s="146"/>
      <c r="S76" s="146"/>
      <c r="T76" s="146"/>
      <c r="U76" s="146"/>
      <c r="V76" s="147"/>
      <c r="W76" s="146"/>
    </row>
    <row r="77">
      <c r="A77" s="146"/>
      <c r="B77" s="146"/>
      <c r="C77" s="146"/>
      <c r="D77" s="147"/>
      <c r="E77" s="146"/>
      <c r="F77" s="146"/>
      <c r="G77" s="146"/>
      <c r="H77" s="147"/>
      <c r="I77" s="146"/>
      <c r="J77" s="148"/>
      <c r="K77" s="148"/>
      <c r="L77" s="148"/>
      <c r="M77" s="147"/>
      <c r="N77" s="146"/>
      <c r="O77" s="147"/>
      <c r="P77" s="147"/>
      <c r="Q77" s="147"/>
      <c r="R77" s="146"/>
      <c r="S77" s="146"/>
      <c r="T77" s="146"/>
      <c r="U77" s="146"/>
      <c r="V77" s="147"/>
      <c r="W77" s="146"/>
    </row>
    <row r="78">
      <c r="A78" s="146"/>
      <c r="B78" s="146"/>
      <c r="C78" s="146"/>
      <c r="D78" s="147"/>
      <c r="E78" s="146"/>
      <c r="F78" s="146"/>
      <c r="G78" s="146"/>
      <c r="H78" s="147"/>
      <c r="I78" s="146"/>
      <c r="J78" s="148"/>
      <c r="K78" s="148"/>
      <c r="L78" s="148"/>
      <c r="M78" s="147"/>
      <c r="N78" s="146"/>
      <c r="O78" s="147"/>
      <c r="P78" s="147"/>
      <c r="Q78" s="147"/>
      <c r="R78" s="146"/>
      <c r="S78" s="146"/>
      <c r="T78" s="146"/>
      <c r="U78" s="146"/>
      <c r="V78" s="147"/>
      <c r="W78" s="146"/>
    </row>
    <row r="79">
      <c r="A79" s="146"/>
      <c r="B79" s="146"/>
      <c r="C79" s="146"/>
      <c r="D79" s="147"/>
      <c r="E79" s="146"/>
      <c r="F79" s="146"/>
      <c r="G79" s="146"/>
      <c r="H79" s="147"/>
      <c r="I79" s="146"/>
      <c r="J79" s="148"/>
      <c r="K79" s="148"/>
      <c r="L79" s="148"/>
      <c r="M79" s="147"/>
      <c r="N79" s="146"/>
      <c r="O79" s="147"/>
      <c r="P79" s="147"/>
      <c r="Q79" s="147"/>
      <c r="R79" s="146"/>
      <c r="S79" s="146"/>
      <c r="T79" s="146"/>
      <c r="U79" s="146"/>
      <c r="V79" s="147"/>
      <c r="W79" s="146"/>
    </row>
    <row r="80">
      <c r="A80" s="146"/>
      <c r="B80" s="146"/>
      <c r="C80" s="146"/>
      <c r="D80" s="147"/>
      <c r="E80" s="146"/>
      <c r="F80" s="146"/>
      <c r="G80" s="146"/>
      <c r="H80" s="147"/>
      <c r="I80" s="146"/>
      <c r="J80" s="148"/>
      <c r="K80" s="148"/>
      <c r="L80" s="148"/>
      <c r="M80" s="147"/>
      <c r="N80" s="146"/>
      <c r="O80" s="147"/>
      <c r="P80" s="147"/>
      <c r="Q80" s="147"/>
      <c r="R80" s="146"/>
      <c r="S80" s="146"/>
      <c r="T80" s="146"/>
      <c r="U80" s="146"/>
      <c r="V80" s="147"/>
      <c r="W80" s="146"/>
    </row>
    <row r="81">
      <c r="A81" s="146"/>
      <c r="B81" s="146"/>
      <c r="C81" s="146"/>
      <c r="D81" s="147"/>
      <c r="E81" s="146"/>
      <c r="F81" s="146"/>
      <c r="G81" s="146"/>
      <c r="H81" s="147"/>
      <c r="I81" s="146"/>
      <c r="J81" s="148"/>
      <c r="K81" s="148"/>
      <c r="L81" s="148"/>
      <c r="M81" s="147"/>
      <c r="N81" s="146"/>
      <c r="O81" s="147"/>
      <c r="P81" s="147"/>
      <c r="Q81" s="147"/>
      <c r="R81" s="146"/>
      <c r="S81" s="146"/>
      <c r="T81" s="146"/>
      <c r="U81" s="146"/>
      <c r="V81" s="147"/>
      <c r="W81" s="146"/>
    </row>
    <row r="82">
      <c r="A82" s="146"/>
      <c r="B82" s="146"/>
      <c r="C82" s="146"/>
      <c r="D82" s="147"/>
      <c r="E82" s="146"/>
      <c r="F82" s="146"/>
      <c r="G82" s="146"/>
      <c r="H82" s="147"/>
      <c r="I82" s="146"/>
      <c r="J82" s="148"/>
      <c r="K82" s="148"/>
      <c r="L82" s="148"/>
      <c r="M82" s="147"/>
      <c r="N82" s="146"/>
      <c r="O82" s="147"/>
      <c r="P82" s="147"/>
      <c r="Q82" s="147"/>
      <c r="R82" s="146"/>
      <c r="S82" s="146"/>
      <c r="T82" s="146"/>
      <c r="U82" s="146"/>
      <c r="V82" s="147"/>
      <c r="W82" s="146"/>
    </row>
    <row r="83">
      <c r="A83" s="146"/>
      <c r="B83" s="146"/>
      <c r="C83" s="146"/>
      <c r="D83" s="147"/>
      <c r="E83" s="146"/>
      <c r="F83" s="146"/>
      <c r="G83" s="146"/>
      <c r="H83" s="147"/>
      <c r="I83" s="146"/>
      <c r="J83" s="149"/>
      <c r="K83" s="149"/>
      <c r="L83" s="149"/>
      <c r="M83" s="146"/>
      <c r="N83" s="146"/>
      <c r="O83" s="147"/>
      <c r="P83" s="147"/>
      <c r="Q83" s="147"/>
      <c r="R83" s="146"/>
      <c r="S83" s="146"/>
      <c r="T83" s="146"/>
      <c r="U83" s="146"/>
      <c r="V83" s="147"/>
      <c r="W83" s="146"/>
    </row>
    <row r="84">
      <c r="A84" s="146"/>
      <c r="B84" s="146"/>
      <c r="C84" s="146"/>
      <c r="D84" s="147"/>
      <c r="E84" s="146"/>
      <c r="F84" s="146"/>
      <c r="G84" s="146"/>
      <c r="H84" s="147"/>
      <c r="I84" s="146"/>
      <c r="J84" s="148"/>
      <c r="K84" s="148"/>
      <c r="L84" s="148"/>
      <c r="M84" s="147"/>
      <c r="N84" s="146"/>
      <c r="O84" s="147"/>
      <c r="P84" s="147"/>
      <c r="Q84" s="147"/>
      <c r="R84" s="146"/>
      <c r="S84" s="146"/>
      <c r="T84" s="146"/>
      <c r="U84" s="146"/>
      <c r="V84" s="147"/>
      <c r="W84" s="146"/>
    </row>
    <row r="85">
      <c r="A85" s="146"/>
      <c r="B85" s="146"/>
      <c r="C85" s="146"/>
      <c r="D85" s="147"/>
      <c r="E85" s="146"/>
      <c r="F85" s="146"/>
      <c r="G85" s="146"/>
      <c r="H85" s="147"/>
      <c r="I85" s="146"/>
      <c r="J85" s="148"/>
      <c r="K85" s="148"/>
      <c r="L85" s="148"/>
      <c r="M85" s="147"/>
      <c r="N85" s="146"/>
      <c r="O85" s="147"/>
      <c r="P85" s="147"/>
      <c r="Q85" s="147"/>
      <c r="R85" s="146"/>
      <c r="S85" s="146"/>
      <c r="T85" s="146"/>
      <c r="U85" s="146"/>
      <c r="V85" s="147"/>
      <c r="W85" s="146"/>
    </row>
    <row r="86">
      <c r="A86" s="146"/>
      <c r="B86" s="146"/>
      <c r="C86" s="146"/>
      <c r="D86" s="147"/>
      <c r="E86" s="146"/>
      <c r="F86" s="146"/>
      <c r="G86" s="146"/>
      <c r="H86" s="147"/>
      <c r="I86" s="146"/>
      <c r="J86" s="148"/>
      <c r="K86" s="148"/>
      <c r="L86" s="148"/>
      <c r="M86" s="147"/>
      <c r="N86" s="146"/>
      <c r="O86" s="147"/>
      <c r="P86" s="147"/>
      <c r="Q86" s="147"/>
      <c r="R86" s="146"/>
      <c r="S86" s="146"/>
      <c r="T86" s="146"/>
      <c r="U86" s="146"/>
      <c r="V86" s="147"/>
      <c r="W86" s="146"/>
    </row>
    <row r="87">
      <c r="A87" s="146"/>
      <c r="B87" s="146"/>
      <c r="C87" s="146"/>
      <c r="D87" s="147"/>
      <c r="E87" s="146"/>
      <c r="F87" s="146"/>
      <c r="G87" s="146"/>
      <c r="H87" s="147"/>
      <c r="I87" s="146"/>
      <c r="J87" s="148"/>
      <c r="K87" s="148"/>
      <c r="L87" s="148"/>
      <c r="M87" s="147"/>
      <c r="N87" s="146"/>
      <c r="O87" s="147"/>
      <c r="P87" s="147"/>
      <c r="Q87" s="147"/>
      <c r="R87" s="146"/>
      <c r="S87" s="146"/>
      <c r="T87" s="146"/>
      <c r="U87" s="146"/>
      <c r="V87" s="147"/>
      <c r="W87" s="146"/>
    </row>
    <row r="88">
      <c r="A88" s="146"/>
      <c r="B88" s="146"/>
      <c r="C88" s="146"/>
      <c r="D88" s="147"/>
      <c r="E88" s="146"/>
      <c r="F88" s="146"/>
      <c r="G88" s="146"/>
      <c r="H88" s="147"/>
      <c r="I88" s="146"/>
      <c r="J88" s="148"/>
      <c r="K88" s="148"/>
      <c r="L88" s="148"/>
      <c r="M88" s="147"/>
      <c r="N88" s="146"/>
      <c r="O88" s="147"/>
      <c r="P88" s="147"/>
      <c r="Q88" s="147"/>
      <c r="R88" s="146"/>
      <c r="S88" s="146"/>
      <c r="T88" s="146"/>
      <c r="U88" s="146"/>
      <c r="V88" s="147"/>
      <c r="W88" s="146"/>
    </row>
    <row r="89">
      <c r="A89" s="146"/>
      <c r="B89" s="146"/>
      <c r="C89" s="146"/>
      <c r="D89" s="147"/>
      <c r="E89" s="146"/>
      <c r="F89" s="146"/>
      <c r="G89" s="146"/>
      <c r="H89" s="147"/>
      <c r="I89" s="146"/>
      <c r="J89" s="148"/>
      <c r="K89" s="148"/>
      <c r="L89" s="148"/>
      <c r="M89" s="147"/>
      <c r="N89" s="146"/>
      <c r="O89" s="147"/>
      <c r="P89" s="147"/>
      <c r="Q89" s="147"/>
      <c r="R89" s="146"/>
      <c r="S89" s="146"/>
      <c r="T89" s="146"/>
      <c r="U89" s="146"/>
      <c r="V89" s="147"/>
      <c r="W89" s="146"/>
    </row>
    <row r="90">
      <c r="A90" s="146"/>
      <c r="B90" s="146"/>
      <c r="C90" s="146"/>
      <c r="D90" s="147"/>
      <c r="E90" s="146"/>
      <c r="F90" s="146"/>
      <c r="G90" s="146"/>
      <c r="H90" s="147"/>
      <c r="I90" s="146"/>
      <c r="J90" s="148"/>
      <c r="K90" s="148"/>
      <c r="L90" s="148"/>
      <c r="M90" s="147"/>
      <c r="N90" s="146"/>
      <c r="O90" s="147"/>
      <c r="P90" s="147"/>
      <c r="Q90" s="147"/>
      <c r="R90" s="146"/>
      <c r="S90" s="146"/>
      <c r="T90" s="146"/>
      <c r="U90" s="146"/>
      <c r="V90" s="147"/>
      <c r="W90" s="146"/>
    </row>
    <row r="91">
      <c r="A91" s="146"/>
      <c r="B91" s="146"/>
      <c r="C91" s="146"/>
      <c r="D91" s="147"/>
      <c r="E91" s="146"/>
      <c r="F91" s="146"/>
      <c r="G91" s="146"/>
      <c r="H91" s="147"/>
      <c r="I91" s="146"/>
      <c r="J91" s="148"/>
      <c r="K91" s="148"/>
      <c r="L91" s="148"/>
      <c r="M91" s="147"/>
      <c r="N91" s="146"/>
      <c r="O91" s="147"/>
      <c r="P91" s="147"/>
      <c r="Q91" s="147"/>
      <c r="R91" s="146"/>
      <c r="S91" s="146"/>
      <c r="T91" s="146"/>
      <c r="U91" s="146"/>
      <c r="V91" s="147"/>
      <c r="W91" s="146"/>
    </row>
    <row r="92">
      <c r="A92" s="146"/>
      <c r="B92" s="146"/>
      <c r="C92" s="146"/>
      <c r="D92" s="147"/>
      <c r="E92" s="146"/>
      <c r="F92" s="146"/>
      <c r="G92" s="146"/>
      <c r="H92" s="147"/>
      <c r="I92" s="146"/>
      <c r="J92" s="148"/>
      <c r="K92" s="148"/>
      <c r="L92" s="148"/>
      <c r="M92" s="147"/>
      <c r="N92" s="146"/>
      <c r="O92" s="147"/>
      <c r="P92" s="147"/>
      <c r="Q92" s="147"/>
      <c r="R92" s="146"/>
      <c r="S92" s="146"/>
      <c r="T92" s="146"/>
      <c r="U92" s="146"/>
      <c r="V92" s="147"/>
      <c r="W92" s="146"/>
    </row>
    <row r="93">
      <c r="A93" s="146"/>
      <c r="B93" s="146"/>
      <c r="C93" s="146"/>
      <c r="D93" s="147"/>
      <c r="E93" s="146"/>
      <c r="F93" s="146"/>
      <c r="G93" s="146"/>
      <c r="H93" s="147"/>
      <c r="I93" s="146"/>
      <c r="J93" s="148"/>
      <c r="K93" s="148"/>
      <c r="L93" s="148"/>
      <c r="M93" s="147"/>
      <c r="N93" s="146"/>
      <c r="O93" s="147"/>
      <c r="P93" s="147"/>
      <c r="Q93" s="147"/>
      <c r="R93" s="146"/>
      <c r="S93" s="146"/>
      <c r="T93" s="146"/>
      <c r="U93" s="146"/>
      <c r="V93" s="147"/>
      <c r="W93" s="146"/>
    </row>
    <row r="94">
      <c r="A94" s="146"/>
      <c r="B94" s="146"/>
      <c r="C94" s="146"/>
      <c r="D94" s="147"/>
      <c r="E94" s="146"/>
      <c r="F94" s="146"/>
      <c r="G94" s="146"/>
      <c r="H94" s="147"/>
      <c r="I94" s="146"/>
      <c r="J94" s="148"/>
      <c r="K94" s="148"/>
      <c r="L94" s="148"/>
      <c r="M94" s="147"/>
      <c r="N94" s="146"/>
      <c r="O94" s="147"/>
      <c r="P94" s="147"/>
      <c r="Q94" s="147"/>
      <c r="R94" s="146"/>
      <c r="S94" s="146"/>
      <c r="T94" s="146"/>
      <c r="U94" s="146"/>
      <c r="V94" s="147"/>
      <c r="W94" s="146"/>
    </row>
    <row r="95">
      <c r="A95" s="146"/>
      <c r="B95" s="146"/>
      <c r="C95" s="146"/>
      <c r="D95" s="147"/>
      <c r="E95" s="146"/>
      <c r="F95" s="146"/>
      <c r="G95" s="146"/>
      <c r="H95" s="147"/>
      <c r="I95" s="146"/>
      <c r="J95" s="148"/>
      <c r="K95" s="148"/>
      <c r="L95" s="148"/>
      <c r="M95" s="147"/>
      <c r="N95" s="146"/>
      <c r="O95" s="147"/>
      <c r="P95" s="147"/>
      <c r="Q95" s="147"/>
      <c r="R95" s="146"/>
      <c r="S95" s="146"/>
      <c r="T95" s="146"/>
      <c r="U95" s="146"/>
      <c r="V95" s="147"/>
      <c r="W95" s="146"/>
    </row>
    <row r="96">
      <c r="A96" s="146"/>
      <c r="B96" s="146"/>
      <c r="C96" s="146"/>
      <c r="D96" s="147"/>
      <c r="E96" s="146"/>
      <c r="F96" s="146"/>
      <c r="G96" s="146"/>
      <c r="H96" s="147"/>
      <c r="I96" s="146"/>
      <c r="J96" s="148"/>
      <c r="K96" s="148"/>
      <c r="L96" s="148"/>
      <c r="M96" s="147"/>
      <c r="N96" s="146"/>
      <c r="O96" s="147"/>
      <c r="P96" s="147"/>
      <c r="Q96" s="147"/>
      <c r="R96" s="146"/>
      <c r="S96" s="146"/>
      <c r="T96" s="146"/>
      <c r="U96" s="146"/>
      <c r="V96" s="147"/>
      <c r="W96" s="146"/>
    </row>
    <row r="97">
      <c r="A97" s="146"/>
      <c r="B97" s="146"/>
      <c r="C97" s="146"/>
      <c r="D97" s="147"/>
      <c r="E97" s="146"/>
      <c r="F97" s="146"/>
      <c r="G97" s="146"/>
      <c r="H97" s="147"/>
      <c r="I97" s="146"/>
      <c r="J97" s="148"/>
      <c r="K97" s="148"/>
      <c r="L97" s="148"/>
      <c r="M97" s="147"/>
      <c r="N97" s="146"/>
      <c r="O97" s="147"/>
      <c r="P97" s="147"/>
      <c r="Q97" s="147"/>
      <c r="R97" s="146"/>
      <c r="S97" s="146"/>
      <c r="T97" s="146"/>
      <c r="U97" s="146"/>
      <c r="V97" s="147"/>
      <c r="W97" s="146"/>
    </row>
    <row r="98">
      <c r="A98" s="146"/>
      <c r="B98" s="146"/>
      <c r="C98" s="146"/>
      <c r="D98" s="147"/>
      <c r="E98" s="146"/>
      <c r="F98" s="146"/>
      <c r="G98" s="146"/>
      <c r="H98" s="147"/>
      <c r="I98" s="146"/>
      <c r="J98" s="148"/>
      <c r="K98" s="148"/>
      <c r="L98" s="148"/>
      <c r="M98" s="147"/>
      <c r="N98" s="146"/>
      <c r="O98" s="147"/>
      <c r="P98" s="147"/>
      <c r="Q98" s="147"/>
      <c r="R98" s="146"/>
      <c r="S98" s="146"/>
      <c r="T98" s="146"/>
      <c r="U98" s="146"/>
      <c r="V98" s="147"/>
      <c r="W98" s="146"/>
    </row>
    <row r="99">
      <c r="A99" s="146"/>
      <c r="B99" s="146"/>
      <c r="C99" s="146"/>
      <c r="D99" s="147"/>
      <c r="E99" s="146"/>
      <c r="F99" s="146"/>
      <c r="G99" s="146"/>
      <c r="H99" s="147"/>
      <c r="I99" s="146"/>
      <c r="J99" s="148"/>
      <c r="K99" s="148"/>
      <c r="L99" s="148"/>
      <c r="M99" s="147"/>
      <c r="N99" s="146"/>
      <c r="O99" s="147"/>
      <c r="P99" s="147"/>
      <c r="Q99" s="147"/>
      <c r="R99" s="146"/>
      <c r="S99" s="146"/>
      <c r="T99" s="146"/>
      <c r="U99" s="146"/>
      <c r="V99" s="147"/>
      <c r="W99" s="146"/>
    </row>
    <row r="100">
      <c r="A100" s="146"/>
      <c r="B100" s="146"/>
      <c r="C100" s="146"/>
      <c r="D100" s="147"/>
      <c r="E100" s="146"/>
      <c r="F100" s="146"/>
      <c r="G100" s="146"/>
      <c r="H100" s="147"/>
      <c r="I100" s="146"/>
      <c r="J100" s="148"/>
      <c r="K100" s="148"/>
      <c r="L100" s="148"/>
      <c r="M100" s="147"/>
      <c r="N100" s="146"/>
      <c r="O100" s="147"/>
      <c r="P100" s="147"/>
      <c r="Q100" s="147"/>
      <c r="R100" s="146"/>
      <c r="S100" s="146"/>
      <c r="T100" s="146"/>
      <c r="U100" s="146"/>
      <c r="V100" s="147"/>
      <c r="W100" s="146"/>
    </row>
    <row r="101">
      <c r="A101" s="146"/>
      <c r="B101" s="146"/>
      <c r="C101" s="146"/>
      <c r="D101" s="147"/>
      <c r="E101" s="146"/>
      <c r="F101" s="146"/>
      <c r="G101" s="146"/>
      <c r="H101" s="147"/>
      <c r="I101" s="146"/>
      <c r="J101" s="148"/>
      <c r="K101" s="148"/>
      <c r="L101" s="148"/>
      <c r="M101" s="147"/>
      <c r="N101" s="146"/>
      <c r="O101" s="147"/>
      <c r="P101" s="147"/>
      <c r="Q101" s="147"/>
      <c r="R101" s="146"/>
      <c r="S101" s="146"/>
      <c r="T101" s="146"/>
      <c r="U101" s="146"/>
      <c r="V101" s="147"/>
      <c r="W101" s="146"/>
    </row>
    <row r="102">
      <c r="A102" s="146"/>
      <c r="B102" s="146"/>
      <c r="C102" s="146"/>
      <c r="D102" s="147"/>
      <c r="E102" s="146"/>
      <c r="F102" s="146"/>
      <c r="G102" s="146"/>
      <c r="H102" s="147"/>
      <c r="I102" s="146"/>
      <c r="J102" s="148"/>
      <c r="K102" s="148"/>
      <c r="L102" s="148"/>
      <c r="M102" s="147"/>
      <c r="N102" s="146"/>
      <c r="O102" s="147"/>
      <c r="P102" s="147"/>
      <c r="Q102" s="147"/>
      <c r="R102" s="146"/>
      <c r="S102" s="146"/>
      <c r="T102" s="146"/>
      <c r="U102" s="146"/>
      <c r="V102" s="147"/>
      <c r="W102" s="146"/>
    </row>
    <row r="103">
      <c r="A103" s="146"/>
      <c r="B103" s="146"/>
      <c r="C103" s="146"/>
      <c r="D103" s="147"/>
      <c r="E103" s="146"/>
      <c r="F103" s="146"/>
      <c r="G103" s="146"/>
      <c r="H103" s="147"/>
      <c r="I103" s="146"/>
      <c r="J103" s="148"/>
      <c r="K103" s="148"/>
      <c r="L103" s="148"/>
      <c r="M103" s="147"/>
      <c r="N103" s="146"/>
      <c r="O103" s="147"/>
      <c r="P103" s="147"/>
      <c r="Q103" s="147"/>
      <c r="R103" s="146"/>
      <c r="S103" s="146"/>
      <c r="T103" s="146"/>
      <c r="U103" s="146"/>
      <c r="V103" s="147"/>
      <c r="W103" s="146"/>
    </row>
    <row r="104">
      <c r="A104" s="146"/>
      <c r="B104" s="146"/>
      <c r="C104" s="146"/>
      <c r="D104" s="147"/>
      <c r="E104" s="146"/>
      <c r="F104" s="146"/>
      <c r="G104" s="146"/>
      <c r="H104" s="147"/>
      <c r="I104" s="146"/>
      <c r="J104" s="148"/>
      <c r="K104" s="148"/>
      <c r="L104" s="148"/>
      <c r="M104" s="147"/>
      <c r="N104" s="146"/>
      <c r="O104" s="147"/>
      <c r="P104" s="147"/>
      <c r="Q104" s="147"/>
      <c r="R104" s="146"/>
      <c r="S104" s="146"/>
      <c r="T104" s="146"/>
      <c r="U104" s="146"/>
      <c r="V104" s="147"/>
      <c r="W104" s="146"/>
    </row>
    <row r="105">
      <c r="A105" s="146"/>
      <c r="B105" s="146"/>
      <c r="C105" s="146"/>
      <c r="D105" s="147"/>
      <c r="E105" s="146"/>
      <c r="F105" s="146"/>
      <c r="G105" s="146"/>
      <c r="H105" s="147"/>
      <c r="I105" s="146"/>
      <c r="J105" s="148"/>
      <c r="K105" s="148"/>
      <c r="L105" s="148"/>
      <c r="M105" s="147"/>
      <c r="N105" s="146"/>
      <c r="O105" s="147"/>
      <c r="P105" s="147"/>
      <c r="Q105" s="147"/>
      <c r="R105" s="146"/>
      <c r="S105" s="146"/>
      <c r="T105" s="146"/>
      <c r="U105" s="146"/>
      <c r="V105" s="147"/>
      <c r="W105" s="146"/>
    </row>
    <row r="106">
      <c r="A106" s="146"/>
      <c r="B106" s="146"/>
      <c r="C106" s="146"/>
      <c r="D106" s="147"/>
      <c r="E106" s="146"/>
      <c r="F106" s="146"/>
      <c r="G106" s="146"/>
      <c r="H106" s="147"/>
      <c r="I106" s="146"/>
      <c r="J106" s="148"/>
      <c r="K106" s="148"/>
      <c r="L106" s="148"/>
      <c r="M106" s="147"/>
      <c r="N106" s="146"/>
      <c r="O106" s="147"/>
      <c r="P106" s="147"/>
      <c r="Q106" s="147"/>
      <c r="R106" s="146"/>
      <c r="S106" s="146"/>
      <c r="T106" s="146"/>
      <c r="U106" s="146"/>
      <c r="V106" s="147"/>
      <c r="W106" s="146"/>
    </row>
    <row r="107">
      <c r="A107" s="146"/>
      <c r="B107" s="146"/>
      <c r="C107" s="146"/>
      <c r="D107" s="147"/>
      <c r="E107" s="146"/>
      <c r="F107" s="146"/>
      <c r="G107" s="146"/>
      <c r="H107" s="147"/>
      <c r="I107" s="146"/>
      <c r="J107" s="148"/>
      <c r="K107" s="148"/>
      <c r="L107" s="148"/>
      <c r="M107" s="147"/>
      <c r="N107" s="146"/>
      <c r="O107" s="147"/>
      <c r="P107" s="147"/>
      <c r="Q107" s="147"/>
      <c r="R107" s="146"/>
      <c r="S107" s="146"/>
      <c r="T107" s="146"/>
      <c r="U107" s="146"/>
      <c r="V107" s="147"/>
      <c r="W107" s="146"/>
    </row>
    <row r="108">
      <c r="A108" s="146"/>
      <c r="B108" s="146"/>
      <c r="C108" s="146"/>
      <c r="D108" s="147"/>
      <c r="E108" s="146"/>
      <c r="F108" s="146"/>
      <c r="G108" s="146"/>
      <c r="H108" s="147"/>
      <c r="I108" s="146"/>
      <c r="J108" s="148"/>
      <c r="K108" s="148"/>
      <c r="L108" s="148"/>
      <c r="M108" s="147"/>
      <c r="N108" s="146"/>
      <c r="O108" s="147"/>
      <c r="P108" s="147"/>
      <c r="Q108" s="147"/>
      <c r="R108" s="146"/>
      <c r="S108" s="146"/>
      <c r="T108" s="146"/>
      <c r="U108" s="146"/>
      <c r="V108" s="147"/>
      <c r="W108" s="146"/>
    </row>
    <row r="109">
      <c r="A109" s="146"/>
      <c r="B109" s="146"/>
      <c r="C109" s="146"/>
      <c r="D109" s="147"/>
      <c r="E109" s="146"/>
      <c r="F109" s="146"/>
      <c r="G109" s="146"/>
      <c r="H109" s="147"/>
      <c r="I109" s="146"/>
      <c r="J109" s="148"/>
      <c r="K109" s="148"/>
      <c r="L109" s="148"/>
      <c r="M109" s="147"/>
      <c r="N109" s="146"/>
      <c r="O109" s="147"/>
      <c r="P109" s="147"/>
      <c r="Q109" s="147"/>
      <c r="R109" s="146"/>
      <c r="S109" s="146"/>
      <c r="T109" s="146"/>
      <c r="U109" s="146"/>
      <c r="V109" s="147"/>
      <c r="W109" s="146"/>
    </row>
    <row r="110">
      <c r="A110" s="146"/>
      <c r="B110" s="146"/>
      <c r="C110" s="146"/>
      <c r="D110" s="147"/>
      <c r="E110" s="146"/>
      <c r="F110" s="146"/>
      <c r="G110" s="146"/>
      <c r="H110" s="147"/>
      <c r="I110" s="146"/>
      <c r="J110" s="148"/>
      <c r="K110" s="148"/>
      <c r="L110" s="148"/>
      <c r="M110" s="147"/>
      <c r="N110" s="146"/>
      <c r="O110" s="147"/>
      <c r="P110" s="147"/>
      <c r="Q110" s="147"/>
      <c r="R110" s="146"/>
      <c r="S110" s="146"/>
      <c r="T110" s="146"/>
      <c r="U110" s="146"/>
      <c r="V110" s="147"/>
      <c r="W110" s="146"/>
    </row>
    <row r="111">
      <c r="A111" s="146"/>
      <c r="B111" s="146"/>
      <c r="C111" s="146"/>
      <c r="D111" s="147"/>
      <c r="E111" s="146"/>
      <c r="F111" s="146"/>
      <c r="G111" s="146"/>
      <c r="H111" s="147"/>
      <c r="I111" s="146"/>
      <c r="J111" s="148"/>
      <c r="K111" s="148"/>
      <c r="L111" s="148"/>
      <c r="M111" s="147"/>
      <c r="N111" s="146"/>
      <c r="O111" s="147"/>
      <c r="P111" s="147"/>
      <c r="Q111" s="147"/>
      <c r="R111" s="146"/>
      <c r="S111" s="146"/>
      <c r="T111" s="146"/>
      <c r="U111" s="146"/>
      <c r="V111" s="147"/>
      <c r="W111" s="146"/>
    </row>
    <row r="112">
      <c r="A112" s="146"/>
      <c r="B112" s="146"/>
      <c r="C112" s="146"/>
      <c r="D112" s="147"/>
      <c r="E112" s="146"/>
      <c r="F112" s="146"/>
      <c r="G112" s="146"/>
      <c r="H112" s="147"/>
      <c r="I112" s="146"/>
      <c r="J112" s="148"/>
      <c r="K112" s="148"/>
      <c r="L112" s="148"/>
      <c r="M112" s="147"/>
      <c r="N112" s="146"/>
      <c r="O112" s="147"/>
      <c r="P112" s="147"/>
      <c r="Q112" s="147"/>
      <c r="R112" s="146"/>
      <c r="S112" s="146"/>
      <c r="T112" s="146"/>
      <c r="U112" s="146"/>
      <c r="V112" s="147"/>
      <c r="W112" s="146"/>
    </row>
    <row r="113">
      <c r="A113" s="146"/>
      <c r="B113" s="146"/>
      <c r="C113" s="146"/>
      <c r="D113" s="147"/>
      <c r="E113" s="146"/>
      <c r="F113" s="146"/>
      <c r="G113" s="146"/>
      <c r="H113" s="147"/>
      <c r="I113" s="146"/>
      <c r="J113" s="148"/>
      <c r="K113" s="148"/>
      <c r="L113" s="148"/>
      <c r="M113" s="147"/>
      <c r="N113" s="146"/>
      <c r="O113" s="147"/>
      <c r="P113" s="147"/>
      <c r="Q113" s="147"/>
      <c r="R113" s="146"/>
      <c r="S113" s="146"/>
      <c r="T113" s="146"/>
      <c r="U113" s="146"/>
      <c r="V113" s="147"/>
      <c r="W113" s="146"/>
    </row>
    <row r="114">
      <c r="A114" s="146"/>
      <c r="B114" s="146"/>
      <c r="C114" s="146"/>
      <c r="D114" s="147"/>
      <c r="E114" s="146"/>
      <c r="F114" s="146"/>
      <c r="G114" s="146"/>
      <c r="H114" s="147"/>
      <c r="I114" s="146"/>
      <c r="J114" s="148"/>
      <c r="K114" s="148"/>
      <c r="L114" s="148"/>
      <c r="M114" s="147"/>
      <c r="N114" s="146"/>
      <c r="O114" s="147"/>
      <c r="P114" s="147"/>
      <c r="Q114" s="147"/>
      <c r="R114" s="146"/>
      <c r="S114" s="146"/>
      <c r="T114" s="146"/>
      <c r="U114" s="146"/>
      <c r="V114" s="147"/>
      <c r="W114" s="146"/>
    </row>
    <row r="115">
      <c r="A115" s="146"/>
      <c r="B115" s="146"/>
      <c r="C115" s="146"/>
      <c r="D115" s="147"/>
      <c r="E115" s="146"/>
      <c r="F115" s="146"/>
      <c r="G115" s="146"/>
      <c r="H115" s="147"/>
      <c r="I115" s="146"/>
      <c r="J115" s="148"/>
      <c r="K115" s="148"/>
      <c r="L115" s="148"/>
      <c r="M115" s="147"/>
      <c r="N115" s="146"/>
      <c r="O115" s="147"/>
      <c r="P115" s="147"/>
      <c r="Q115" s="147"/>
      <c r="R115" s="146"/>
      <c r="S115" s="146"/>
      <c r="T115" s="146"/>
      <c r="U115" s="146"/>
      <c r="V115" s="147"/>
      <c r="W115" s="146"/>
    </row>
    <row r="116">
      <c r="A116" s="146"/>
      <c r="B116" s="146"/>
      <c r="C116" s="146"/>
      <c r="D116" s="147"/>
      <c r="E116" s="146"/>
      <c r="F116" s="146"/>
      <c r="G116" s="146"/>
      <c r="H116" s="147"/>
      <c r="I116" s="146"/>
      <c r="J116" s="148"/>
      <c r="K116" s="148"/>
      <c r="L116" s="148"/>
      <c r="M116" s="147"/>
      <c r="N116" s="146"/>
      <c r="O116" s="147"/>
      <c r="P116" s="147"/>
      <c r="Q116" s="147"/>
      <c r="R116" s="146"/>
      <c r="S116" s="146"/>
      <c r="T116" s="146"/>
      <c r="U116" s="146"/>
      <c r="V116" s="147"/>
      <c r="W116" s="146"/>
    </row>
    <row r="117">
      <c r="A117" s="146"/>
      <c r="B117" s="146"/>
      <c r="C117" s="146"/>
      <c r="D117" s="147"/>
      <c r="E117" s="146"/>
      <c r="F117" s="146"/>
      <c r="G117" s="146"/>
      <c r="H117" s="147"/>
      <c r="I117" s="146"/>
      <c r="J117" s="148"/>
      <c r="K117" s="148"/>
      <c r="L117" s="148"/>
      <c r="M117" s="147"/>
      <c r="N117" s="146"/>
      <c r="O117" s="147"/>
      <c r="P117" s="147"/>
      <c r="Q117" s="147"/>
      <c r="R117" s="146"/>
      <c r="S117" s="146"/>
      <c r="T117" s="146"/>
      <c r="U117" s="146"/>
      <c r="V117" s="147"/>
      <c r="W117" s="146"/>
    </row>
    <row r="118">
      <c r="A118" s="146"/>
      <c r="B118" s="146"/>
      <c r="C118" s="146"/>
      <c r="D118" s="147"/>
      <c r="E118" s="146"/>
      <c r="F118" s="146"/>
      <c r="G118" s="146"/>
      <c r="H118" s="147"/>
      <c r="I118" s="146"/>
      <c r="J118" s="148"/>
      <c r="K118" s="148"/>
      <c r="L118" s="148"/>
      <c r="M118" s="147"/>
      <c r="N118" s="146"/>
      <c r="O118" s="147"/>
      <c r="P118" s="147"/>
      <c r="Q118" s="147"/>
      <c r="R118" s="146"/>
      <c r="S118" s="146"/>
      <c r="T118" s="146"/>
      <c r="U118" s="146"/>
      <c r="V118" s="147"/>
      <c r="W118" s="146"/>
    </row>
    <row r="119">
      <c r="A119" s="146"/>
      <c r="B119" s="146"/>
      <c r="C119" s="146"/>
      <c r="D119" s="147"/>
      <c r="E119" s="146"/>
      <c r="F119" s="146"/>
      <c r="G119" s="146"/>
      <c r="H119" s="147"/>
      <c r="I119" s="146"/>
      <c r="J119" s="148"/>
      <c r="K119" s="148"/>
      <c r="L119" s="148"/>
      <c r="M119" s="147"/>
      <c r="N119" s="146"/>
      <c r="O119" s="147"/>
      <c r="P119" s="147"/>
      <c r="Q119" s="147"/>
      <c r="R119" s="146"/>
      <c r="S119" s="146"/>
      <c r="T119" s="146"/>
      <c r="U119" s="146"/>
      <c r="V119" s="147"/>
      <c r="W119" s="146"/>
    </row>
    <row r="120">
      <c r="A120" s="146"/>
      <c r="B120" s="146"/>
      <c r="C120" s="146"/>
      <c r="D120" s="147"/>
      <c r="E120" s="146"/>
      <c r="F120" s="146"/>
      <c r="G120" s="146"/>
      <c r="H120" s="147"/>
      <c r="I120" s="146"/>
      <c r="J120" s="148"/>
      <c r="K120" s="148"/>
      <c r="L120" s="148"/>
      <c r="M120" s="147"/>
      <c r="N120" s="146"/>
      <c r="O120" s="147"/>
      <c r="P120" s="147"/>
      <c r="Q120" s="147"/>
      <c r="R120" s="146"/>
      <c r="S120" s="146"/>
      <c r="T120" s="146"/>
      <c r="U120" s="146"/>
      <c r="V120" s="147"/>
      <c r="W120" s="146"/>
    </row>
    <row r="121">
      <c r="A121" s="146"/>
      <c r="B121" s="146"/>
      <c r="C121" s="146"/>
      <c r="D121" s="147"/>
      <c r="E121" s="146"/>
      <c r="F121" s="146"/>
      <c r="G121" s="146"/>
      <c r="H121" s="147"/>
      <c r="I121" s="146"/>
      <c r="J121" s="148"/>
      <c r="K121" s="148"/>
      <c r="L121" s="148"/>
      <c r="M121" s="147"/>
      <c r="N121" s="146"/>
      <c r="O121" s="147"/>
      <c r="P121" s="147"/>
      <c r="Q121" s="147"/>
      <c r="R121" s="146"/>
      <c r="S121" s="146"/>
      <c r="T121" s="146"/>
      <c r="U121" s="146"/>
      <c r="V121" s="147"/>
      <c r="W121" s="146"/>
    </row>
    <row r="122">
      <c r="A122" s="146"/>
      <c r="B122" s="146"/>
      <c r="C122" s="146"/>
      <c r="D122" s="147"/>
      <c r="E122" s="146"/>
      <c r="F122" s="146"/>
      <c r="G122" s="146"/>
      <c r="H122" s="147"/>
      <c r="I122" s="146"/>
      <c r="J122" s="148"/>
      <c r="K122" s="148"/>
      <c r="L122" s="148"/>
      <c r="M122" s="147"/>
      <c r="N122" s="146"/>
      <c r="O122" s="147"/>
      <c r="P122" s="147"/>
      <c r="Q122" s="147"/>
      <c r="R122" s="146"/>
      <c r="S122" s="146"/>
      <c r="T122" s="146"/>
      <c r="U122" s="146"/>
      <c r="V122" s="147"/>
      <c r="W122" s="146"/>
    </row>
    <row r="123">
      <c r="A123" s="146"/>
      <c r="B123" s="146"/>
      <c r="C123" s="146"/>
      <c r="D123" s="147"/>
      <c r="E123" s="146"/>
      <c r="F123" s="146"/>
      <c r="G123" s="146"/>
      <c r="H123" s="147"/>
      <c r="I123" s="146"/>
      <c r="J123" s="148"/>
      <c r="K123" s="148"/>
      <c r="L123" s="148"/>
      <c r="M123" s="147"/>
      <c r="N123" s="146"/>
      <c r="O123" s="147"/>
      <c r="P123" s="147"/>
      <c r="Q123" s="147"/>
      <c r="R123" s="146"/>
      <c r="S123" s="146"/>
      <c r="T123" s="146"/>
      <c r="U123" s="146"/>
      <c r="V123" s="147"/>
      <c r="W123" s="146"/>
    </row>
    <row r="124">
      <c r="A124" s="146"/>
      <c r="B124" s="146"/>
      <c r="C124" s="146"/>
      <c r="D124" s="147"/>
      <c r="E124" s="146"/>
      <c r="F124" s="146"/>
      <c r="G124" s="146"/>
      <c r="H124" s="147"/>
      <c r="I124" s="146"/>
      <c r="J124" s="148"/>
      <c r="K124" s="148"/>
      <c r="L124" s="148"/>
      <c r="M124" s="147"/>
      <c r="N124" s="146"/>
      <c r="O124" s="147"/>
      <c r="P124" s="147"/>
      <c r="Q124" s="147"/>
      <c r="R124" s="146"/>
      <c r="S124" s="146"/>
      <c r="T124" s="146"/>
      <c r="U124" s="146"/>
      <c r="V124" s="147"/>
      <c r="W124" s="146"/>
    </row>
    <row r="125">
      <c r="A125" s="146"/>
      <c r="B125" s="146"/>
      <c r="C125" s="146"/>
      <c r="D125" s="147"/>
      <c r="E125" s="146"/>
      <c r="F125" s="146"/>
      <c r="G125" s="146"/>
      <c r="H125" s="147"/>
      <c r="I125" s="146"/>
      <c r="J125" s="148"/>
      <c r="K125" s="148"/>
      <c r="L125" s="148"/>
      <c r="M125" s="147"/>
      <c r="N125" s="146"/>
      <c r="O125" s="147"/>
      <c r="P125" s="147"/>
      <c r="Q125" s="147"/>
      <c r="R125" s="146"/>
      <c r="S125" s="146"/>
      <c r="T125" s="146"/>
      <c r="U125" s="146"/>
      <c r="V125" s="147"/>
      <c r="W125" s="146"/>
    </row>
    <row r="126">
      <c r="A126" s="146"/>
      <c r="B126" s="146"/>
      <c r="C126" s="146"/>
      <c r="D126" s="147"/>
      <c r="E126" s="146"/>
      <c r="F126" s="146"/>
      <c r="G126" s="146"/>
      <c r="H126" s="147"/>
      <c r="I126" s="146"/>
      <c r="J126" s="148"/>
      <c r="K126" s="148"/>
      <c r="L126" s="148"/>
      <c r="M126" s="147"/>
      <c r="N126" s="146"/>
      <c r="O126" s="147"/>
      <c r="P126" s="147"/>
      <c r="Q126" s="147"/>
      <c r="R126" s="146"/>
      <c r="S126" s="146"/>
      <c r="T126" s="146"/>
      <c r="U126" s="146"/>
      <c r="V126" s="147"/>
      <c r="W126" s="146"/>
    </row>
    <row r="127">
      <c r="A127" s="146"/>
      <c r="B127" s="146"/>
      <c r="C127" s="146"/>
      <c r="D127" s="147"/>
      <c r="E127" s="146"/>
      <c r="F127" s="146"/>
      <c r="G127" s="146"/>
      <c r="H127" s="147"/>
      <c r="I127" s="146"/>
      <c r="J127" s="148"/>
      <c r="K127" s="148"/>
      <c r="L127" s="148"/>
      <c r="M127" s="147"/>
      <c r="N127" s="146"/>
      <c r="O127" s="147"/>
      <c r="P127" s="147"/>
      <c r="Q127" s="147"/>
      <c r="R127" s="146"/>
      <c r="S127" s="146"/>
      <c r="T127" s="146"/>
      <c r="U127" s="146"/>
      <c r="V127" s="147"/>
      <c r="W127" s="146"/>
    </row>
    <row r="128">
      <c r="A128" s="146"/>
      <c r="B128" s="146"/>
      <c r="C128" s="146"/>
      <c r="D128" s="147"/>
      <c r="E128" s="146"/>
      <c r="F128" s="146"/>
      <c r="G128" s="146"/>
      <c r="H128" s="147"/>
      <c r="I128" s="146"/>
      <c r="J128" s="148"/>
      <c r="K128" s="148"/>
      <c r="L128" s="148"/>
      <c r="M128" s="147"/>
      <c r="N128" s="146"/>
      <c r="O128" s="147"/>
      <c r="P128" s="147"/>
      <c r="Q128" s="147"/>
      <c r="R128" s="146"/>
      <c r="S128" s="146"/>
      <c r="T128" s="146"/>
      <c r="U128" s="146"/>
      <c r="V128" s="147"/>
      <c r="W128" s="146"/>
    </row>
    <row r="129">
      <c r="A129" s="146"/>
      <c r="B129" s="146"/>
      <c r="C129" s="146"/>
      <c r="D129" s="147"/>
      <c r="E129" s="146"/>
      <c r="F129" s="146"/>
      <c r="G129" s="146"/>
      <c r="H129" s="147"/>
      <c r="I129" s="146"/>
      <c r="J129" s="148"/>
      <c r="K129" s="148"/>
      <c r="L129" s="148"/>
      <c r="M129" s="147"/>
      <c r="N129" s="146"/>
      <c r="O129" s="147"/>
      <c r="P129" s="147"/>
      <c r="Q129" s="147"/>
      <c r="R129" s="146"/>
      <c r="S129" s="146"/>
      <c r="T129" s="146"/>
      <c r="U129" s="146"/>
      <c r="V129" s="147"/>
      <c r="W129" s="146"/>
    </row>
    <row r="130">
      <c r="A130" s="146"/>
      <c r="B130" s="146"/>
      <c r="C130" s="146"/>
      <c r="D130" s="147"/>
      <c r="E130" s="146"/>
      <c r="F130" s="146"/>
      <c r="G130" s="146"/>
      <c r="H130" s="147"/>
      <c r="I130" s="146"/>
      <c r="J130" s="148"/>
      <c r="K130" s="148"/>
      <c r="L130" s="148"/>
      <c r="M130" s="147"/>
      <c r="N130" s="146"/>
      <c r="O130" s="147"/>
      <c r="P130" s="147"/>
      <c r="Q130" s="147"/>
      <c r="R130" s="146"/>
      <c r="S130" s="146"/>
      <c r="T130" s="146"/>
      <c r="U130" s="146"/>
      <c r="V130" s="147"/>
      <c r="W130" s="146"/>
    </row>
    <row r="131">
      <c r="A131" s="146"/>
      <c r="B131" s="146"/>
      <c r="C131" s="146"/>
      <c r="D131" s="147"/>
      <c r="E131" s="146"/>
      <c r="F131" s="146"/>
      <c r="G131" s="146"/>
      <c r="H131" s="147"/>
      <c r="I131" s="146"/>
      <c r="J131" s="148"/>
      <c r="K131" s="148"/>
      <c r="L131" s="148"/>
      <c r="M131" s="147"/>
      <c r="N131" s="146"/>
      <c r="O131" s="147"/>
      <c r="P131" s="147"/>
      <c r="Q131" s="147"/>
      <c r="R131" s="146"/>
      <c r="S131" s="146"/>
      <c r="T131" s="146"/>
      <c r="U131" s="146"/>
      <c r="V131" s="147"/>
      <c r="W131" s="146"/>
    </row>
    <row r="132">
      <c r="A132" s="146"/>
      <c r="B132" s="146"/>
      <c r="C132" s="146"/>
      <c r="D132" s="147"/>
      <c r="E132" s="146"/>
      <c r="F132" s="146"/>
      <c r="G132" s="146"/>
      <c r="H132" s="147"/>
      <c r="I132" s="146"/>
      <c r="J132" s="148"/>
      <c r="K132" s="148"/>
      <c r="L132" s="148"/>
      <c r="M132" s="147"/>
      <c r="N132" s="146"/>
      <c r="O132" s="147"/>
      <c r="P132" s="147"/>
      <c r="Q132" s="147"/>
      <c r="R132" s="146"/>
      <c r="S132" s="146"/>
      <c r="T132" s="146"/>
      <c r="U132" s="146"/>
      <c r="V132" s="147"/>
      <c r="W132" s="146"/>
    </row>
    <row r="133">
      <c r="A133" s="146"/>
      <c r="B133" s="146"/>
      <c r="C133" s="146"/>
      <c r="D133" s="147"/>
      <c r="E133" s="146"/>
      <c r="F133" s="146"/>
      <c r="G133" s="146"/>
      <c r="H133" s="147"/>
      <c r="I133" s="146"/>
      <c r="J133" s="148"/>
      <c r="K133" s="148"/>
      <c r="L133" s="148"/>
      <c r="M133" s="147"/>
      <c r="N133" s="146"/>
      <c r="O133" s="147"/>
      <c r="P133" s="147"/>
      <c r="Q133" s="147"/>
      <c r="R133" s="146"/>
      <c r="S133" s="146"/>
      <c r="T133" s="146"/>
      <c r="U133" s="146"/>
      <c r="V133" s="147"/>
      <c r="W133" s="146"/>
    </row>
    <row r="134">
      <c r="A134" s="146"/>
      <c r="B134" s="146"/>
      <c r="C134" s="146"/>
      <c r="D134" s="147"/>
      <c r="E134" s="146"/>
      <c r="F134" s="146"/>
      <c r="G134" s="146"/>
      <c r="H134" s="147"/>
      <c r="I134" s="146"/>
      <c r="J134" s="148"/>
      <c r="K134" s="148"/>
      <c r="L134" s="148"/>
      <c r="M134" s="147"/>
      <c r="N134" s="146"/>
      <c r="O134" s="147"/>
      <c r="P134" s="147"/>
      <c r="Q134" s="147"/>
      <c r="R134" s="146"/>
      <c r="S134" s="146"/>
      <c r="T134" s="146"/>
      <c r="U134" s="146"/>
      <c r="V134" s="147"/>
      <c r="W134" s="146"/>
    </row>
    <row r="135">
      <c r="A135" s="146"/>
      <c r="B135" s="146"/>
      <c r="C135" s="146"/>
      <c r="D135" s="147"/>
      <c r="E135" s="146"/>
      <c r="F135" s="146"/>
      <c r="G135" s="146"/>
      <c r="H135" s="147"/>
      <c r="I135" s="146"/>
      <c r="J135" s="148"/>
      <c r="K135" s="148"/>
      <c r="L135" s="148"/>
      <c r="M135" s="147"/>
      <c r="N135" s="146"/>
      <c r="O135" s="147"/>
      <c r="P135" s="147"/>
      <c r="Q135" s="147"/>
      <c r="R135" s="146"/>
      <c r="S135" s="146"/>
      <c r="T135" s="146"/>
      <c r="U135" s="146"/>
      <c r="V135" s="147"/>
      <c r="W135" s="146"/>
    </row>
    <row r="136">
      <c r="A136" s="146"/>
      <c r="B136" s="146"/>
      <c r="C136" s="146"/>
      <c r="D136" s="147"/>
      <c r="E136" s="146"/>
      <c r="F136" s="146"/>
      <c r="G136" s="146"/>
      <c r="H136" s="147"/>
      <c r="I136" s="146"/>
      <c r="J136" s="148"/>
      <c r="K136" s="148"/>
      <c r="L136" s="148"/>
      <c r="M136" s="147"/>
      <c r="N136" s="146"/>
      <c r="O136" s="147"/>
      <c r="P136" s="147"/>
      <c r="Q136" s="147"/>
      <c r="R136" s="146"/>
      <c r="S136" s="146"/>
      <c r="T136" s="146"/>
      <c r="U136" s="146"/>
      <c r="V136" s="147"/>
      <c r="W136" s="146"/>
    </row>
    <row r="137">
      <c r="A137" s="146"/>
      <c r="B137" s="146"/>
      <c r="C137" s="146"/>
      <c r="D137" s="147"/>
      <c r="E137" s="146"/>
      <c r="F137" s="146"/>
      <c r="G137" s="146"/>
      <c r="H137" s="147"/>
      <c r="I137" s="146"/>
      <c r="J137" s="148"/>
      <c r="K137" s="148"/>
      <c r="L137" s="148"/>
      <c r="M137" s="147"/>
      <c r="N137" s="146"/>
      <c r="O137" s="147"/>
      <c r="P137" s="147"/>
      <c r="Q137" s="147"/>
      <c r="R137" s="146"/>
      <c r="S137" s="146"/>
      <c r="T137" s="146"/>
      <c r="U137" s="146"/>
      <c r="V137" s="147"/>
      <c r="W137" s="146"/>
    </row>
    <row r="138">
      <c r="A138" s="146"/>
      <c r="B138" s="146"/>
      <c r="C138" s="146"/>
      <c r="D138" s="147"/>
      <c r="E138" s="146"/>
      <c r="F138" s="146"/>
      <c r="G138" s="146"/>
      <c r="H138" s="147"/>
      <c r="I138" s="146"/>
      <c r="J138" s="148"/>
      <c r="K138" s="148"/>
      <c r="L138" s="148"/>
      <c r="M138" s="147"/>
      <c r="N138" s="146"/>
      <c r="O138" s="147"/>
      <c r="P138" s="147"/>
      <c r="Q138" s="147"/>
      <c r="R138" s="146"/>
      <c r="S138" s="146"/>
      <c r="T138" s="146"/>
      <c r="U138" s="146"/>
      <c r="V138" s="147"/>
      <c r="W138" s="146"/>
    </row>
    <row r="139">
      <c r="A139" s="146"/>
      <c r="B139" s="146"/>
      <c r="C139" s="146"/>
      <c r="D139" s="147"/>
      <c r="E139" s="146"/>
      <c r="F139" s="146"/>
      <c r="G139" s="146"/>
      <c r="H139" s="147"/>
      <c r="I139" s="146"/>
      <c r="J139" s="148"/>
      <c r="K139" s="148"/>
      <c r="L139" s="148"/>
      <c r="M139" s="147"/>
      <c r="N139" s="146"/>
      <c r="O139" s="147"/>
      <c r="P139" s="147"/>
      <c r="Q139" s="147"/>
      <c r="R139" s="146"/>
      <c r="S139" s="146"/>
      <c r="T139" s="146"/>
      <c r="U139" s="146"/>
      <c r="V139" s="147"/>
      <c r="W139" s="146"/>
    </row>
    <row r="140">
      <c r="A140" s="146"/>
      <c r="B140" s="146"/>
      <c r="C140" s="146"/>
      <c r="D140" s="147"/>
      <c r="E140" s="146"/>
      <c r="F140" s="146"/>
      <c r="G140" s="146"/>
      <c r="H140" s="147"/>
      <c r="I140" s="146"/>
      <c r="J140" s="148"/>
      <c r="K140" s="148"/>
      <c r="L140" s="148"/>
      <c r="M140" s="147"/>
      <c r="N140" s="146"/>
      <c r="O140" s="147"/>
      <c r="P140" s="147"/>
      <c r="Q140" s="147"/>
      <c r="R140" s="146"/>
      <c r="S140" s="146"/>
      <c r="T140" s="146"/>
      <c r="U140" s="146"/>
      <c r="V140" s="147"/>
      <c r="W140" s="146"/>
    </row>
    <row r="141">
      <c r="A141" s="146"/>
      <c r="B141" s="146"/>
      <c r="C141" s="146"/>
      <c r="D141" s="147"/>
      <c r="E141" s="146"/>
      <c r="F141" s="146"/>
      <c r="G141" s="146"/>
      <c r="H141" s="147"/>
      <c r="I141" s="146"/>
      <c r="J141" s="148"/>
      <c r="K141" s="148"/>
      <c r="L141" s="148"/>
      <c r="M141" s="147"/>
      <c r="N141" s="146"/>
      <c r="O141" s="147"/>
      <c r="P141" s="147"/>
      <c r="Q141" s="147"/>
      <c r="R141" s="146"/>
      <c r="S141" s="146"/>
      <c r="T141" s="146"/>
      <c r="U141" s="146"/>
      <c r="V141" s="147"/>
      <c r="W141" s="146"/>
    </row>
    <row r="142">
      <c r="A142" s="146"/>
      <c r="B142" s="146"/>
      <c r="C142" s="146"/>
      <c r="D142" s="147"/>
      <c r="E142" s="146"/>
      <c r="F142" s="146"/>
      <c r="G142" s="146"/>
      <c r="H142" s="147"/>
      <c r="I142" s="146"/>
      <c r="J142" s="148"/>
      <c r="K142" s="148"/>
      <c r="L142" s="148"/>
      <c r="M142" s="147"/>
      <c r="N142" s="146"/>
      <c r="O142" s="147"/>
      <c r="P142" s="147"/>
      <c r="Q142" s="147"/>
      <c r="R142" s="146"/>
      <c r="S142" s="146"/>
      <c r="T142" s="146"/>
      <c r="U142" s="146"/>
      <c r="V142" s="147"/>
      <c r="W142" s="146"/>
    </row>
    <row r="143">
      <c r="A143" s="146"/>
      <c r="B143" s="146"/>
      <c r="C143" s="146"/>
      <c r="D143" s="147"/>
      <c r="E143" s="146"/>
      <c r="F143" s="146"/>
      <c r="G143" s="146"/>
      <c r="H143" s="147"/>
      <c r="I143" s="146"/>
      <c r="J143" s="148"/>
      <c r="K143" s="148"/>
      <c r="L143" s="148"/>
      <c r="M143" s="147"/>
      <c r="N143" s="146"/>
      <c r="O143" s="147"/>
      <c r="P143" s="147"/>
      <c r="Q143" s="147"/>
      <c r="R143" s="146"/>
      <c r="S143" s="146"/>
      <c r="T143" s="146"/>
      <c r="U143" s="146"/>
      <c r="V143" s="147"/>
      <c r="W143" s="146"/>
    </row>
    <row r="144">
      <c r="A144" s="146"/>
      <c r="B144" s="146"/>
      <c r="C144" s="146"/>
      <c r="D144" s="147"/>
      <c r="E144" s="146"/>
      <c r="F144" s="146"/>
      <c r="G144" s="146"/>
      <c r="H144" s="147"/>
      <c r="I144" s="146"/>
      <c r="J144" s="148"/>
      <c r="K144" s="148"/>
      <c r="L144" s="148"/>
      <c r="M144" s="147"/>
      <c r="N144" s="146"/>
      <c r="O144" s="147"/>
      <c r="P144" s="147"/>
      <c r="Q144" s="147"/>
      <c r="R144" s="146"/>
      <c r="S144" s="146"/>
      <c r="T144" s="146"/>
      <c r="U144" s="146"/>
      <c r="V144" s="147"/>
      <c r="W144" s="146"/>
    </row>
    <row r="145">
      <c r="A145" s="146"/>
      <c r="B145" s="146"/>
      <c r="C145" s="146"/>
      <c r="D145" s="147"/>
      <c r="E145" s="146"/>
      <c r="F145" s="146"/>
      <c r="G145" s="146"/>
      <c r="H145" s="147"/>
      <c r="I145" s="146"/>
      <c r="J145" s="148"/>
      <c r="K145" s="148"/>
      <c r="L145" s="148"/>
      <c r="M145" s="147"/>
      <c r="N145" s="146"/>
      <c r="O145" s="147"/>
      <c r="P145" s="147"/>
      <c r="Q145" s="147"/>
      <c r="R145" s="146"/>
      <c r="S145" s="146"/>
      <c r="T145" s="146"/>
      <c r="U145" s="146"/>
      <c r="V145" s="147"/>
      <c r="W145" s="146"/>
    </row>
    <row r="146">
      <c r="A146" s="146"/>
      <c r="B146" s="146"/>
      <c r="C146" s="146"/>
      <c r="D146" s="147"/>
      <c r="E146" s="146"/>
      <c r="F146" s="146"/>
      <c r="G146" s="146"/>
      <c r="H146" s="147"/>
      <c r="I146" s="146"/>
      <c r="J146" s="148"/>
      <c r="K146" s="148"/>
      <c r="L146" s="148"/>
      <c r="M146" s="147"/>
      <c r="N146" s="146"/>
      <c r="O146" s="147"/>
      <c r="P146" s="147"/>
      <c r="Q146" s="147"/>
      <c r="R146" s="146"/>
      <c r="S146" s="146"/>
      <c r="T146" s="146"/>
      <c r="U146" s="146"/>
      <c r="V146" s="147"/>
      <c r="W146" s="146"/>
    </row>
    <row r="147">
      <c r="A147" s="146"/>
      <c r="B147" s="146"/>
      <c r="C147" s="146"/>
      <c r="D147" s="147"/>
      <c r="E147" s="146"/>
      <c r="F147" s="146"/>
      <c r="G147" s="146"/>
      <c r="H147" s="147"/>
      <c r="I147" s="146"/>
      <c r="J147" s="148"/>
      <c r="K147" s="148"/>
      <c r="L147" s="148"/>
      <c r="M147" s="147"/>
      <c r="N147" s="146"/>
      <c r="O147" s="147"/>
      <c r="P147" s="147"/>
      <c r="Q147" s="147"/>
      <c r="R147" s="146"/>
      <c r="S147" s="146"/>
      <c r="T147" s="146"/>
      <c r="U147" s="146"/>
      <c r="V147" s="147"/>
      <c r="W147" s="146"/>
    </row>
    <row r="148">
      <c r="A148" s="146"/>
      <c r="B148" s="146"/>
      <c r="C148" s="146"/>
      <c r="D148" s="147"/>
      <c r="E148" s="146"/>
      <c r="F148" s="146"/>
      <c r="G148" s="146"/>
      <c r="H148" s="147"/>
      <c r="I148" s="146"/>
      <c r="J148" s="148"/>
      <c r="K148" s="148"/>
      <c r="L148" s="148"/>
      <c r="M148" s="147"/>
      <c r="N148" s="146"/>
      <c r="O148" s="147"/>
      <c r="P148" s="147"/>
      <c r="Q148" s="147"/>
      <c r="R148" s="146"/>
      <c r="S148" s="146"/>
      <c r="T148" s="146"/>
      <c r="U148" s="146"/>
      <c r="V148" s="147"/>
      <c r="W148" s="146"/>
    </row>
    <row r="149">
      <c r="A149" s="146"/>
      <c r="B149" s="146"/>
      <c r="C149" s="146"/>
      <c r="D149" s="147"/>
      <c r="E149" s="146"/>
      <c r="F149" s="146"/>
      <c r="G149" s="146"/>
      <c r="H149" s="147"/>
      <c r="I149" s="146"/>
      <c r="J149" s="148"/>
      <c r="K149" s="148"/>
      <c r="L149" s="148"/>
      <c r="M149" s="147"/>
      <c r="N149" s="146"/>
      <c r="O149" s="147"/>
      <c r="P149" s="147"/>
      <c r="Q149" s="147"/>
      <c r="R149" s="146"/>
      <c r="S149" s="146"/>
      <c r="T149" s="146"/>
      <c r="U149" s="146"/>
      <c r="V149" s="147"/>
      <c r="W149" s="146"/>
    </row>
    <row r="150">
      <c r="A150" s="146"/>
      <c r="B150" s="146"/>
      <c r="C150" s="146"/>
      <c r="D150" s="147"/>
      <c r="E150" s="146"/>
      <c r="F150" s="146"/>
      <c r="G150" s="146"/>
      <c r="H150" s="147"/>
      <c r="I150" s="146"/>
      <c r="J150" s="148"/>
      <c r="K150" s="148"/>
      <c r="L150" s="148"/>
      <c r="M150" s="147"/>
      <c r="N150" s="146"/>
      <c r="O150" s="147"/>
      <c r="P150" s="147"/>
      <c r="Q150" s="147"/>
      <c r="R150" s="146"/>
      <c r="S150" s="146"/>
      <c r="T150" s="146"/>
      <c r="U150" s="146"/>
      <c r="V150" s="147"/>
      <c r="W150" s="146"/>
    </row>
    <row r="151">
      <c r="A151" s="146"/>
      <c r="B151" s="146"/>
      <c r="C151" s="146"/>
      <c r="D151" s="147"/>
      <c r="E151" s="146"/>
      <c r="F151" s="146"/>
      <c r="G151" s="146"/>
      <c r="H151" s="147"/>
      <c r="I151" s="146"/>
      <c r="J151" s="148"/>
      <c r="K151" s="148"/>
      <c r="L151" s="148"/>
      <c r="M151" s="147"/>
      <c r="N151" s="146"/>
      <c r="O151" s="147"/>
      <c r="P151" s="147"/>
      <c r="Q151" s="147"/>
      <c r="R151" s="146"/>
      <c r="S151" s="146"/>
      <c r="T151" s="146"/>
      <c r="U151" s="146"/>
      <c r="V151" s="147"/>
      <c r="W151" s="146"/>
    </row>
    <row r="152">
      <c r="A152" s="146"/>
      <c r="B152" s="146"/>
      <c r="C152" s="146"/>
      <c r="D152" s="147"/>
      <c r="E152" s="146"/>
      <c r="F152" s="146"/>
      <c r="G152" s="146"/>
      <c r="H152" s="147"/>
      <c r="I152" s="146"/>
      <c r="J152" s="148"/>
      <c r="K152" s="148"/>
      <c r="L152" s="148"/>
      <c r="M152" s="147"/>
      <c r="N152" s="146"/>
      <c r="O152" s="147"/>
      <c r="P152" s="147"/>
      <c r="Q152" s="147"/>
      <c r="R152" s="146"/>
      <c r="S152" s="146"/>
      <c r="T152" s="146"/>
      <c r="U152" s="146"/>
      <c r="V152" s="147"/>
      <c r="W152" s="146"/>
    </row>
    <row r="153">
      <c r="A153" s="146"/>
      <c r="B153" s="146"/>
      <c r="C153" s="146"/>
      <c r="D153" s="147"/>
      <c r="E153" s="146"/>
      <c r="F153" s="146"/>
      <c r="G153" s="146"/>
      <c r="H153" s="147"/>
      <c r="I153" s="146"/>
      <c r="J153" s="148"/>
      <c r="K153" s="148"/>
      <c r="L153" s="148"/>
      <c r="M153" s="147"/>
      <c r="N153" s="146"/>
      <c r="O153" s="147"/>
      <c r="P153" s="147"/>
      <c r="Q153" s="147"/>
      <c r="R153" s="146"/>
      <c r="S153" s="146"/>
      <c r="T153" s="146"/>
      <c r="U153" s="146"/>
      <c r="V153" s="147"/>
      <c r="W153" s="146"/>
    </row>
    <row r="154">
      <c r="A154" s="146"/>
      <c r="B154" s="146"/>
      <c r="C154" s="146"/>
      <c r="D154" s="147"/>
      <c r="E154" s="146"/>
      <c r="F154" s="146"/>
      <c r="G154" s="146"/>
      <c r="H154" s="147"/>
      <c r="I154" s="146"/>
      <c r="J154" s="148"/>
      <c r="K154" s="148"/>
      <c r="L154" s="148"/>
      <c r="M154" s="147"/>
      <c r="N154" s="146"/>
      <c r="O154" s="147"/>
      <c r="P154" s="147"/>
      <c r="Q154" s="147"/>
      <c r="R154" s="146"/>
      <c r="S154" s="146"/>
      <c r="T154" s="146"/>
      <c r="U154" s="146"/>
      <c r="V154" s="147"/>
      <c r="W154" s="146"/>
    </row>
    <row r="155">
      <c r="A155" s="146"/>
      <c r="B155" s="146"/>
      <c r="C155" s="146"/>
      <c r="D155" s="147"/>
      <c r="E155" s="146"/>
      <c r="F155" s="146"/>
      <c r="G155" s="146"/>
      <c r="H155" s="147"/>
      <c r="I155" s="146"/>
      <c r="J155" s="148"/>
      <c r="K155" s="148"/>
      <c r="L155" s="148"/>
      <c r="M155" s="147"/>
      <c r="N155" s="146"/>
      <c r="O155" s="147"/>
      <c r="P155" s="147"/>
      <c r="Q155" s="147"/>
      <c r="R155" s="146"/>
      <c r="S155" s="146"/>
      <c r="T155" s="146"/>
      <c r="U155" s="146"/>
      <c r="V155" s="147"/>
      <c r="W155" s="146"/>
    </row>
    <row r="156">
      <c r="A156" s="146"/>
      <c r="B156" s="146"/>
      <c r="C156" s="146"/>
      <c r="D156" s="147"/>
      <c r="E156" s="146"/>
      <c r="F156" s="146"/>
      <c r="G156" s="146"/>
      <c r="H156" s="147"/>
      <c r="I156" s="146"/>
      <c r="J156" s="148"/>
      <c r="K156" s="148"/>
      <c r="L156" s="148"/>
      <c r="M156" s="147"/>
      <c r="N156" s="146"/>
      <c r="O156" s="147"/>
      <c r="P156" s="147"/>
      <c r="Q156" s="147"/>
      <c r="R156" s="146"/>
      <c r="S156" s="146"/>
      <c r="T156" s="146"/>
      <c r="U156" s="146"/>
      <c r="V156" s="147"/>
      <c r="W156" s="146"/>
    </row>
    <row r="157">
      <c r="A157" s="146"/>
      <c r="B157" s="146"/>
      <c r="C157" s="146"/>
      <c r="D157" s="147"/>
      <c r="E157" s="146"/>
      <c r="F157" s="146"/>
      <c r="G157" s="146"/>
      <c r="H157" s="147"/>
      <c r="I157" s="146"/>
      <c r="J157" s="148"/>
      <c r="K157" s="148"/>
      <c r="L157" s="148"/>
      <c r="M157" s="147"/>
      <c r="N157" s="146"/>
      <c r="O157" s="147"/>
      <c r="P157" s="147"/>
      <c r="Q157" s="147"/>
      <c r="R157" s="146"/>
      <c r="S157" s="146"/>
      <c r="T157" s="146"/>
      <c r="U157" s="146"/>
      <c r="V157" s="147"/>
      <c r="W157" s="146"/>
    </row>
    <row r="158">
      <c r="A158" s="146"/>
      <c r="B158" s="146"/>
      <c r="C158" s="146"/>
      <c r="D158" s="147"/>
      <c r="E158" s="146"/>
      <c r="F158" s="146"/>
      <c r="G158" s="146"/>
      <c r="H158" s="147"/>
      <c r="I158" s="146"/>
      <c r="J158" s="148"/>
      <c r="K158" s="148"/>
      <c r="L158" s="148"/>
      <c r="M158" s="147"/>
      <c r="N158" s="146"/>
      <c r="O158" s="147"/>
      <c r="P158" s="147"/>
      <c r="Q158" s="147"/>
      <c r="R158" s="146"/>
      <c r="S158" s="146"/>
      <c r="T158" s="146"/>
      <c r="U158" s="146"/>
      <c r="V158" s="147"/>
      <c r="W158" s="146"/>
    </row>
    <row r="159">
      <c r="A159" s="146"/>
      <c r="B159" s="146"/>
      <c r="C159" s="146"/>
      <c r="D159" s="147"/>
      <c r="E159" s="146"/>
      <c r="F159" s="146"/>
      <c r="G159" s="146"/>
      <c r="H159" s="147"/>
      <c r="I159" s="146"/>
      <c r="J159" s="148"/>
      <c r="K159" s="148"/>
      <c r="L159" s="148"/>
      <c r="M159" s="147"/>
      <c r="N159" s="146"/>
      <c r="O159" s="147"/>
      <c r="P159" s="147"/>
      <c r="Q159" s="147"/>
      <c r="R159" s="146"/>
      <c r="S159" s="146"/>
      <c r="T159" s="146"/>
      <c r="U159" s="146"/>
      <c r="V159" s="147"/>
      <c r="W159" s="146"/>
    </row>
    <row r="160">
      <c r="A160" s="146"/>
      <c r="B160" s="146"/>
      <c r="C160" s="146"/>
      <c r="D160" s="147"/>
      <c r="E160" s="146"/>
      <c r="F160" s="146"/>
      <c r="G160" s="146"/>
      <c r="H160" s="147"/>
      <c r="I160" s="146"/>
      <c r="J160" s="148"/>
      <c r="K160" s="148"/>
      <c r="L160" s="148"/>
      <c r="M160" s="147"/>
      <c r="N160" s="146"/>
      <c r="O160" s="147"/>
      <c r="P160" s="147"/>
      <c r="Q160" s="147"/>
      <c r="R160" s="146"/>
      <c r="S160" s="146"/>
      <c r="T160" s="146"/>
      <c r="U160" s="146"/>
      <c r="V160" s="147"/>
      <c r="W160" s="146"/>
    </row>
    <row r="161">
      <c r="A161" s="146"/>
      <c r="B161" s="146"/>
      <c r="C161" s="146"/>
      <c r="D161" s="147"/>
      <c r="E161" s="146"/>
      <c r="F161" s="146"/>
      <c r="G161" s="146"/>
      <c r="H161" s="147"/>
      <c r="I161" s="146"/>
      <c r="J161" s="148"/>
      <c r="K161" s="148"/>
      <c r="L161" s="148"/>
      <c r="M161" s="147"/>
      <c r="N161" s="146"/>
      <c r="O161" s="147"/>
      <c r="P161" s="147"/>
      <c r="Q161" s="147"/>
      <c r="R161" s="146"/>
      <c r="S161" s="146"/>
      <c r="T161" s="146"/>
      <c r="U161" s="146"/>
      <c r="V161" s="147"/>
      <c r="W161" s="146"/>
    </row>
    <row r="162">
      <c r="A162" s="146"/>
      <c r="B162" s="146"/>
      <c r="C162" s="146"/>
      <c r="D162" s="147"/>
      <c r="E162" s="146"/>
      <c r="F162" s="146"/>
      <c r="G162" s="146"/>
      <c r="H162" s="147"/>
      <c r="I162" s="146"/>
      <c r="J162" s="148"/>
      <c r="K162" s="148"/>
      <c r="L162" s="148"/>
      <c r="M162" s="147"/>
      <c r="N162" s="146"/>
      <c r="O162" s="147"/>
      <c r="P162" s="147"/>
      <c r="Q162" s="147"/>
      <c r="R162" s="146"/>
      <c r="S162" s="146"/>
      <c r="T162" s="146"/>
      <c r="U162" s="146"/>
      <c r="V162" s="147"/>
      <c r="W162" s="146"/>
    </row>
    <row r="163">
      <c r="A163" s="146"/>
      <c r="B163" s="146"/>
      <c r="C163" s="146"/>
      <c r="D163" s="147"/>
      <c r="E163" s="146"/>
      <c r="F163" s="146"/>
      <c r="G163" s="146"/>
      <c r="H163" s="147"/>
      <c r="I163" s="146"/>
      <c r="J163" s="148"/>
      <c r="K163" s="148"/>
      <c r="L163" s="148"/>
      <c r="M163" s="147"/>
      <c r="N163" s="146"/>
      <c r="O163" s="147"/>
      <c r="P163" s="147"/>
      <c r="Q163" s="147"/>
      <c r="R163" s="146"/>
      <c r="S163" s="146"/>
      <c r="T163" s="146"/>
      <c r="U163" s="146"/>
      <c r="V163" s="147"/>
      <c r="W163" s="146"/>
    </row>
    <row r="164">
      <c r="A164" s="146"/>
      <c r="B164" s="146"/>
      <c r="C164" s="146"/>
      <c r="D164" s="147"/>
      <c r="E164" s="146"/>
      <c r="F164" s="146"/>
      <c r="G164" s="146"/>
      <c r="H164" s="147"/>
      <c r="I164" s="146"/>
      <c r="J164" s="148"/>
      <c r="K164" s="148"/>
      <c r="L164" s="148"/>
      <c r="M164" s="147"/>
      <c r="N164" s="146"/>
      <c r="O164" s="147"/>
      <c r="P164" s="147"/>
      <c r="Q164" s="147"/>
      <c r="R164" s="146"/>
      <c r="S164" s="146"/>
      <c r="T164" s="146"/>
      <c r="U164" s="146"/>
      <c r="V164" s="147"/>
      <c r="W164" s="146"/>
    </row>
    <row r="165">
      <c r="A165" s="146"/>
      <c r="B165" s="146"/>
      <c r="C165" s="146"/>
      <c r="D165" s="147"/>
      <c r="E165" s="146"/>
      <c r="F165" s="146"/>
      <c r="G165" s="146"/>
      <c r="H165" s="147"/>
      <c r="I165" s="146"/>
      <c r="J165" s="148"/>
      <c r="K165" s="148"/>
      <c r="L165" s="148"/>
      <c r="M165" s="147"/>
      <c r="N165" s="146"/>
      <c r="O165" s="147"/>
      <c r="P165" s="147"/>
      <c r="Q165" s="147"/>
      <c r="R165" s="146"/>
      <c r="S165" s="146"/>
      <c r="T165" s="146"/>
      <c r="U165" s="146"/>
      <c r="V165" s="147"/>
      <c r="W165" s="146"/>
    </row>
    <row r="166">
      <c r="A166" s="146"/>
      <c r="B166" s="146"/>
      <c r="C166" s="146"/>
      <c r="D166" s="147"/>
      <c r="E166" s="146"/>
      <c r="F166" s="146"/>
      <c r="G166" s="146"/>
      <c r="H166" s="147"/>
      <c r="I166" s="146"/>
      <c r="J166" s="148"/>
      <c r="K166" s="148"/>
      <c r="L166" s="148"/>
      <c r="M166" s="147"/>
      <c r="N166" s="146"/>
      <c r="O166" s="147"/>
      <c r="P166" s="147"/>
      <c r="Q166" s="147"/>
      <c r="R166" s="146"/>
      <c r="S166" s="146"/>
      <c r="T166" s="146"/>
      <c r="U166" s="146"/>
      <c r="V166" s="147"/>
      <c r="W166" s="146"/>
    </row>
    <row r="167">
      <c r="A167" s="146"/>
      <c r="B167" s="146"/>
      <c r="C167" s="146"/>
      <c r="D167" s="147"/>
      <c r="E167" s="146"/>
      <c r="F167" s="146"/>
      <c r="G167" s="146"/>
      <c r="H167" s="147"/>
      <c r="I167" s="146"/>
      <c r="J167" s="148"/>
      <c r="K167" s="148"/>
      <c r="L167" s="148"/>
      <c r="M167" s="147"/>
      <c r="N167" s="146"/>
      <c r="O167" s="147"/>
      <c r="P167" s="147"/>
      <c r="Q167" s="147"/>
      <c r="R167" s="146"/>
      <c r="S167" s="146"/>
      <c r="T167" s="146"/>
      <c r="U167" s="146"/>
      <c r="V167" s="147"/>
      <c r="W167" s="146"/>
    </row>
    <row r="168">
      <c r="A168" s="146"/>
      <c r="B168" s="146"/>
      <c r="C168" s="146"/>
      <c r="D168" s="147"/>
      <c r="E168" s="146"/>
      <c r="F168" s="146"/>
      <c r="G168" s="146"/>
      <c r="H168" s="147"/>
      <c r="I168" s="146"/>
      <c r="J168" s="148"/>
      <c r="K168" s="148"/>
      <c r="L168" s="148"/>
      <c r="M168" s="147"/>
      <c r="N168" s="146"/>
      <c r="O168" s="147"/>
      <c r="P168" s="147"/>
      <c r="Q168" s="147"/>
      <c r="R168" s="146"/>
      <c r="S168" s="146"/>
      <c r="T168" s="146"/>
      <c r="U168" s="146"/>
      <c r="V168" s="147"/>
      <c r="W168" s="146"/>
    </row>
    <row r="169">
      <c r="A169" s="146"/>
      <c r="B169" s="146"/>
      <c r="C169" s="146"/>
      <c r="D169" s="147"/>
      <c r="E169" s="146"/>
      <c r="F169" s="146"/>
      <c r="G169" s="146"/>
      <c r="H169" s="147"/>
      <c r="I169" s="146"/>
      <c r="J169" s="148"/>
      <c r="K169" s="148"/>
      <c r="L169" s="148"/>
      <c r="M169" s="147"/>
      <c r="N169" s="146"/>
      <c r="O169" s="147"/>
      <c r="P169" s="147"/>
      <c r="Q169" s="147"/>
      <c r="R169" s="146"/>
      <c r="S169" s="146"/>
      <c r="T169" s="146"/>
      <c r="U169" s="146"/>
      <c r="V169" s="147"/>
      <c r="W169" s="146"/>
    </row>
    <row r="170">
      <c r="A170" s="146"/>
      <c r="B170" s="146"/>
      <c r="C170" s="146"/>
      <c r="D170" s="147"/>
      <c r="E170" s="146"/>
      <c r="F170" s="146"/>
      <c r="G170" s="146"/>
      <c r="H170" s="147"/>
      <c r="I170" s="146"/>
      <c r="J170" s="148"/>
      <c r="K170" s="148"/>
      <c r="L170" s="148"/>
      <c r="M170" s="147"/>
      <c r="N170" s="146"/>
      <c r="O170" s="147"/>
      <c r="P170" s="147"/>
      <c r="Q170" s="147"/>
      <c r="R170" s="146"/>
      <c r="S170" s="146"/>
      <c r="T170" s="146"/>
      <c r="U170" s="146"/>
      <c r="V170" s="147"/>
      <c r="W170" s="146"/>
    </row>
    <row r="171">
      <c r="A171" s="146"/>
      <c r="B171" s="146"/>
      <c r="C171" s="146"/>
      <c r="D171" s="147"/>
      <c r="E171" s="146"/>
      <c r="F171" s="146"/>
      <c r="G171" s="146"/>
      <c r="H171" s="147"/>
      <c r="I171" s="146"/>
      <c r="J171" s="148"/>
      <c r="K171" s="148"/>
      <c r="L171" s="148"/>
      <c r="M171" s="147"/>
      <c r="N171" s="146"/>
      <c r="O171" s="147"/>
      <c r="P171" s="147"/>
      <c r="Q171" s="147"/>
      <c r="R171" s="146"/>
      <c r="S171" s="146"/>
      <c r="T171" s="146"/>
      <c r="U171" s="146"/>
      <c r="V171" s="147"/>
      <c r="W171" s="146"/>
    </row>
    <row r="172">
      <c r="A172" s="146"/>
      <c r="B172" s="146"/>
      <c r="C172" s="146"/>
      <c r="D172" s="147"/>
      <c r="E172" s="146"/>
      <c r="F172" s="146"/>
      <c r="G172" s="146"/>
      <c r="H172" s="147"/>
      <c r="I172" s="146"/>
      <c r="J172" s="148"/>
      <c r="K172" s="148"/>
      <c r="L172" s="148"/>
      <c r="M172" s="147"/>
      <c r="N172" s="146"/>
      <c r="O172" s="147"/>
      <c r="P172" s="147"/>
      <c r="Q172" s="147"/>
      <c r="R172" s="146"/>
      <c r="S172" s="146"/>
      <c r="T172" s="146"/>
      <c r="U172" s="146"/>
      <c r="V172" s="147"/>
      <c r="W172" s="146"/>
    </row>
    <row r="173">
      <c r="A173" s="146"/>
      <c r="B173" s="146"/>
      <c r="C173" s="146"/>
      <c r="D173" s="147"/>
      <c r="E173" s="146"/>
      <c r="F173" s="146"/>
      <c r="G173" s="146"/>
      <c r="H173" s="147"/>
      <c r="I173" s="146"/>
      <c r="J173" s="148"/>
      <c r="K173" s="148"/>
      <c r="L173" s="148"/>
      <c r="M173" s="147"/>
      <c r="N173" s="146"/>
      <c r="O173" s="147"/>
      <c r="P173" s="147"/>
      <c r="Q173" s="147"/>
      <c r="R173" s="146"/>
      <c r="S173" s="146"/>
      <c r="T173" s="146"/>
      <c r="U173" s="146"/>
      <c r="V173" s="147"/>
      <c r="W173" s="146"/>
    </row>
    <row r="174">
      <c r="A174" s="146"/>
      <c r="B174" s="146"/>
      <c r="C174" s="146"/>
      <c r="D174" s="147"/>
      <c r="E174" s="146"/>
      <c r="F174" s="146"/>
      <c r="G174" s="146"/>
      <c r="H174" s="147"/>
      <c r="I174" s="146"/>
      <c r="J174" s="148"/>
      <c r="K174" s="148"/>
      <c r="L174" s="148"/>
      <c r="M174" s="147"/>
      <c r="N174" s="146"/>
      <c r="O174" s="147"/>
      <c r="P174" s="147"/>
      <c r="Q174" s="147"/>
      <c r="R174" s="146"/>
      <c r="S174" s="146"/>
      <c r="T174" s="146"/>
      <c r="U174" s="146"/>
      <c r="V174" s="147"/>
      <c r="W174" s="146"/>
    </row>
    <row r="175">
      <c r="A175" s="146"/>
      <c r="B175" s="146"/>
      <c r="C175" s="146"/>
      <c r="D175" s="147"/>
      <c r="E175" s="146"/>
      <c r="F175" s="146"/>
      <c r="G175" s="146"/>
      <c r="H175" s="147"/>
      <c r="I175" s="146"/>
      <c r="J175" s="148"/>
      <c r="K175" s="148"/>
      <c r="L175" s="148"/>
      <c r="M175" s="147"/>
      <c r="N175" s="146"/>
      <c r="O175" s="147"/>
      <c r="P175" s="147"/>
      <c r="Q175" s="147"/>
      <c r="R175" s="146"/>
      <c r="S175" s="146"/>
      <c r="T175" s="146"/>
      <c r="U175" s="146"/>
      <c r="V175" s="147"/>
      <c r="W175" s="146"/>
    </row>
    <row r="176">
      <c r="A176" s="146"/>
      <c r="B176" s="146"/>
      <c r="C176" s="146"/>
      <c r="D176" s="147"/>
      <c r="E176" s="146"/>
      <c r="F176" s="146"/>
      <c r="G176" s="146"/>
      <c r="H176" s="147"/>
      <c r="I176" s="146"/>
      <c r="J176" s="148"/>
      <c r="K176" s="148"/>
      <c r="L176" s="148"/>
      <c r="M176" s="147"/>
      <c r="N176" s="146"/>
      <c r="O176" s="147"/>
      <c r="P176" s="147"/>
      <c r="Q176" s="147"/>
      <c r="R176" s="146"/>
      <c r="S176" s="146"/>
      <c r="T176" s="146"/>
      <c r="U176" s="146"/>
      <c r="V176" s="147"/>
      <c r="W176" s="146"/>
    </row>
    <row r="177">
      <c r="A177" s="146"/>
      <c r="B177" s="146"/>
      <c r="C177" s="146"/>
      <c r="D177" s="147"/>
      <c r="E177" s="146"/>
      <c r="F177" s="146"/>
      <c r="G177" s="146"/>
      <c r="H177" s="147"/>
      <c r="I177" s="146"/>
      <c r="J177" s="148"/>
      <c r="K177" s="148"/>
      <c r="L177" s="148"/>
      <c r="M177" s="147"/>
      <c r="N177" s="146"/>
      <c r="O177" s="147"/>
      <c r="P177" s="147"/>
      <c r="Q177" s="147"/>
      <c r="R177" s="146"/>
      <c r="S177" s="146"/>
      <c r="T177" s="146"/>
      <c r="U177" s="146"/>
      <c r="V177" s="147"/>
      <c r="W177" s="146"/>
    </row>
    <row r="178">
      <c r="A178" s="146"/>
      <c r="B178" s="146"/>
      <c r="C178" s="146"/>
      <c r="D178" s="147"/>
      <c r="E178" s="146"/>
      <c r="F178" s="146"/>
      <c r="G178" s="146"/>
      <c r="H178" s="147"/>
      <c r="I178" s="146"/>
      <c r="J178" s="148"/>
      <c r="K178" s="148"/>
      <c r="L178" s="148"/>
      <c r="M178" s="147"/>
      <c r="N178" s="146"/>
      <c r="O178" s="147"/>
      <c r="P178" s="147"/>
      <c r="Q178" s="147"/>
      <c r="R178" s="146"/>
      <c r="S178" s="146"/>
      <c r="T178" s="146"/>
      <c r="U178" s="146"/>
      <c r="V178" s="147"/>
      <c r="W178" s="146"/>
    </row>
    <row r="179">
      <c r="A179" s="146"/>
      <c r="B179" s="146"/>
      <c r="C179" s="146"/>
      <c r="D179" s="147"/>
      <c r="E179" s="146"/>
      <c r="F179" s="146"/>
      <c r="G179" s="146"/>
      <c r="H179" s="147"/>
      <c r="I179" s="146"/>
      <c r="J179" s="148"/>
      <c r="K179" s="148"/>
      <c r="L179" s="148"/>
      <c r="M179" s="147"/>
      <c r="N179" s="146"/>
      <c r="O179" s="147"/>
      <c r="P179" s="147"/>
      <c r="Q179" s="147"/>
      <c r="R179" s="146"/>
      <c r="S179" s="146"/>
      <c r="T179" s="146"/>
      <c r="U179" s="146"/>
      <c r="V179" s="147"/>
      <c r="W179" s="146"/>
    </row>
    <row r="180">
      <c r="A180" s="146"/>
      <c r="B180" s="146"/>
      <c r="C180" s="146"/>
      <c r="D180" s="147"/>
      <c r="E180" s="146"/>
      <c r="F180" s="146"/>
      <c r="G180" s="146"/>
      <c r="H180" s="147"/>
      <c r="I180" s="146"/>
      <c r="J180" s="148"/>
      <c r="K180" s="148"/>
      <c r="L180" s="148"/>
      <c r="M180" s="147"/>
      <c r="N180" s="146"/>
      <c r="O180" s="147"/>
      <c r="P180" s="147"/>
      <c r="Q180" s="147"/>
      <c r="R180" s="146"/>
      <c r="S180" s="146"/>
      <c r="T180" s="146"/>
      <c r="U180" s="146"/>
      <c r="V180" s="147"/>
      <c r="W180" s="146"/>
    </row>
    <row r="181">
      <c r="A181" s="146"/>
      <c r="B181" s="146"/>
      <c r="C181" s="146"/>
      <c r="D181" s="147"/>
      <c r="E181" s="146"/>
      <c r="F181" s="146"/>
      <c r="G181" s="146"/>
      <c r="H181" s="147"/>
      <c r="I181" s="146"/>
      <c r="J181" s="148"/>
      <c r="K181" s="148"/>
      <c r="L181" s="148"/>
      <c r="M181" s="147"/>
      <c r="N181" s="146"/>
      <c r="O181" s="147"/>
      <c r="P181" s="147"/>
      <c r="Q181" s="147"/>
      <c r="R181" s="146"/>
      <c r="S181" s="146"/>
      <c r="T181" s="146"/>
      <c r="U181" s="146"/>
      <c r="V181" s="147"/>
      <c r="W181" s="146"/>
    </row>
    <row r="182">
      <c r="A182" s="146"/>
      <c r="B182" s="146"/>
      <c r="C182" s="146"/>
      <c r="D182" s="147"/>
      <c r="E182" s="146"/>
      <c r="F182" s="146"/>
      <c r="G182" s="146"/>
      <c r="H182" s="147"/>
      <c r="I182" s="146"/>
      <c r="J182" s="148"/>
      <c r="K182" s="148"/>
      <c r="L182" s="148"/>
      <c r="M182" s="147"/>
      <c r="N182" s="146"/>
      <c r="O182" s="147"/>
      <c r="P182" s="147"/>
      <c r="Q182" s="147"/>
      <c r="R182" s="146"/>
      <c r="S182" s="146"/>
      <c r="T182" s="146"/>
      <c r="U182" s="146"/>
      <c r="V182" s="147"/>
      <c r="W182" s="146"/>
    </row>
    <row r="183">
      <c r="A183" s="146"/>
      <c r="B183" s="146"/>
      <c r="C183" s="146"/>
      <c r="D183" s="147"/>
      <c r="E183" s="146"/>
      <c r="F183" s="146"/>
      <c r="G183" s="146"/>
      <c r="H183" s="147"/>
      <c r="I183" s="146"/>
      <c r="J183" s="148"/>
      <c r="K183" s="148"/>
      <c r="L183" s="148"/>
      <c r="M183" s="147"/>
      <c r="N183" s="146"/>
      <c r="O183" s="147"/>
      <c r="P183" s="147"/>
      <c r="Q183" s="147"/>
      <c r="R183" s="146"/>
      <c r="S183" s="146"/>
      <c r="T183" s="146"/>
      <c r="U183" s="146"/>
      <c r="V183" s="147"/>
      <c r="W183" s="146"/>
    </row>
    <row r="184">
      <c r="A184" s="146"/>
      <c r="B184" s="146"/>
      <c r="C184" s="146"/>
      <c r="D184" s="147"/>
      <c r="E184" s="146"/>
      <c r="F184" s="146"/>
      <c r="G184" s="146"/>
      <c r="H184" s="147"/>
      <c r="I184" s="146"/>
      <c r="J184" s="148"/>
      <c r="K184" s="148"/>
      <c r="L184" s="148"/>
      <c r="M184" s="147"/>
      <c r="N184" s="146"/>
      <c r="O184" s="147"/>
      <c r="P184" s="147"/>
      <c r="Q184" s="147"/>
      <c r="R184" s="146"/>
      <c r="S184" s="146"/>
      <c r="T184" s="146"/>
      <c r="U184" s="146"/>
      <c r="V184" s="147"/>
      <c r="W184" s="146"/>
    </row>
    <row r="185">
      <c r="A185" s="146"/>
      <c r="B185" s="146"/>
      <c r="C185" s="146"/>
      <c r="D185" s="147"/>
      <c r="E185" s="146"/>
      <c r="F185" s="146"/>
      <c r="G185" s="146"/>
      <c r="H185" s="147"/>
      <c r="I185" s="146"/>
      <c r="J185" s="148"/>
      <c r="K185" s="148"/>
      <c r="L185" s="148"/>
      <c r="M185" s="147"/>
      <c r="N185" s="146"/>
      <c r="O185" s="147"/>
      <c r="P185" s="147"/>
      <c r="Q185" s="147"/>
      <c r="R185" s="146"/>
      <c r="S185" s="146"/>
      <c r="T185" s="146"/>
      <c r="U185" s="146"/>
      <c r="V185" s="147"/>
      <c r="W185" s="146"/>
    </row>
    <row r="186">
      <c r="A186" s="146"/>
      <c r="B186" s="146"/>
      <c r="C186" s="146"/>
      <c r="D186" s="147"/>
      <c r="E186" s="146"/>
      <c r="F186" s="146"/>
      <c r="G186" s="146"/>
      <c r="H186" s="147"/>
      <c r="I186" s="146"/>
      <c r="J186" s="148"/>
      <c r="K186" s="148"/>
      <c r="L186" s="148"/>
      <c r="M186" s="147"/>
      <c r="N186" s="146"/>
      <c r="O186" s="147"/>
      <c r="P186" s="147"/>
      <c r="Q186" s="147"/>
      <c r="R186" s="146"/>
      <c r="S186" s="146"/>
      <c r="T186" s="146"/>
      <c r="U186" s="146"/>
      <c r="V186" s="147"/>
      <c r="W186" s="146"/>
    </row>
    <row r="187">
      <c r="A187" s="146"/>
      <c r="B187" s="146"/>
      <c r="C187" s="146"/>
      <c r="D187" s="147"/>
      <c r="E187" s="146"/>
      <c r="F187" s="146"/>
      <c r="G187" s="146"/>
      <c r="H187" s="147"/>
      <c r="I187" s="146"/>
      <c r="J187" s="148"/>
      <c r="K187" s="148"/>
      <c r="L187" s="148"/>
      <c r="M187" s="147"/>
      <c r="N187" s="146"/>
      <c r="O187" s="147"/>
      <c r="P187" s="147"/>
      <c r="Q187" s="147"/>
      <c r="R187" s="146"/>
      <c r="S187" s="146"/>
      <c r="T187" s="146"/>
      <c r="U187" s="146"/>
      <c r="V187" s="147"/>
      <c r="W187" s="146"/>
    </row>
    <row r="188">
      <c r="A188" s="146"/>
      <c r="B188" s="146"/>
      <c r="C188" s="146"/>
      <c r="D188" s="147"/>
      <c r="E188" s="146"/>
      <c r="F188" s="146"/>
      <c r="G188" s="146"/>
      <c r="H188" s="147"/>
      <c r="I188" s="146"/>
      <c r="J188" s="148"/>
      <c r="K188" s="148"/>
      <c r="L188" s="148"/>
      <c r="M188" s="147"/>
      <c r="N188" s="146"/>
      <c r="O188" s="147"/>
      <c r="P188" s="147"/>
      <c r="Q188" s="147"/>
      <c r="R188" s="146"/>
      <c r="S188" s="146"/>
      <c r="T188" s="146"/>
      <c r="U188" s="146"/>
      <c r="V188" s="147"/>
      <c r="W188" s="146"/>
    </row>
    <row r="189">
      <c r="A189" s="146"/>
      <c r="B189" s="146"/>
      <c r="C189" s="146"/>
      <c r="D189" s="147"/>
      <c r="E189" s="146"/>
      <c r="F189" s="146"/>
      <c r="G189" s="146"/>
      <c r="H189" s="147"/>
      <c r="I189" s="146"/>
      <c r="J189" s="148"/>
      <c r="K189" s="148"/>
      <c r="L189" s="148"/>
      <c r="M189" s="147"/>
      <c r="N189" s="146"/>
      <c r="O189" s="147"/>
      <c r="P189" s="147"/>
      <c r="Q189" s="147"/>
      <c r="R189" s="146"/>
      <c r="S189" s="146"/>
      <c r="T189" s="146"/>
      <c r="U189" s="146"/>
      <c r="V189" s="147"/>
      <c r="W189" s="146"/>
    </row>
    <row r="190">
      <c r="A190" s="146"/>
      <c r="B190" s="146"/>
      <c r="C190" s="146"/>
      <c r="D190" s="147"/>
      <c r="E190" s="146"/>
      <c r="F190" s="146"/>
      <c r="G190" s="146"/>
      <c r="H190" s="147"/>
      <c r="I190" s="146"/>
      <c r="J190" s="148"/>
      <c r="K190" s="148"/>
      <c r="L190" s="148"/>
      <c r="M190" s="147"/>
      <c r="N190" s="146"/>
      <c r="O190" s="147"/>
      <c r="P190" s="147"/>
      <c r="Q190" s="147"/>
      <c r="R190" s="146"/>
      <c r="S190" s="146"/>
      <c r="T190" s="146"/>
      <c r="U190" s="146"/>
      <c r="V190" s="147"/>
      <c r="W190" s="146"/>
    </row>
    <row r="191">
      <c r="A191" s="146"/>
      <c r="B191" s="146"/>
      <c r="C191" s="146"/>
      <c r="D191" s="147"/>
      <c r="E191" s="146"/>
      <c r="F191" s="146"/>
      <c r="G191" s="146"/>
      <c r="H191" s="147"/>
      <c r="I191" s="146"/>
      <c r="J191" s="148"/>
      <c r="K191" s="148"/>
      <c r="L191" s="148"/>
      <c r="M191" s="147"/>
      <c r="N191" s="146"/>
      <c r="O191" s="147"/>
      <c r="P191" s="147"/>
      <c r="Q191" s="147"/>
      <c r="R191" s="146"/>
      <c r="S191" s="146"/>
      <c r="T191" s="146"/>
      <c r="U191" s="146"/>
      <c r="V191" s="147"/>
      <c r="W191" s="146"/>
    </row>
    <row r="192">
      <c r="A192" s="146"/>
      <c r="B192" s="146"/>
      <c r="C192" s="146"/>
      <c r="D192" s="147"/>
      <c r="E192" s="146"/>
      <c r="F192" s="146"/>
      <c r="G192" s="146"/>
      <c r="H192" s="147"/>
      <c r="I192" s="146"/>
      <c r="J192" s="148"/>
      <c r="K192" s="148"/>
      <c r="L192" s="148"/>
      <c r="M192" s="147"/>
      <c r="N192" s="146"/>
      <c r="O192" s="147"/>
      <c r="P192" s="147"/>
      <c r="Q192" s="147"/>
      <c r="R192" s="146"/>
      <c r="S192" s="146"/>
      <c r="T192" s="146"/>
      <c r="U192" s="146"/>
      <c r="V192" s="147"/>
      <c r="W192" s="146"/>
    </row>
    <row r="193">
      <c r="A193" s="146"/>
      <c r="B193" s="146"/>
      <c r="C193" s="146"/>
      <c r="D193" s="147"/>
      <c r="E193" s="146"/>
      <c r="F193" s="146"/>
      <c r="G193" s="146"/>
      <c r="H193" s="147"/>
      <c r="I193" s="146"/>
      <c r="J193" s="148"/>
      <c r="K193" s="148"/>
      <c r="L193" s="148"/>
      <c r="M193" s="147"/>
      <c r="N193" s="146"/>
      <c r="O193" s="147"/>
      <c r="P193" s="147"/>
      <c r="Q193" s="147"/>
      <c r="R193" s="146"/>
      <c r="S193" s="146"/>
      <c r="T193" s="146"/>
      <c r="U193" s="146"/>
      <c r="V193" s="147"/>
      <c r="W193" s="146"/>
    </row>
    <row r="194">
      <c r="A194" s="146"/>
      <c r="B194" s="146"/>
      <c r="C194" s="146"/>
      <c r="D194" s="147"/>
      <c r="E194" s="146"/>
      <c r="F194" s="146"/>
      <c r="G194" s="146"/>
      <c r="H194" s="147"/>
      <c r="I194" s="146"/>
      <c r="J194" s="148"/>
      <c r="K194" s="148"/>
      <c r="L194" s="148"/>
      <c r="M194" s="147"/>
      <c r="N194" s="146"/>
      <c r="O194" s="147"/>
      <c r="P194" s="147"/>
      <c r="Q194" s="147"/>
      <c r="R194" s="146"/>
      <c r="S194" s="146"/>
      <c r="T194" s="146"/>
      <c r="U194" s="146"/>
      <c r="V194" s="147"/>
      <c r="W194" s="146"/>
    </row>
    <row r="195">
      <c r="A195" s="146"/>
      <c r="B195" s="146"/>
      <c r="C195" s="146"/>
      <c r="D195" s="147"/>
      <c r="E195" s="146"/>
      <c r="F195" s="146"/>
      <c r="G195" s="146"/>
      <c r="H195" s="147"/>
      <c r="I195" s="146"/>
      <c r="J195" s="148"/>
      <c r="K195" s="148"/>
      <c r="L195" s="148"/>
      <c r="M195" s="147"/>
      <c r="N195" s="146"/>
      <c r="O195" s="147"/>
      <c r="P195" s="147"/>
      <c r="Q195" s="147"/>
      <c r="R195" s="146"/>
      <c r="S195" s="146"/>
      <c r="T195" s="146"/>
      <c r="U195" s="146"/>
      <c r="V195" s="147"/>
      <c r="W195" s="146"/>
    </row>
    <row r="196">
      <c r="A196" s="146"/>
      <c r="B196" s="146"/>
      <c r="C196" s="146"/>
      <c r="D196" s="147"/>
      <c r="E196" s="146"/>
      <c r="F196" s="146"/>
      <c r="G196" s="146"/>
      <c r="H196" s="147"/>
      <c r="I196" s="146"/>
      <c r="J196" s="148"/>
      <c r="K196" s="148"/>
      <c r="L196" s="148"/>
      <c r="M196" s="147"/>
      <c r="N196" s="146"/>
      <c r="O196" s="147"/>
      <c r="P196" s="147"/>
      <c r="Q196" s="147"/>
      <c r="R196" s="146"/>
      <c r="S196" s="146"/>
      <c r="T196" s="146"/>
      <c r="U196" s="146"/>
      <c r="V196" s="147"/>
      <c r="W196" s="146"/>
    </row>
    <row r="197">
      <c r="A197" s="146"/>
      <c r="B197" s="146"/>
      <c r="C197" s="146"/>
      <c r="D197" s="147"/>
      <c r="E197" s="146"/>
      <c r="F197" s="146"/>
      <c r="G197" s="146"/>
      <c r="H197" s="147"/>
      <c r="I197" s="146"/>
      <c r="J197" s="148"/>
      <c r="K197" s="148"/>
      <c r="L197" s="148"/>
      <c r="M197" s="147"/>
      <c r="N197" s="146"/>
      <c r="O197" s="147"/>
      <c r="P197" s="147"/>
      <c r="Q197" s="147"/>
      <c r="R197" s="146"/>
      <c r="S197" s="146"/>
      <c r="T197" s="146"/>
      <c r="U197" s="146"/>
      <c r="V197" s="147"/>
      <c r="W197" s="146"/>
    </row>
    <row r="198">
      <c r="A198" s="146"/>
      <c r="B198" s="146"/>
      <c r="C198" s="146"/>
      <c r="D198" s="147"/>
      <c r="E198" s="146"/>
      <c r="F198" s="146"/>
      <c r="G198" s="146"/>
      <c r="H198" s="147"/>
      <c r="I198" s="146"/>
      <c r="J198" s="148"/>
      <c r="K198" s="148"/>
      <c r="L198" s="148"/>
      <c r="M198" s="147"/>
      <c r="N198" s="146"/>
      <c r="O198" s="147"/>
      <c r="P198" s="147"/>
      <c r="Q198" s="147"/>
      <c r="R198" s="146"/>
      <c r="S198" s="146"/>
      <c r="T198" s="146"/>
      <c r="U198" s="146"/>
      <c r="V198" s="147"/>
      <c r="W198" s="146"/>
    </row>
    <row r="199">
      <c r="A199" s="146"/>
      <c r="B199" s="146"/>
      <c r="C199" s="146"/>
      <c r="D199" s="147"/>
      <c r="E199" s="146"/>
      <c r="F199" s="146"/>
      <c r="G199" s="146"/>
      <c r="H199" s="147"/>
      <c r="I199" s="146"/>
      <c r="J199" s="148"/>
      <c r="K199" s="148"/>
      <c r="L199" s="148"/>
      <c r="M199" s="147"/>
      <c r="N199" s="146"/>
      <c r="O199" s="147"/>
      <c r="P199" s="147"/>
      <c r="Q199" s="147"/>
      <c r="R199" s="146"/>
      <c r="S199" s="146"/>
      <c r="T199" s="146"/>
      <c r="U199" s="146"/>
      <c r="V199" s="147"/>
      <c r="W199" s="146"/>
    </row>
    <row r="200">
      <c r="A200" s="146"/>
      <c r="B200" s="146"/>
      <c r="C200" s="146"/>
      <c r="D200" s="147"/>
      <c r="E200" s="146"/>
      <c r="F200" s="146"/>
      <c r="G200" s="146"/>
      <c r="H200" s="147"/>
      <c r="I200" s="146"/>
      <c r="J200" s="148"/>
      <c r="K200" s="148"/>
      <c r="L200" s="148"/>
      <c r="M200" s="147"/>
      <c r="N200" s="146"/>
      <c r="O200" s="147"/>
      <c r="P200" s="147"/>
      <c r="Q200" s="147"/>
      <c r="R200" s="146"/>
      <c r="S200" s="146"/>
      <c r="T200" s="146"/>
      <c r="U200" s="146"/>
      <c r="V200" s="147"/>
      <c r="W200" s="146"/>
    </row>
    <row r="201">
      <c r="A201" s="146"/>
      <c r="B201" s="146"/>
      <c r="C201" s="146"/>
      <c r="D201" s="147"/>
      <c r="E201" s="146"/>
      <c r="F201" s="146"/>
      <c r="G201" s="146"/>
      <c r="H201" s="147"/>
      <c r="I201" s="146"/>
      <c r="J201" s="148"/>
      <c r="K201" s="148"/>
      <c r="L201" s="148"/>
      <c r="M201" s="147"/>
      <c r="N201" s="146"/>
      <c r="O201" s="147"/>
      <c r="P201" s="147"/>
      <c r="Q201" s="147"/>
      <c r="R201" s="146"/>
      <c r="S201" s="146"/>
      <c r="T201" s="146"/>
      <c r="U201" s="146"/>
      <c r="V201" s="147"/>
      <c r="W201" s="146"/>
    </row>
    <row r="202">
      <c r="A202" s="146"/>
      <c r="B202" s="146"/>
      <c r="C202" s="146"/>
      <c r="D202" s="147"/>
      <c r="E202" s="146"/>
      <c r="F202" s="146"/>
      <c r="G202" s="146"/>
      <c r="H202" s="147"/>
      <c r="I202" s="146"/>
      <c r="J202" s="148"/>
      <c r="K202" s="148"/>
      <c r="L202" s="148"/>
      <c r="M202" s="147"/>
      <c r="N202" s="146"/>
      <c r="O202" s="147"/>
      <c r="P202" s="147"/>
      <c r="Q202" s="147"/>
      <c r="R202" s="146"/>
      <c r="S202" s="146"/>
      <c r="T202" s="146"/>
      <c r="U202" s="146"/>
      <c r="V202" s="147"/>
      <c r="W202" s="146"/>
    </row>
    <row r="203">
      <c r="A203" s="146"/>
      <c r="B203" s="146"/>
      <c r="C203" s="146"/>
      <c r="D203" s="147"/>
      <c r="E203" s="146"/>
      <c r="F203" s="146"/>
      <c r="G203" s="146"/>
      <c r="H203" s="147"/>
      <c r="I203" s="146"/>
      <c r="J203" s="148"/>
      <c r="K203" s="148"/>
      <c r="L203" s="148"/>
      <c r="M203" s="147"/>
      <c r="N203" s="146"/>
      <c r="O203" s="147"/>
      <c r="P203" s="147"/>
      <c r="Q203" s="147"/>
      <c r="R203" s="146"/>
      <c r="S203" s="146"/>
      <c r="T203" s="146"/>
      <c r="U203" s="146"/>
      <c r="V203" s="147"/>
      <c r="W203" s="146"/>
    </row>
    <row r="204">
      <c r="A204" s="146"/>
      <c r="B204" s="146"/>
      <c r="C204" s="146"/>
      <c r="D204" s="147"/>
      <c r="E204" s="146"/>
      <c r="F204" s="146"/>
      <c r="G204" s="146"/>
      <c r="H204" s="147"/>
      <c r="I204" s="146"/>
      <c r="J204" s="148"/>
      <c r="K204" s="148"/>
      <c r="L204" s="148"/>
      <c r="M204" s="147"/>
      <c r="N204" s="146"/>
      <c r="O204" s="147"/>
      <c r="P204" s="147"/>
      <c r="Q204" s="147"/>
      <c r="R204" s="146"/>
      <c r="S204" s="146"/>
      <c r="T204" s="146"/>
      <c r="U204" s="146"/>
      <c r="V204" s="147"/>
      <c r="W204" s="146"/>
    </row>
    <row r="205">
      <c r="A205" s="146"/>
      <c r="B205" s="146"/>
      <c r="C205" s="146"/>
      <c r="D205" s="147"/>
      <c r="E205" s="146"/>
      <c r="F205" s="146"/>
      <c r="G205" s="146"/>
      <c r="H205" s="147"/>
      <c r="I205" s="146"/>
      <c r="J205" s="148"/>
      <c r="K205" s="148"/>
      <c r="L205" s="148"/>
      <c r="M205" s="147"/>
      <c r="N205" s="146"/>
      <c r="O205" s="147"/>
      <c r="P205" s="147"/>
      <c r="Q205" s="147"/>
      <c r="R205" s="146"/>
      <c r="S205" s="146"/>
      <c r="T205" s="146"/>
      <c r="U205" s="146"/>
      <c r="V205" s="147"/>
      <c r="W205" s="146"/>
    </row>
    <row r="206">
      <c r="A206" s="146"/>
      <c r="B206" s="146"/>
      <c r="C206" s="146"/>
      <c r="D206" s="147"/>
      <c r="E206" s="146"/>
      <c r="F206" s="146"/>
      <c r="G206" s="146"/>
      <c r="H206" s="147"/>
      <c r="I206" s="146"/>
      <c r="J206" s="148"/>
      <c r="K206" s="148"/>
      <c r="L206" s="148"/>
      <c r="M206" s="147"/>
      <c r="N206" s="146"/>
      <c r="O206" s="147"/>
      <c r="P206" s="147"/>
      <c r="Q206" s="147"/>
      <c r="R206" s="146"/>
      <c r="S206" s="146"/>
      <c r="T206" s="146"/>
      <c r="U206" s="146"/>
      <c r="V206" s="147"/>
      <c r="W206" s="146"/>
    </row>
    <row r="207">
      <c r="A207" s="146"/>
      <c r="B207" s="146"/>
      <c r="C207" s="146"/>
      <c r="D207" s="147"/>
      <c r="E207" s="146"/>
      <c r="F207" s="146"/>
      <c r="G207" s="146"/>
      <c r="H207" s="147"/>
      <c r="I207" s="146"/>
      <c r="J207" s="148"/>
      <c r="K207" s="148"/>
      <c r="L207" s="148"/>
      <c r="M207" s="147"/>
      <c r="N207" s="146"/>
      <c r="O207" s="147"/>
      <c r="P207" s="147"/>
      <c r="Q207" s="147"/>
      <c r="R207" s="146"/>
      <c r="S207" s="146"/>
      <c r="T207" s="146"/>
      <c r="U207" s="146"/>
      <c r="V207" s="147"/>
      <c r="W207" s="146"/>
    </row>
    <row r="208">
      <c r="A208" s="146"/>
      <c r="B208" s="146"/>
      <c r="C208" s="146"/>
      <c r="D208" s="147"/>
      <c r="E208" s="146"/>
      <c r="F208" s="146"/>
      <c r="G208" s="146"/>
      <c r="H208" s="147"/>
      <c r="I208" s="146"/>
      <c r="J208" s="148"/>
      <c r="K208" s="148"/>
      <c r="L208" s="148"/>
      <c r="M208" s="147"/>
      <c r="N208" s="146"/>
      <c r="O208" s="147"/>
      <c r="P208" s="147"/>
      <c r="Q208" s="147"/>
      <c r="R208" s="146"/>
      <c r="S208" s="146"/>
      <c r="T208" s="146"/>
      <c r="U208" s="146"/>
      <c r="V208" s="147"/>
      <c r="W208" s="146"/>
    </row>
    <row r="209">
      <c r="A209" s="146"/>
      <c r="B209" s="146"/>
      <c r="C209" s="146"/>
      <c r="D209" s="147"/>
      <c r="E209" s="146"/>
      <c r="F209" s="146"/>
      <c r="G209" s="146"/>
      <c r="H209" s="147"/>
      <c r="I209" s="146"/>
      <c r="J209" s="148"/>
      <c r="K209" s="148"/>
      <c r="L209" s="148"/>
      <c r="M209" s="147"/>
      <c r="N209" s="146"/>
      <c r="O209" s="147"/>
      <c r="P209" s="147"/>
      <c r="Q209" s="147"/>
      <c r="R209" s="146"/>
      <c r="S209" s="146"/>
      <c r="T209" s="146"/>
      <c r="U209" s="146"/>
      <c r="V209" s="147"/>
      <c r="W209" s="146"/>
    </row>
    <row r="210">
      <c r="A210" s="146"/>
      <c r="B210" s="146"/>
      <c r="C210" s="146"/>
      <c r="D210" s="147"/>
      <c r="E210" s="146"/>
      <c r="F210" s="146"/>
      <c r="G210" s="146"/>
      <c r="H210" s="147"/>
      <c r="I210" s="146"/>
      <c r="J210" s="148"/>
      <c r="K210" s="148"/>
      <c r="L210" s="148"/>
      <c r="M210" s="147"/>
      <c r="N210" s="146"/>
      <c r="O210" s="147"/>
      <c r="P210" s="147"/>
      <c r="Q210" s="147"/>
      <c r="R210" s="146"/>
      <c r="S210" s="146"/>
      <c r="T210" s="146"/>
      <c r="U210" s="146"/>
      <c r="V210" s="147"/>
      <c r="W210" s="146"/>
    </row>
    <row r="211">
      <c r="A211" s="146"/>
      <c r="B211" s="146"/>
      <c r="C211" s="146"/>
      <c r="D211" s="147"/>
      <c r="E211" s="146"/>
      <c r="F211" s="146"/>
      <c r="G211" s="146"/>
      <c r="H211" s="147"/>
      <c r="I211" s="146"/>
      <c r="J211" s="148"/>
      <c r="K211" s="148"/>
      <c r="L211" s="148"/>
      <c r="M211" s="147"/>
      <c r="N211" s="146"/>
      <c r="O211" s="147"/>
      <c r="P211" s="147"/>
      <c r="Q211" s="147"/>
      <c r="R211" s="146"/>
      <c r="S211" s="146"/>
      <c r="T211" s="146"/>
      <c r="U211" s="146"/>
      <c r="V211" s="147"/>
      <c r="W211" s="146"/>
    </row>
    <row r="212">
      <c r="A212" s="146"/>
      <c r="B212" s="146"/>
      <c r="C212" s="146"/>
      <c r="D212" s="147"/>
      <c r="E212" s="146"/>
      <c r="F212" s="146"/>
      <c r="G212" s="146"/>
      <c r="H212" s="147"/>
      <c r="I212" s="146"/>
      <c r="J212" s="148"/>
      <c r="K212" s="148"/>
      <c r="L212" s="148"/>
      <c r="M212" s="147"/>
      <c r="N212" s="146"/>
      <c r="O212" s="147"/>
      <c r="P212" s="147"/>
      <c r="Q212" s="147"/>
      <c r="R212" s="146"/>
      <c r="S212" s="146"/>
      <c r="T212" s="146"/>
      <c r="U212" s="146"/>
      <c r="V212" s="147"/>
      <c r="W212" s="146"/>
    </row>
    <row r="213">
      <c r="A213" s="146"/>
      <c r="B213" s="146"/>
      <c r="C213" s="146"/>
      <c r="D213" s="147"/>
      <c r="E213" s="146"/>
      <c r="F213" s="146"/>
      <c r="G213" s="146"/>
      <c r="H213" s="147"/>
      <c r="I213" s="146"/>
      <c r="J213" s="148"/>
      <c r="K213" s="148"/>
      <c r="L213" s="148"/>
      <c r="M213" s="147"/>
      <c r="N213" s="146"/>
      <c r="O213" s="147"/>
      <c r="P213" s="147"/>
      <c r="Q213" s="147"/>
      <c r="R213" s="146"/>
      <c r="S213" s="146"/>
      <c r="T213" s="146"/>
      <c r="U213" s="146"/>
      <c r="V213" s="147"/>
      <c r="W213" s="146"/>
    </row>
    <row r="214">
      <c r="A214" s="146"/>
      <c r="B214" s="146"/>
      <c r="C214" s="146"/>
      <c r="D214" s="147"/>
      <c r="E214" s="146"/>
      <c r="F214" s="146"/>
      <c r="G214" s="146"/>
      <c r="H214" s="147"/>
      <c r="I214" s="146"/>
      <c r="J214" s="148"/>
      <c r="K214" s="148"/>
      <c r="L214" s="148"/>
      <c r="M214" s="147"/>
      <c r="N214" s="146"/>
      <c r="O214" s="147"/>
      <c r="P214" s="147"/>
      <c r="Q214" s="147"/>
      <c r="R214" s="146"/>
      <c r="S214" s="146"/>
      <c r="T214" s="146"/>
      <c r="U214" s="146"/>
      <c r="V214" s="147"/>
      <c r="W214" s="146"/>
    </row>
    <row r="215">
      <c r="A215" s="146"/>
      <c r="B215" s="146"/>
      <c r="C215" s="146"/>
      <c r="D215" s="147"/>
      <c r="E215" s="146"/>
      <c r="F215" s="146"/>
      <c r="G215" s="146"/>
      <c r="H215" s="147"/>
      <c r="I215" s="146"/>
      <c r="J215" s="148"/>
      <c r="K215" s="148"/>
      <c r="L215" s="148"/>
      <c r="M215" s="147"/>
      <c r="N215" s="146"/>
      <c r="O215" s="147"/>
      <c r="P215" s="147"/>
      <c r="Q215" s="147"/>
      <c r="R215" s="146"/>
      <c r="S215" s="146"/>
      <c r="T215" s="146"/>
      <c r="U215" s="146"/>
      <c r="V215" s="147"/>
      <c r="W215" s="146"/>
    </row>
    <row r="216">
      <c r="A216" s="146"/>
      <c r="B216" s="146"/>
      <c r="C216" s="146"/>
      <c r="D216" s="147"/>
      <c r="E216" s="146"/>
      <c r="F216" s="146"/>
      <c r="G216" s="146"/>
      <c r="H216" s="147"/>
      <c r="I216" s="146"/>
      <c r="J216" s="148"/>
      <c r="K216" s="148"/>
      <c r="L216" s="148"/>
      <c r="M216" s="147"/>
      <c r="N216" s="146"/>
      <c r="O216" s="147"/>
      <c r="P216" s="147"/>
      <c r="Q216" s="147"/>
      <c r="R216" s="146"/>
      <c r="S216" s="146"/>
      <c r="T216" s="146"/>
      <c r="U216" s="146"/>
      <c r="V216" s="147"/>
      <c r="W216" s="146"/>
    </row>
    <row r="217">
      <c r="A217" s="146"/>
      <c r="B217" s="146"/>
      <c r="C217" s="146"/>
      <c r="D217" s="147"/>
      <c r="E217" s="146"/>
      <c r="F217" s="146"/>
      <c r="G217" s="146"/>
      <c r="H217" s="147"/>
      <c r="I217" s="146"/>
      <c r="J217" s="148"/>
      <c r="K217" s="148"/>
      <c r="L217" s="148"/>
      <c r="M217" s="147"/>
      <c r="N217" s="146"/>
      <c r="O217" s="147"/>
      <c r="P217" s="147"/>
      <c r="Q217" s="147"/>
      <c r="R217" s="146"/>
      <c r="S217" s="146"/>
      <c r="T217" s="146"/>
      <c r="U217" s="146"/>
      <c r="V217" s="147"/>
      <c r="W217" s="146"/>
    </row>
    <row r="218">
      <c r="A218" s="146"/>
      <c r="B218" s="146"/>
      <c r="C218" s="146"/>
      <c r="D218" s="147"/>
      <c r="E218" s="146"/>
      <c r="F218" s="146"/>
      <c r="G218" s="146"/>
      <c r="H218" s="147"/>
      <c r="I218" s="146"/>
      <c r="J218" s="148"/>
      <c r="K218" s="148"/>
      <c r="L218" s="148"/>
      <c r="M218" s="147"/>
      <c r="N218" s="146"/>
      <c r="O218" s="147"/>
      <c r="P218" s="147"/>
      <c r="Q218" s="147"/>
      <c r="R218" s="146"/>
      <c r="S218" s="146"/>
      <c r="T218" s="146"/>
      <c r="U218" s="146"/>
      <c r="V218" s="147"/>
      <c r="W218" s="146"/>
    </row>
    <row r="219">
      <c r="A219" s="146"/>
      <c r="B219" s="146"/>
      <c r="C219" s="146"/>
      <c r="D219" s="147"/>
      <c r="E219" s="146"/>
      <c r="F219" s="146"/>
      <c r="G219" s="146"/>
      <c r="H219" s="147"/>
      <c r="I219" s="146"/>
      <c r="J219" s="148"/>
      <c r="K219" s="148"/>
      <c r="L219" s="148"/>
      <c r="M219" s="147"/>
      <c r="N219" s="146"/>
      <c r="O219" s="147"/>
      <c r="P219" s="147"/>
      <c r="Q219" s="147"/>
      <c r="R219" s="146"/>
      <c r="S219" s="146"/>
      <c r="T219" s="146"/>
      <c r="U219" s="146"/>
      <c r="V219" s="147"/>
      <c r="W219" s="146"/>
    </row>
    <row r="220">
      <c r="A220" s="146"/>
      <c r="B220" s="146"/>
      <c r="C220" s="146"/>
      <c r="D220" s="147"/>
      <c r="E220" s="146"/>
      <c r="F220" s="146"/>
      <c r="G220" s="146"/>
      <c r="H220" s="147"/>
      <c r="I220" s="146"/>
      <c r="J220" s="148"/>
      <c r="K220" s="148"/>
      <c r="L220" s="148"/>
      <c r="M220" s="147"/>
      <c r="N220" s="146"/>
      <c r="O220" s="147"/>
      <c r="P220" s="147"/>
      <c r="Q220" s="147"/>
      <c r="R220" s="146"/>
      <c r="S220" s="146"/>
      <c r="T220" s="146"/>
      <c r="U220" s="146"/>
      <c r="V220" s="147"/>
      <c r="W220" s="146"/>
    </row>
    <row r="221">
      <c r="A221" s="146"/>
      <c r="B221" s="146"/>
      <c r="C221" s="146"/>
      <c r="D221" s="147"/>
      <c r="E221" s="146"/>
      <c r="F221" s="146"/>
      <c r="G221" s="146"/>
      <c r="H221" s="147"/>
      <c r="I221" s="146"/>
      <c r="J221" s="148"/>
      <c r="K221" s="148"/>
      <c r="L221" s="148"/>
      <c r="M221" s="147"/>
      <c r="N221" s="146"/>
      <c r="O221" s="147"/>
      <c r="P221" s="147"/>
      <c r="Q221" s="147"/>
      <c r="R221" s="146"/>
      <c r="S221" s="146"/>
      <c r="T221" s="146"/>
      <c r="U221" s="146"/>
      <c r="V221" s="147"/>
      <c r="W221" s="146"/>
    </row>
    <row r="222">
      <c r="A222" s="146"/>
      <c r="B222" s="146"/>
      <c r="C222" s="146"/>
      <c r="D222" s="147"/>
      <c r="E222" s="146"/>
      <c r="F222" s="146"/>
      <c r="G222" s="146"/>
      <c r="H222" s="147"/>
      <c r="I222" s="146"/>
      <c r="J222" s="148"/>
      <c r="K222" s="148"/>
      <c r="L222" s="148"/>
      <c r="M222" s="147"/>
      <c r="N222" s="146"/>
      <c r="O222" s="147"/>
      <c r="P222" s="147"/>
      <c r="Q222" s="147"/>
      <c r="R222" s="146"/>
      <c r="S222" s="146"/>
      <c r="T222" s="146"/>
      <c r="U222" s="146"/>
      <c r="V222" s="147"/>
      <c r="W222" s="146"/>
    </row>
    <row r="223">
      <c r="A223" s="146"/>
      <c r="B223" s="146"/>
      <c r="C223" s="146"/>
      <c r="D223" s="147"/>
      <c r="E223" s="146"/>
      <c r="F223" s="146"/>
      <c r="G223" s="146"/>
      <c r="H223" s="147"/>
      <c r="I223" s="146"/>
      <c r="J223" s="148"/>
      <c r="K223" s="148"/>
      <c r="L223" s="148"/>
      <c r="M223" s="147"/>
      <c r="N223" s="146"/>
      <c r="O223" s="147"/>
      <c r="P223" s="147"/>
      <c r="Q223" s="147"/>
      <c r="R223" s="146"/>
      <c r="S223" s="146"/>
      <c r="T223" s="146"/>
      <c r="U223" s="146"/>
      <c r="V223" s="147"/>
      <c r="W223" s="146"/>
    </row>
    <row r="224">
      <c r="A224" s="146"/>
      <c r="B224" s="146"/>
      <c r="C224" s="146"/>
      <c r="D224" s="147"/>
      <c r="E224" s="146"/>
      <c r="F224" s="146"/>
      <c r="G224" s="146"/>
      <c r="H224" s="147"/>
      <c r="I224" s="146"/>
      <c r="J224" s="148"/>
      <c r="K224" s="148"/>
      <c r="L224" s="148"/>
      <c r="M224" s="147"/>
      <c r="N224" s="146"/>
      <c r="O224" s="147"/>
      <c r="P224" s="147"/>
      <c r="Q224" s="147"/>
      <c r="R224" s="146"/>
      <c r="S224" s="146"/>
      <c r="T224" s="146"/>
      <c r="U224" s="146"/>
      <c r="V224" s="147"/>
      <c r="W224" s="146"/>
    </row>
    <row r="225">
      <c r="A225" s="146"/>
      <c r="B225" s="146"/>
      <c r="C225" s="146"/>
      <c r="D225" s="147"/>
      <c r="E225" s="146"/>
      <c r="F225" s="146"/>
      <c r="G225" s="146"/>
      <c r="H225" s="147"/>
      <c r="I225" s="146"/>
      <c r="J225" s="148"/>
      <c r="K225" s="148"/>
      <c r="L225" s="148"/>
      <c r="M225" s="147"/>
      <c r="N225" s="146"/>
      <c r="O225" s="147"/>
      <c r="P225" s="147"/>
      <c r="Q225" s="147"/>
      <c r="R225" s="146"/>
      <c r="S225" s="146"/>
      <c r="T225" s="146"/>
      <c r="U225" s="146"/>
      <c r="V225" s="147"/>
      <c r="W225" s="146"/>
    </row>
    <row r="226">
      <c r="A226" s="146"/>
      <c r="B226" s="146"/>
      <c r="C226" s="146"/>
      <c r="D226" s="147"/>
      <c r="E226" s="146"/>
      <c r="F226" s="146"/>
      <c r="G226" s="146"/>
      <c r="H226" s="147"/>
      <c r="I226" s="146"/>
      <c r="J226" s="148"/>
      <c r="K226" s="148"/>
      <c r="L226" s="148"/>
      <c r="M226" s="147"/>
      <c r="N226" s="146"/>
      <c r="O226" s="147"/>
      <c r="P226" s="147"/>
      <c r="Q226" s="147"/>
      <c r="R226" s="146"/>
      <c r="S226" s="146"/>
      <c r="T226" s="146"/>
      <c r="U226" s="146"/>
      <c r="V226" s="147"/>
      <c r="W226" s="146"/>
    </row>
    <row r="227">
      <c r="A227" s="146"/>
      <c r="B227" s="146"/>
      <c r="C227" s="146"/>
      <c r="D227" s="147"/>
      <c r="E227" s="146"/>
      <c r="F227" s="146"/>
      <c r="G227" s="146"/>
      <c r="H227" s="147"/>
      <c r="I227" s="146"/>
      <c r="J227" s="148"/>
      <c r="K227" s="148"/>
      <c r="L227" s="148"/>
      <c r="M227" s="147"/>
      <c r="N227" s="146"/>
      <c r="O227" s="147"/>
      <c r="P227" s="147"/>
      <c r="Q227" s="147"/>
      <c r="R227" s="146"/>
      <c r="S227" s="146"/>
      <c r="T227" s="146"/>
      <c r="U227" s="146"/>
      <c r="V227" s="147"/>
      <c r="W227" s="146"/>
    </row>
    <row r="228">
      <c r="A228" s="146"/>
      <c r="B228" s="146"/>
      <c r="C228" s="146"/>
      <c r="D228" s="147"/>
      <c r="E228" s="146"/>
      <c r="F228" s="146"/>
      <c r="G228" s="146"/>
      <c r="H228" s="147"/>
      <c r="I228" s="146"/>
      <c r="J228" s="148"/>
      <c r="K228" s="148"/>
      <c r="L228" s="148"/>
      <c r="M228" s="147"/>
      <c r="N228" s="146"/>
      <c r="O228" s="147"/>
      <c r="P228" s="147"/>
      <c r="Q228" s="147"/>
      <c r="R228" s="146"/>
      <c r="S228" s="146"/>
      <c r="T228" s="146"/>
      <c r="U228" s="146"/>
      <c r="V228" s="147"/>
      <c r="W228" s="146"/>
    </row>
    <row r="229">
      <c r="A229" s="146"/>
      <c r="B229" s="146"/>
      <c r="C229" s="146"/>
      <c r="D229" s="147"/>
      <c r="E229" s="146"/>
      <c r="F229" s="146"/>
      <c r="G229" s="146"/>
      <c r="H229" s="147"/>
      <c r="I229" s="146"/>
      <c r="J229" s="148"/>
      <c r="K229" s="148"/>
      <c r="L229" s="148"/>
      <c r="M229" s="147"/>
      <c r="N229" s="146"/>
      <c r="O229" s="147"/>
      <c r="P229" s="147"/>
      <c r="Q229" s="147"/>
      <c r="R229" s="146"/>
      <c r="S229" s="146"/>
      <c r="T229" s="146"/>
      <c r="U229" s="146"/>
      <c r="V229" s="147"/>
      <c r="W229" s="146"/>
    </row>
    <row r="230">
      <c r="A230" s="146"/>
      <c r="B230" s="146"/>
      <c r="C230" s="146"/>
      <c r="D230" s="147"/>
      <c r="E230" s="146"/>
      <c r="F230" s="146"/>
      <c r="G230" s="146"/>
      <c r="H230" s="147"/>
      <c r="I230" s="146"/>
      <c r="J230" s="148"/>
      <c r="K230" s="148"/>
      <c r="L230" s="148"/>
      <c r="M230" s="147"/>
      <c r="N230" s="146"/>
      <c r="O230" s="147"/>
      <c r="P230" s="147"/>
      <c r="Q230" s="147"/>
      <c r="R230" s="146"/>
      <c r="S230" s="146"/>
      <c r="T230" s="146"/>
      <c r="U230" s="146"/>
      <c r="V230" s="147"/>
      <c r="W230" s="146"/>
    </row>
    <row r="231">
      <c r="A231" s="146"/>
      <c r="B231" s="146"/>
      <c r="C231" s="146"/>
      <c r="D231" s="147"/>
      <c r="E231" s="146"/>
      <c r="F231" s="146"/>
      <c r="G231" s="146"/>
      <c r="H231" s="147"/>
      <c r="I231" s="146"/>
      <c r="J231" s="148"/>
      <c r="K231" s="148"/>
      <c r="L231" s="148"/>
      <c r="M231" s="147"/>
      <c r="N231" s="146"/>
      <c r="O231" s="147"/>
      <c r="P231" s="147"/>
      <c r="Q231" s="147"/>
      <c r="R231" s="146"/>
      <c r="S231" s="146"/>
      <c r="T231" s="146"/>
      <c r="U231" s="146"/>
      <c r="V231" s="147"/>
      <c r="W231" s="146"/>
    </row>
    <row r="232">
      <c r="A232" s="146"/>
      <c r="B232" s="146"/>
      <c r="C232" s="146"/>
      <c r="D232" s="147"/>
      <c r="E232" s="146"/>
      <c r="F232" s="146"/>
      <c r="G232" s="146"/>
      <c r="H232" s="147"/>
      <c r="I232" s="146"/>
      <c r="J232" s="148"/>
      <c r="K232" s="148"/>
      <c r="L232" s="148"/>
      <c r="M232" s="147"/>
      <c r="N232" s="146"/>
      <c r="O232" s="147"/>
      <c r="P232" s="147"/>
      <c r="Q232" s="147"/>
      <c r="R232" s="146"/>
      <c r="S232" s="146"/>
      <c r="T232" s="146"/>
      <c r="U232" s="146"/>
      <c r="V232" s="147"/>
      <c r="W232" s="146"/>
    </row>
    <row r="233">
      <c r="A233" s="146"/>
      <c r="B233" s="146"/>
      <c r="C233" s="146"/>
      <c r="D233" s="147"/>
      <c r="E233" s="146"/>
      <c r="F233" s="146"/>
      <c r="G233" s="146"/>
      <c r="H233" s="147"/>
      <c r="I233" s="146"/>
      <c r="J233" s="148"/>
      <c r="K233" s="148"/>
      <c r="L233" s="148"/>
      <c r="M233" s="147"/>
      <c r="N233" s="146"/>
      <c r="O233" s="147"/>
      <c r="P233" s="147"/>
      <c r="Q233" s="147"/>
      <c r="R233" s="146"/>
      <c r="S233" s="146"/>
      <c r="T233" s="146"/>
      <c r="U233" s="146"/>
      <c r="V233" s="147"/>
      <c r="W233" s="146"/>
    </row>
    <row r="234">
      <c r="A234" s="146"/>
      <c r="B234" s="146"/>
      <c r="C234" s="146"/>
      <c r="D234" s="147"/>
      <c r="E234" s="146"/>
      <c r="F234" s="146"/>
      <c r="G234" s="146"/>
      <c r="H234" s="147"/>
      <c r="I234" s="146"/>
      <c r="J234" s="148"/>
      <c r="K234" s="148"/>
      <c r="L234" s="148"/>
      <c r="M234" s="147"/>
      <c r="N234" s="146"/>
      <c r="O234" s="147"/>
      <c r="P234" s="147"/>
      <c r="Q234" s="147"/>
      <c r="R234" s="146"/>
      <c r="S234" s="146"/>
      <c r="T234" s="146"/>
      <c r="U234" s="146"/>
      <c r="V234" s="147"/>
      <c r="W234" s="146"/>
    </row>
    <row r="235">
      <c r="A235" s="146"/>
      <c r="B235" s="146"/>
      <c r="C235" s="146"/>
      <c r="D235" s="147"/>
      <c r="E235" s="146"/>
      <c r="F235" s="146"/>
      <c r="G235" s="146"/>
      <c r="H235" s="147"/>
      <c r="I235" s="146"/>
      <c r="J235" s="148"/>
      <c r="K235" s="148"/>
      <c r="L235" s="148"/>
      <c r="M235" s="147"/>
      <c r="N235" s="146"/>
      <c r="O235" s="147"/>
      <c r="P235" s="147"/>
      <c r="Q235" s="147"/>
      <c r="R235" s="146"/>
      <c r="S235" s="146"/>
      <c r="T235" s="146"/>
      <c r="U235" s="146"/>
      <c r="V235" s="147"/>
      <c r="W235" s="146"/>
    </row>
    <row r="236">
      <c r="A236" s="146"/>
      <c r="B236" s="146"/>
      <c r="C236" s="146"/>
      <c r="D236" s="147"/>
      <c r="E236" s="146"/>
      <c r="F236" s="146"/>
      <c r="G236" s="146"/>
      <c r="H236" s="147"/>
      <c r="I236" s="146"/>
      <c r="J236" s="148"/>
      <c r="K236" s="148"/>
      <c r="L236" s="148"/>
      <c r="M236" s="147"/>
      <c r="N236" s="146"/>
      <c r="O236" s="147"/>
      <c r="P236" s="147"/>
      <c r="Q236" s="147"/>
      <c r="R236" s="146"/>
      <c r="S236" s="146"/>
      <c r="T236" s="146"/>
      <c r="U236" s="146"/>
      <c r="V236" s="147"/>
      <c r="W236" s="146"/>
    </row>
    <row r="237">
      <c r="A237" s="146"/>
      <c r="B237" s="146"/>
      <c r="C237" s="146"/>
      <c r="D237" s="147"/>
      <c r="E237" s="146"/>
      <c r="F237" s="146"/>
      <c r="G237" s="146"/>
      <c r="H237" s="147"/>
      <c r="I237" s="146"/>
      <c r="J237" s="148"/>
      <c r="K237" s="148"/>
      <c r="L237" s="148"/>
      <c r="M237" s="147"/>
      <c r="N237" s="146"/>
      <c r="O237" s="147"/>
      <c r="P237" s="147"/>
      <c r="Q237" s="147"/>
      <c r="R237" s="146"/>
      <c r="S237" s="146"/>
      <c r="T237" s="146"/>
      <c r="U237" s="146"/>
      <c r="V237" s="147"/>
      <c r="W237" s="146"/>
    </row>
    <row r="238">
      <c r="A238" s="146"/>
      <c r="B238" s="146"/>
      <c r="C238" s="146"/>
      <c r="D238" s="147"/>
      <c r="E238" s="146"/>
      <c r="F238" s="146"/>
      <c r="G238" s="146"/>
      <c r="H238" s="147"/>
      <c r="I238" s="146"/>
      <c r="J238" s="148"/>
      <c r="K238" s="148"/>
      <c r="L238" s="148"/>
      <c r="M238" s="147"/>
      <c r="N238" s="146"/>
      <c r="O238" s="147"/>
      <c r="P238" s="147"/>
      <c r="Q238" s="147"/>
      <c r="R238" s="146"/>
      <c r="S238" s="146"/>
      <c r="T238" s="146"/>
      <c r="U238" s="146"/>
      <c r="V238" s="147"/>
      <c r="W238" s="146"/>
    </row>
    <row r="239">
      <c r="A239" s="146"/>
      <c r="B239" s="146"/>
      <c r="C239" s="146"/>
      <c r="D239" s="147"/>
      <c r="E239" s="146"/>
      <c r="F239" s="146"/>
      <c r="G239" s="146"/>
      <c r="H239" s="147"/>
      <c r="I239" s="146"/>
      <c r="J239" s="148"/>
      <c r="K239" s="148"/>
      <c r="L239" s="148"/>
      <c r="M239" s="147"/>
      <c r="N239" s="146"/>
      <c r="O239" s="147"/>
      <c r="P239" s="147"/>
      <c r="Q239" s="147"/>
      <c r="R239" s="146"/>
      <c r="S239" s="146"/>
      <c r="T239" s="146"/>
      <c r="U239" s="146"/>
      <c r="V239" s="147"/>
      <c r="W239" s="146"/>
    </row>
    <row r="240">
      <c r="A240" s="146"/>
      <c r="B240" s="146"/>
      <c r="C240" s="146"/>
      <c r="D240" s="147"/>
      <c r="E240" s="146"/>
      <c r="F240" s="146"/>
      <c r="G240" s="146"/>
      <c r="H240" s="147"/>
      <c r="I240" s="146"/>
      <c r="J240" s="148"/>
      <c r="K240" s="148"/>
      <c r="L240" s="148"/>
      <c r="M240" s="147"/>
      <c r="N240" s="146"/>
      <c r="O240" s="147"/>
      <c r="P240" s="147"/>
      <c r="Q240" s="147"/>
      <c r="R240" s="146"/>
      <c r="S240" s="146"/>
      <c r="T240" s="146"/>
      <c r="U240" s="146"/>
      <c r="V240" s="147"/>
      <c r="W240" s="146"/>
    </row>
    <row r="241">
      <c r="A241" s="146"/>
      <c r="B241" s="146"/>
      <c r="C241" s="146"/>
      <c r="D241" s="147"/>
      <c r="E241" s="146"/>
      <c r="F241" s="146"/>
      <c r="G241" s="146"/>
      <c r="H241" s="147"/>
      <c r="I241" s="146"/>
      <c r="J241" s="148"/>
      <c r="K241" s="148"/>
      <c r="L241" s="148"/>
      <c r="M241" s="147"/>
      <c r="N241" s="146"/>
      <c r="O241" s="147"/>
      <c r="P241" s="147"/>
      <c r="Q241" s="147"/>
      <c r="R241" s="146"/>
      <c r="S241" s="146"/>
      <c r="T241" s="146"/>
      <c r="U241" s="146"/>
      <c r="V241" s="147"/>
      <c r="W241" s="146"/>
    </row>
    <row r="242">
      <c r="A242" s="146"/>
      <c r="B242" s="146"/>
      <c r="C242" s="146"/>
      <c r="D242" s="147"/>
      <c r="E242" s="146"/>
      <c r="F242" s="146"/>
      <c r="G242" s="146"/>
      <c r="H242" s="147"/>
      <c r="I242" s="146"/>
      <c r="J242" s="148"/>
      <c r="K242" s="148"/>
      <c r="L242" s="148"/>
      <c r="M242" s="147"/>
      <c r="N242" s="146"/>
      <c r="O242" s="147"/>
      <c r="P242" s="147"/>
      <c r="Q242" s="147"/>
      <c r="R242" s="146"/>
      <c r="S242" s="146"/>
      <c r="T242" s="146"/>
      <c r="U242" s="146"/>
      <c r="V242" s="147"/>
      <c r="W242" s="146"/>
    </row>
    <row r="243">
      <c r="A243" s="146"/>
      <c r="B243" s="146"/>
      <c r="C243" s="146"/>
      <c r="D243" s="147"/>
      <c r="E243" s="146"/>
      <c r="F243" s="146"/>
      <c r="G243" s="146"/>
      <c r="H243" s="147"/>
      <c r="I243" s="146"/>
      <c r="J243" s="148"/>
      <c r="K243" s="148"/>
      <c r="L243" s="148"/>
      <c r="M243" s="147"/>
      <c r="N243" s="146"/>
      <c r="O243" s="147"/>
      <c r="P243" s="147"/>
      <c r="Q243" s="147"/>
      <c r="R243" s="146"/>
      <c r="S243" s="146"/>
      <c r="T243" s="146"/>
      <c r="U243" s="146"/>
      <c r="V243" s="147"/>
      <c r="W243" s="146"/>
    </row>
    <row r="244">
      <c r="A244" s="146"/>
      <c r="B244" s="146"/>
      <c r="C244" s="146"/>
      <c r="D244" s="147"/>
      <c r="E244" s="146"/>
      <c r="F244" s="146"/>
      <c r="G244" s="146"/>
      <c r="H244" s="147"/>
      <c r="I244" s="146"/>
      <c r="J244" s="148"/>
      <c r="K244" s="148"/>
      <c r="L244" s="148"/>
      <c r="M244" s="147"/>
      <c r="N244" s="146"/>
      <c r="O244" s="147"/>
      <c r="P244" s="147"/>
      <c r="Q244" s="147"/>
      <c r="R244" s="146"/>
      <c r="S244" s="146"/>
      <c r="T244" s="146"/>
      <c r="U244" s="146"/>
      <c r="V244" s="147"/>
      <c r="W244" s="146"/>
    </row>
    <row r="245">
      <c r="A245" s="146"/>
      <c r="B245" s="146"/>
      <c r="C245" s="146"/>
      <c r="D245" s="147"/>
      <c r="E245" s="146"/>
      <c r="F245" s="146"/>
      <c r="G245" s="146"/>
      <c r="H245" s="147"/>
      <c r="I245" s="146"/>
      <c r="J245" s="148"/>
      <c r="K245" s="148"/>
      <c r="L245" s="148"/>
      <c r="M245" s="147"/>
      <c r="N245" s="146"/>
      <c r="O245" s="147"/>
      <c r="P245" s="147"/>
      <c r="Q245" s="147"/>
      <c r="R245" s="146"/>
      <c r="S245" s="146"/>
      <c r="T245" s="146"/>
      <c r="U245" s="146"/>
      <c r="V245" s="147"/>
      <c r="W245" s="146"/>
    </row>
    <row r="246">
      <c r="A246" s="146"/>
      <c r="B246" s="146"/>
      <c r="C246" s="146"/>
      <c r="D246" s="147"/>
      <c r="E246" s="146"/>
      <c r="F246" s="146"/>
      <c r="G246" s="146"/>
      <c r="H246" s="147"/>
      <c r="I246" s="146"/>
      <c r="J246" s="148"/>
      <c r="K246" s="148"/>
      <c r="L246" s="148"/>
      <c r="M246" s="147"/>
      <c r="N246" s="146"/>
      <c r="O246" s="147"/>
      <c r="P246" s="147"/>
      <c r="Q246" s="147"/>
      <c r="R246" s="146"/>
      <c r="S246" s="146"/>
      <c r="T246" s="146"/>
      <c r="U246" s="146"/>
      <c r="V246" s="147"/>
      <c r="W246" s="146"/>
    </row>
    <row r="247">
      <c r="A247" s="146"/>
      <c r="B247" s="146"/>
      <c r="C247" s="146"/>
      <c r="D247" s="147"/>
      <c r="E247" s="146"/>
      <c r="F247" s="146"/>
      <c r="G247" s="146"/>
      <c r="H247" s="147"/>
      <c r="I247" s="146"/>
      <c r="J247" s="148"/>
      <c r="K247" s="148"/>
      <c r="L247" s="148"/>
      <c r="M247" s="147"/>
      <c r="N247" s="146"/>
      <c r="O247" s="147"/>
      <c r="P247" s="147"/>
      <c r="Q247" s="147"/>
      <c r="R247" s="146"/>
      <c r="S247" s="146"/>
      <c r="T247" s="146"/>
      <c r="U247" s="146"/>
      <c r="V247" s="147"/>
      <c r="W247" s="146"/>
    </row>
    <row r="248">
      <c r="A248" s="146"/>
      <c r="B248" s="146"/>
      <c r="C248" s="146"/>
      <c r="D248" s="147"/>
      <c r="E248" s="146"/>
      <c r="F248" s="146"/>
      <c r="G248" s="146"/>
      <c r="H248" s="147"/>
      <c r="I248" s="146"/>
      <c r="J248" s="148"/>
      <c r="K248" s="148"/>
      <c r="L248" s="148"/>
      <c r="M248" s="147"/>
      <c r="N248" s="146"/>
      <c r="O248" s="147"/>
      <c r="P248" s="147"/>
      <c r="Q248" s="147"/>
      <c r="R248" s="146"/>
      <c r="S248" s="146"/>
      <c r="T248" s="146"/>
      <c r="U248" s="146"/>
      <c r="V248" s="147"/>
      <c r="W248" s="146"/>
    </row>
    <row r="249">
      <c r="A249" s="146"/>
      <c r="B249" s="146"/>
      <c r="C249" s="146"/>
      <c r="D249" s="147"/>
      <c r="E249" s="146"/>
      <c r="F249" s="146"/>
      <c r="G249" s="146"/>
      <c r="H249" s="147"/>
      <c r="I249" s="146"/>
      <c r="J249" s="148"/>
      <c r="K249" s="148"/>
      <c r="L249" s="148"/>
      <c r="M249" s="147"/>
      <c r="N249" s="146"/>
      <c r="O249" s="147"/>
      <c r="P249" s="147"/>
      <c r="Q249" s="147"/>
      <c r="R249" s="146"/>
      <c r="S249" s="146"/>
      <c r="T249" s="146"/>
      <c r="U249" s="146"/>
      <c r="V249" s="147"/>
      <c r="W249" s="146"/>
    </row>
    <row r="250">
      <c r="A250" s="146"/>
      <c r="B250" s="146"/>
      <c r="C250" s="146"/>
      <c r="D250" s="147"/>
      <c r="E250" s="146"/>
      <c r="F250" s="146"/>
      <c r="G250" s="146"/>
      <c r="H250" s="147"/>
      <c r="I250" s="146"/>
      <c r="J250" s="148"/>
      <c r="K250" s="148"/>
      <c r="L250" s="148"/>
      <c r="M250" s="147"/>
      <c r="N250" s="146"/>
      <c r="O250" s="147"/>
      <c r="P250" s="147"/>
      <c r="Q250" s="147"/>
      <c r="R250" s="146"/>
      <c r="S250" s="146"/>
      <c r="T250" s="146"/>
      <c r="U250" s="146"/>
      <c r="V250" s="147"/>
      <c r="W250" s="146"/>
    </row>
    <row r="251">
      <c r="A251" s="146"/>
      <c r="B251" s="146"/>
      <c r="C251" s="146"/>
      <c r="D251" s="147"/>
      <c r="E251" s="146"/>
      <c r="F251" s="146"/>
      <c r="G251" s="146"/>
      <c r="H251" s="147"/>
      <c r="I251" s="146"/>
      <c r="J251" s="148"/>
      <c r="K251" s="148"/>
      <c r="L251" s="148"/>
      <c r="M251" s="147"/>
      <c r="N251" s="146"/>
      <c r="O251" s="147"/>
      <c r="P251" s="147"/>
      <c r="Q251" s="147"/>
      <c r="R251" s="146"/>
      <c r="S251" s="146"/>
      <c r="T251" s="146"/>
      <c r="U251" s="146"/>
      <c r="V251" s="147"/>
      <c r="W251" s="146"/>
    </row>
    <row r="252">
      <c r="A252" s="146"/>
      <c r="B252" s="146"/>
      <c r="C252" s="146"/>
      <c r="D252" s="147"/>
      <c r="E252" s="146"/>
      <c r="F252" s="146"/>
      <c r="G252" s="146"/>
      <c r="H252" s="147"/>
      <c r="I252" s="146"/>
      <c r="J252" s="148"/>
      <c r="K252" s="148"/>
      <c r="L252" s="148"/>
      <c r="M252" s="147"/>
      <c r="N252" s="146"/>
      <c r="O252" s="147"/>
      <c r="P252" s="147"/>
      <c r="Q252" s="147"/>
      <c r="R252" s="146"/>
      <c r="S252" s="146"/>
      <c r="T252" s="146"/>
      <c r="U252" s="146"/>
      <c r="V252" s="147"/>
      <c r="W252" s="146"/>
    </row>
    <row r="253">
      <c r="A253" s="146"/>
      <c r="B253" s="146"/>
      <c r="C253" s="146"/>
      <c r="D253" s="147"/>
      <c r="E253" s="146"/>
      <c r="F253" s="146"/>
      <c r="G253" s="146"/>
      <c r="H253" s="147"/>
      <c r="I253" s="146"/>
      <c r="J253" s="148"/>
      <c r="K253" s="148"/>
      <c r="L253" s="148"/>
      <c r="M253" s="147"/>
      <c r="N253" s="146"/>
      <c r="O253" s="147"/>
      <c r="P253" s="147"/>
      <c r="Q253" s="147"/>
      <c r="R253" s="146"/>
      <c r="S253" s="146"/>
      <c r="T253" s="146"/>
      <c r="U253" s="146"/>
      <c r="V253" s="147"/>
      <c r="W253" s="146"/>
    </row>
    <row r="254">
      <c r="A254" s="146"/>
      <c r="B254" s="146"/>
      <c r="C254" s="146"/>
      <c r="D254" s="147"/>
      <c r="E254" s="146"/>
      <c r="F254" s="146"/>
      <c r="G254" s="146"/>
      <c r="H254" s="147"/>
      <c r="I254" s="146"/>
      <c r="J254" s="148"/>
      <c r="K254" s="148"/>
      <c r="L254" s="148"/>
      <c r="M254" s="147"/>
      <c r="N254" s="146"/>
      <c r="O254" s="147"/>
      <c r="P254" s="147"/>
      <c r="Q254" s="147"/>
      <c r="R254" s="146"/>
      <c r="S254" s="146"/>
      <c r="T254" s="146"/>
      <c r="U254" s="146"/>
      <c r="V254" s="147"/>
      <c r="W254" s="146"/>
    </row>
    <row r="255">
      <c r="A255" s="146"/>
      <c r="B255" s="146"/>
      <c r="C255" s="146"/>
      <c r="D255" s="147"/>
      <c r="E255" s="146"/>
      <c r="F255" s="146"/>
      <c r="G255" s="146"/>
      <c r="H255" s="147"/>
      <c r="I255" s="146"/>
      <c r="J255" s="148"/>
      <c r="K255" s="148"/>
      <c r="L255" s="148"/>
      <c r="M255" s="147"/>
      <c r="N255" s="146"/>
      <c r="O255" s="147"/>
      <c r="P255" s="147"/>
      <c r="Q255" s="147"/>
      <c r="R255" s="146"/>
      <c r="S255" s="146"/>
      <c r="T255" s="146"/>
      <c r="U255" s="146"/>
      <c r="V255" s="147"/>
      <c r="W255" s="146"/>
    </row>
    <row r="256">
      <c r="A256" s="146"/>
      <c r="B256" s="146"/>
      <c r="C256" s="146"/>
      <c r="D256" s="147"/>
      <c r="E256" s="146"/>
      <c r="F256" s="146"/>
      <c r="G256" s="146"/>
      <c r="H256" s="147"/>
      <c r="I256" s="146"/>
      <c r="J256" s="148"/>
      <c r="K256" s="148"/>
      <c r="L256" s="148"/>
      <c r="M256" s="147"/>
      <c r="N256" s="146"/>
      <c r="O256" s="147"/>
      <c r="P256" s="147"/>
      <c r="Q256" s="147"/>
      <c r="R256" s="146"/>
      <c r="S256" s="146"/>
      <c r="T256" s="146"/>
      <c r="U256" s="146"/>
      <c r="V256" s="147"/>
      <c r="W256" s="146"/>
    </row>
    <row r="257">
      <c r="A257" s="146"/>
      <c r="B257" s="146"/>
      <c r="C257" s="146"/>
      <c r="D257" s="147"/>
      <c r="E257" s="146"/>
      <c r="F257" s="146"/>
      <c r="G257" s="146"/>
      <c r="H257" s="147"/>
      <c r="I257" s="146"/>
      <c r="J257" s="148"/>
      <c r="K257" s="148"/>
      <c r="L257" s="148"/>
      <c r="M257" s="147"/>
      <c r="N257" s="146"/>
      <c r="O257" s="147"/>
      <c r="P257" s="147"/>
      <c r="Q257" s="147"/>
      <c r="R257" s="146"/>
      <c r="S257" s="146"/>
      <c r="T257" s="146"/>
      <c r="U257" s="146"/>
      <c r="V257" s="147"/>
      <c r="W257" s="146"/>
    </row>
    <row r="258">
      <c r="A258" s="146"/>
      <c r="B258" s="146"/>
      <c r="C258" s="146"/>
      <c r="D258" s="147"/>
      <c r="E258" s="146"/>
      <c r="F258" s="146"/>
      <c r="G258" s="146"/>
      <c r="H258" s="147"/>
      <c r="I258" s="146"/>
      <c r="J258" s="148"/>
      <c r="K258" s="148"/>
      <c r="L258" s="148"/>
      <c r="M258" s="147"/>
      <c r="N258" s="146"/>
      <c r="O258" s="147"/>
      <c r="P258" s="147"/>
      <c r="Q258" s="147"/>
      <c r="R258" s="146"/>
      <c r="S258" s="146"/>
      <c r="T258" s="146"/>
      <c r="U258" s="146"/>
      <c r="V258" s="147"/>
      <c r="W258" s="146"/>
    </row>
    <row r="259">
      <c r="A259" s="146"/>
      <c r="B259" s="146"/>
      <c r="C259" s="146"/>
      <c r="D259" s="147"/>
      <c r="E259" s="146"/>
      <c r="F259" s="146"/>
      <c r="G259" s="146"/>
      <c r="H259" s="147"/>
      <c r="I259" s="146"/>
      <c r="J259" s="148"/>
      <c r="K259" s="148"/>
      <c r="L259" s="148"/>
      <c r="M259" s="147"/>
      <c r="N259" s="146"/>
      <c r="O259" s="147"/>
      <c r="P259" s="147"/>
      <c r="Q259" s="147"/>
      <c r="R259" s="146"/>
      <c r="S259" s="146"/>
      <c r="T259" s="146"/>
      <c r="U259" s="146"/>
      <c r="V259" s="147"/>
      <c r="W259" s="146"/>
    </row>
    <row r="260">
      <c r="A260" s="146"/>
      <c r="B260" s="146"/>
      <c r="C260" s="146"/>
      <c r="D260" s="147"/>
      <c r="E260" s="146"/>
      <c r="F260" s="146"/>
      <c r="G260" s="146"/>
      <c r="H260" s="147"/>
      <c r="I260" s="146"/>
      <c r="J260" s="148"/>
      <c r="K260" s="148"/>
      <c r="L260" s="148"/>
      <c r="M260" s="147"/>
      <c r="N260" s="146"/>
      <c r="O260" s="147"/>
      <c r="P260" s="147"/>
      <c r="Q260" s="147"/>
      <c r="R260" s="146"/>
      <c r="S260" s="146"/>
      <c r="T260" s="146"/>
      <c r="U260" s="146"/>
      <c r="V260" s="147"/>
      <c r="W260" s="146"/>
    </row>
    <row r="261">
      <c r="A261" s="146"/>
      <c r="B261" s="146"/>
      <c r="C261" s="146"/>
      <c r="D261" s="147"/>
      <c r="E261" s="146"/>
      <c r="F261" s="146"/>
      <c r="G261" s="146"/>
      <c r="H261" s="147"/>
      <c r="I261" s="146"/>
      <c r="J261" s="148"/>
      <c r="K261" s="148"/>
      <c r="L261" s="148"/>
      <c r="M261" s="147"/>
      <c r="N261" s="146"/>
      <c r="O261" s="147"/>
      <c r="P261" s="147"/>
      <c r="Q261" s="147"/>
      <c r="R261" s="146"/>
      <c r="S261" s="146"/>
      <c r="T261" s="146"/>
      <c r="U261" s="146"/>
      <c r="V261" s="147"/>
      <c r="W261" s="146"/>
    </row>
    <row r="262">
      <c r="A262" s="146"/>
      <c r="B262" s="146"/>
      <c r="C262" s="146"/>
      <c r="D262" s="147"/>
      <c r="E262" s="146"/>
      <c r="F262" s="146"/>
      <c r="G262" s="146"/>
      <c r="H262" s="147"/>
      <c r="I262" s="146"/>
      <c r="J262" s="148"/>
      <c r="K262" s="148"/>
      <c r="L262" s="148"/>
      <c r="M262" s="147"/>
      <c r="N262" s="146"/>
      <c r="O262" s="147"/>
      <c r="P262" s="147"/>
      <c r="Q262" s="147"/>
      <c r="R262" s="146"/>
      <c r="S262" s="146"/>
      <c r="T262" s="146"/>
      <c r="U262" s="146"/>
      <c r="V262" s="147"/>
      <c r="W262" s="146"/>
    </row>
    <row r="263">
      <c r="A263" s="146"/>
      <c r="B263" s="146"/>
      <c r="C263" s="146"/>
      <c r="D263" s="147"/>
      <c r="E263" s="146"/>
      <c r="F263" s="146"/>
      <c r="G263" s="146"/>
      <c r="H263" s="147"/>
      <c r="I263" s="146"/>
      <c r="J263" s="148"/>
      <c r="K263" s="148"/>
      <c r="L263" s="148"/>
      <c r="M263" s="147"/>
      <c r="N263" s="146"/>
      <c r="O263" s="147"/>
      <c r="P263" s="147"/>
      <c r="Q263" s="147"/>
      <c r="R263" s="146"/>
      <c r="S263" s="146"/>
      <c r="T263" s="146"/>
      <c r="U263" s="146"/>
      <c r="V263" s="147"/>
      <c r="W263" s="146"/>
    </row>
    <row r="264">
      <c r="A264" s="146"/>
      <c r="B264" s="146"/>
      <c r="C264" s="146"/>
      <c r="D264" s="147"/>
      <c r="E264" s="146"/>
      <c r="F264" s="146"/>
      <c r="G264" s="146"/>
      <c r="H264" s="147"/>
      <c r="I264" s="146"/>
      <c r="J264" s="148"/>
      <c r="K264" s="148"/>
      <c r="L264" s="148"/>
      <c r="M264" s="147"/>
      <c r="N264" s="146"/>
      <c r="O264" s="147"/>
      <c r="P264" s="147"/>
      <c r="Q264" s="147"/>
      <c r="R264" s="146"/>
      <c r="S264" s="146"/>
      <c r="T264" s="146"/>
      <c r="U264" s="146"/>
      <c r="V264" s="147"/>
      <c r="W264" s="146"/>
    </row>
    <row r="265">
      <c r="A265" s="146"/>
      <c r="B265" s="146"/>
      <c r="C265" s="146"/>
      <c r="D265" s="147"/>
      <c r="E265" s="146"/>
      <c r="F265" s="146"/>
      <c r="G265" s="146"/>
      <c r="H265" s="147"/>
      <c r="I265" s="146"/>
      <c r="J265" s="148"/>
      <c r="K265" s="148"/>
      <c r="L265" s="148"/>
      <c r="M265" s="147"/>
      <c r="N265" s="146"/>
      <c r="O265" s="147"/>
      <c r="P265" s="147"/>
      <c r="Q265" s="147"/>
      <c r="R265" s="146"/>
      <c r="S265" s="146"/>
      <c r="T265" s="146"/>
      <c r="U265" s="146"/>
      <c r="V265" s="147"/>
      <c r="W265" s="146"/>
    </row>
    <row r="266">
      <c r="A266" s="146"/>
      <c r="B266" s="146"/>
      <c r="C266" s="146"/>
      <c r="D266" s="147"/>
      <c r="E266" s="146"/>
      <c r="F266" s="146"/>
      <c r="G266" s="146"/>
      <c r="H266" s="147"/>
      <c r="I266" s="146"/>
      <c r="J266" s="148"/>
      <c r="K266" s="148"/>
      <c r="L266" s="148"/>
      <c r="M266" s="147"/>
      <c r="N266" s="146"/>
      <c r="O266" s="147"/>
      <c r="P266" s="147"/>
      <c r="Q266" s="147"/>
      <c r="R266" s="146"/>
      <c r="S266" s="146"/>
      <c r="T266" s="146"/>
      <c r="U266" s="146"/>
      <c r="V266" s="147"/>
      <c r="W266" s="146"/>
    </row>
    <row r="267">
      <c r="A267" s="146"/>
      <c r="B267" s="146"/>
      <c r="C267" s="146"/>
      <c r="D267" s="147"/>
      <c r="E267" s="146"/>
      <c r="F267" s="146"/>
      <c r="G267" s="146"/>
      <c r="H267" s="147"/>
      <c r="I267" s="146"/>
      <c r="J267" s="148"/>
      <c r="K267" s="148"/>
      <c r="L267" s="148"/>
      <c r="M267" s="147"/>
      <c r="N267" s="146"/>
      <c r="O267" s="147"/>
      <c r="P267" s="147"/>
      <c r="Q267" s="147"/>
      <c r="R267" s="146"/>
      <c r="S267" s="146"/>
      <c r="T267" s="146"/>
      <c r="U267" s="146"/>
      <c r="V267" s="147"/>
      <c r="W267" s="146"/>
    </row>
    <row r="268">
      <c r="A268" s="146"/>
      <c r="B268" s="146"/>
      <c r="C268" s="146"/>
      <c r="D268" s="147"/>
      <c r="E268" s="146"/>
      <c r="F268" s="146"/>
      <c r="G268" s="146"/>
      <c r="H268" s="147"/>
      <c r="I268" s="146"/>
      <c r="J268" s="148"/>
      <c r="K268" s="148"/>
      <c r="L268" s="148"/>
      <c r="M268" s="147"/>
      <c r="N268" s="146"/>
      <c r="O268" s="147"/>
      <c r="P268" s="147"/>
      <c r="Q268" s="147"/>
      <c r="R268" s="146"/>
      <c r="S268" s="146"/>
      <c r="T268" s="146"/>
      <c r="U268" s="146"/>
      <c r="V268" s="147"/>
      <c r="W268" s="146"/>
    </row>
    <row r="269">
      <c r="A269" s="146"/>
      <c r="B269" s="146"/>
      <c r="C269" s="146"/>
      <c r="D269" s="147"/>
      <c r="E269" s="146"/>
      <c r="F269" s="146"/>
      <c r="G269" s="146"/>
      <c r="H269" s="147"/>
      <c r="I269" s="146"/>
      <c r="J269" s="148"/>
      <c r="K269" s="148"/>
      <c r="L269" s="148"/>
      <c r="M269" s="147"/>
      <c r="N269" s="146"/>
      <c r="O269" s="147"/>
      <c r="P269" s="147"/>
      <c r="Q269" s="147"/>
      <c r="R269" s="146"/>
      <c r="S269" s="146"/>
      <c r="T269" s="146"/>
      <c r="U269" s="146"/>
      <c r="V269" s="147"/>
      <c r="W269" s="146"/>
    </row>
    <row r="270">
      <c r="A270" s="146"/>
      <c r="B270" s="146"/>
      <c r="C270" s="146"/>
      <c r="D270" s="147"/>
      <c r="E270" s="146"/>
      <c r="F270" s="146"/>
      <c r="G270" s="146"/>
      <c r="H270" s="147"/>
      <c r="I270" s="146"/>
      <c r="J270" s="148"/>
      <c r="K270" s="148"/>
      <c r="L270" s="148"/>
      <c r="M270" s="147"/>
      <c r="N270" s="146"/>
      <c r="O270" s="147"/>
      <c r="P270" s="147"/>
      <c r="Q270" s="147"/>
      <c r="R270" s="146"/>
      <c r="S270" s="146"/>
      <c r="T270" s="146"/>
      <c r="U270" s="146"/>
      <c r="V270" s="147"/>
      <c r="W270" s="146"/>
    </row>
    <row r="271">
      <c r="A271" s="146"/>
      <c r="B271" s="146"/>
      <c r="C271" s="146"/>
      <c r="D271" s="147"/>
      <c r="E271" s="146"/>
      <c r="F271" s="146"/>
      <c r="G271" s="146"/>
      <c r="H271" s="147"/>
      <c r="I271" s="146"/>
      <c r="J271" s="148"/>
      <c r="K271" s="148"/>
      <c r="L271" s="148"/>
      <c r="M271" s="147"/>
      <c r="N271" s="146"/>
      <c r="O271" s="147"/>
      <c r="P271" s="147"/>
      <c r="Q271" s="147"/>
      <c r="R271" s="146"/>
      <c r="S271" s="146"/>
      <c r="T271" s="146"/>
      <c r="U271" s="146"/>
      <c r="V271" s="147"/>
      <c r="W271" s="146"/>
    </row>
    <row r="272">
      <c r="A272" s="146"/>
      <c r="B272" s="146"/>
      <c r="C272" s="146"/>
      <c r="D272" s="147"/>
      <c r="E272" s="146"/>
      <c r="F272" s="146"/>
      <c r="G272" s="146"/>
      <c r="H272" s="147"/>
      <c r="I272" s="146"/>
      <c r="J272" s="148"/>
      <c r="K272" s="148"/>
      <c r="L272" s="148"/>
      <c r="M272" s="147"/>
      <c r="N272" s="146"/>
      <c r="O272" s="147"/>
      <c r="P272" s="147"/>
      <c r="Q272" s="147"/>
      <c r="R272" s="146"/>
      <c r="S272" s="146"/>
      <c r="T272" s="146"/>
      <c r="U272" s="146"/>
      <c r="V272" s="147"/>
      <c r="W272" s="146"/>
    </row>
    <row r="273">
      <c r="A273" s="146"/>
      <c r="B273" s="146"/>
      <c r="C273" s="146"/>
      <c r="D273" s="147"/>
      <c r="E273" s="146"/>
      <c r="F273" s="146"/>
      <c r="G273" s="146"/>
      <c r="H273" s="147"/>
      <c r="I273" s="146"/>
      <c r="J273" s="148"/>
      <c r="K273" s="148"/>
      <c r="L273" s="148"/>
      <c r="M273" s="147"/>
      <c r="N273" s="146"/>
      <c r="O273" s="147"/>
      <c r="P273" s="147"/>
      <c r="Q273" s="147"/>
      <c r="R273" s="146"/>
      <c r="S273" s="146"/>
      <c r="T273" s="146"/>
      <c r="U273" s="146"/>
      <c r="V273" s="147"/>
      <c r="W273" s="146"/>
    </row>
    <row r="274">
      <c r="A274" s="146"/>
      <c r="B274" s="146"/>
      <c r="C274" s="146"/>
      <c r="D274" s="147"/>
      <c r="E274" s="146"/>
      <c r="F274" s="146"/>
      <c r="G274" s="146"/>
      <c r="H274" s="147"/>
      <c r="I274" s="146"/>
      <c r="J274" s="148"/>
      <c r="K274" s="148"/>
      <c r="L274" s="148"/>
      <c r="M274" s="147"/>
      <c r="N274" s="146"/>
      <c r="O274" s="147"/>
      <c r="P274" s="147"/>
      <c r="Q274" s="147"/>
      <c r="R274" s="146"/>
      <c r="S274" s="146"/>
      <c r="T274" s="146"/>
      <c r="U274" s="146"/>
      <c r="V274" s="147"/>
      <c r="W274" s="146"/>
    </row>
    <row r="275">
      <c r="A275" s="146"/>
      <c r="B275" s="146"/>
      <c r="C275" s="146"/>
      <c r="D275" s="147"/>
      <c r="E275" s="146"/>
      <c r="F275" s="146"/>
      <c r="G275" s="146"/>
      <c r="H275" s="147"/>
      <c r="I275" s="146"/>
      <c r="J275" s="148"/>
      <c r="K275" s="148"/>
      <c r="L275" s="148"/>
      <c r="M275" s="147"/>
      <c r="N275" s="146"/>
      <c r="O275" s="147"/>
      <c r="P275" s="147"/>
      <c r="Q275" s="147"/>
      <c r="R275" s="146"/>
      <c r="S275" s="146"/>
      <c r="T275" s="146"/>
      <c r="U275" s="146"/>
      <c r="V275" s="147"/>
      <c r="W275" s="146"/>
    </row>
    <row r="276">
      <c r="A276" s="146"/>
      <c r="B276" s="146"/>
      <c r="C276" s="146"/>
      <c r="D276" s="147"/>
      <c r="E276" s="146"/>
      <c r="F276" s="146"/>
      <c r="G276" s="146"/>
      <c r="H276" s="147"/>
      <c r="I276" s="146"/>
      <c r="J276" s="148"/>
      <c r="K276" s="148"/>
      <c r="L276" s="148"/>
      <c r="M276" s="147"/>
      <c r="N276" s="146"/>
      <c r="O276" s="147"/>
      <c r="P276" s="147"/>
      <c r="Q276" s="147"/>
      <c r="R276" s="146"/>
      <c r="S276" s="146"/>
      <c r="T276" s="146"/>
      <c r="U276" s="146"/>
      <c r="V276" s="147"/>
      <c r="W276" s="146"/>
    </row>
    <row r="277">
      <c r="A277" s="146"/>
      <c r="B277" s="146"/>
      <c r="C277" s="146"/>
      <c r="D277" s="147"/>
      <c r="E277" s="146"/>
      <c r="F277" s="146"/>
      <c r="G277" s="146"/>
      <c r="H277" s="147"/>
      <c r="I277" s="146"/>
      <c r="J277" s="148"/>
      <c r="K277" s="148"/>
      <c r="L277" s="148"/>
      <c r="M277" s="147"/>
      <c r="N277" s="146"/>
      <c r="O277" s="147"/>
      <c r="P277" s="147"/>
      <c r="Q277" s="147"/>
      <c r="R277" s="146"/>
      <c r="S277" s="146"/>
      <c r="T277" s="146"/>
      <c r="U277" s="146"/>
      <c r="V277" s="147"/>
      <c r="W277" s="146"/>
    </row>
    <row r="278">
      <c r="A278" s="146"/>
      <c r="B278" s="146"/>
      <c r="C278" s="146"/>
      <c r="D278" s="147"/>
      <c r="E278" s="146"/>
      <c r="F278" s="146"/>
      <c r="G278" s="146"/>
      <c r="H278" s="147"/>
      <c r="I278" s="146"/>
      <c r="J278" s="148"/>
      <c r="K278" s="148"/>
      <c r="L278" s="148"/>
      <c r="M278" s="147"/>
      <c r="N278" s="146"/>
      <c r="O278" s="147"/>
      <c r="P278" s="147"/>
      <c r="Q278" s="147"/>
      <c r="R278" s="146"/>
      <c r="S278" s="146"/>
      <c r="T278" s="146"/>
      <c r="U278" s="146"/>
      <c r="V278" s="147"/>
      <c r="W278" s="146"/>
    </row>
    <row r="279">
      <c r="A279" s="146"/>
      <c r="B279" s="146"/>
      <c r="C279" s="146"/>
      <c r="D279" s="147"/>
      <c r="E279" s="146"/>
      <c r="F279" s="146"/>
      <c r="G279" s="146"/>
      <c r="H279" s="147"/>
      <c r="I279" s="146"/>
      <c r="J279" s="148"/>
      <c r="K279" s="148"/>
      <c r="L279" s="148"/>
      <c r="M279" s="147"/>
      <c r="N279" s="146"/>
      <c r="O279" s="147"/>
      <c r="P279" s="147"/>
      <c r="Q279" s="147"/>
      <c r="R279" s="146"/>
      <c r="S279" s="146"/>
      <c r="T279" s="146"/>
      <c r="U279" s="146"/>
      <c r="V279" s="147"/>
      <c r="W279" s="146"/>
    </row>
    <row r="280">
      <c r="A280" s="146"/>
      <c r="B280" s="146"/>
      <c r="C280" s="146"/>
      <c r="D280" s="147"/>
      <c r="E280" s="146"/>
      <c r="F280" s="146"/>
      <c r="G280" s="146"/>
      <c r="H280" s="147"/>
      <c r="I280" s="146"/>
      <c r="J280" s="148"/>
      <c r="K280" s="148"/>
      <c r="L280" s="148"/>
      <c r="M280" s="147"/>
      <c r="N280" s="146"/>
      <c r="O280" s="147"/>
      <c r="P280" s="147"/>
      <c r="Q280" s="147"/>
      <c r="R280" s="146"/>
      <c r="S280" s="146"/>
      <c r="T280" s="146"/>
      <c r="U280" s="146"/>
      <c r="V280" s="147"/>
      <c r="W280" s="146"/>
    </row>
    <row r="281">
      <c r="A281" s="146"/>
      <c r="B281" s="146"/>
      <c r="C281" s="146"/>
      <c r="D281" s="147"/>
      <c r="E281" s="146"/>
      <c r="F281" s="146"/>
      <c r="G281" s="146"/>
      <c r="H281" s="147"/>
      <c r="I281" s="146"/>
      <c r="J281" s="148"/>
      <c r="K281" s="148"/>
      <c r="L281" s="148"/>
      <c r="M281" s="147"/>
      <c r="N281" s="146"/>
      <c r="O281" s="147"/>
      <c r="P281" s="147"/>
      <c r="Q281" s="147"/>
      <c r="R281" s="146"/>
      <c r="S281" s="146"/>
      <c r="T281" s="146"/>
      <c r="U281" s="146"/>
      <c r="V281" s="147"/>
      <c r="W281" s="146"/>
    </row>
    <row r="282">
      <c r="A282" s="146"/>
      <c r="B282" s="146"/>
      <c r="C282" s="146"/>
      <c r="D282" s="147"/>
      <c r="E282" s="146"/>
      <c r="F282" s="146"/>
      <c r="G282" s="146"/>
      <c r="H282" s="147"/>
      <c r="I282" s="146"/>
      <c r="J282" s="148"/>
      <c r="K282" s="148"/>
      <c r="L282" s="148"/>
      <c r="M282" s="147"/>
      <c r="N282" s="146"/>
      <c r="O282" s="147"/>
      <c r="P282" s="147"/>
      <c r="Q282" s="147"/>
      <c r="R282" s="146"/>
      <c r="S282" s="146"/>
      <c r="T282" s="146"/>
      <c r="U282" s="146"/>
      <c r="V282" s="147"/>
      <c r="W282" s="146"/>
    </row>
    <row r="283">
      <c r="A283" s="146"/>
      <c r="B283" s="146"/>
      <c r="C283" s="146"/>
      <c r="D283" s="147"/>
      <c r="E283" s="146"/>
      <c r="F283" s="146"/>
      <c r="G283" s="146"/>
      <c r="H283" s="147"/>
      <c r="I283" s="146"/>
      <c r="J283" s="148"/>
      <c r="K283" s="148"/>
      <c r="L283" s="148"/>
      <c r="M283" s="147"/>
      <c r="N283" s="146"/>
      <c r="O283" s="147"/>
      <c r="P283" s="147"/>
      <c r="Q283" s="147"/>
      <c r="R283" s="146"/>
      <c r="S283" s="146"/>
      <c r="T283" s="146"/>
      <c r="U283" s="146"/>
      <c r="V283" s="147"/>
      <c r="W283" s="146"/>
    </row>
    <row r="284">
      <c r="A284" s="146"/>
      <c r="B284" s="146"/>
      <c r="C284" s="146"/>
      <c r="D284" s="147"/>
      <c r="E284" s="146"/>
      <c r="F284" s="146"/>
      <c r="G284" s="146"/>
      <c r="H284" s="147"/>
      <c r="I284" s="146"/>
      <c r="J284" s="148"/>
      <c r="K284" s="148"/>
      <c r="L284" s="148"/>
      <c r="M284" s="147"/>
      <c r="N284" s="146"/>
      <c r="O284" s="147"/>
      <c r="P284" s="147"/>
      <c r="Q284" s="147"/>
      <c r="R284" s="146"/>
      <c r="S284" s="146"/>
      <c r="T284" s="146"/>
      <c r="U284" s="146"/>
      <c r="V284" s="147"/>
      <c r="W284" s="146"/>
    </row>
    <row r="285">
      <c r="A285" s="146"/>
      <c r="B285" s="146"/>
      <c r="C285" s="146"/>
      <c r="D285" s="147"/>
      <c r="E285" s="146"/>
      <c r="F285" s="146"/>
      <c r="G285" s="146"/>
      <c r="H285" s="147"/>
      <c r="I285" s="146"/>
      <c r="J285" s="148"/>
      <c r="K285" s="148"/>
      <c r="L285" s="148"/>
      <c r="M285" s="147"/>
      <c r="N285" s="146"/>
      <c r="O285" s="147"/>
      <c r="P285" s="147"/>
      <c r="Q285" s="147"/>
      <c r="R285" s="146"/>
      <c r="S285" s="146"/>
      <c r="T285" s="146"/>
      <c r="U285" s="146"/>
      <c r="V285" s="147"/>
      <c r="W285" s="146"/>
    </row>
    <row r="286">
      <c r="A286" s="146"/>
      <c r="B286" s="146"/>
      <c r="C286" s="146"/>
      <c r="D286" s="147"/>
      <c r="E286" s="146"/>
      <c r="F286" s="146"/>
      <c r="G286" s="146"/>
      <c r="H286" s="147"/>
      <c r="I286" s="146"/>
      <c r="J286" s="148"/>
      <c r="K286" s="148"/>
      <c r="L286" s="148"/>
      <c r="M286" s="147"/>
      <c r="N286" s="146"/>
      <c r="O286" s="147"/>
      <c r="P286" s="147"/>
      <c r="Q286" s="147"/>
      <c r="R286" s="146"/>
      <c r="S286" s="146"/>
      <c r="T286" s="146"/>
      <c r="U286" s="146"/>
      <c r="V286" s="147"/>
      <c r="W286" s="146"/>
    </row>
    <row r="287">
      <c r="A287" s="146"/>
      <c r="B287" s="146"/>
      <c r="C287" s="146"/>
      <c r="D287" s="147"/>
      <c r="E287" s="146"/>
      <c r="F287" s="146"/>
      <c r="G287" s="146"/>
      <c r="H287" s="147"/>
      <c r="I287" s="146"/>
      <c r="J287" s="148"/>
      <c r="K287" s="148"/>
      <c r="L287" s="148"/>
      <c r="M287" s="147"/>
      <c r="N287" s="146"/>
      <c r="O287" s="147"/>
      <c r="P287" s="147"/>
      <c r="Q287" s="147"/>
      <c r="R287" s="146"/>
      <c r="S287" s="146"/>
      <c r="T287" s="146"/>
      <c r="U287" s="146"/>
      <c r="V287" s="147"/>
      <c r="W287" s="146"/>
    </row>
    <row r="288">
      <c r="A288" s="146"/>
      <c r="B288" s="146"/>
      <c r="C288" s="146"/>
      <c r="D288" s="147"/>
      <c r="E288" s="146"/>
      <c r="F288" s="146"/>
      <c r="G288" s="146"/>
      <c r="H288" s="147"/>
      <c r="I288" s="146"/>
      <c r="J288" s="148"/>
      <c r="K288" s="148"/>
      <c r="L288" s="148"/>
      <c r="M288" s="147"/>
      <c r="N288" s="146"/>
      <c r="O288" s="147"/>
      <c r="P288" s="147"/>
      <c r="Q288" s="147"/>
      <c r="R288" s="146"/>
      <c r="S288" s="146"/>
      <c r="T288" s="146"/>
      <c r="U288" s="146"/>
      <c r="V288" s="147"/>
      <c r="W288" s="146"/>
    </row>
    <row r="289">
      <c r="A289" s="146"/>
      <c r="B289" s="146"/>
      <c r="C289" s="146"/>
      <c r="D289" s="147"/>
      <c r="E289" s="146"/>
      <c r="F289" s="146"/>
      <c r="G289" s="146"/>
      <c r="H289" s="147"/>
      <c r="I289" s="146"/>
      <c r="J289" s="148"/>
      <c r="K289" s="148"/>
      <c r="L289" s="148"/>
      <c r="M289" s="147"/>
      <c r="N289" s="146"/>
      <c r="O289" s="147"/>
      <c r="P289" s="147"/>
      <c r="Q289" s="147"/>
      <c r="R289" s="146"/>
      <c r="S289" s="146"/>
      <c r="T289" s="146"/>
      <c r="U289" s="146"/>
      <c r="V289" s="147"/>
      <c r="W289" s="146"/>
    </row>
    <row r="290">
      <c r="A290" s="146"/>
      <c r="B290" s="146"/>
      <c r="C290" s="146"/>
      <c r="D290" s="147"/>
      <c r="E290" s="146"/>
      <c r="F290" s="146"/>
      <c r="G290" s="146"/>
      <c r="H290" s="147"/>
      <c r="I290" s="146"/>
      <c r="J290" s="148"/>
      <c r="K290" s="148"/>
      <c r="L290" s="148"/>
      <c r="M290" s="147"/>
      <c r="N290" s="146"/>
      <c r="O290" s="147"/>
      <c r="P290" s="147"/>
      <c r="Q290" s="147"/>
      <c r="R290" s="146"/>
      <c r="S290" s="146"/>
      <c r="T290" s="146"/>
      <c r="U290" s="146"/>
      <c r="V290" s="147"/>
      <c r="W290" s="146"/>
    </row>
    <row r="291">
      <c r="A291" s="146"/>
      <c r="B291" s="146"/>
      <c r="C291" s="146"/>
      <c r="D291" s="147"/>
      <c r="E291" s="146"/>
      <c r="F291" s="146"/>
      <c r="G291" s="146"/>
      <c r="H291" s="147"/>
      <c r="I291" s="146"/>
      <c r="J291" s="148"/>
      <c r="K291" s="148"/>
      <c r="L291" s="148"/>
      <c r="M291" s="147"/>
      <c r="N291" s="146"/>
      <c r="O291" s="147"/>
      <c r="P291" s="147"/>
      <c r="Q291" s="147"/>
      <c r="R291" s="146"/>
      <c r="S291" s="146"/>
      <c r="T291" s="146"/>
      <c r="U291" s="146"/>
      <c r="V291" s="147"/>
      <c r="W291" s="146"/>
    </row>
    <row r="292">
      <c r="A292" s="146"/>
      <c r="B292" s="146"/>
      <c r="C292" s="146"/>
      <c r="D292" s="147"/>
      <c r="E292" s="146"/>
      <c r="F292" s="146"/>
      <c r="G292" s="146"/>
      <c r="H292" s="147"/>
      <c r="I292" s="146"/>
      <c r="J292" s="148"/>
      <c r="K292" s="148"/>
      <c r="L292" s="148"/>
      <c r="M292" s="147"/>
      <c r="N292" s="146"/>
      <c r="O292" s="147"/>
      <c r="P292" s="147"/>
      <c r="Q292" s="147"/>
      <c r="R292" s="146"/>
      <c r="S292" s="146"/>
      <c r="T292" s="146"/>
      <c r="U292" s="146"/>
      <c r="V292" s="147"/>
      <c r="W292" s="146"/>
    </row>
    <row r="293">
      <c r="A293" s="146"/>
      <c r="B293" s="146"/>
      <c r="C293" s="146"/>
      <c r="D293" s="147"/>
      <c r="E293" s="146"/>
      <c r="F293" s="146"/>
      <c r="G293" s="146"/>
      <c r="H293" s="147"/>
      <c r="I293" s="146"/>
      <c r="J293" s="148"/>
      <c r="K293" s="148"/>
      <c r="L293" s="148"/>
      <c r="M293" s="147"/>
      <c r="N293" s="146"/>
      <c r="O293" s="147"/>
      <c r="P293" s="147"/>
      <c r="Q293" s="147"/>
      <c r="R293" s="146"/>
      <c r="S293" s="146"/>
      <c r="T293" s="146"/>
      <c r="U293" s="146"/>
      <c r="V293" s="147"/>
      <c r="W293" s="146"/>
    </row>
    <row r="294">
      <c r="A294" s="146"/>
      <c r="B294" s="146"/>
      <c r="C294" s="146"/>
      <c r="D294" s="147"/>
      <c r="E294" s="146"/>
      <c r="F294" s="146"/>
      <c r="G294" s="146"/>
      <c r="H294" s="147"/>
      <c r="I294" s="146"/>
      <c r="J294" s="148"/>
      <c r="K294" s="148"/>
      <c r="L294" s="148"/>
      <c r="M294" s="147"/>
      <c r="N294" s="146"/>
      <c r="O294" s="147"/>
      <c r="P294" s="147"/>
      <c r="Q294" s="147"/>
      <c r="R294" s="146"/>
      <c r="S294" s="146"/>
      <c r="T294" s="146"/>
      <c r="U294" s="146"/>
      <c r="V294" s="147"/>
      <c r="W294" s="146"/>
    </row>
    <row r="295">
      <c r="A295" s="146"/>
      <c r="B295" s="146"/>
      <c r="C295" s="146"/>
      <c r="D295" s="147"/>
      <c r="E295" s="146"/>
      <c r="F295" s="146"/>
      <c r="G295" s="146"/>
      <c r="H295" s="147"/>
      <c r="I295" s="146"/>
      <c r="J295" s="148"/>
      <c r="K295" s="148"/>
      <c r="L295" s="148"/>
      <c r="M295" s="147"/>
      <c r="N295" s="146"/>
      <c r="O295" s="147"/>
      <c r="P295" s="147"/>
      <c r="Q295" s="147"/>
      <c r="R295" s="146"/>
      <c r="S295" s="146"/>
      <c r="T295" s="146"/>
      <c r="U295" s="146"/>
      <c r="V295" s="147"/>
      <c r="W295" s="146"/>
    </row>
    <row r="296">
      <c r="A296" s="146"/>
      <c r="B296" s="146"/>
      <c r="C296" s="146"/>
      <c r="D296" s="147"/>
      <c r="E296" s="146"/>
      <c r="F296" s="146"/>
      <c r="G296" s="146"/>
      <c r="H296" s="147"/>
      <c r="I296" s="146"/>
      <c r="J296" s="148"/>
      <c r="K296" s="148"/>
      <c r="L296" s="148"/>
      <c r="M296" s="147"/>
      <c r="N296" s="146"/>
      <c r="O296" s="147"/>
      <c r="P296" s="147"/>
      <c r="Q296" s="147"/>
      <c r="R296" s="146"/>
      <c r="S296" s="146"/>
      <c r="T296" s="146"/>
      <c r="U296" s="146"/>
      <c r="V296" s="147"/>
      <c r="W296" s="146"/>
    </row>
    <row r="297">
      <c r="A297" s="146"/>
      <c r="B297" s="146"/>
      <c r="C297" s="146"/>
      <c r="D297" s="147"/>
      <c r="E297" s="146"/>
      <c r="F297" s="146"/>
      <c r="G297" s="146"/>
      <c r="H297" s="147"/>
      <c r="I297" s="146"/>
      <c r="J297" s="148"/>
      <c r="K297" s="148"/>
      <c r="L297" s="148"/>
      <c r="M297" s="147"/>
      <c r="N297" s="146"/>
      <c r="O297" s="147"/>
      <c r="P297" s="147"/>
      <c r="Q297" s="147"/>
      <c r="R297" s="146"/>
      <c r="S297" s="146"/>
      <c r="T297" s="146"/>
      <c r="U297" s="146"/>
      <c r="V297" s="147"/>
      <c r="W297" s="146"/>
    </row>
    <row r="298">
      <c r="A298" s="146"/>
      <c r="B298" s="146"/>
      <c r="C298" s="146"/>
      <c r="D298" s="147"/>
      <c r="E298" s="146"/>
      <c r="F298" s="146"/>
      <c r="G298" s="146"/>
      <c r="H298" s="147"/>
      <c r="I298" s="146"/>
      <c r="J298" s="148"/>
      <c r="K298" s="148"/>
      <c r="L298" s="148"/>
      <c r="M298" s="147"/>
      <c r="N298" s="146"/>
      <c r="O298" s="147"/>
      <c r="P298" s="147"/>
      <c r="Q298" s="147"/>
      <c r="R298" s="146"/>
      <c r="S298" s="146"/>
      <c r="T298" s="146"/>
      <c r="U298" s="146"/>
      <c r="V298" s="147"/>
      <c r="W298" s="146"/>
    </row>
    <row r="299">
      <c r="A299" s="146"/>
      <c r="B299" s="146"/>
      <c r="C299" s="146"/>
      <c r="D299" s="147"/>
      <c r="E299" s="146"/>
      <c r="F299" s="146"/>
      <c r="G299" s="146"/>
      <c r="H299" s="147"/>
      <c r="I299" s="146"/>
      <c r="J299" s="148"/>
      <c r="K299" s="148"/>
      <c r="L299" s="148"/>
      <c r="M299" s="147"/>
      <c r="N299" s="146"/>
      <c r="O299" s="147"/>
      <c r="P299" s="147"/>
      <c r="Q299" s="147"/>
      <c r="R299" s="146"/>
      <c r="S299" s="146"/>
      <c r="T299" s="146"/>
      <c r="U299" s="146"/>
      <c r="V299" s="147"/>
      <c r="W299" s="146"/>
    </row>
    <row r="300">
      <c r="A300" s="146"/>
      <c r="B300" s="146"/>
      <c r="C300" s="146"/>
      <c r="D300" s="147"/>
      <c r="E300" s="146"/>
      <c r="F300" s="146"/>
      <c r="G300" s="146"/>
      <c r="H300" s="147"/>
      <c r="I300" s="146"/>
      <c r="J300" s="148"/>
      <c r="K300" s="148"/>
      <c r="L300" s="148"/>
      <c r="M300" s="147"/>
      <c r="N300" s="146"/>
      <c r="O300" s="147"/>
      <c r="P300" s="147"/>
      <c r="Q300" s="147"/>
      <c r="R300" s="146"/>
      <c r="S300" s="146"/>
      <c r="T300" s="146"/>
      <c r="U300" s="146"/>
      <c r="V300" s="147"/>
      <c r="W300" s="146"/>
    </row>
    <row r="301">
      <c r="A301" s="146"/>
      <c r="B301" s="146"/>
      <c r="C301" s="146"/>
      <c r="D301" s="147"/>
      <c r="E301" s="146"/>
      <c r="F301" s="146"/>
      <c r="G301" s="146"/>
      <c r="H301" s="147"/>
      <c r="I301" s="146"/>
      <c r="J301" s="148"/>
      <c r="K301" s="148"/>
      <c r="L301" s="148"/>
      <c r="M301" s="147"/>
      <c r="N301" s="146"/>
      <c r="O301" s="147"/>
      <c r="P301" s="147"/>
      <c r="Q301" s="147"/>
      <c r="R301" s="146"/>
      <c r="S301" s="146"/>
      <c r="T301" s="146"/>
      <c r="U301" s="146"/>
      <c r="V301" s="147"/>
      <c r="W301" s="146"/>
    </row>
    <row r="302">
      <c r="A302" s="146"/>
      <c r="B302" s="146"/>
      <c r="C302" s="146"/>
      <c r="D302" s="147"/>
      <c r="E302" s="146"/>
      <c r="F302" s="146"/>
      <c r="G302" s="146"/>
      <c r="H302" s="147"/>
      <c r="I302" s="146"/>
      <c r="J302" s="148"/>
      <c r="K302" s="148"/>
      <c r="L302" s="148"/>
      <c r="M302" s="147"/>
      <c r="N302" s="146"/>
      <c r="O302" s="147"/>
      <c r="P302" s="147"/>
      <c r="Q302" s="147"/>
      <c r="R302" s="146"/>
      <c r="S302" s="146"/>
      <c r="T302" s="146"/>
      <c r="U302" s="146"/>
      <c r="V302" s="147"/>
      <c r="W302" s="146"/>
    </row>
    <row r="303">
      <c r="A303" s="146"/>
      <c r="B303" s="146"/>
      <c r="C303" s="146"/>
      <c r="D303" s="147"/>
      <c r="E303" s="146"/>
      <c r="F303" s="146"/>
      <c r="G303" s="146"/>
      <c r="H303" s="147"/>
      <c r="I303" s="146"/>
      <c r="J303" s="148"/>
      <c r="K303" s="148"/>
      <c r="L303" s="148"/>
      <c r="M303" s="147"/>
      <c r="N303" s="146"/>
      <c r="O303" s="147"/>
      <c r="P303" s="147"/>
      <c r="Q303" s="147"/>
      <c r="R303" s="146"/>
      <c r="S303" s="146"/>
      <c r="T303" s="146"/>
      <c r="U303" s="146"/>
      <c r="V303" s="147"/>
      <c r="W303" s="146"/>
    </row>
    <row r="304">
      <c r="A304" s="146"/>
      <c r="B304" s="146"/>
      <c r="C304" s="146"/>
      <c r="D304" s="147"/>
      <c r="E304" s="146"/>
      <c r="F304" s="146"/>
      <c r="G304" s="146"/>
      <c r="H304" s="147"/>
      <c r="I304" s="146"/>
      <c r="J304" s="148"/>
      <c r="K304" s="148"/>
      <c r="L304" s="148"/>
      <c r="M304" s="147"/>
      <c r="N304" s="146"/>
      <c r="O304" s="147"/>
      <c r="P304" s="147"/>
      <c r="Q304" s="147"/>
      <c r="R304" s="146"/>
      <c r="S304" s="146"/>
      <c r="T304" s="146"/>
      <c r="U304" s="146"/>
      <c r="V304" s="147"/>
      <c r="W304" s="146"/>
    </row>
    <row r="305">
      <c r="A305" s="146"/>
      <c r="B305" s="146"/>
      <c r="C305" s="146"/>
      <c r="D305" s="147"/>
      <c r="E305" s="146"/>
      <c r="F305" s="146"/>
      <c r="G305" s="146"/>
      <c r="H305" s="147"/>
      <c r="I305" s="146"/>
      <c r="J305" s="148"/>
      <c r="K305" s="148"/>
      <c r="L305" s="148"/>
      <c r="M305" s="147"/>
      <c r="N305" s="146"/>
      <c r="O305" s="147"/>
      <c r="P305" s="147"/>
      <c r="Q305" s="147"/>
      <c r="R305" s="146"/>
      <c r="S305" s="146"/>
      <c r="T305" s="146"/>
      <c r="U305" s="146"/>
      <c r="V305" s="147"/>
      <c r="W305" s="146"/>
    </row>
    <row r="306">
      <c r="A306" s="146"/>
      <c r="B306" s="146"/>
      <c r="C306" s="146"/>
      <c r="D306" s="147"/>
      <c r="E306" s="146"/>
      <c r="F306" s="146"/>
      <c r="G306" s="146"/>
      <c r="H306" s="147"/>
      <c r="I306" s="146"/>
      <c r="J306" s="148"/>
      <c r="K306" s="148"/>
      <c r="L306" s="148"/>
      <c r="M306" s="147"/>
      <c r="N306" s="146"/>
      <c r="O306" s="147"/>
      <c r="P306" s="147"/>
      <c r="Q306" s="147"/>
      <c r="R306" s="146"/>
      <c r="S306" s="146"/>
      <c r="T306" s="146"/>
      <c r="U306" s="146"/>
      <c r="V306" s="147"/>
      <c r="W306" s="146"/>
    </row>
    <row r="307">
      <c r="A307" s="146"/>
      <c r="B307" s="146"/>
      <c r="C307" s="146"/>
      <c r="D307" s="147"/>
      <c r="E307" s="146"/>
      <c r="F307" s="146"/>
      <c r="G307" s="146"/>
      <c r="H307" s="147"/>
      <c r="I307" s="146"/>
      <c r="J307" s="148"/>
      <c r="K307" s="148"/>
      <c r="L307" s="148"/>
      <c r="M307" s="147"/>
      <c r="N307" s="146"/>
      <c r="O307" s="147"/>
      <c r="P307" s="147"/>
      <c r="Q307" s="147"/>
      <c r="R307" s="146"/>
      <c r="S307" s="146"/>
      <c r="T307" s="146"/>
      <c r="U307" s="146"/>
      <c r="V307" s="147"/>
      <c r="W307" s="146"/>
    </row>
    <row r="308">
      <c r="A308" s="146"/>
      <c r="B308" s="146"/>
      <c r="C308" s="146"/>
      <c r="D308" s="147"/>
      <c r="E308" s="146"/>
      <c r="F308" s="146"/>
      <c r="G308" s="146"/>
      <c r="H308" s="147"/>
      <c r="I308" s="146"/>
      <c r="J308" s="148"/>
      <c r="K308" s="148"/>
      <c r="L308" s="148"/>
      <c r="M308" s="147"/>
      <c r="N308" s="146"/>
      <c r="O308" s="147"/>
      <c r="P308" s="147"/>
      <c r="Q308" s="147"/>
      <c r="R308" s="146"/>
      <c r="S308" s="146"/>
      <c r="T308" s="146"/>
      <c r="U308" s="146"/>
      <c r="V308" s="147"/>
      <c r="W308" s="146"/>
    </row>
    <row r="309">
      <c r="A309" s="146"/>
      <c r="B309" s="146"/>
      <c r="C309" s="146"/>
      <c r="D309" s="147"/>
      <c r="E309" s="146"/>
      <c r="F309" s="146"/>
      <c r="G309" s="146"/>
      <c r="H309" s="147"/>
      <c r="I309" s="146"/>
      <c r="J309" s="148"/>
      <c r="K309" s="148"/>
      <c r="L309" s="148"/>
      <c r="M309" s="147"/>
      <c r="N309" s="146"/>
      <c r="O309" s="147"/>
      <c r="P309" s="147"/>
      <c r="Q309" s="147"/>
      <c r="R309" s="146"/>
      <c r="S309" s="146"/>
      <c r="T309" s="146"/>
      <c r="U309" s="146"/>
      <c r="V309" s="147"/>
      <c r="W309" s="146"/>
    </row>
    <row r="310">
      <c r="A310" s="146"/>
      <c r="B310" s="146"/>
      <c r="C310" s="146"/>
      <c r="D310" s="147"/>
      <c r="E310" s="146"/>
      <c r="F310" s="146"/>
      <c r="G310" s="146"/>
      <c r="H310" s="147"/>
      <c r="I310" s="146"/>
      <c r="J310" s="148"/>
      <c r="K310" s="148"/>
      <c r="L310" s="148"/>
      <c r="M310" s="147"/>
      <c r="N310" s="146"/>
      <c r="O310" s="147"/>
      <c r="P310" s="147"/>
      <c r="Q310" s="147"/>
      <c r="R310" s="146"/>
      <c r="S310" s="146"/>
      <c r="T310" s="146"/>
      <c r="U310" s="146"/>
      <c r="V310" s="147"/>
      <c r="W310" s="146"/>
    </row>
    <row r="311">
      <c r="A311" s="146"/>
      <c r="B311" s="146"/>
      <c r="C311" s="146"/>
      <c r="D311" s="147"/>
      <c r="E311" s="146"/>
      <c r="F311" s="146"/>
      <c r="G311" s="146"/>
      <c r="H311" s="147"/>
      <c r="I311" s="146"/>
      <c r="J311" s="148"/>
      <c r="K311" s="148"/>
      <c r="L311" s="148"/>
      <c r="M311" s="147"/>
      <c r="N311" s="146"/>
      <c r="O311" s="147"/>
      <c r="P311" s="147"/>
      <c r="Q311" s="147"/>
      <c r="R311" s="146"/>
      <c r="S311" s="146"/>
      <c r="T311" s="146"/>
      <c r="U311" s="146"/>
      <c r="V311" s="147"/>
      <c r="W311" s="146"/>
    </row>
    <row r="312">
      <c r="A312" s="146"/>
      <c r="B312" s="146"/>
      <c r="C312" s="146"/>
      <c r="D312" s="147"/>
      <c r="E312" s="146"/>
      <c r="F312" s="146"/>
      <c r="G312" s="146"/>
      <c r="H312" s="147"/>
      <c r="I312" s="146"/>
      <c r="J312" s="148"/>
      <c r="K312" s="148"/>
      <c r="L312" s="148"/>
      <c r="M312" s="147"/>
      <c r="N312" s="146"/>
      <c r="O312" s="147"/>
      <c r="P312" s="147"/>
      <c r="Q312" s="147"/>
      <c r="R312" s="146"/>
      <c r="S312" s="146"/>
      <c r="T312" s="146"/>
      <c r="U312" s="146"/>
      <c r="V312" s="147"/>
      <c r="W312" s="146"/>
    </row>
    <row r="313">
      <c r="A313" s="146"/>
      <c r="B313" s="146"/>
      <c r="C313" s="146"/>
      <c r="D313" s="147"/>
      <c r="E313" s="146"/>
      <c r="F313" s="146"/>
      <c r="G313" s="146"/>
      <c r="H313" s="147"/>
      <c r="I313" s="146"/>
      <c r="J313" s="148"/>
      <c r="K313" s="148"/>
      <c r="L313" s="148"/>
      <c r="M313" s="147"/>
      <c r="N313" s="146"/>
      <c r="O313" s="147"/>
      <c r="P313" s="147"/>
      <c r="Q313" s="147"/>
      <c r="R313" s="146"/>
      <c r="S313" s="146"/>
      <c r="T313" s="146"/>
      <c r="U313" s="146"/>
      <c r="V313" s="147"/>
      <c r="W313" s="146"/>
    </row>
    <row r="314">
      <c r="A314" s="146"/>
      <c r="B314" s="146"/>
      <c r="C314" s="146"/>
      <c r="D314" s="147"/>
      <c r="E314" s="146"/>
      <c r="F314" s="146"/>
      <c r="G314" s="146"/>
      <c r="H314" s="147"/>
      <c r="I314" s="146"/>
      <c r="J314" s="148"/>
      <c r="K314" s="148"/>
      <c r="L314" s="148"/>
      <c r="M314" s="147"/>
      <c r="N314" s="146"/>
      <c r="O314" s="147"/>
      <c r="P314" s="147"/>
      <c r="Q314" s="147"/>
      <c r="R314" s="146"/>
      <c r="S314" s="146"/>
      <c r="T314" s="146"/>
      <c r="U314" s="146"/>
      <c r="V314" s="147"/>
      <c r="W314" s="146"/>
    </row>
    <row r="315">
      <c r="A315" s="146"/>
      <c r="B315" s="146"/>
      <c r="C315" s="146"/>
      <c r="D315" s="147"/>
      <c r="E315" s="146"/>
      <c r="F315" s="146"/>
      <c r="G315" s="146"/>
      <c r="H315" s="147"/>
      <c r="I315" s="146"/>
      <c r="J315" s="148"/>
      <c r="K315" s="148"/>
      <c r="L315" s="148"/>
      <c r="M315" s="147"/>
      <c r="N315" s="146"/>
      <c r="O315" s="147"/>
      <c r="P315" s="147"/>
      <c r="Q315" s="147"/>
      <c r="R315" s="146"/>
      <c r="S315" s="146"/>
      <c r="T315" s="146"/>
      <c r="U315" s="146"/>
      <c r="V315" s="147"/>
      <c r="W315" s="146"/>
    </row>
    <row r="316">
      <c r="A316" s="146"/>
      <c r="B316" s="146"/>
      <c r="C316" s="146"/>
      <c r="D316" s="147"/>
      <c r="E316" s="146"/>
      <c r="F316" s="146"/>
      <c r="G316" s="146"/>
      <c r="H316" s="147"/>
      <c r="I316" s="146"/>
      <c r="J316" s="148"/>
      <c r="K316" s="148"/>
      <c r="L316" s="148"/>
      <c r="M316" s="147"/>
      <c r="N316" s="146"/>
      <c r="O316" s="147"/>
      <c r="P316" s="147"/>
      <c r="Q316" s="147"/>
      <c r="R316" s="146"/>
      <c r="S316" s="146"/>
      <c r="T316" s="146"/>
      <c r="U316" s="146"/>
      <c r="V316" s="147"/>
      <c r="W316" s="146"/>
    </row>
    <row r="317">
      <c r="A317" s="146"/>
      <c r="B317" s="146"/>
      <c r="C317" s="146"/>
      <c r="D317" s="147"/>
      <c r="E317" s="146"/>
      <c r="F317" s="146"/>
      <c r="G317" s="146"/>
      <c r="H317" s="147"/>
      <c r="I317" s="146"/>
      <c r="J317" s="148"/>
      <c r="K317" s="148"/>
      <c r="L317" s="148"/>
      <c r="M317" s="147"/>
      <c r="N317" s="146"/>
      <c r="O317" s="147"/>
      <c r="P317" s="147"/>
      <c r="Q317" s="147"/>
      <c r="R317" s="146"/>
      <c r="S317" s="146"/>
      <c r="T317" s="146"/>
      <c r="U317" s="146"/>
      <c r="V317" s="147"/>
      <c r="W317" s="146"/>
    </row>
    <row r="318">
      <c r="A318" s="146"/>
      <c r="B318" s="146"/>
      <c r="C318" s="146"/>
      <c r="D318" s="147"/>
      <c r="E318" s="146"/>
      <c r="F318" s="146"/>
      <c r="G318" s="146"/>
      <c r="H318" s="147"/>
      <c r="I318" s="146"/>
      <c r="J318" s="148"/>
      <c r="K318" s="148"/>
      <c r="L318" s="148"/>
      <c r="M318" s="147"/>
      <c r="N318" s="146"/>
      <c r="O318" s="147"/>
      <c r="P318" s="147"/>
      <c r="Q318" s="147"/>
      <c r="R318" s="146"/>
      <c r="S318" s="146"/>
      <c r="T318" s="146"/>
      <c r="U318" s="146"/>
      <c r="V318" s="147"/>
      <c r="W318" s="146"/>
    </row>
    <row r="319">
      <c r="A319" s="146"/>
      <c r="B319" s="146"/>
      <c r="C319" s="146"/>
      <c r="D319" s="147"/>
      <c r="E319" s="146"/>
      <c r="F319" s="146"/>
      <c r="G319" s="146"/>
      <c r="H319" s="147"/>
      <c r="I319" s="146"/>
      <c r="J319" s="148"/>
      <c r="K319" s="148"/>
      <c r="L319" s="148"/>
      <c r="M319" s="147"/>
      <c r="N319" s="146"/>
      <c r="O319" s="147"/>
      <c r="P319" s="147"/>
      <c r="Q319" s="147"/>
      <c r="R319" s="146"/>
      <c r="S319" s="146"/>
      <c r="T319" s="146"/>
      <c r="U319" s="146"/>
      <c r="V319" s="147"/>
      <c r="W319" s="146"/>
    </row>
    <row r="320">
      <c r="A320" s="146"/>
      <c r="B320" s="146"/>
      <c r="C320" s="146"/>
      <c r="D320" s="147"/>
      <c r="E320" s="146"/>
      <c r="F320" s="146"/>
      <c r="G320" s="146"/>
      <c r="H320" s="147"/>
      <c r="I320" s="146"/>
      <c r="J320" s="148"/>
      <c r="K320" s="148"/>
      <c r="L320" s="148"/>
      <c r="M320" s="147"/>
      <c r="N320" s="146"/>
      <c r="O320" s="147"/>
      <c r="P320" s="147"/>
      <c r="Q320" s="147"/>
      <c r="R320" s="146"/>
      <c r="S320" s="146"/>
      <c r="T320" s="146"/>
      <c r="U320" s="146"/>
      <c r="V320" s="147"/>
      <c r="W320" s="146"/>
    </row>
    <row r="321">
      <c r="A321" s="146"/>
      <c r="B321" s="146"/>
      <c r="C321" s="146"/>
      <c r="D321" s="147"/>
      <c r="E321" s="146"/>
      <c r="F321" s="146"/>
      <c r="G321" s="146"/>
      <c r="H321" s="147"/>
      <c r="I321" s="146"/>
      <c r="J321" s="148"/>
      <c r="K321" s="148"/>
      <c r="L321" s="148"/>
      <c r="M321" s="147"/>
      <c r="N321" s="146"/>
      <c r="O321" s="147"/>
      <c r="P321" s="147"/>
      <c r="Q321" s="147"/>
      <c r="R321" s="146"/>
      <c r="S321" s="146"/>
      <c r="T321" s="146"/>
      <c r="U321" s="146"/>
      <c r="V321" s="147"/>
      <c r="W321" s="146"/>
    </row>
    <row r="322">
      <c r="A322" s="146"/>
      <c r="B322" s="146"/>
      <c r="C322" s="146"/>
      <c r="D322" s="147"/>
      <c r="E322" s="146"/>
      <c r="F322" s="146"/>
      <c r="G322" s="146"/>
      <c r="H322" s="147"/>
      <c r="I322" s="146"/>
      <c r="J322" s="148"/>
      <c r="K322" s="148"/>
      <c r="L322" s="148"/>
      <c r="M322" s="147"/>
      <c r="N322" s="146"/>
      <c r="O322" s="147"/>
      <c r="P322" s="147"/>
      <c r="Q322" s="147"/>
      <c r="R322" s="146"/>
      <c r="S322" s="146"/>
      <c r="T322" s="146"/>
      <c r="U322" s="146"/>
      <c r="V322" s="147"/>
      <c r="W322" s="146"/>
    </row>
    <row r="323">
      <c r="A323" s="146"/>
      <c r="B323" s="146"/>
      <c r="C323" s="146"/>
      <c r="D323" s="147"/>
      <c r="E323" s="146"/>
      <c r="F323" s="146"/>
      <c r="G323" s="146"/>
      <c r="H323" s="147"/>
      <c r="I323" s="146"/>
      <c r="J323" s="148"/>
      <c r="K323" s="148"/>
      <c r="L323" s="148"/>
      <c r="M323" s="147"/>
      <c r="N323" s="146"/>
      <c r="O323" s="147"/>
      <c r="P323" s="147"/>
      <c r="Q323" s="147"/>
      <c r="R323" s="146"/>
      <c r="S323" s="146"/>
      <c r="T323" s="146"/>
      <c r="U323" s="146"/>
      <c r="V323" s="147"/>
      <c r="W323" s="146"/>
    </row>
    <row r="324">
      <c r="A324" s="146"/>
      <c r="B324" s="146"/>
      <c r="C324" s="146"/>
      <c r="D324" s="147"/>
      <c r="E324" s="146"/>
      <c r="F324" s="146"/>
      <c r="G324" s="146"/>
      <c r="H324" s="147"/>
      <c r="I324" s="146"/>
      <c r="J324" s="148"/>
      <c r="K324" s="148"/>
      <c r="L324" s="148"/>
      <c r="M324" s="147"/>
      <c r="N324" s="146"/>
      <c r="O324" s="147"/>
      <c r="P324" s="147"/>
      <c r="Q324" s="147"/>
      <c r="R324" s="146"/>
      <c r="S324" s="146"/>
      <c r="T324" s="146"/>
      <c r="U324" s="146"/>
      <c r="V324" s="147"/>
      <c r="W324" s="146"/>
    </row>
    <row r="325">
      <c r="A325" s="146"/>
      <c r="B325" s="146"/>
      <c r="C325" s="146"/>
      <c r="D325" s="147"/>
      <c r="E325" s="146"/>
      <c r="F325" s="146"/>
      <c r="G325" s="146"/>
      <c r="H325" s="147"/>
      <c r="I325" s="146"/>
      <c r="J325" s="148"/>
      <c r="K325" s="148"/>
      <c r="L325" s="148"/>
      <c r="M325" s="147"/>
      <c r="N325" s="146"/>
      <c r="O325" s="147"/>
      <c r="P325" s="147"/>
      <c r="Q325" s="147"/>
      <c r="R325" s="146"/>
      <c r="S325" s="146"/>
      <c r="T325" s="146"/>
      <c r="U325" s="146"/>
      <c r="V325" s="147"/>
      <c r="W325" s="146"/>
    </row>
    <row r="326">
      <c r="A326" s="146"/>
      <c r="B326" s="146"/>
      <c r="C326" s="146"/>
      <c r="D326" s="147"/>
      <c r="E326" s="146"/>
      <c r="F326" s="146"/>
      <c r="G326" s="146"/>
      <c r="H326" s="147"/>
      <c r="I326" s="146"/>
      <c r="J326" s="148"/>
      <c r="K326" s="148"/>
      <c r="L326" s="148"/>
      <c r="M326" s="147"/>
      <c r="N326" s="146"/>
      <c r="O326" s="147"/>
      <c r="P326" s="147"/>
      <c r="Q326" s="147"/>
      <c r="R326" s="146"/>
      <c r="S326" s="146"/>
      <c r="T326" s="146"/>
      <c r="U326" s="146"/>
      <c r="V326" s="147"/>
      <c r="W326" s="146"/>
    </row>
    <row r="327">
      <c r="A327" s="146"/>
      <c r="B327" s="146"/>
      <c r="C327" s="146"/>
      <c r="D327" s="147"/>
      <c r="E327" s="146"/>
      <c r="F327" s="146"/>
      <c r="G327" s="146"/>
      <c r="H327" s="147"/>
      <c r="I327" s="146"/>
      <c r="J327" s="148"/>
      <c r="K327" s="148"/>
      <c r="L327" s="148"/>
      <c r="M327" s="147"/>
      <c r="N327" s="146"/>
      <c r="O327" s="147"/>
      <c r="P327" s="147"/>
      <c r="Q327" s="147"/>
      <c r="R327" s="146"/>
      <c r="S327" s="146"/>
      <c r="T327" s="146"/>
      <c r="U327" s="146"/>
      <c r="V327" s="147"/>
      <c r="W327" s="146"/>
    </row>
    <row r="328">
      <c r="A328" s="146"/>
      <c r="B328" s="146"/>
      <c r="C328" s="146"/>
      <c r="D328" s="147"/>
      <c r="E328" s="146"/>
      <c r="F328" s="146"/>
      <c r="G328" s="146"/>
      <c r="H328" s="147"/>
      <c r="I328" s="146"/>
      <c r="J328" s="148"/>
      <c r="K328" s="148"/>
      <c r="L328" s="148"/>
      <c r="M328" s="147"/>
      <c r="N328" s="146"/>
      <c r="O328" s="147"/>
      <c r="P328" s="147"/>
      <c r="Q328" s="147"/>
      <c r="R328" s="146"/>
      <c r="S328" s="146"/>
      <c r="T328" s="146"/>
      <c r="U328" s="146"/>
      <c r="V328" s="147"/>
      <c r="W328" s="146"/>
    </row>
    <row r="329">
      <c r="A329" s="146"/>
      <c r="B329" s="146"/>
      <c r="C329" s="146"/>
      <c r="D329" s="147"/>
      <c r="E329" s="146"/>
      <c r="F329" s="146"/>
      <c r="G329" s="146"/>
      <c r="H329" s="147"/>
      <c r="I329" s="146"/>
      <c r="J329" s="148"/>
      <c r="K329" s="148"/>
      <c r="L329" s="148"/>
      <c r="M329" s="147"/>
      <c r="N329" s="146"/>
      <c r="O329" s="147"/>
      <c r="P329" s="147"/>
      <c r="Q329" s="147"/>
      <c r="R329" s="146"/>
      <c r="S329" s="146"/>
      <c r="T329" s="146"/>
      <c r="U329" s="146"/>
      <c r="V329" s="147"/>
      <c r="W329" s="146"/>
    </row>
    <row r="330">
      <c r="A330" s="146"/>
      <c r="B330" s="146"/>
      <c r="C330" s="146"/>
      <c r="D330" s="147"/>
      <c r="E330" s="146"/>
      <c r="F330" s="146"/>
      <c r="G330" s="146"/>
      <c r="H330" s="147"/>
      <c r="I330" s="146"/>
      <c r="J330" s="148"/>
      <c r="K330" s="148"/>
      <c r="L330" s="148"/>
      <c r="M330" s="147"/>
      <c r="N330" s="146"/>
      <c r="O330" s="147"/>
      <c r="P330" s="147"/>
      <c r="Q330" s="147"/>
      <c r="R330" s="146"/>
      <c r="S330" s="146"/>
      <c r="T330" s="146"/>
      <c r="U330" s="146"/>
      <c r="V330" s="147"/>
      <c r="W330" s="146"/>
    </row>
    <row r="331">
      <c r="A331" s="146"/>
      <c r="B331" s="146"/>
      <c r="C331" s="146"/>
      <c r="D331" s="147"/>
      <c r="E331" s="146"/>
      <c r="F331" s="146"/>
      <c r="G331" s="146"/>
      <c r="H331" s="147"/>
      <c r="I331" s="146"/>
      <c r="J331" s="148"/>
      <c r="K331" s="148"/>
      <c r="L331" s="148"/>
      <c r="M331" s="147"/>
      <c r="N331" s="146"/>
      <c r="O331" s="147"/>
      <c r="P331" s="147"/>
      <c r="Q331" s="147"/>
      <c r="R331" s="146"/>
      <c r="S331" s="146"/>
      <c r="T331" s="146"/>
      <c r="U331" s="146"/>
      <c r="V331" s="147"/>
      <c r="W331" s="146"/>
    </row>
    <row r="332">
      <c r="A332" s="146"/>
      <c r="B332" s="146"/>
      <c r="C332" s="146"/>
      <c r="D332" s="147"/>
      <c r="E332" s="146"/>
      <c r="F332" s="146"/>
      <c r="G332" s="146"/>
      <c r="H332" s="147"/>
      <c r="I332" s="146"/>
      <c r="J332" s="148"/>
      <c r="K332" s="148"/>
      <c r="L332" s="148"/>
      <c r="M332" s="147"/>
      <c r="N332" s="146"/>
      <c r="O332" s="147"/>
      <c r="P332" s="147"/>
      <c r="Q332" s="147"/>
      <c r="R332" s="146"/>
      <c r="S332" s="146"/>
      <c r="T332" s="146"/>
      <c r="U332" s="146"/>
      <c r="V332" s="147"/>
      <c r="W332" s="146"/>
    </row>
    <row r="333">
      <c r="A333" s="146"/>
      <c r="B333" s="146"/>
      <c r="C333" s="146"/>
      <c r="D333" s="147"/>
      <c r="E333" s="146"/>
      <c r="F333" s="146"/>
      <c r="G333" s="146"/>
      <c r="H333" s="147"/>
      <c r="I333" s="146"/>
      <c r="J333" s="148"/>
      <c r="K333" s="148"/>
      <c r="L333" s="148"/>
      <c r="M333" s="147"/>
      <c r="N333" s="146"/>
      <c r="O333" s="147"/>
      <c r="P333" s="147"/>
      <c r="Q333" s="147"/>
      <c r="R333" s="146"/>
      <c r="S333" s="146"/>
      <c r="T333" s="146"/>
      <c r="U333" s="146"/>
      <c r="V333" s="147"/>
      <c r="W333" s="146"/>
    </row>
    <row r="334">
      <c r="A334" s="146"/>
      <c r="B334" s="146"/>
      <c r="C334" s="146"/>
      <c r="D334" s="147"/>
      <c r="E334" s="146"/>
      <c r="F334" s="146"/>
      <c r="G334" s="146"/>
      <c r="H334" s="147"/>
      <c r="I334" s="146"/>
      <c r="J334" s="148"/>
      <c r="K334" s="148"/>
      <c r="L334" s="148"/>
      <c r="M334" s="147"/>
      <c r="N334" s="146"/>
      <c r="O334" s="147"/>
      <c r="P334" s="147"/>
      <c r="Q334" s="147"/>
      <c r="R334" s="146"/>
      <c r="S334" s="146"/>
      <c r="T334" s="146"/>
      <c r="U334" s="146"/>
      <c r="V334" s="147"/>
      <c r="W334" s="146"/>
    </row>
    <row r="335">
      <c r="A335" s="146"/>
      <c r="B335" s="146"/>
      <c r="C335" s="146"/>
      <c r="D335" s="147"/>
      <c r="E335" s="146"/>
      <c r="F335" s="146"/>
      <c r="G335" s="146"/>
      <c r="H335" s="147"/>
      <c r="I335" s="146"/>
      <c r="J335" s="148"/>
      <c r="K335" s="148"/>
      <c r="L335" s="148"/>
      <c r="M335" s="147"/>
      <c r="N335" s="146"/>
      <c r="O335" s="147"/>
      <c r="P335" s="147"/>
      <c r="Q335" s="147"/>
      <c r="R335" s="146"/>
      <c r="S335" s="146"/>
      <c r="T335" s="146"/>
      <c r="U335" s="146"/>
      <c r="V335" s="147"/>
      <c r="W335" s="146"/>
    </row>
    <row r="336">
      <c r="A336" s="146"/>
      <c r="B336" s="146"/>
      <c r="C336" s="146"/>
      <c r="D336" s="147"/>
      <c r="E336" s="146"/>
      <c r="F336" s="146"/>
      <c r="G336" s="146"/>
      <c r="H336" s="147"/>
      <c r="I336" s="146"/>
      <c r="J336" s="148"/>
      <c r="K336" s="148"/>
      <c r="L336" s="148"/>
      <c r="M336" s="147"/>
      <c r="N336" s="146"/>
      <c r="O336" s="147"/>
      <c r="P336" s="147"/>
      <c r="Q336" s="147"/>
      <c r="R336" s="146"/>
      <c r="S336" s="146"/>
      <c r="T336" s="146"/>
      <c r="U336" s="146"/>
      <c r="V336" s="147"/>
      <c r="W336" s="146"/>
    </row>
    <row r="337">
      <c r="A337" s="146"/>
      <c r="B337" s="146"/>
      <c r="C337" s="146"/>
      <c r="D337" s="147"/>
      <c r="E337" s="146"/>
      <c r="F337" s="146"/>
      <c r="G337" s="146"/>
      <c r="H337" s="147"/>
      <c r="I337" s="146"/>
      <c r="J337" s="148"/>
      <c r="K337" s="148"/>
      <c r="L337" s="148"/>
      <c r="M337" s="147"/>
      <c r="N337" s="146"/>
      <c r="O337" s="147"/>
      <c r="P337" s="147"/>
      <c r="Q337" s="147"/>
      <c r="R337" s="146"/>
      <c r="S337" s="146"/>
      <c r="T337" s="146"/>
      <c r="U337" s="146"/>
      <c r="V337" s="147"/>
      <c r="W337" s="146"/>
    </row>
    <row r="338">
      <c r="A338" s="146"/>
      <c r="B338" s="146"/>
      <c r="C338" s="146"/>
      <c r="D338" s="147"/>
      <c r="E338" s="146"/>
      <c r="F338" s="146"/>
      <c r="G338" s="146"/>
      <c r="H338" s="147"/>
      <c r="I338" s="146"/>
      <c r="J338" s="148"/>
      <c r="K338" s="148"/>
      <c r="L338" s="148"/>
      <c r="M338" s="147"/>
      <c r="N338" s="146"/>
      <c r="O338" s="147"/>
      <c r="P338" s="147"/>
      <c r="Q338" s="147"/>
      <c r="R338" s="146"/>
      <c r="S338" s="146"/>
      <c r="T338" s="146"/>
      <c r="U338" s="146"/>
      <c r="V338" s="147"/>
      <c r="W338" s="146"/>
    </row>
    <row r="339">
      <c r="A339" s="146"/>
      <c r="B339" s="146"/>
      <c r="C339" s="146"/>
      <c r="D339" s="147"/>
      <c r="E339" s="146"/>
      <c r="F339" s="146"/>
      <c r="G339" s="146"/>
      <c r="H339" s="147"/>
      <c r="I339" s="146"/>
      <c r="J339" s="148"/>
      <c r="K339" s="148"/>
      <c r="L339" s="148"/>
      <c r="M339" s="147"/>
      <c r="N339" s="146"/>
      <c r="O339" s="147"/>
      <c r="P339" s="147"/>
      <c r="Q339" s="147"/>
      <c r="R339" s="146"/>
      <c r="S339" s="146"/>
      <c r="T339" s="146"/>
      <c r="U339" s="146"/>
      <c r="V339" s="147"/>
      <c r="W339" s="146"/>
    </row>
    <row r="340">
      <c r="A340" s="146"/>
      <c r="B340" s="146"/>
      <c r="C340" s="146"/>
      <c r="D340" s="147"/>
      <c r="E340" s="146"/>
      <c r="F340" s="146"/>
      <c r="G340" s="146"/>
      <c r="H340" s="147"/>
      <c r="I340" s="146"/>
      <c r="J340" s="148"/>
      <c r="K340" s="148"/>
      <c r="L340" s="148"/>
      <c r="M340" s="147"/>
      <c r="N340" s="146"/>
      <c r="O340" s="147"/>
      <c r="P340" s="147"/>
      <c r="Q340" s="147"/>
      <c r="R340" s="146"/>
      <c r="S340" s="146"/>
      <c r="T340" s="146"/>
      <c r="U340" s="146"/>
      <c r="V340" s="147"/>
      <c r="W340" s="146"/>
    </row>
    <row r="341">
      <c r="A341" s="146"/>
      <c r="B341" s="146"/>
      <c r="C341" s="146"/>
      <c r="D341" s="147"/>
      <c r="E341" s="146"/>
      <c r="F341" s="146"/>
      <c r="G341" s="146"/>
      <c r="H341" s="147"/>
      <c r="I341" s="146"/>
      <c r="J341" s="148"/>
      <c r="K341" s="148"/>
      <c r="L341" s="148"/>
      <c r="M341" s="147"/>
      <c r="N341" s="146"/>
      <c r="O341" s="147"/>
      <c r="P341" s="147"/>
      <c r="Q341" s="147"/>
      <c r="R341" s="146"/>
      <c r="S341" s="146"/>
      <c r="T341" s="146"/>
      <c r="U341" s="146"/>
      <c r="V341" s="147"/>
      <c r="W341" s="146"/>
    </row>
    <row r="342">
      <c r="A342" s="146"/>
      <c r="B342" s="146"/>
      <c r="C342" s="146"/>
      <c r="D342" s="147"/>
      <c r="E342" s="146"/>
      <c r="F342" s="146"/>
      <c r="G342" s="146"/>
      <c r="H342" s="147"/>
      <c r="I342" s="146"/>
      <c r="J342" s="148"/>
      <c r="K342" s="148"/>
      <c r="L342" s="148"/>
      <c r="M342" s="147"/>
      <c r="N342" s="146"/>
      <c r="O342" s="147"/>
      <c r="P342" s="147"/>
      <c r="Q342" s="147"/>
      <c r="R342" s="146"/>
      <c r="S342" s="146"/>
      <c r="T342" s="146"/>
      <c r="U342" s="146"/>
      <c r="V342" s="147"/>
      <c r="W342" s="146"/>
    </row>
    <row r="343">
      <c r="A343" s="146"/>
      <c r="B343" s="146"/>
      <c r="C343" s="146"/>
      <c r="D343" s="147"/>
      <c r="E343" s="146"/>
      <c r="F343" s="146"/>
      <c r="G343" s="146"/>
      <c r="H343" s="147"/>
      <c r="I343" s="146"/>
      <c r="J343" s="148"/>
      <c r="K343" s="148"/>
      <c r="L343" s="148"/>
      <c r="M343" s="147"/>
      <c r="N343" s="146"/>
      <c r="O343" s="147"/>
      <c r="P343" s="147"/>
      <c r="Q343" s="147"/>
      <c r="R343" s="146"/>
      <c r="S343" s="146"/>
      <c r="T343" s="146"/>
      <c r="U343" s="146"/>
      <c r="V343" s="147"/>
      <c r="W343" s="146"/>
    </row>
    <row r="344">
      <c r="A344" s="146"/>
      <c r="B344" s="146"/>
      <c r="C344" s="146"/>
      <c r="D344" s="147"/>
      <c r="E344" s="146"/>
      <c r="F344" s="146"/>
      <c r="G344" s="146"/>
      <c r="H344" s="147"/>
      <c r="I344" s="146"/>
      <c r="J344" s="148"/>
      <c r="K344" s="148"/>
      <c r="L344" s="148"/>
      <c r="M344" s="147"/>
      <c r="N344" s="146"/>
      <c r="O344" s="147"/>
      <c r="P344" s="147"/>
      <c r="Q344" s="147"/>
      <c r="R344" s="146"/>
      <c r="S344" s="146"/>
      <c r="T344" s="146"/>
      <c r="U344" s="146"/>
      <c r="V344" s="147"/>
      <c r="W344" s="146"/>
    </row>
    <row r="345">
      <c r="A345" s="146"/>
      <c r="B345" s="146"/>
      <c r="C345" s="146"/>
      <c r="D345" s="147"/>
      <c r="E345" s="146"/>
      <c r="F345" s="146"/>
      <c r="G345" s="146"/>
      <c r="H345" s="147"/>
      <c r="I345" s="146"/>
      <c r="J345" s="148"/>
      <c r="K345" s="148"/>
      <c r="L345" s="148"/>
      <c r="M345" s="147"/>
      <c r="N345" s="146"/>
      <c r="O345" s="147"/>
      <c r="P345" s="147"/>
      <c r="Q345" s="147"/>
      <c r="R345" s="146"/>
      <c r="S345" s="146"/>
      <c r="T345" s="146"/>
      <c r="U345" s="146"/>
      <c r="V345" s="147"/>
      <c r="W345" s="146"/>
    </row>
    <row r="346">
      <c r="A346" s="146"/>
      <c r="B346" s="146"/>
      <c r="C346" s="146"/>
      <c r="D346" s="147"/>
      <c r="E346" s="146"/>
      <c r="F346" s="146"/>
      <c r="G346" s="146"/>
      <c r="H346" s="147"/>
      <c r="I346" s="146"/>
      <c r="J346" s="148"/>
      <c r="K346" s="148"/>
      <c r="L346" s="148"/>
      <c r="M346" s="147"/>
      <c r="N346" s="146"/>
      <c r="O346" s="147"/>
      <c r="P346" s="147"/>
      <c r="Q346" s="147"/>
      <c r="R346" s="146"/>
      <c r="S346" s="146"/>
      <c r="T346" s="146"/>
      <c r="U346" s="146"/>
      <c r="V346" s="147"/>
      <c r="W346" s="146"/>
    </row>
    <row r="347">
      <c r="A347" s="146"/>
      <c r="B347" s="146"/>
      <c r="C347" s="146"/>
      <c r="D347" s="147"/>
      <c r="E347" s="146"/>
      <c r="F347" s="146"/>
      <c r="G347" s="146"/>
      <c r="H347" s="147"/>
      <c r="I347" s="146"/>
      <c r="J347" s="148"/>
      <c r="K347" s="148"/>
      <c r="L347" s="148"/>
      <c r="M347" s="147"/>
      <c r="N347" s="146"/>
      <c r="O347" s="147"/>
      <c r="P347" s="147"/>
      <c r="Q347" s="147"/>
      <c r="R347" s="146"/>
      <c r="S347" s="146"/>
      <c r="T347" s="146"/>
      <c r="U347" s="146"/>
      <c r="V347" s="147"/>
      <c r="W347" s="146"/>
    </row>
    <row r="348">
      <c r="A348" s="146"/>
      <c r="B348" s="146"/>
      <c r="C348" s="146"/>
      <c r="D348" s="147"/>
      <c r="E348" s="146"/>
      <c r="F348" s="146"/>
      <c r="G348" s="146"/>
      <c r="H348" s="147"/>
      <c r="I348" s="146"/>
      <c r="J348" s="148"/>
      <c r="K348" s="148"/>
      <c r="L348" s="148"/>
      <c r="M348" s="147"/>
      <c r="N348" s="146"/>
      <c r="O348" s="147"/>
      <c r="P348" s="147"/>
      <c r="Q348" s="147"/>
      <c r="R348" s="146"/>
      <c r="S348" s="146"/>
      <c r="T348" s="146"/>
      <c r="U348" s="146"/>
      <c r="V348" s="147"/>
      <c r="W348" s="146"/>
    </row>
    <row r="349">
      <c r="A349" s="146"/>
      <c r="B349" s="146"/>
      <c r="C349" s="146"/>
      <c r="D349" s="147"/>
      <c r="E349" s="146"/>
      <c r="F349" s="146"/>
      <c r="G349" s="146"/>
      <c r="H349" s="147"/>
      <c r="I349" s="146"/>
      <c r="J349" s="148"/>
      <c r="K349" s="148"/>
      <c r="L349" s="148"/>
      <c r="M349" s="147"/>
      <c r="N349" s="146"/>
      <c r="O349" s="147"/>
      <c r="P349" s="147"/>
      <c r="Q349" s="147"/>
      <c r="R349" s="146"/>
      <c r="S349" s="146"/>
      <c r="T349" s="146"/>
      <c r="U349" s="146"/>
      <c r="V349" s="147"/>
      <c r="W349" s="146"/>
    </row>
    <row r="350">
      <c r="A350" s="146"/>
      <c r="B350" s="146"/>
      <c r="C350" s="146"/>
      <c r="D350" s="147"/>
      <c r="E350" s="146"/>
      <c r="F350" s="146"/>
      <c r="G350" s="146"/>
      <c r="H350" s="147"/>
      <c r="I350" s="146"/>
      <c r="J350" s="148"/>
      <c r="K350" s="148"/>
      <c r="L350" s="148"/>
      <c r="M350" s="147"/>
      <c r="N350" s="146"/>
      <c r="O350" s="147"/>
      <c r="P350" s="147"/>
      <c r="Q350" s="147"/>
      <c r="R350" s="146"/>
      <c r="S350" s="146"/>
      <c r="T350" s="146"/>
      <c r="U350" s="146"/>
      <c r="V350" s="147"/>
      <c r="W350" s="146"/>
    </row>
    <row r="351">
      <c r="A351" s="146"/>
      <c r="B351" s="146"/>
      <c r="C351" s="146"/>
      <c r="D351" s="147"/>
      <c r="E351" s="146"/>
      <c r="F351" s="146"/>
      <c r="G351" s="146"/>
      <c r="H351" s="147"/>
      <c r="I351" s="146"/>
      <c r="J351" s="148"/>
      <c r="K351" s="148"/>
      <c r="L351" s="148"/>
      <c r="M351" s="147"/>
      <c r="N351" s="146"/>
      <c r="O351" s="147"/>
      <c r="P351" s="147"/>
      <c r="Q351" s="147"/>
      <c r="R351" s="146"/>
      <c r="S351" s="146"/>
      <c r="T351" s="146"/>
      <c r="U351" s="146"/>
      <c r="V351" s="147"/>
      <c r="W351" s="146"/>
    </row>
    <row r="352">
      <c r="A352" s="146"/>
      <c r="B352" s="146"/>
      <c r="C352" s="146"/>
      <c r="D352" s="147"/>
      <c r="E352" s="146"/>
      <c r="F352" s="146"/>
      <c r="G352" s="146"/>
      <c r="H352" s="147"/>
      <c r="I352" s="146"/>
      <c r="J352" s="148"/>
      <c r="K352" s="148"/>
      <c r="L352" s="148"/>
      <c r="M352" s="147"/>
      <c r="N352" s="146"/>
      <c r="O352" s="147"/>
      <c r="P352" s="147"/>
      <c r="Q352" s="147"/>
      <c r="R352" s="146"/>
      <c r="S352" s="146"/>
      <c r="T352" s="146"/>
      <c r="U352" s="146"/>
      <c r="V352" s="147"/>
      <c r="W352" s="146"/>
    </row>
    <row r="353">
      <c r="A353" s="146"/>
      <c r="B353" s="146"/>
      <c r="C353" s="146"/>
      <c r="D353" s="147"/>
      <c r="E353" s="146"/>
      <c r="F353" s="146"/>
      <c r="G353" s="146"/>
      <c r="H353" s="147"/>
      <c r="I353" s="146"/>
      <c r="J353" s="148"/>
      <c r="K353" s="148"/>
      <c r="L353" s="148"/>
      <c r="M353" s="147"/>
      <c r="N353" s="146"/>
      <c r="O353" s="147"/>
      <c r="P353" s="147"/>
      <c r="Q353" s="147"/>
      <c r="R353" s="146"/>
      <c r="S353" s="146"/>
      <c r="T353" s="146"/>
      <c r="U353" s="146"/>
      <c r="V353" s="147"/>
      <c r="W353" s="146"/>
    </row>
    <row r="354">
      <c r="A354" s="146"/>
      <c r="B354" s="146"/>
      <c r="C354" s="146"/>
      <c r="D354" s="147"/>
      <c r="E354" s="146"/>
      <c r="F354" s="146"/>
      <c r="G354" s="146"/>
      <c r="H354" s="147"/>
      <c r="I354" s="146"/>
      <c r="J354" s="148"/>
      <c r="K354" s="148"/>
      <c r="L354" s="148"/>
      <c r="M354" s="147"/>
      <c r="N354" s="146"/>
      <c r="O354" s="147"/>
      <c r="P354" s="147"/>
      <c r="Q354" s="147"/>
      <c r="R354" s="146"/>
      <c r="S354" s="146"/>
      <c r="T354" s="146"/>
      <c r="U354" s="146"/>
      <c r="V354" s="147"/>
      <c r="W354" s="146"/>
    </row>
    <row r="355">
      <c r="A355" s="146"/>
      <c r="B355" s="146"/>
      <c r="C355" s="146"/>
      <c r="D355" s="147"/>
      <c r="E355" s="146"/>
      <c r="F355" s="146"/>
      <c r="G355" s="146"/>
      <c r="H355" s="147"/>
      <c r="I355" s="146"/>
      <c r="J355" s="148"/>
      <c r="K355" s="148"/>
      <c r="L355" s="148"/>
      <c r="M355" s="147"/>
      <c r="N355" s="146"/>
      <c r="O355" s="147"/>
      <c r="P355" s="147"/>
      <c r="Q355" s="147"/>
      <c r="R355" s="146"/>
      <c r="S355" s="146"/>
      <c r="T355" s="146"/>
      <c r="U355" s="146"/>
      <c r="V355" s="147"/>
      <c r="W355" s="146"/>
    </row>
    <row r="356">
      <c r="A356" s="146"/>
      <c r="B356" s="146"/>
      <c r="C356" s="146"/>
      <c r="D356" s="147"/>
      <c r="E356" s="146"/>
      <c r="F356" s="146"/>
      <c r="G356" s="146"/>
      <c r="H356" s="147"/>
      <c r="I356" s="146"/>
      <c r="J356" s="148"/>
      <c r="K356" s="148"/>
      <c r="L356" s="148"/>
      <c r="M356" s="147"/>
      <c r="N356" s="146"/>
      <c r="O356" s="147"/>
      <c r="P356" s="147"/>
      <c r="Q356" s="147"/>
      <c r="R356" s="146"/>
      <c r="S356" s="146"/>
      <c r="T356" s="146"/>
      <c r="U356" s="146"/>
      <c r="V356" s="147"/>
      <c r="W356" s="146"/>
    </row>
    <row r="357">
      <c r="A357" s="146"/>
      <c r="B357" s="146"/>
      <c r="C357" s="146"/>
      <c r="D357" s="147"/>
      <c r="E357" s="146"/>
      <c r="F357" s="146"/>
      <c r="G357" s="146"/>
      <c r="H357" s="147"/>
      <c r="I357" s="146"/>
      <c r="J357" s="148"/>
      <c r="K357" s="148"/>
      <c r="L357" s="148"/>
      <c r="M357" s="147"/>
      <c r="N357" s="146"/>
      <c r="O357" s="147"/>
      <c r="P357" s="147"/>
      <c r="Q357" s="147"/>
      <c r="R357" s="146"/>
      <c r="S357" s="146"/>
      <c r="T357" s="146"/>
      <c r="U357" s="146"/>
      <c r="V357" s="147"/>
      <c r="W357" s="146"/>
    </row>
    <row r="358">
      <c r="A358" s="146"/>
      <c r="B358" s="146"/>
      <c r="C358" s="146"/>
      <c r="D358" s="147"/>
      <c r="E358" s="146"/>
      <c r="F358" s="146"/>
      <c r="G358" s="146"/>
      <c r="H358" s="147"/>
      <c r="I358" s="146"/>
      <c r="J358" s="148"/>
      <c r="K358" s="148"/>
      <c r="L358" s="148"/>
      <c r="M358" s="147"/>
      <c r="N358" s="146"/>
      <c r="O358" s="147"/>
      <c r="P358" s="147"/>
      <c r="Q358" s="147"/>
      <c r="R358" s="146"/>
      <c r="S358" s="146"/>
      <c r="T358" s="146"/>
      <c r="U358" s="146"/>
      <c r="V358" s="147"/>
      <c r="W358" s="146"/>
    </row>
    <row r="359">
      <c r="A359" s="146"/>
      <c r="B359" s="146"/>
      <c r="C359" s="146"/>
      <c r="D359" s="147"/>
      <c r="E359" s="146"/>
      <c r="F359" s="146"/>
      <c r="G359" s="146"/>
      <c r="H359" s="147"/>
      <c r="I359" s="146"/>
      <c r="J359" s="148"/>
      <c r="K359" s="148"/>
      <c r="L359" s="148"/>
      <c r="M359" s="147"/>
      <c r="N359" s="146"/>
      <c r="O359" s="147"/>
      <c r="P359" s="147"/>
      <c r="Q359" s="147"/>
      <c r="R359" s="146"/>
      <c r="S359" s="146"/>
      <c r="T359" s="146"/>
      <c r="U359" s="146"/>
      <c r="V359" s="147"/>
      <c r="W359" s="146"/>
    </row>
    <row r="360">
      <c r="A360" s="146"/>
      <c r="B360" s="146"/>
      <c r="C360" s="146"/>
      <c r="D360" s="147"/>
      <c r="E360" s="146"/>
      <c r="F360" s="146"/>
      <c r="G360" s="146"/>
      <c r="H360" s="147"/>
      <c r="I360" s="146"/>
      <c r="J360" s="148"/>
      <c r="K360" s="148"/>
      <c r="L360" s="148"/>
      <c r="M360" s="147"/>
      <c r="N360" s="146"/>
      <c r="O360" s="147"/>
      <c r="P360" s="147"/>
      <c r="Q360" s="147"/>
      <c r="R360" s="146"/>
      <c r="S360" s="146"/>
      <c r="T360" s="146"/>
      <c r="U360" s="146"/>
      <c r="V360" s="147"/>
      <c r="W360" s="146"/>
    </row>
    <row r="361">
      <c r="A361" s="146"/>
      <c r="B361" s="146"/>
      <c r="C361" s="146"/>
      <c r="D361" s="147"/>
      <c r="E361" s="146"/>
      <c r="F361" s="146"/>
      <c r="G361" s="146"/>
      <c r="H361" s="147"/>
      <c r="I361" s="146"/>
      <c r="J361" s="148"/>
      <c r="K361" s="148"/>
      <c r="L361" s="148"/>
      <c r="M361" s="147"/>
      <c r="N361" s="146"/>
      <c r="O361" s="147"/>
      <c r="P361" s="147"/>
      <c r="Q361" s="147"/>
      <c r="R361" s="146"/>
      <c r="S361" s="146"/>
      <c r="T361" s="146"/>
      <c r="U361" s="146"/>
      <c r="V361" s="147"/>
      <c r="W361" s="146"/>
    </row>
    <row r="362">
      <c r="A362" s="146"/>
      <c r="B362" s="146"/>
      <c r="C362" s="146"/>
      <c r="D362" s="147"/>
      <c r="E362" s="146"/>
      <c r="F362" s="146"/>
      <c r="G362" s="146"/>
      <c r="H362" s="147"/>
      <c r="I362" s="146"/>
      <c r="J362" s="148"/>
      <c r="K362" s="148"/>
      <c r="L362" s="148"/>
      <c r="M362" s="147"/>
      <c r="N362" s="146"/>
      <c r="O362" s="147"/>
      <c r="P362" s="147"/>
      <c r="Q362" s="147"/>
      <c r="R362" s="146"/>
      <c r="S362" s="146"/>
      <c r="T362" s="146"/>
      <c r="U362" s="146"/>
      <c r="V362" s="147"/>
      <c r="W362" s="146"/>
    </row>
    <row r="363">
      <c r="A363" s="146"/>
      <c r="B363" s="146"/>
      <c r="C363" s="146"/>
      <c r="D363" s="147"/>
      <c r="E363" s="146"/>
      <c r="F363" s="146"/>
      <c r="G363" s="146"/>
      <c r="H363" s="147"/>
      <c r="I363" s="146"/>
      <c r="J363" s="148"/>
      <c r="K363" s="148"/>
      <c r="L363" s="148"/>
      <c r="M363" s="147"/>
      <c r="N363" s="146"/>
      <c r="O363" s="147"/>
      <c r="P363" s="147"/>
      <c r="Q363" s="147"/>
      <c r="R363" s="146"/>
      <c r="S363" s="146"/>
      <c r="T363" s="146"/>
      <c r="U363" s="146"/>
      <c r="V363" s="147"/>
      <c r="W363" s="146"/>
    </row>
    <row r="364">
      <c r="A364" s="146"/>
      <c r="B364" s="146"/>
      <c r="C364" s="146"/>
      <c r="D364" s="147"/>
      <c r="E364" s="146"/>
      <c r="F364" s="146"/>
      <c r="G364" s="146"/>
      <c r="H364" s="147"/>
      <c r="I364" s="146"/>
      <c r="J364" s="148"/>
      <c r="K364" s="148"/>
      <c r="L364" s="148"/>
      <c r="M364" s="147"/>
      <c r="N364" s="146"/>
      <c r="O364" s="147"/>
      <c r="P364" s="147"/>
      <c r="Q364" s="147"/>
      <c r="R364" s="146"/>
      <c r="S364" s="146"/>
      <c r="T364" s="146"/>
      <c r="U364" s="146"/>
      <c r="V364" s="147"/>
      <c r="W364" s="146"/>
    </row>
    <row r="365">
      <c r="A365" s="146"/>
      <c r="B365" s="146"/>
      <c r="C365" s="146"/>
      <c r="D365" s="147"/>
      <c r="E365" s="146"/>
      <c r="F365" s="146"/>
      <c r="G365" s="146"/>
      <c r="H365" s="147"/>
      <c r="I365" s="146"/>
      <c r="J365" s="148"/>
      <c r="K365" s="148"/>
      <c r="L365" s="148"/>
      <c r="M365" s="147"/>
      <c r="N365" s="146"/>
      <c r="O365" s="147"/>
      <c r="P365" s="147"/>
      <c r="Q365" s="147"/>
      <c r="R365" s="146"/>
      <c r="S365" s="146"/>
      <c r="T365" s="146"/>
      <c r="U365" s="146"/>
      <c r="V365" s="147"/>
      <c r="W365" s="146"/>
    </row>
    <row r="366">
      <c r="A366" s="146"/>
      <c r="B366" s="146"/>
      <c r="C366" s="146"/>
      <c r="D366" s="147"/>
      <c r="E366" s="146"/>
      <c r="F366" s="146"/>
      <c r="G366" s="146"/>
      <c r="H366" s="147"/>
      <c r="I366" s="146"/>
      <c r="J366" s="148"/>
      <c r="K366" s="148"/>
      <c r="L366" s="148"/>
      <c r="M366" s="147"/>
      <c r="N366" s="146"/>
      <c r="O366" s="147"/>
      <c r="P366" s="147"/>
      <c r="Q366" s="147"/>
      <c r="R366" s="146"/>
      <c r="S366" s="146"/>
      <c r="T366" s="146"/>
      <c r="U366" s="146"/>
      <c r="V366" s="147"/>
      <c r="W366" s="146"/>
    </row>
    <row r="367">
      <c r="A367" s="146"/>
      <c r="B367" s="146"/>
      <c r="C367" s="146"/>
      <c r="D367" s="147"/>
      <c r="E367" s="146"/>
      <c r="F367" s="146"/>
      <c r="G367" s="146"/>
      <c r="H367" s="147"/>
      <c r="I367" s="146"/>
      <c r="J367" s="148"/>
      <c r="K367" s="148"/>
      <c r="L367" s="148"/>
      <c r="M367" s="147"/>
      <c r="N367" s="146"/>
      <c r="O367" s="147"/>
      <c r="P367" s="147"/>
      <c r="Q367" s="147"/>
      <c r="R367" s="146"/>
      <c r="S367" s="146"/>
      <c r="T367" s="146"/>
      <c r="U367" s="146"/>
      <c r="V367" s="147"/>
      <c r="W367" s="146"/>
    </row>
    <row r="368">
      <c r="A368" s="146"/>
      <c r="B368" s="146"/>
      <c r="C368" s="146"/>
      <c r="D368" s="147"/>
      <c r="E368" s="146"/>
      <c r="F368" s="146"/>
      <c r="G368" s="146"/>
      <c r="H368" s="147"/>
      <c r="I368" s="146"/>
      <c r="J368" s="148"/>
      <c r="K368" s="148"/>
      <c r="L368" s="148"/>
      <c r="M368" s="147"/>
      <c r="N368" s="146"/>
      <c r="O368" s="147"/>
      <c r="P368" s="147"/>
      <c r="Q368" s="147"/>
      <c r="R368" s="146"/>
      <c r="S368" s="146"/>
      <c r="T368" s="146"/>
      <c r="U368" s="146"/>
      <c r="V368" s="147"/>
      <c r="W368" s="146"/>
    </row>
    <row r="369">
      <c r="A369" s="146"/>
      <c r="B369" s="146"/>
      <c r="C369" s="146"/>
      <c r="D369" s="147"/>
      <c r="E369" s="146"/>
      <c r="F369" s="146"/>
      <c r="G369" s="146"/>
      <c r="H369" s="147"/>
      <c r="I369" s="146"/>
      <c r="J369" s="148"/>
      <c r="K369" s="148"/>
      <c r="L369" s="148"/>
      <c r="M369" s="147"/>
      <c r="N369" s="146"/>
      <c r="O369" s="147"/>
      <c r="P369" s="147"/>
      <c r="Q369" s="147"/>
      <c r="R369" s="146"/>
      <c r="S369" s="146"/>
      <c r="T369" s="146"/>
      <c r="U369" s="146"/>
      <c r="V369" s="147"/>
      <c r="W369" s="146"/>
    </row>
    <row r="370">
      <c r="A370" s="146"/>
      <c r="B370" s="146"/>
      <c r="C370" s="146"/>
      <c r="D370" s="147"/>
      <c r="E370" s="146"/>
      <c r="F370" s="146"/>
      <c r="G370" s="146"/>
      <c r="H370" s="147"/>
      <c r="I370" s="146"/>
      <c r="J370" s="148"/>
      <c r="K370" s="148"/>
      <c r="L370" s="148"/>
      <c r="M370" s="147"/>
      <c r="N370" s="146"/>
      <c r="O370" s="147"/>
      <c r="P370" s="147"/>
      <c r="Q370" s="147"/>
      <c r="R370" s="146"/>
      <c r="S370" s="146"/>
      <c r="T370" s="146"/>
      <c r="U370" s="146"/>
      <c r="V370" s="147"/>
      <c r="W370" s="146"/>
    </row>
    <row r="371">
      <c r="A371" s="146"/>
      <c r="B371" s="146"/>
      <c r="C371" s="146"/>
      <c r="D371" s="147"/>
      <c r="E371" s="146"/>
      <c r="F371" s="146"/>
      <c r="G371" s="146"/>
      <c r="H371" s="147"/>
      <c r="I371" s="146"/>
      <c r="J371" s="148"/>
      <c r="K371" s="148"/>
      <c r="L371" s="148"/>
      <c r="M371" s="147"/>
      <c r="N371" s="146"/>
      <c r="O371" s="147"/>
      <c r="P371" s="147"/>
      <c r="Q371" s="147"/>
      <c r="R371" s="146"/>
      <c r="S371" s="146"/>
      <c r="T371" s="146"/>
      <c r="U371" s="146"/>
      <c r="V371" s="147"/>
      <c r="W371" s="146"/>
    </row>
    <row r="372">
      <c r="A372" s="146"/>
      <c r="B372" s="146"/>
      <c r="C372" s="146"/>
      <c r="D372" s="147"/>
      <c r="E372" s="146"/>
      <c r="F372" s="146"/>
      <c r="G372" s="146"/>
      <c r="H372" s="147"/>
      <c r="I372" s="146"/>
      <c r="J372" s="148"/>
      <c r="K372" s="148"/>
      <c r="L372" s="148"/>
      <c r="M372" s="147"/>
      <c r="N372" s="146"/>
      <c r="O372" s="147"/>
      <c r="P372" s="147"/>
      <c r="Q372" s="147"/>
      <c r="R372" s="146"/>
      <c r="S372" s="146"/>
      <c r="T372" s="146"/>
      <c r="U372" s="146"/>
      <c r="V372" s="147"/>
      <c r="W372" s="146"/>
    </row>
    <row r="373">
      <c r="A373" s="146"/>
      <c r="B373" s="146"/>
      <c r="C373" s="146"/>
      <c r="D373" s="147"/>
      <c r="E373" s="146"/>
      <c r="F373" s="146"/>
      <c r="G373" s="146"/>
      <c r="H373" s="147"/>
      <c r="I373" s="146"/>
      <c r="J373" s="148"/>
      <c r="K373" s="148"/>
      <c r="L373" s="148"/>
      <c r="M373" s="147"/>
      <c r="N373" s="146"/>
      <c r="O373" s="147"/>
      <c r="P373" s="147"/>
      <c r="Q373" s="147"/>
      <c r="R373" s="146"/>
      <c r="S373" s="146"/>
      <c r="T373" s="146"/>
      <c r="U373" s="146"/>
      <c r="V373" s="147"/>
      <c r="W373" s="146"/>
    </row>
    <row r="374">
      <c r="A374" s="146"/>
      <c r="B374" s="146"/>
      <c r="C374" s="146"/>
      <c r="D374" s="147"/>
      <c r="E374" s="146"/>
      <c r="F374" s="146"/>
      <c r="G374" s="146"/>
      <c r="H374" s="147"/>
      <c r="I374" s="146"/>
      <c r="J374" s="148"/>
      <c r="K374" s="148"/>
      <c r="L374" s="148"/>
      <c r="M374" s="147"/>
      <c r="N374" s="146"/>
      <c r="O374" s="147"/>
      <c r="P374" s="147"/>
      <c r="Q374" s="147"/>
      <c r="R374" s="146"/>
      <c r="S374" s="146"/>
      <c r="T374" s="146"/>
      <c r="U374" s="146"/>
      <c r="V374" s="147"/>
      <c r="W374" s="146"/>
    </row>
    <row r="375">
      <c r="A375" s="146"/>
      <c r="B375" s="146"/>
      <c r="C375" s="146"/>
      <c r="D375" s="147"/>
      <c r="E375" s="146"/>
      <c r="F375" s="146"/>
      <c r="G375" s="146"/>
      <c r="H375" s="147"/>
      <c r="I375" s="146"/>
      <c r="J375" s="148"/>
      <c r="K375" s="148"/>
      <c r="L375" s="148"/>
      <c r="M375" s="147"/>
      <c r="N375" s="146"/>
      <c r="O375" s="147"/>
      <c r="P375" s="147"/>
      <c r="Q375" s="147"/>
      <c r="R375" s="146"/>
      <c r="S375" s="146"/>
      <c r="T375" s="146"/>
      <c r="U375" s="146"/>
      <c r="V375" s="147"/>
      <c r="W375" s="146"/>
    </row>
    <row r="376">
      <c r="A376" s="146"/>
      <c r="B376" s="146"/>
      <c r="C376" s="146"/>
      <c r="D376" s="147"/>
      <c r="E376" s="146"/>
      <c r="F376" s="146"/>
      <c r="G376" s="146"/>
      <c r="H376" s="147"/>
      <c r="I376" s="146"/>
      <c r="J376" s="148"/>
      <c r="K376" s="148"/>
      <c r="L376" s="148"/>
      <c r="M376" s="147"/>
      <c r="N376" s="146"/>
      <c r="O376" s="147"/>
      <c r="P376" s="147"/>
      <c r="Q376" s="147"/>
      <c r="R376" s="146"/>
      <c r="S376" s="146"/>
      <c r="T376" s="146"/>
      <c r="U376" s="146"/>
      <c r="V376" s="147"/>
      <c r="W376" s="146"/>
    </row>
    <row r="377">
      <c r="A377" s="146"/>
      <c r="B377" s="146"/>
      <c r="C377" s="146"/>
      <c r="D377" s="147"/>
      <c r="E377" s="146"/>
      <c r="F377" s="146"/>
      <c r="G377" s="146"/>
      <c r="H377" s="147"/>
      <c r="I377" s="146"/>
      <c r="J377" s="148"/>
      <c r="K377" s="148"/>
      <c r="L377" s="148"/>
      <c r="M377" s="147"/>
      <c r="N377" s="146"/>
      <c r="O377" s="147"/>
      <c r="P377" s="147"/>
      <c r="Q377" s="147"/>
      <c r="R377" s="146"/>
      <c r="S377" s="146"/>
      <c r="T377" s="146"/>
      <c r="U377" s="146"/>
      <c r="V377" s="147"/>
      <c r="W377" s="146"/>
    </row>
    <row r="378">
      <c r="A378" s="146"/>
      <c r="B378" s="146"/>
      <c r="C378" s="146"/>
      <c r="D378" s="147"/>
      <c r="E378" s="146"/>
      <c r="F378" s="146"/>
      <c r="G378" s="146"/>
      <c r="H378" s="147"/>
      <c r="I378" s="146"/>
      <c r="J378" s="148"/>
      <c r="K378" s="148"/>
      <c r="L378" s="148"/>
      <c r="M378" s="147"/>
      <c r="N378" s="146"/>
      <c r="O378" s="147"/>
      <c r="P378" s="147"/>
      <c r="Q378" s="147"/>
      <c r="R378" s="146"/>
      <c r="S378" s="146"/>
      <c r="T378" s="146"/>
      <c r="U378" s="146"/>
      <c r="V378" s="147"/>
      <c r="W378" s="146"/>
    </row>
    <row r="379">
      <c r="A379" s="146"/>
      <c r="B379" s="146"/>
      <c r="C379" s="146"/>
      <c r="D379" s="147"/>
      <c r="E379" s="146"/>
      <c r="F379" s="146"/>
      <c r="G379" s="146"/>
      <c r="H379" s="147"/>
      <c r="I379" s="146"/>
      <c r="J379" s="148"/>
      <c r="K379" s="148"/>
      <c r="L379" s="148"/>
      <c r="M379" s="147"/>
      <c r="N379" s="146"/>
      <c r="O379" s="147"/>
      <c r="P379" s="147"/>
      <c r="Q379" s="147"/>
      <c r="R379" s="146"/>
      <c r="S379" s="146"/>
      <c r="T379" s="146"/>
      <c r="U379" s="146"/>
      <c r="V379" s="147"/>
      <c r="W379" s="146"/>
    </row>
    <row r="380">
      <c r="A380" s="146"/>
      <c r="B380" s="146"/>
      <c r="C380" s="146"/>
      <c r="D380" s="147"/>
      <c r="E380" s="146"/>
      <c r="F380" s="146"/>
      <c r="G380" s="146"/>
      <c r="H380" s="147"/>
      <c r="I380" s="146"/>
      <c r="J380" s="148"/>
      <c r="K380" s="148"/>
      <c r="L380" s="148"/>
      <c r="M380" s="147"/>
      <c r="N380" s="146"/>
      <c r="O380" s="147"/>
      <c r="P380" s="147"/>
      <c r="Q380" s="147"/>
      <c r="R380" s="146"/>
      <c r="S380" s="146"/>
      <c r="T380" s="146"/>
      <c r="U380" s="146"/>
      <c r="V380" s="147"/>
      <c r="W380" s="146"/>
    </row>
    <row r="381">
      <c r="A381" s="146"/>
      <c r="B381" s="146"/>
      <c r="C381" s="146"/>
      <c r="D381" s="147"/>
      <c r="E381" s="146"/>
      <c r="F381" s="146"/>
      <c r="G381" s="146"/>
      <c r="H381" s="147"/>
      <c r="I381" s="146"/>
      <c r="J381" s="148"/>
      <c r="K381" s="148"/>
      <c r="L381" s="148"/>
      <c r="M381" s="147"/>
      <c r="N381" s="146"/>
      <c r="O381" s="147"/>
      <c r="P381" s="147"/>
      <c r="Q381" s="147"/>
      <c r="R381" s="146"/>
      <c r="S381" s="146"/>
      <c r="T381" s="146"/>
      <c r="U381" s="146"/>
      <c r="V381" s="147"/>
      <c r="W381" s="146"/>
    </row>
    <row r="382">
      <c r="A382" s="146"/>
      <c r="B382" s="146"/>
      <c r="C382" s="146"/>
      <c r="D382" s="147"/>
      <c r="E382" s="146"/>
      <c r="F382" s="146"/>
      <c r="G382" s="146"/>
      <c r="H382" s="147"/>
      <c r="I382" s="146"/>
      <c r="J382" s="148"/>
      <c r="K382" s="148"/>
      <c r="L382" s="148"/>
      <c r="M382" s="147"/>
      <c r="N382" s="146"/>
      <c r="O382" s="147"/>
      <c r="P382" s="147"/>
      <c r="Q382" s="147"/>
      <c r="R382" s="146"/>
      <c r="S382" s="146"/>
      <c r="T382" s="146"/>
      <c r="U382" s="146"/>
      <c r="V382" s="147"/>
      <c r="W382" s="146"/>
    </row>
    <row r="383">
      <c r="A383" s="146"/>
      <c r="B383" s="146"/>
      <c r="C383" s="146"/>
      <c r="D383" s="147"/>
      <c r="E383" s="146"/>
      <c r="F383" s="146"/>
      <c r="G383" s="146"/>
      <c r="H383" s="147"/>
      <c r="I383" s="146"/>
      <c r="J383" s="148"/>
      <c r="K383" s="148"/>
      <c r="L383" s="148"/>
      <c r="M383" s="147"/>
      <c r="N383" s="146"/>
      <c r="O383" s="147"/>
      <c r="P383" s="147"/>
      <c r="Q383" s="147"/>
      <c r="R383" s="146"/>
      <c r="S383" s="146"/>
      <c r="T383" s="146"/>
      <c r="U383" s="146"/>
      <c r="V383" s="147"/>
      <c r="W383" s="146"/>
    </row>
    <row r="384">
      <c r="A384" s="146"/>
      <c r="B384" s="146"/>
      <c r="C384" s="146"/>
      <c r="D384" s="147"/>
      <c r="E384" s="146"/>
      <c r="F384" s="146"/>
      <c r="G384" s="146"/>
      <c r="H384" s="147"/>
      <c r="I384" s="146"/>
      <c r="J384" s="148"/>
      <c r="K384" s="148"/>
      <c r="L384" s="148"/>
      <c r="M384" s="147"/>
      <c r="N384" s="146"/>
      <c r="O384" s="147"/>
      <c r="P384" s="147"/>
      <c r="Q384" s="147"/>
      <c r="R384" s="146"/>
      <c r="S384" s="146"/>
      <c r="T384" s="146"/>
      <c r="U384" s="146"/>
      <c r="V384" s="147"/>
      <c r="W384" s="146"/>
    </row>
    <row r="385">
      <c r="A385" s="146"/>
      <c r="B385" s="146"/>
      <c r="C385" s="146"/>
      <c r="D385" s="147"/>
      <c r="E385" s="146"/>
      <c r="F385" s="146"/>
      <c r="G385" s="146"/>
      <c r="H385" s="147"/>
      <c r="I385" s="146"/>
      <c r="J385" s="148"/>
      <c r="K385" s="148"/>
      <c r="L385" s="148"/>
      <c r="M385" s="147"/>
      <c r="N385" s="146"/>
      <c r="O385" s="147"/>
      <c r="P385" s="147"/>
      <c r="Q385" s="147"/>
      <c r="R385" s="146"/>
      <c r="S385" s="146"/>
      <c r="T385" s="146"/>
      <c r="U385" s="146"/>
      <c r="V385" s="147"/>
      <c r="W385" s="146"/>
    </row>
    <row r="386">
      <c r="A386" s="146"/>
      <c r="B386" s="146"/>
      <c r="C386" s="146"/>
      <c r="D386" s="147"/>
      <c r="E386" s="146"/>
      <c r="F386" s="146"/>
      <c r="G386" s="146"/>
      <c r="H386" s="147"/>
      <c r="I386" s="146"/>
      <c r="J386" s="148"/>
      <c r="K386" s="148"/>
      <c r="L386" s="148"/>
      <c r="M386" s="147"/>
      <c r="N386" s="146"/>
      <c r="O386" s="147"/>
      <c r="P386" s="147"/>
      <c r="Q386" s="147"/>
      <c r="R386" s="146"/>
      <c r="S386" s="146"/>
      <c r="T386" s="146"/>
      <c r="U386" s="146"/>
      <c r="V386" s="147"/>
      <c r="W386" s="146"/>
    </row>
    <row r="387">
      <c r="A387" s="146"/>
      <c r="B387" s="146"/>
      <c r="C387" s="146"/>
      <c r="D387" s="147"/>
      <c r="E387" s="146"/>
      <c r="F387" s="146"/>
      <c r="G387" s="146"/>
      <c r="H387" s="147"/>
      <c r="I387" s="146"/>
      <c r="J387" s="148"/>
      <c r="K387" s="148"/>
      <c r="L387" s="148"/>
      <c r="M387" s="147"/>
      <c r="N387" s="146"/>
      <c r="O387" s="147"/>
      <c r="P387" s="147"/>
      <c r="Q387" s="147"/>
      <c r="R387" s="146"/>
      <c r="S387" s="146"/>
      <c r="T387" s="146"/>
      <c r="U387" s="146"/>
      <c r="V387" s="147"/>
      <c r="W387" s="146"/>
    </row>
    <row r="388">
      <c r="A388" s="146"/>
      <c r="B388" s="146"/>
      <c r="C388" s="146"/>
      <c r="D388" s="147"/>
      <c r="E388" s="146"/>
      <c r="F388" s="146"/>
      <c r="G388" s="146"/>
      <c r="H388" s="147"/>
      <c r="I388" s="146"/>
      <c r="J388" s="148"/>
      <c r="K388" s="148"/>
      <c r="L388" s="148"/>
      <c r="M388" s="147"/>
      <c r="N388" s="146"/>
      <c r="O388" s="147"/>
      <c r="P388" s="147"/>
      <c r="Q388" s="147"/>
      <c r="R388" s="146"/>
      <c r="S388" s="146"/>
      <c r="T388" s="146"/>
      <c r="U388" s="146"/>
      <c r="V388" s="147"/>
      <c r="W388" s="146"/>
    </row>
    <row r="389">
      <c r="A389" s="146"/>
      <c r="B389" s="146"/>
      <c r="C389" s="146"/>
      <c r="D389" s="147"/>
      <c r="E389" s="146"/>
      <c r="F389" s="146"/>
      <c r="G389" s="146"/>
      <c r="H389" s="147"/>
      <c r="I389" s="146"/>
      <c r="J389" s="148"/>
      <c r="K389" s="148"/>
      <c r="L389" s="148"/>
      <c r="M389" s="147"/>
      <c r="N389" s="146"/>
      <c r="O389" s="147"/>
      <c r="P389" s="147"/>
      <c r="Q389" s="147"/>
      <c r="R389" s="146"/>
      <c r="S389" s="146"/>
      <c r="T389" s="146"/>
      <c r="U389" s="146"/>
      <c r="V389" s="147"/>
      <c r="W389" s="146"/>
    </row>
    <row r="390">
      <c r="A390" s="146"/>
      <c r="B390" s="146"/>
      <c r="C390" s="146"/>
      <c r="D390" s="147"/>
      <c r="E390" s="146"/>
      <c r="F390" s="146"/>
      <c r="G390" s="146"/>
      <c r="H390" s="147"/>
      <c r="I390" s="146"/>
      <c r="J390" s="148"/>
      <c r="K390" s="148"/>
      <c r="L390" s="148"/>
      <c r="M390" s="147"/>
      <c r="N390" s="146"/>
      <c r="O390" s="147"/>
      <c r="P390" s="147"/>
      <c r="Q390" s="147"/>
      <c r="R390" s="146"/>
      <c r="S390" s="146"/>
      <c r="T390" s="146"/>
      <c r="U390" s="146"/>
      <c r="V390" s="147"/>
      <c r="W390" s="146"/>
    </row>
    <row r="391">
      <c r="A391" s="146"/>
      <c r="B391" s="146"/>
      <c r="C391" s="146"/>
      <c r="D391" s="147"/>
      <c r="E391" s="146"/>
      <c r="F391" s="146"/>
      <c r="G391" s="146"/>
      <c r="H391" s="147"/>
      <c r="I391" s="146"/>
      <c r="J391" s="148"/>
      <c r="K391" s="148"/>
      <c r="L391" s="148"/>
      <c r="M391" s="147"/>
      <c r="N391" s="146"/>
      <c r="O391" s="147"/>
      <c r="P391" s="147"/>
      <c r="Q391" s="147"/>
      <c r="R391" s="146"/>
      <c r="S391" s="146"/>
      <c r="T391" s="146"/>
      <c r="U391" s="146"/>
      <c r="V391" s="147"/>
      <c r="W391" s="146"/>
    </row>
    <row r="392">
      <c r="A392" s="146"/>
      <c r="B392" s="146"/>
      <c r="C392" s="146"/>
      <c r="D392" s="147"/>
      <c r="E392" s="146"/>
      <c r="F392" s="146"/>
      <c r="G392" s="146"/>
      <c r="H392" s="147"/>
      <c r="I392" s="146"/>
      <c r="J392" s="148"/>
      <c r="K392" s="148"/>
      <c r="L392" s="148"/>
      <c r="M392" s="147"/>
      <c r="N392" s="146"/>
      <c r="O392" s="147"/>
      <c r="P392" s="147"/>
      <c r="Q392" s="147"/>
      <c r="R392" s="146"/>
      <c r="S392" s="146"/>
      <c r="T392" s="146"/>
      <c r="U392" s="146"/>
      <c r="V392" s="147"/>
      <c r="W392" s="146"/>
    </row>
    <row r="393">
      <c r="A393" s="146"/>
      <c r="B393" s="146"/>
      <c r="C393" s="146"/>
      <c r="D393" s="147"/>
      <c r="E393" s="146"/>
      <c r="F393" s="146"/>
      <c r="G393" s="146"/>
      <c r="H393" s="147"/>
      <c r="I393" s="146"/>
      <c r="J393" s="148"/>
      <c r="K393" s="148"/>
      <c r="L393" s="148"/>
      <c r="M393" s="147"/>
      <c r="N393" s="146"/>
      <c r="O393" s="147"/>
      <c r="P393" s="147"/>
      <c r="Q393" s="147"/>
      <c r="R393" s="146"/>
      <c r="S393" s="146"/>
      <c r="T393" s="146"/>
      <c r="U393" s="146"/>
      <c r="V393" s="147"/>
      <c r="W393" s="146"/>
    </row>
    <row r="394">
      <c r="A394" s="146"/>
      <c r="B394" s="146"/>
      <c r="C394" s="146"/>
      <c r="D394" s="147"/>
      <c r="E394" s="146"/>
      <c r="F394" s="146"/>
      <c r="G394" s="146"/>
      <c r="H394" s="147"/>
      <c r="I394" s="146"/>
      <c r="J394" s="148"/>
      <c r="K394" s="148"/>
      <c r="L394" s="148"/>
      <c r="M394" s="147"/>
      <c r="N394" s="146"/>
      <c r="O394" s="147"/>
      <c r="P394" s="147"/>
      <c r="Q394" s="147"/>
      <c r="R394" s="146"/>
      <c r="S394" s="146"/>
      <c r="T394" s="146"/>
      <c r="U394" s="146"/>
      <c r="V394" s="147"/>
      <c r="W394" s="146"/>
    </row>
    <row r="395">
      <c r="A395" s="146"/>
      <c r="B395" s="146"/>
      <c r="C395" s="146"/>
      <c r="D395" s="147"/>
      <c r="E395" s="146"/>
      <c r="F395" s="146"/>
      <c r="G395" s="146"/>
      <c r="H395" s="147"/>
      <c r="I395" s="146"/>
      <c r="J395" s="148"/>
      <c r="K395" s="148"/>
      <c r="L395" s="148"/>
      <c r="M395" s="147"/>
      <c r="N395" s="146"/>
      <c r="O395" s="147"/>
      <c r="P395" s="147"/>
      <c r="Q395" s="147"/>
      <c r="R395" s="146"/>
      <c r="S395" s="146"/>
      <c r="T395" s="146"/>
      <c r="U395" s="146"/>
      <c r="V395" s="147"/>
      <c r="W395" s="146"/>
    </row>
    <row r="396">
      <c r="A396" s="146"/>
      <c r="B396" s="146"/>
      <c r="C396" s="146"/>
      <c r="D396" s="147"/>
      <c r="E396" s="146"/>
      <c r="F396" s="146"/>
      <c r="G396" s="146"/>
      <c r="H396" s="147"/>
      <c r="I396" s="146"/>
      <c r="J396" s="148"/>
      <c r="K396" s="148"/>
      <c r="L396" s="148"/>
      <c r="M396" s="147"/>
      <c r="N396" s="146"/>
      <c r="O396" s="147"/>
      <c r="P396" s="147"/>
      <c r="Q396" s="147"/>
      <c r="R396" s="146"/>
      <c r="S396" s="146"/>
      <c r="T396" s="146"/>
      <c r="U396" s="146"/>
      <c r="V396" s="147"/>
      <c r="W396" s="146"/>
    </row>
    <row r="397">
      <c r="A397" s="146"/>
      <c r="B397" s="146"/>
      <c r="C397" s="146"/>
      <c r="D397" s="147"/>
      <c r="E397" s="146"/>
      <c r="F397" s="146"/>
      <c r="G397" s="146"/>
      <c r="H397" s="147"/>
      <c r="I397" s="146"/>
      <c r="J397" s="148"/>
      <c r="K397" s="148"/>
      <c r="L397" s="148"/>
      <c r="M397" s="147"/>
      <c r="N397" s="146"/>
      <c r="O397" s="147"/>
      <c r="P397" s="147"/>
      <c r="Q397" s="147"/>
      <c r="R397" s="146"/>
      <c r="S397" s="146"/>
      <c r="T397" s="146"/>
      <c r="U397" s="146"/>
      <c r="V397" s="147"/>
      <c r="W397" s="146"/>
    </row>
    <row r="398">
      <c r="A398" s="146"/>
      <c r="B398" s="146"/>
      <c r="C398" s="146"/>
      <c r="D398" s="147"/>
      <c r="E398" s="146"/>
      <c r="F398" s="146"/>
      <c r="G398" s="146"/>
      <c r="H398" s="147"/>
      <c r="I398" s="146"/>
      <c r="J398" s="148"/>
      <c r="K398" s="148"/>
      <c r="L398" s="148"/>
      <c r="M398" s="147"/>
      <c r="N398" s="146"/>
      <c r="O398" s="147"/>
      <c r="P398" s="147"/>
      <c r="Q398" s="147"/>
      <c r="R398" s="146"/>
      <c r="S398" s="146"/>
      <c r="T398" s="146"/>
      <c r="U398" s="146"/>
      <c r="V398" s="147"/>
      <c r="W398" s="146"/>
    </row>
    <row r="399">
      <c r="A399" s="146"/>
      <c r="B399" s="146"/>
      <c r="C399" s="146"/>
      <c r="D399" s="147"/>
      <c r="E399" s="146"/>
      <c r="F399" s="146"/>
      <c r="G399" s="146"/>
      <c r="H399" s="147"/>
      <c r="I399" s="146"/>
      <c r="J399" s="148"/>
      <c r="K399" s="148"/>
      <c r="L399" s="148"/>
      <c r="M399" s="147"/>
      <c r="N399" s="146"/>
      <c r="O399" s="147"/>
      <c r="P399" s="147"/>
      <c r="Q399" s="147"/>
      <c r="R399" s="146"/>
      <c r="S399" s="146"/>
      <c r="T399" s="146"/>
      <c r="U399" s="146"/>
      <c r="V399" s="147"/>
      <c r="W399" s="146"/>
    </row>
    <row r="400">
      <c r="A400" s="146"/>
      <c r="B400" s="146"/>
      <c r="C400" s="146"/>
      <c r="D400" s="147"/>
      <c r="E400" s="146"/>
      <c r="F400" s="146"/>
      <c r="G400" s="146"/>
      <c r="H400" s="147"/>
      <c r="I400" s="146"/>
      <c r="J400" s="148"/>
      <c r="K400" s="148"/>
      <c r="L400" s="148"/>
      <c r="M400" s="147"/>
      <c r="N400" s="146"/>
      <c r="O400" s="147"/>
      <c r="P400" s="147"/>
      <c r="Q400" s="147"/>
      <c r="R400" s="146"/>
      <c r="S400" s="146"/>
      <c r="T400" s="146"/>
      <c r="U400" s="146"/>
      <c r="V400" s="147"/>
      <c r="W400" s="146"/>
    </row>
    <row r="401">
      <c r="A401" s="146"/>
      <c r="B401" s="146"/>
      <c r="C401" s="146"/>
      <c r="D401" s="147"/>
      <c r="E401" s="146"/>
      <c r="F401" s="146"/>
      <c r="G401" s="146"/>
      <c r="H401" s="147"/>
      <c r="I401" s="146"/>
      <c r="J401" s="148"/>
      <c r="K401" s="148"/>
      <c r="L401" s="148"/>
      <c r="M401" s="147"/>
      <c r="N401" s="146"/>
      <c r="O401" s="147"/>
      <c r="P401" s="147"/>
      <c r="Q401" s="147"/>
      <c r="R401" s="146"/>
      <c r="S401" s="146"/>
      <c r="T401" s="146"/>
      <c r="U401" s="146"/>
      <c r="V401" s="147"/>
      <c r="W401" s="146"/>
    </row>
    <row r="402">
      <c r="A402" s="146"/>
      <c r="B402" s="146"/>
      <c r="C402" s="146"/>
      <c r="D402" s="147"/>
      <c r="E402" s="146"/>
      <c r="F402" s="146"/>
      <c r="G402" s="146"/>
      <c r="H402" s="147"/>
      <c r="I402" s="146"/>
      <c r="J402" s="148"/>
      <c r="K402" s="148"/>
      <c r="L402" s="148"/>
      <c r="M402" s="147"/>
      <c r="N402" s="146"/>
      <c r="O402" s="147"/>
      <c r="P402" s="147"/>
      <c r="Q402" s="147"/>
      <c r="R402" s="146"/>
      <c r="S402" s="146"/>
      <c r="T402" s="146"/>
      <c r="U402" s="146"/>
      <c r="V402" s="147"/>
      <c r="W402" s="146"/>
    </row>
    <row r="403">
      <c r="A403" s="146"/>
      <c r="B403" s="146"/>
      <c r="C403" s="146"/>
      <c r="D403" s="147"/>
      <c r="E403" s="146"/>
      <c r="F403" s="146"/>
      <c r="G403" s="146"/>
      <c r="H403" s="147"/>
      <c r="I403" s="146"/>
      <c r="J403" s="148"/>
      <c r="K403" s="148"/>
      <c r="L403" s="148"/>
      <c r="M403" s="147"/>
      <c r="N403" s="146"/>
      <c r="O403" s="147"/>
      <c r="P403" s="147"/>
      <c r="Q403" s="147"/>
      <c r="R403" s="146"/>
      <c r="S403" s="146"/>
      <c r="T403" s="146"/>
      <c r="U403" s="146"/>
      <c r="V403" s="147"/>
      <c r="W403" s="146"/>
    </row>
    <row r="404">
      <c r="A404" s="146"/>
      <c r="B404" s="146"/>
      <c r="C404" s="146"/>
      <c r="D404" s="147"/>
      <c r="E404" s="146"/>
      <c r="F404" s="146"/>
      <c r="G404" s="146"/>
      <c r="H404" s="147"/>
      <c r="I404" s="146"/>
      <c r="J404" s="148"/>
      <c r="K404" s="148"/>
      <c r="L404" s="148"/>
      <c r="M404" s="147"/>
      <c r="N404" s="146"/>
      <c r="O404" s="147"/>
      <c r="P404" s="147"/>
      <c r="Q404" s="147"/>
      <c r="R404" s="146"/>
      <c r="S404" s="146"/>
      <c r="T404" s="146"/>
      <c r="U404" s="146"/>
      <c r="V404" s="147"/>
      <c r="W404" s="146"/>
    </row>
    <row r="405">
      <c r="A405" s="146"/>
      <c r="B405" s="146"/>
      <c r="C405" s="146"/>
      <c r="D405" s="147"/>
      <c r="E405" s="146"/>
      <c r="F405" s="146"/>
      <c r="G405" s="146"/>
      <c r="H405" s="147"/>
      <c r="I405" s="146"/>
      <c r="J405" s="148"/>
      <c r="K405" s="148"/>
      <c r="L405" s="148"/>
      <c r="M405" s="147"/>
      <c r="N405" s="146"/>
      <c r="O405" s="147"/>
      <c r="P405" s="147"/>
      <c r="Q405" s="147"/>
      <c r="R405" s="146"/>
      <c r="S405" s="146"/>
      <c r="T405" s="146"/>
      <c r="U405" s="146"/>
      <c r="V405" s="147"/>
      <c r="W405" s="146"/>
    </row>
    <row r="406">
      <c r="A406" s="146"/>
      <c r="B406" s="146"/>
      <c r="C406" s="146"/>
      <c r="D406" s="147"/>
      <c r="E406" s="146"/>
      <c r="F406" s="146"/>
      <c r="G406" s="146"/>
      <c r="H406" s="147"/>
      <c r="I406" s="146"/>
      <c r="J406" s="148"/>
      <c r="K406" s="148"/>
      <c r="L406" s="148"/>
      <c r="M406" s="147"/>
      <c r="N406" s="146"/>
      <c r="O406" s="147"/>
      <c r="P406" s="147"/>
      <c r="Q406" s="147"/>
      <c r="R406" s="146"/>
      <c r="S406" s="146"/>
      <c r="T406" s="146"/>
      <c r="U406" s="146"/>
      <c r="V406" s="147"/>
      <c r="W406" s="146"/>
    </row>
    <row r="407">
      <c r="A407" s="146"/>
      <c r="B407" s="146"/>
      <c r="C407" s="146"/>
      <c r="D407" s="147"/>
      <c r="E407" s="146"/>
      <c r="F407" s="146"/>
      <c r="G407" s="146"/>
      <c r="H407" s="147"/>
      <c r="I407" s="146"/>
      <c r="J407" s="148"/>
      <c r="K407" s="148"/>
      <c r="L407" s="148"/>
      <c r="M407" s="147"/>
      <c r="N407" s="146"/>
      <c r="O407" s="147"/>
      <c r="P407" s="147"/>
      <c r="Q407" s="147"/>
      <c r="R407" s="146"/>
      <c r="S407" s="146"/>
      <c r="T407" s="146"/>
      <c r="U407" s="146"/>
      <c r="V407" s="147"/>
      <c r="W407" s="146"/>
    </row>
    <row r="408">
      <c r="A408" s="146"/>
      <c r="B408" s="146"/>
      <c r="C408" s="146"/>
      <c r="D408" s="147"/>
      <c r="E408" s="146"/>
      <c r="F408" s="146"/>
      <c r="G408" s="146"/>
      <c r="H408" s="147"/>
      <c r="I408" s="146"/>
      <c r="J408" s="148"/>
      <c r="K408" s="148"/>
      <c r="L408" s="148"/>
      <c r="M408" s="147"/>
      <c r="N408" s="146"/>
      <c r="O408" s="147"/>
      <c r="P408" s="147"/>
      <c r="Q408" s="147"/>
      <c r="R408" s="146"/>
      <c r="S408" s="146"/>
      <c r="T408" s="146"/>
      <c r="U408" s="146"/>
      <c r="V408" s="147"/>
      <c r="W408" s="146"/>
    </row>
    <row r="409">
      <c r="A409" s="146"/>
      <c r="B409" s="146"/>
      <c r="C409" s="146"/>
      <c r="D409" s="147"/>
      <c r="E409" s="146"/>
      <c r="F409" s="146"/>
      <c r="G409" s="146"/>
      <c r="H409" s="147"/>
      <c r="I409" s="146"/>
      <c r="J409" s="148"/>
      <c r="K409" s="148"/>
      <c r="L409" s="148"/>
      <c r="M409" s="147"/>
      <c r="N409" s="146"/>
      <c r="O409" s="147"/>
      <c r="P409" s="147"/>
      <c r="Q409" s="147"/>
      <c r="R409" s="146"/>
      <c r="S409" s="146"/>
      <c r="T409" s="146"/>
      <c r="U409" s="146"/>
      <c r="V409" s="147"/>
      <c r="W409" s="146"/>
    </row>
    <row r="410">
      <c r="A410" s="146"/>
      <c r="B410" s="146"/>
      <c r="C410" s="146"/>
      <c r="D410" s="147"/>
      <c r="E410" s="146"/>
      <c r="F410" s="146"/>
      <c r="G410" s="146"/>
      <c r="H410" s="147"/>
      <c r="I410" s="146"/>
      <c r="J410" s="148"/>
      <c r="K410" s="148"/>
      <c r="L410" s="148"/>
      <c r="M410" s="147"/>
      <c r="N410" s="146"/>
      <c r="O410" s="147"/>
      <c r="P410" s="147"/>
      <c r="Q410" s="147"/>
      <c r="R410" s="146"/>
      <c r="S410" s="146"/>
      <c r="T410" s="146"/>
      <c r="U410" s="146"/>
      <c r="V410" s="147"/>
      <c r="W410" s="146"/>
    </row>
    <row r="411">
      <c r="A411" s="146"/>
      <c r="B411" s="146"/>
      <c r="C411" s="146"/>
      <c r="D411" s="147"/>
      <c r="E411" s="146"/>
      <c r="F411" s="146"/>
      <c r="G411" s="146"/>
      <c r="H411" s="147"/>
      <c r="I411" s="146"/>
      <c r="J411" s="148"/>
      <c r="K411" s="148"/>
      <c r="L411" s="148"/>
      <c r="M411" s="147"/>
      <c r="N411" s="146"/>
      <c r="O411" s="147"/>
      <c r="P411" s="147"/>
      <c r="Q411" s="147"/>
      <c r="R411" s="146"/>
      <c r="S411" s="146"/>
      <c r="T411" s="146"/>
      <c r="U411" s="146"/>
      <c r="V411" s="147"/>
      <c r="W411" s="146"/>
    </row>
    <row r="412">
      <c r="A412" s="146"/>
      <c r="B412" s="146"/>
      <c r="C412" s="146"/>
      <c r="D412" s="147"/>
      <c r="E412" s="146"/>
      <c r="F412" s="146"/>
      <c r="G412" s="146"/>
      <c r="H412" s="147"/>
      <c r="I412" s="146"/>
      <c r="J412" s="148"/>
      <c r="K412" s="148"/>
      <c r="L412" s="148"/>
      <c r="M412" s="147"/>
      <c r="N412" s="146"/>
      <c r="O412" s="147"/>
      <c r="P412" s="147"/>
      <c r="Q412" s="147"/>
      <c r="R412" s="146"/>
      <c r="S412" s="146"/>
      <c r="T412" s="146"/>
      <c r="U412" s="146"/>
      <c r="V412" s="147"/>
      <c r="W412" s="146"/>
    </row>
    <row r="413">
      <c r="A413" s="146"/>
      <c r="B413" s="146"/>
      <c r="C413" s="146"/>
      <c r="D413" s="147"/>
      <c r="E413" s="146"/>
      <c r="F413" s="146"/>
      <c r="G413" s="146"/>
      <c r="H413" s="147"/>
      <c r="I413" s="146"/>
      <c r="J413" s="148"/>
      <c r="K413" s="148"/>
      <c r="L413" s="148"/>
      <c r="M413" s="147"/>
      <c r="N413" s="146"/>
      <c r="O413" s="147"/>
      <c r="P413" s="147"/>
      <c r="Q413" s="147"/>
      <c r="R413" s="146"/>
      <c r="S413" s="146"/>
      <c r="T413" s="146"/>
      <c r="U413" s="146"/>
      <c r="V413" s="147"/>
      <c r="W413" s="146"/>
    </row>
    <row r="414">
      <c r="A414" s="146"/>
      <c r="B414" s="146"/>
      <c r="C414" s="146"/>
      <c r="D414" s="147"/>
      <c r="E414" s="146"/>
      <c r="F414" s="146"/>
      <c r="G414" s="146"/>
      <c r="H414" s="147"/>
      <c r="I414" s="146"/>
      <c r="J414" s="148"/>
      <c r="K414" s="148"/>
      <c r="L414" s="148"/>
      <c r="M414" s="147"/>
      <c r="N414" s="146"/>
      <c r="O414" s="147"/>
      <c r="P414" s="147"/>
      <c r="Q414" s="147"/>
      <c r="R414" s="146"/>
      <c r="S414" s="146"/>
      <c r="T414" s="146"/>
      <c r="U414" s="146"/>
      <c r="V414" s="147"/>
      <c r="W414" s="146"/>
    </row>
    <row r="415">
      <c r="A415" s="146"/>
      <c r="B415" s="146"/>
      <c r="C415" s="146"/>
      <c r="D415" s="147"/>
      <c r="E415" s="146"/>
      <c r="F415" s="146"/>
      <c r="G415" s="146"/>
      <c r="H415" s="147"/>
      <c r="I415" s="146"/>
      <c r="J415" s="148"/>
      <c r="K415" s="148"/>
      <c r="L415" s="148"/>
      <c r="M415" s="147"/>
      <c r="N415" s="146"/>
      <c r="O415" s="147"/>
      <c r="P415" s="147"/>
      <c r="Q415" s="147"/>
      <c r="R415" s="146"/>
      <c r="S415" s="146"/>
      <c r="T415" s="146"/>
      <c r="U415" s="146"/>
      <c r="V415" s="147"/>
      <c r="W415" s="146"/>
    </row>
    <row r="416">
      <c r="A416" s="146"/>
      <c r="B416" s="146"/>
      <c r="C416" s="146"/>
      <c r="D416" s="147"/>
      <c r="E416" s="146"/>
      <c r="F416" s="146"/>
      <c r="G416" s="146"/>
      <c r="H416" s="147"/>
      <c r="I416" s="146"/>
      <c r="J416" s="148"/>
      <c r="K416" s="148"/>
      <c r="L416" s="148"/>
      <c r="M416" s="147"/>
      <c r="N416" s="146"/>
      <c r="O416" s="147"/>
      <c r="P416" s="147"/>
      <c r="Q416" s="147"/>
      <c r="R416" s="146"/>
      <c r="S416" s="146"/>
      <c r="T416" s="146"/>
      <c r="U416" s="146"/>
      <c r="V416" s="147"/>
      <c r="W416" s="146"/>
    </row>
    <row r="417">
      <c r="A417" s="146"/>
      <c r="B417" s="146"/>
      <c r="C417" s="146"/>
      <c r="D417" s="147"/>
      <c r="E417" s="146"/>
      <c r="F417" s="146"/>
      <c r="G417" s="146"/>
      <c r="H417" s="147"/>
      <c r="I417" s="146"/>
      <c r="J417" s="148"/>
      <c r="K417" s="148"/>
      <c r="L417" s="148"/>
      <c r="M417" s="147"/>
      <c r="N417" s="146"/>
      <c r="O417" s="147"/>
      <c r="P417" s="147"/>
      <c r="Q417" s="147"/>
      <c r="R417" s="146"/>
      <c r="S417" s="146"/>
      <c r="T417" s="146"/>
      <c r="U417" s="146"/>
      <c r="V417" s="147"/>
      <c r="W417" s="146"/>
    </row>
    <row r="418">
      <c r="A418" s="146"/>
      <c r="B418" s="146"/>
      <c r="C418" s="146"/>
      <c r="D418" s="147"/>
      <c r="E418" s="146"/>
      <c r="F418" s="146"/>
      <c r="G418" s="146"/>
      <c r="H418" s="147"/>
      <c r="I418" s="146"/>
      <c r="J418" s="148"/>
      <c r="K418" s="148"/>
      <c r="L418" s="148"/>
      <c r="M418" s="147"/>
      <c r="N418" s="146"/>
      <c r="O418" s="147"/>
      <c r="P418" s="147"/>
      <c r="Q418" s="147"/>
      <c r="R418" s="146"/>
      <c r="S418" s="146"/>
      <c r="T418" s="146"/>
      <c r="U418" s="146"/>
      <c r="V418" s="147"/>
      <c r="W418" s="146"/>
    </row>
    <row r="419">
      <c r="A419" s="146"/>
      <c r="B419" s="146"/>
      <c r="C419" s="146"/>
      <c r="D419" s="147"/>
      <c r="E419" s="146"/>
      <c r="F419" s="146"/>
      <c r="G419" s="146"/>
      <c r="H419" s="147"/>
      <c r="I419" s="146"/>
      <c r="J419" s="148"/>
      <c r="K419" s="148"/>
      <c r="L419" s="148"/>
      <c r="M419" s="147"/>
      <c r="N419" s="146"/>
      <c r="O419" s="147"/>
      <c r="P419" s="147"/>
      <c r="Q419" s="147"/>
      <c r="R419" s="146"/>
      <c r="S419" s="146"/>
      <c r="T419" s="146"/>
      <c r="U419" s="146"/>
      <c r="V419" s="147"/>
      <c r="W419" s="146"/>
    </row>
    <row r="420">
      <c r="A420" s="146"/>
      <c r="B420" s="146"/>
      <c r="C420" s="146"/>
      <c r="D420" s="147"/>
      <c r="E420" s="146"/>
      <c r="F420" s="146"/>
      <c r="G420" s="146"/>
      <c r="H420" s="147"/>
      <c r="I420" s="146"/>
      <c r="J420" s="148"/>
      <c r="K420" s="148"/>
      <c r="L420" s="148"/>
      <c r="M420" s="147"/>
      <c r="N420" s="146"/>
      <c r="O420" s="147"/>
      <c r="P420" s="147"/>
      <c r="Q420" s="147"/>
      <c r="R420" s="146"/>
      <c r="S420" s="146"/>
      <c r="T420" s="146"/>
      <c r="U420" s="146"/>
      <c r="V420" s="147"/>
      <c r="W420" s="146"/>
    </row>
    <row r="421">
      <c r="A421" s="146"/>
      <c r="B421" s="146"/>
      <c r="C421" s="146"/>
      <c r="D421" s="147"/>
      <c r="E421" s="146"/>
      <c r="F421" s="146"/>
      <c r="G421" s="146"/>
      <c r="H421" s="147"/>
      <c r="I421" s="146"/>
      <c r="J421" s="148"/>
      <c r="K421" s="148"/>
      <c r="L421" s="148"/>
      <c r="M421" s="147"/>
      <c r="N421" s="146"/>
      <c r="O421" s="147"/>
      <c r="P421" s="147"/>
      <c r="Q421" s="147"/>
      <c r="R421" s="146"/>
      <c r="S421" s="146"/>
      <c r="T421" s="146"/>
      <c r="U421" s="146"/>
      <c r="V421" s="147"/>
      <c r="W421" s="146"/>
    </row>
    <row r="422">
      <c r="A422" s="146"/>
      <c r="B422" s="146"/>
      <c r="C422" s="146"/>
      <c r="D422" s="147"/>
      <c r="E422" s="146"/>
      <c r="F422" s="146"/>
      <c r="G422" s="146"/>
      <c r="H422" s="147"/>
      <c r="I422" s="146"/>
      <c r="J422" s="148"/>
      <c r="K422" s="148"/>
      <c r="L422" s="148"/>
      <c r="M422" s="147"/>
      <c r="N422" s="146"/>
      <c r="O422" s="147"/>
      <c r="P422" s="147"/>
      <c r="Q422" s="147"/>
      <c r="R422" s="146"/>
      <c r="S422" s="146"/>
      <c r="T422" s="146"/>
      <c r="U422" s="146"/>
      <c r="V422" s="147"/>
      <c r="W422" s="146"/>
    </row>
    <row r="423">
      <c r="A423" s="146"/>
      <c r="B423" s="146"/>
      <c r="C423" s="146"/>
      <c r="D423" s="147"/>
      <c r="E423" s="146"/>
      <c r="F423" s="146"/>
      <c r="G423" s="146"/>
      <c r="H423" s="147"/>
      <c r="I423" s="146"/>
      <c r="J423" s="148"/>
      <c r="K423" s="148"/>
      <c r="L423" s="148"/>
      <c r="M423" s="147"/>
      <c r="N423" s="146"/>
      <c r="O423" s="147"/>
      <c r="P423" s="147"/>
      <c r="Q423" s="147"/>
      <c r="R423" s="146"/>
      <c r="S423" s="146"/>
      <c r="T423" s="146"/>
      <c r="U423" s="146"/>
      <c r="V423" s="147"/>
      <c r="W423" s="146"/>
    </row>
    <row r="424">
      <c r="A424" s="146"/>
      <c r="B424" s="146"/>
      <c r="C424" s="146"/>
      <c r="D424" s="147"/>
      <c r="E424" s="146"/>
      <c r="F424" s="146"/>
      <c r="G424" s="146"/>
      <c r="H424" s="147"/>
      <c r="I424" s="146"/>
      <c r="J424" s="148"/>
      <c r="K424" s="148"/>
      <c r="L424" s="148"/>
      <c r="M424" s="147"/>
      <c r="N424" s="146"/>
      <c r="O424" s="147"/>
      <c r="P424" s="147"/>
      <c r="Q424" s="147"/>
      <c r="R424" s="146"/>
      <c r="S424" s="146"/>
      <c r="T424" s="146"/>
      <c r="U424" s="146"/>
      <c r="V424" s="147"/>
      <c r="W424" s="146"/>
    </row>
    <row r="425">
      <c r="A425" s="146"/>
      <c r="B425" s="146"/>
      <c r="C425" s="146"/>
      <c r="D425" s="147"/>
      <c r="E425" s="146"/>
      <c r="F425" s="146"/>
      <c r="G425" s="146"/>
      <c r="H425" s="147"/>
      <c r="I425" s="146"/>
      <c r="J425" s="148"/>
      <c r="K425" s="148"/>
      <c r="L425" s="148"/>
      <c r="M425" s="147"/>
      <c r="N425" s="146"/>
      <c r="O425" s="147"/>
      <c r="P425" s="147"/>
      <c r="Q425" s="147"/>
      <c r="R425" s="146"/>
      <c r="S425" s="146"/>
      <c r="T425" s="146"/>
      <c r="U425" s="146"/>
      <c r="V425" s="147"/>
      <c r="W425" s="146"/>
    </row>
    <row r="426">
      <c r="A426" s="146"/>
      <c r="B426" s="146"/>
      <c r="C426" s="146"/>
      <c r="D426" s="147"/>
      <c r="E426" s="146"/>
      <c r="F426" s="146"/>
      <c r="G426" s="146"/>
      <c r="H426" s="147"/>
      <c r="I426" s="146"/>
      <c r="J426" s="148"/>
      <c r="K426" s="148"/>
      <c r="L426" s="148"/>
      <c r="M426" s="147"/>
      <c r="N426" s="146"/>
      <c r="O426" s="147"/>
      <c r="P426" s="147"/>
      <c r="Q426" s="147"/>
      <c r="R426" s="146"/>
      <c r="S426" s="146"/>
      <c r="T426" s="146"/>
      <c r="U426" s="146"/>
      <c r="V426" s="147"/>
      <c r="W426" s="146"/>
    </row>
    <row r="427">
      <c r="A427" s="146"/>
      <c r="B427" s="146"/>
      <c r="C427" s="146"/>
      <c r="D427" s="147"/>
      <c r="E427" s="146"/>
      <c r="F427" s="146"/>
      <c r="G427" s="146"/>
      <c r="H427" s="147"/>
      <c r="I427" s="146"/>
      <c r="J427" s="148"/>
      <c r="K427" s="148"/>
      <c r="L427" s="148"/>
      <c r="M427" s="147"/>
      <c r="N427" s="146"/>
      <c r="O427" s="147"/>
      <c r="P427" s="147"/>
      <c r="Q427" s="147"/>
      <c r="R427" s="146"/>
      <c r="S427" s="146"/>
      <c r="T427" s="146"/>
      <c r="U427" s="146"/>
      <c r="V427" s="147"/>
      <c r="W427" s="146"/>
    </row>
    <row r="428">
      <c r="A428" s="146"/>
      <c r="B428" s="146"/>
      <c r="C428" s="146"/>
      <c r="D428" s="147"/>
      <c r="E428" s="146"/>
      <c r="F428" s="146"/>
      <c r="G428" s="146"/>
      <c r="H428" s="147"/>
      <c r="I428" s="146"/>
      <c r="J428" s="148"/>
      <c r="K428" s="148"/>
      <c r="L428" s="148"/>
      <c r="M428" s="147"/>
      <c r="N428" s="146"/>
      <c r="O428" s="147"/>
      <c r="P428" s="147"/>
      <c r="Q428" s="147"/>
      <c r="R428" s="146"/>
      <c r="S428" s="146"/>
      <c r="T428" s="146"/>
      <c r="U428" s="146"/>
      <c r="V428" s="147"/>
      <c r="W428" s="146"/>
    </row>
    <row r="429">
      <c r="A429" s="146"/>
      <c r="B429" s="146"/>
      <c r="C429" s="146"/>
      <c r="D429" s="147"/>
      <c r="E429" s="146"/>
      <c r="F429" s="146"/>
      <c r="G429" s="146"/>
      <c r="H429" s="147"/>
      <c r="I429" s="146"/>
      <c r="J429" s="148"/>
      <c r="K429" s="148"/>
      <c r="L429" s="148"/>
      <c r="M429" s="147"/>
      <c r="N429" s="146"/>
      <c r="O429" s="147"/>
      <c r="P429" s="147"/>
      <c r="Q429" s="147"/>
      <c r="R429" s="146"/>
      <c r="S429" s="146"/>
      <c r="T429" s="146"/>
      <c r="U429" s="146"/>
      <c r="V429" s="147"/>
      <c r="W429" s="146"/>
    </row>
    <row r="430">
      <c r="A430" s="146"/>
      <c r="B430" s="146"/>
      <c r="C430" s="146"/>
      <c r="D430" s="147"/>
      <c r="E430" s="146"/>
      <c r="F430" s="146"/>
      <c r="G430" s="146"/>
      <c r="H430" s="147"/>
      <c r="I430" s="146"/>
      <c r="J430" s="148"/>
      <c r="K430" s="148"/>
      <c r="L430" s="148"/>
      <c r="M430" s="147"/>
      <c r="N430" s="146"/>
      <c r="O430" s="147"/>
      <c r="P430" s="147"/>
      <c r="Q430" s="147"/>
      <c r="R430" s="146"/>
      <c r="S430" s="146"/>
      <c r="T430" s="146"/>
      <c r="U430" s="146"/>
      <c r="V430" s="147"/>
      <c r="W430" s="146"/>
    </row>
    <row r="431">
      <c r="A431" s="146"/>
      <c r="B431" s="146"/>
      <c r="C431" s="146"/>
      <c r="D431" s="147"/>
      <c r="E431" s="146"/>
      <c r="F431" s="146"/>
      <c r="G431" s="146"/>
      <c r="H431" s="147"/>
      <c r="I431" s="146"/>
      <c r="J431" s="148"/>
      <c r="K431" s="148"/>
      <c r="L431" s="148"/>
      <c r="M431" s="147"/>
      <c r="N431" s="146"/>
      <c r="O431" s="147"/>
      <c r="P431" s="147"/>
      <c r="Q431" s="147"/>
      <c r="R431" s="146"/>
      <c r="S431" s="146"/>
      <c r="T431" s="146"/>
      <c r="U431" s="146"/>
      <c r="V431" s="147"/>
      <c r="W431" s="146"/>
    </row>
    <row r="432">
      <c r="A432" s="146"/>
      <c r="B432" s="146"/>
      <c r="C432" s="146"/>
      <c r="D432" s="147"/>
      <c r="E432" s="146"/>
      <c r="F432" s="146"/>
      <c r="G432" s="146"/>
      <c r="H432" s="147"/>
      <c r="I432" s="146"/>
      <c r="J432" s="148"/>
      <c r="K432" s="148"/>
      <c r="L432" s="148"/>
      <c r="M432" s="147"/>
      <c r="N432" s="146"/>
      <c r="O432" s="147"/>
      <c r="P432" s="147"/>
      <c r="Q432" s="147"/>
      <c r="R432" s="146"/>
      <c r="S432" s="146"/>
      <c r="T432" s="146"/>
      <c r="U432" s="146"/>
      <c r="V432" s="147"/>
      <c r="W432" s="146"/>
    </row>
    <row r="433">
      <c r="A433" s="146"/>
      <c r="B433" s="146"/>
      <c r="C433" s="146"/>
      <c r="D433" s="147"/>
      <c r="E433" s="146"/>
      <c r="F433" s="146"/>
      <c r="G433" s="146"/>
      <c r="H433" s="147"/>
      <c r="I433" s="146"/>
      <c r="J433" s="148"/>
      <c r="K433" s="148"/>
      <c r="L433" s="148"/>
      <c r="M433" s="147"/>
      <c r="N433" s="146"/>
      <c r="O433" s="147"/>
      <c r="P433" s="147"/>
      <c r="Q433" s="147"/>
      <c r="R433" s="146"/>
      <c r="S433" s="146"/>
      <c r="T433" s="146"/>
      <c r="U433" s="146"/>
      <c r="V433" s="147"/>
      <c r="W433" s="146"/>
    </row>
    <row r="434">
      <c r="A434" s="146"/>
      <c r="B434" s="146"/>
      <c r="C434" s="146"/>
      <c r="D434" s="147"/>
      <c r="E434" s="146"/>
      <c r="F434" s="146"/>
      <c r="G434" s="146"/>
      <c r="H434" s="147"/>
      <c r="I434" s="146"/>
      <c r="J434" s="148"/>
      <c r="K434" s="148"/>
      <c r="L434" s="148"/>
      <c r="M434" s="147"/>
      <c r="N434" s="146"/>
      <c r="O434" s="147"/>
      <c r="P434" s="147"/>
      <c r="Q434" s="147"/>
      <c r="R434" s="146"/>
      <c r="S434" s="146"/>
      <c r="T434" s="146"/>
      <c r="U434" s="146"/>
      <c r="V434" s="147"/>
      <c r="W434" s="146"/>
    </row>
    <row r="435">
      <c r="A435" s="146"/>
      <c r="B435" s="146"/>
      <c r="C435" s="146"/>
      <c r="D435" s="147"/>
      <c r="E435" s="146"/>
      <c r="F435" s="146"/>
      <c r="G435" s="146"/>
      <c r="H435" s="147"/>
      <c r="I435" s="146"/>
      <c r="J435" s="148"/>
      <c r="K435" s="148"/>
      <c r="L435" s="148"/>
      <c r="M435" s="147"/>
      <c r="N435" s="146"/>
      <c r="O435" s="147"/>
      <c r="P435" s="147"/>
      <c r="Q435" s="147"/>
      <c r="R435" s="146"/>
      <c r="S435" s="146"/>
      <c r="T435" s="146"/>
      <c r="U435" s="146"/>
      <c r="V435" s="147"/>
      <c r="W435" s="146"/>
    </row>
    <row r="436">
      <c r="A436" s="146"/>
      <c r="B436" s="146"/>
      <c r="C436" s="146"/>
      <c r="D436" s="147"/>
      <c r="E436" s="146"/>
      <c r="F436" s="146"/>
      <c r="G436" s="146"/>
      <c r="H436" s="147"/>
      <c r="I436" s="146"/>
      <c r="J436" s="148"/>
      <c r="K436" s="148"/>
      <c r="L436" s="148"/>
      <c r="M436" s="147"/>
      <c r="N436" s="146"/>
      <c r="O436" s="147"/>
      <c r="P436" s="147"/>
      <c r="Q436" s="147"/>
      <c r="R436" s="146"/>
      <c r="S436" s="146"/>
      <c r="T436" s="146"/>
      <c r="U436" s="146"/>
      <c r="V436" s="147"/>
      <c r="W436" s="146"/>
    </row>
    <row r="437">
      <c r="A437" s="146"/>
      <c r="B437" s="146"/>
      <c r="C437" s="146"/>
      <c r="D437" s="147"/>
      <c r="E437" s="146"/>
      <c r="F437" s="146"/>
      <c r="G437" s="146"/>
      <c r="H437" s="147"/>
      <c r="I437" s="146"/>
      <c r="J437" s="148"/>
      <c r="K437" s="148"/>
      <c r="L437" s="148"/>
      <c r="M437" s="147"/>
      <c r="N437" s="146"/>
      <c r="O437" s="147"/>
      <c r="P437" s="147"/>
      <c r="Q437" s="147"/>
      <c r="R437" s="146"/>
      <c r="S437" s="146"/>
      <c r="T437" s="146"/>
      <c r="U437" s="146"/>
      <c r="V437" s="147"/>
      <c r="W437" s="146"/>
    </row>
    <row r="438">
      <c r="A438" s="146"/>
      <c r="B438" s="146"/>
      <c r="C438" s="146"/>
      <c r="D438" s="147"/>
      <c r="E438" s="146"/>
      <c r="F438" s="146"/>
      <c r="G438" s="146"/>
      <c r="H438" s="147"/>
      <c r="I438" s="146"/>
      <c r="J438" s="148"/>
      <c r="K438" s="148"/>
      <c r="L438" s="148"/>
      <c r="M438" s="147"/>
      <c r="N438" s="146"/>
      <c r="O438" s="147"/>
      <c r="P438" s="147"/>
      <c r="Q438" s="147"/>
      <c r="R438" s="146"/>
      <c r="S438" s="146"/>
      <c r="T438" s="146"/>
      <c r="U438" s="146"/>
      <c r="V438" s="147"/>
      <c r="W438" s="146"/>
    </row>
    <row r="439">
      <c r="A439" s="146"/>
      <c r="B439" s="146"/>
      <c r="C439" s="146"/>
      <c r="D439" s="147"/>
      <c r="E439" s="146"/>
      <c r="F439" s="146"/>
      <c r="G439" s="146"/>
      <c r="H439" s="147"/>
      <c r="I439" s="146"/>
      <c r="J439" s="148"/>
      <c r="K439" s="148"/>
      <c r="L439" s="148"/>
      <c r="M439" s="147"/>
      <c r="N439" s="146"/>
      <c r="O439" s="147"/>
      <c r="P439" s="147"/>
      <c r="Q439" s="147"/>
      <c r="R439" s="146"/>
      <c r="S439" s="146"/>
      <c r="T439" s="146"/>
      <c r="U439" s="146"/>
      <c r="V439" s="147"/>
      <c r="W439" s="146"/>
    </row>
    <row r="440">
      <c r="A440" s="146"/>
      <c r="B440" s="146"/>
      <c r="C440" s="146"/>
      <c r="D440" s="147"/>
      <c r="E440" s="146"/>
      <c r="F440" s="146"/>
      <c r="G440" s="146"/>
      <c r="H440" s="147"/>
      <c r="I440" s="146"/>
      <c r="J440" s="148"/>
      <c r="K440" s="148"/>
      <c r="L440" s="148"/>
      <c r="M440" s="147"/>
      <c r="N440" s="146"/>
      <c r="O440" s="147"/>
      <c r="P440" s="147"/>
      <c r="Q440" s="147"/>
      <c r="R440" s="146"/>
      <c r="S440" s="146"/>
      <c r="T440" s="146"/>
      <c r="U440" s="146"/>
      <c r="V440" s="147"/>
      <c r="W440" s="146"/>
    </row>
    <row r="441">
      <c r="A441" s="146"/>
      <c r="B441" s="146"/>
      <c r="C441" s="146"/>
      <c r="D441" s="147"/>
      <c r="E441" s="146"/>
      <c r="F441" s="146"/>
      <c r="G441" s="146"/>
      <c r="H441" s="147"/>
      <c r="I441" s="146"/>
      <c r="J441" s="148"/>
      <c r="K441" s="148"/>
      <c r="L441" s="148"/>
      <c r="M441" s="147"/>
      <c r="N441" s="146"/>
      <c r="O441" s="147"/>
      <c r="P441" s="147"/>
      <c r="Q441" s="147"/>
      <c r="R441" s="146"/>
      <c r="S441" s="146"/>
      <c r="T441" s="146"/>
      <c r="U441" s="146"/>
      <c r="V441" s="147"/>
      <c r="W441" s="146"/>
    </row>
    <row r="442">
      <c r="A442" s="146"/>
      <c r="B442" s="146"/>
      <c r="C442" s="146"/>
      <c r="D442" s="147"/>
      <c r="E442" s="146"/>
      <c r="F442" s="146"/>
      <c r="G442" s="146"/>
      <c r="H442" s="147"/>
      <c r="I442" s="146"/>
      <c r="J442" s="148"/>
      <c r="K442" s="148"/>
      <c r="L442" s="148"/>
      <c r="M442" s="147"/>
      <c r="N442" s="146"/>
      <c r="O442" s="147"/>
      <c r="P442" s="147"/>
      <c r="Q442" s="147"/>
      <c r="R442" s="146"/>
      <c r="S442" s="146"/>
      <c r="T442" s="146"/>
      <c r="U442" s="146"/>
      <c r="V442" s="147"/>
      <c r="W442" s="146"/>
    </row>
    <row r="443">
      <c r="A443" s="146"/>
      <c r="B443" s="146"/>
      <c r="C443" s="146"/>
      <c r="D443" s="147"/>
      <c r="E443" s="146"/>
      <c r="F443" s="146"/>
      <c r="G443" s="146"/>
      <c r="H443" s="147"/>
      <c r="I443" s="146"/>
      <c r="J443" s="148"/>
      <c r="K443" s="148"/>
      <c r="L443" s="148"/>
      <c r="M443" s="147"/>
      <c r="N443" s="146"/>
      <c r="O443" s="147"/>
      <c r="P443" s="147"/>
      <c r="Q443" s="147"/>
      <c r="R443" s="146"/>
      <c r="S443" s="146"/>
      <c r="T443" s="146"/>
      <c r="U443" s="146"/>
      <c r="V443" s="147"/>
      <c r="W443" s="146"/>
    </row>
    <row r="444">
      <c r="A444" s="146"/>
      <c r="B444" s="146"/>
      <c r="C444" s="146"/>
      <c r="D444" s="147"/>
      <c r="E444" s="146"/>
      <c r="F444" s="146"/>
      <c r="G444" s="146"/>
      <c r="H444" s="147"/>
      <c r="I444" s="146"/>
      <c r="J444" s="148"/>
      <c r="K444" s="148"/>
      <c r="L444" s="148"/>
      <c r="M444" s="147"/>
      <c r="N444" s="146"/>
      <c r="O444" s="147"/>
      <c r="P444" s="147"/>
      <c r="Q444" s="147"/>
      <c r="R444" s="146"/>
      <c r="S444" s="146"/>
      <c r="T444" s="146"/>
      <c r="U444" s="146"/>
      <c r="V444" s="147"/>
      <c r="W444" s="146"/>
    </row>
    <row r="445">
      <c r="A445" s="146"/>
      <c r="B445" s="146"/>
      <c r="C445" s="146"/>
      <c r="D445" s="147"/>
      <c r="E445" s="146"/>
      <c r="F445" s="146"/>
      <c r="G445" s="146"/>
      <c r="H445" s="147"/>
      <c r="I445" s="146"/>
      <c r="J445" s="148"/>
      <c r="K445" s="148"/>
      <c r="L445" s="148"/>
      <c r="M445" s="147"/>
      <c r="N445" s="146"/>
      <c r="O445" s="147"/>
      <c r="P445" s="147"/>
      <c r="Q445" s="147"/>
      <c r="R445" s="146"/>
      <c r="S445" s="146"/>
      <c r="T445" s="146"/>
      <c r="U445" s="146"/>
      <c r="V445" s="147"/>
      <c r="W445" s="146"/>
    </row>
    <row r="446">
      <c r="A446" s="146"/>
      <c r="B446" s="146"/>
      <c r="C446" s="146"/>
      <c r="D446" s="147"/>
      <c r="E446" s="146"/>
      <c r="F446" s="146"/>
      <c r="G446" s="146"/>
      <c r="H446" s="147"/>
      <c r="I446" s="146"/>
      <c r="J446" s="148"/>
      <c r="K446" s="148"/>
      <c r="L446" s="148"/>
      <c r="M446" s="147"/>
      <c r="N446" s="146"/>
      <c r="O446" s="147"/>
      <c r="P446" s="147"/>
      <c r="Q446" s="147"/>
      <c r="R446" s="146"/>
      <c r="S446" s="146"/>
      <c r="T446" s="146"/>
      <c r="U446" s="146"/>
      <c r="V446" s="147"/>
      <c r="W446" s="146"/>
    </row>
    <row r="447">
      <c r="A447" s="146"/>
      <c r="B447" s="146"/>
      <c r="C447" s="146"/>
      <c r="D447" s="147"/>
      <c r="E447" s="146"/>
      <c r="F447" s="146"/>
      <c r="G447" s="146"/>
      <c r="H447" s="147"/>
      <c r="I447" s="146"/>
      <c r="J447" s="148"/>
      <c r="K447" s="148"/>
      <c r="L447" s="148"/>
      <c r="M447" s="147"/>
      <c r="N447" s="146"/>
      <c r="O447" s="147"/>
      <c r="P447" s="147"/>
      <c r="Q447" s="147"/>
      <c r="R447" s="146"/>
      <c r="S447" s="146"/>
      <c r="T447" s="146"/>
      <c r="U447" s="146"/>
      <c r="V447" s="147"/>
      <c r="W447" s="146"/>
    </row>
    <row r="448">
      <c r="A448" s="146"/>
      <c r="B448" s="146"/>
      <c r="C448" s="146"/>
      <c r="D448" s="147"/>
      <c r="E448" s="146"/>
      <c r="F448" s="146"/>
      <c r="G448" s="146"/>
      <c r="H448" s="147"/>
      <c r="I448" s="146"/>
      <c r="J448" s="148"/>
      <c r="K448" s="148"/>
      <c r="L448" s="148"/>
      <c r="M448" s="147"/>
      <c r="N448" s="146"/>
      <c r="O448" s="147"/>
      <c r="P448" s="147"/>
      <c r="Q448" s="147"/>
      <c r="R448" s="146"/>
      <c r="S448" s="146"/>
      <c r="T448" s="146"/>
      <c r="U448" s="146"/>
      <c r="V448" s="147"/>
      <c r="W448" s="146"/>
    </row>
    <row r="449">
      <c r="A449" s="146"/>
      <c r="B449" s="146"/>
      <c r="C449" s="146"/>
      <c r="D449" s="147"/>
      <c r="E449" s="146"/>
      <c r="F449" s="146"/>
      <c r="G449" s="146"/>
      <c r="H449" s="147"/>
      <c r="I449" s="146"/>
      <c r="J449" s="148"/>
      <c r="K449" s="148"/>
      <c r="L449" s="148"/>
      <c r="M449" s="147"/>
      <c r="N449" s="146"/>
      <c r="O449" s="147"/>
      <c r="P449" s="147"/>
      <c r="Q449" s="147"/>
      <c r="R449" s="146"/>
      <c r="S449" s="146"/>
      <c r="T449" s="146"/>
      <c r="U449" s="146"/>
      <c r="V449" s="147"/>
      <c r="W449" s="146"/>
    </row>
    <row r="450">
      <c r="A450" s="146"/>
      <c r="B450" s="146"/>
      <c r="C450" s="146"/>
      <c r="D450" s="147"/>
      <c r="E450" s="146"/>
      <c r="F450" s="146"/>
      <c r="G450" s="146"/>
      <c r="H450" s="147"/>
      <c r="I450" s="146"/>
      <c r="J450" s="148"/>
      <c r="K450" s="148"/>
      <c r="L450" s="148"/>
      <c r="M450" s="147"/>
      <c r="N450" s="146"/>
      <c r="O450" s="147"/>
      <c r="P450" s="147"/>
      <c r="Q450" s="147"/>
      <c r="R450" s="146"/>
      <c r="S450" s="146"/>
      <c r="T450" s="146"/>
      <c r="U450" s="146"/>
      <c r="V450" s="147"/>
      <c r="W450" s="146"/>
    </row>
    <row r="451">
      <c r="A451" s="146"/>
      <c r="B451" s="146"/>
      <c r="C451" s="146"/>
      <c r="D451" s="147"/>
      <c r="E451" s="146"/>
      <c r="F451" s="146"/>
      <c r="G451" s="146"/>
      <c r="H451" s="147"/>
      <c r="I451" s="146"/>
      <c r="J451" s="148"/>
      <c r="K451" s="148"/>
      <c r="L451" s="148"/>
      <c r="M451" s="147"/>
      <c r="N451" s="146"/>
      <c r="O451" s="147"/>
      <c r="P451" s="147"/>
      <c r="Q451" s="147"/>
      <c r="R451" s="146"/>
      <c r="S451" s="146"/>
      <c r="T451" s="146"/>
      <c r="U451" s="146"/>
      <c r="V451" s="147"/>
      <c r="W451" s="146"/>
    </row>
    <row r="452">
      <c r="A452" s="146"/>
      <c r="B452" s="146"/>
      <c r="C452" s="146"/>
      <c r="D452" s="147"/>
      <c r="E452" s="146"/>
      <c r="F452" s="146"/>
      <c r="G452" s="146"/>
      <c r="H452" s="147"/>
      <c r="I452" s="146"/>
      <c r="J452" s="148"/>
      <c r="K452" s="148"/>
      <c r="L452" s="148"/>
      <c r="M452" s="147"/>
      <c r="N452" s="146"/>
      <c r="O452" s="147"/>
      <c r="P452" s="147"/>
      <c r="Q452" s="147"/>
      <c r="R452" s="146"/>
      <c r="S452" s="146"/>
      <c r="T452" s="146"/>
      <c r="U452" s="146"/>
      <c r="V452" s="147"/>
      <c r="W452" s="146"/>
    </row>
    <row r="453">
      <c r="A453" s="146"/>
      <c r="B453" s="146"/>
      <c r="C453" s="146"/>
      <c r="D453" s="147"/>
      <c r="E453" s="146"/>
      <c r="F453" s="146"/>
      <c r="G453" s="146"/>
      <c r="H453" s="147"/>
      <c r="I453" s="146"/>
      <c r="J453" s="148"/>
      <c r="K453" s="148"/>
      <c r="L453" s="148"/>
      <c r="M453" s="147"/>
      <c r="N453" s="146"/>
      <c r="O453" s="147"/>
      <c r="P453" s="147"/>
      <c r="Q453" s="147"/>
      <c r="R453" s="146"/>
      <c r="S453" s="146"/>
      <c r="T453" s="146"/>
      <c r="U453" s="146"/>
      <c r="V453" s="147"/>
      <c r="W453" s="146"/>
    </row>
    <row r="454">
      <c r="A454" s="146"/>
      <c r="B454" s="146"/>
      <c r="C454" s="146"/>
      <c r="D454" s="147"/>
      <c r="E454" s="146"/>
      <c r="F454" s="146"/>
      <c r="G454" s="146"/>
      <c r="H454" s="147"/>
      <c r="I454" s="146"/>
      <c r="J454" s="148"/>
      <c r="K454" s="148"/>
      <c r="L454" s="148"/>
      <c r="M454" s="147"/>
      <c r="N454" s="146"/>
      <c r="O454" s="147"/>
      <c r="P454" s="147"/>
      <c r="Q454" s="147"/>
      <c r="R454" s="146"/>
      <c r="S454" s="146"/>
      <c r="T454" s="146"/>
      <c r="U454" s="146"/>
      <c r="V454" s="147"/>
      <c r="W454" s="146"/>
    </row>
    <row r="455">
      <c r="A455" s="146"/>
      <c r="B455" s="146"/>
      <c r="C455" s="146"/>
      <c r="D455" s="147"/>
      <c r="E455" s="146"/>
      <c r="F455" s="146"/>
      <c r="G455" s="146"/>
      <c r="H455" s="147"/>
      <c r="I455" s="146"/>
      <c r="J455" s="148"/>
      <c r="K455" s="148"/>
      <c r="L455" s="148"/>
      <c r="M455" s="147"/>
      <c r="N455" s="146"/>
      <c r="O455" s="147"/>
      <c r="P455" s="147"/>
      <c r="Q455" s="147"/>
      <c r="R455" s="146"/>
      <c r="S455" s="146"/>
      <c r="T455" s="146"/>
      <c r="U455" s="146"/>
      <c r="V455" s="147"/>
      <c r="W455" s="146"/>
    </row>
    <row r="456">
      <c r="A456" s="146"/>
      <c r="B456" s="146"/>
      <c r="C456" s="146"/>
      <c r="D456" s="147"/>
      <c r="E456" s="146"/>
      <c r="F456" s="146"/>
      <c r="G456" s="146"/>
      <c r="H456" s="147"/>
      <c r="I456" s="146"/>
      <c r="J456" s="148"/>
      <c r="K456" s="148"/>
      <c r="L456" s="148"/>
      <c r="M456" s="147"/>
      <c r="N456" s="146"/>
      <c r="O456" s="147"/>
      <c r="P456" s="147"/>
      <c r="Q456" s="147"/>
      <c r="R456" s="146"/>
      <c r="S456" s="146"/>
      <c r="T456" s="146"/>
      <c r="U456" s="146"/>
      <c r="V456" s="147"/>
      <c r="W456" s="146"/>
    </row>
    <row r="457">
      <c r="A457" s="146"/>
      <c r="B457" s="146"/>
      <c r="C457" s="146"/>
      <c r="D457" s="147"/>
      <c r="E457" s="146"/>
      <c r="F457" s="146"/>
      <c r="G457" s="146"/>
      <c r="H457" s="147"/>
      <c r="I457" s="146"/>
      <c r="J457" s="148"/>
      <c r="K457" s="148"/>
      <c r="L457" s="148"/>
      <c r="M457" s="147"/>
      <c r="N457" s="146"/>
      <c r="O457" s="147"/>
      <c r="P457" s="147"/>
      <c r="Q457" s="147"/>
      <c r="R457" s="146"/>
      <c r="S457" s="146"/>
      <c r="T457" s="146"/>
      <c r="U457" s="146"/>
      <c r="V457" s="147"/>
      <c r="W457" s="146"/>
    </row>
    <row r="458">
      <c r="A458" s="146"/>
      <c r="B458" s="146"/>
      <c r="C458" s="146"/>
      <c r="D458" s="147"/>
      <c r="E458" s="146"/>
      <c r="F458" s="146"/>
      <c r="G458" s="146"/>
      <c r="H458" s="147"/>
      <c r="I458" s="146"/>
      <c r="J458" s="148"/>
      <c r="K458" s="148"/>
      <c r="L458" s="148"/>
      <c r="M458" s="147"/>
      <c r="N458" s="146"/>
      <c r="O458" s="147"/>
      <c r="P458" s="147"/>
      <c r="Q458" s="147"/>
      <c r="R458" s="146"/>
      <c r="S458" s="146"/>
      <c r="T458" s="146"/>
      <c r="U458" s="146"/>
      <c r="V458" s="147"/>
      <c r="W458" s="146"/>
    </row>
    <row r="459">
      <c r="A459" s="146"/>
      <c r="B459" s="146"/>
      <c r="C459" s="146"/>
      <c r="D459" s="147"/>
      <c r="E459" s="146"/>
      <c r="F459" s="146"/>
      <c r="G459" s="146"/>
      <c r="H459" s="147"/>
      <c r="I459" s="146"/>
      <c r="J459" s="148"/>
      <c r="K459" s="148"/>
      <c r="L459" s="148"/>
      <c r="M459" s="147"/>
      <c r="N459" s="146"/>
      <c r="O459" s="147"/>
      <c r="P459" s="147"/>
      <c r="Q459" s="147"/>
      <c r="R459" s="146"/>
      <c r="S459" s="146"/>
      <c r="T459" s="146"/>
      <c r="U459" s="146"/>
      <c r="V459" s="147"/>
      <c r="W459" s="146"/>
    </row>
    <row r="460">
      <c r="A460" s="146"/>
      <c r="B460" s="146"/>
      <c r="C460" s="146"/>
      <c r="D460" s="147"/>
      <c r="E460" s="146"/>
      <c r="F460" s="146"/>
      <c r="G460" s="146"/>
      <c r="H460" s="147"/>
      <c r="I460" s="146"/>
      <c r="J460" s="148"/>
      <c r="K460" s="148"/>
      <c r="L460" s="148"/>
      <c r="M460" s="147"/>
      <c r="N460" s="146"/>
      <c r="O460" s="147"/>
      <c r="P460" s="147"/>
      <c r="Q460" s="147"/>
      <c r="R460" s="146"/>
      <c r="S460" s="146"/>
      <c r="T460" s="146"/>
      <c r="U460" s="146"/>
      <c r="V460" s="147"/>
      <c r="W460" s="146"/>
    </row>
    <row r="461">
      <c r="A461" s="146"/>
      <c r="B461" s="146"/>
      <c r="C461" s="146"/>
      <c r="D461" s="147"/>
      <c r="E461" s="146"/>
      <c r="F461" s="146"/>
      <c r="G461" s="146"/>
      <c r="H461" s="147"/>
      <c r="I461" s="146"/>
      <c r="J461" s="148"/>
      <c r="K461" s="148"/>
      <c r="L461" s="148"/>
      <c r="M461" s="147"/>
      <c r="N461" s="146"/>
      <c r="O461" s="147"/>
      <c r="P461" s="147"/>
      <c r="Q461" s="147"/>
      <c r="R461" s="146"/>
      <c r="S461" s="146"/>
      <c r="T461" s="146"/>
      <c r="U461" s="146"/>
      <c r="V461" s="147"/>
      <c r="W461" s="146"/>
    </row>
    <row r="462">
      <c r="A462" s="146"/>
      <c r="B462" s="146"/>
      <c r="C462" s="146"/>
      <c r="D462" s="147"/>
      <c r="E462" s="146"/>
      <c r="F462" s="146"/>
      <c r="G462" s="146"/>
      <c r="H462" s="147"/>
      <c r="I462" s="146"/>
      <c r="J462" s="148"/>
      <c r="K462" s="148"/>
      <c r="L462" s="148"/>
      <c r="M462" s="147"/>
      <c r="N462" s="146"/>
      <c r="O462" s="147"/>
      <c r="P462" s="147"/>
      <c r="Q462" s="147"/>
      <c r="R462" s="146"/>
      <c r="S462" s="146"/>
      <c r="T462" s="146"/>
      <c r="U462" s="146"/>
      <c r="V462" s="147"/>
      <c r="W462" s="146"/>
    </row>
    <row r="463">
      <c r="A463" s="146"/>
      <c r="B463" s="146"/>
      <c r="C463" s="146"/>
      <c r="D463" s="147"/>
      <c r="E463" s="146"/>
      <c r="F463" s="146"/>
      <c r="G463" s="146"/>
      <c r="H463" s="147"/>
      <c r="I463" s="146"/>
      <c r="J463" s="148"/>
      <c r="K463" s="148"/>
      <c r="L463" s="148"/>
      <c r="M463" s="147"/>
      <c r="N463" s="146"/>
      <c r="O463" s="147"/>
      <c r="P463" s="147"/>
      <c r="Q463" s="147"/>
      <c r="R463" s="146"/>
      <c r="S463" s="146"/>
      <c r="T463" s="146"/>
      <c r="U463" s="146"/>
      <c r="V463" s="147"/>
      <c r="W463" s="146"/>
    </row>
    <row r="464">
      <c r="A464" s="146"/>
      <c r="B464" s="146"/>
      <c r="C464" s="146"/>
      <c r="D464" s="147"/>
      <c r="E464" s="146"/>
      <c r="F464" s="146"/>
      <c r="G464" s="146"/>
      <c r="H464" s="147"/>
      <c r="I464" s="146"/>
      <c r="J464" s="148"/>
      <c r="K464" s="148"/>
      <c r="L464" s="148"/>
      <c r="M464" s="147"/>
      <c r="N464" s="146"/>
      <c r="O464" s="147"/>
      <c r="P464" s="147"/>
      <c r="Q464" s="147"/>
      <c r="R464" s="146"/>
      <c r="S464" s="146"/>
      <c r="T464" s="146"/>
      <c r="U464" s="146"/>
      <c r="V464" s="147"/>
      <c r="W464" s="146"/>
    </row>
    <row r="465">
      <c r="A465" s="146"/>
      <c r="B465" s="146"/>
      <c r="C465" s="146"/>
      <c r="D465" s="147"/>
      <c r="E465" s="146"/>
      <c r="F465" s="146"/>
      <c r="G465" s="146"/>
      <c r="H465" s="147"/>
      <c r="I465" s="146"/>
      <c r="J465" s="148"/>
      <c r="K465" s="148"/>
      <c r="L465" s="148"/>
      <c r="M465" s="147"/>
      <c r="N465" s="146"/>
      <c r="O465" s="147"/>
      <c r="P465" s="147"/>
      <c r="Q465" s="147"/>
      <c r="R465" s="146"/>
      <c r="S465" s="146"/>
      <c r="T465" s="146"/>
      <c r="U465" s="146"/>
      <c r="V465" s="147"/>
      <c r="W465" s="146"/>
    </row>
    <row r="466">
      <c r="A466" s="146"/>
      <c r="B466" s="146"/>
      <c r="C466" s="146"/>
      <c r="D466" s="147"/>
      <c r="E466" s="146"/>
      <c r="F466" s="146"/>
      <c r="G466" s="146"/>
      <c r="H466" s="147"/>
      <c r="I466" s="146"/>
      <c r="J466" s="148"/>
      <c r="K466" s="148"/>
      <c r="L466" s="148"/>
      <c r="M466" s="147"/>
      <c r="N466" s="146"/>
      <c r="O466" s="147"/>
      <c r="P466" s="147"/>
      <c r="Q466" s="147"/>
      <c r="R466" s="146"/>
      <c r="S466" s="146"/>
      <c r="T466" s="146"/>
      <c r="U466" s="146"/>
      <c r="V466" s="147"/>
      <c r="W466" s="146"/>
    </row>
    <row r="467">
      <c r="A467" s="146"/>
      <c r="B467" s="146"/>
      <c r="C467" s="146"/>
      <c r="D467" s="147"/>
      <c r="E467" s="146"/>
      <c r="F467" s="146"/>
      <c r="G467" s="146"/>
      <c r="H467" s="147"/>
      <c r="I467" s="146"/>
      <c r="J467" s="148"/>
      <c r="K467" s="148"/>
      <c r="L467" s="148"/>
      <c r="M467" s="147"/>
      <c r="N467" s="146"/>
      <c r="O467" s="147"/>
      <c r="P467" s="147"/>
      <c r="Q467" s="147"/>
      <c r="R467" s="146"/>
      <c r="S467" s="146"/>
      <c r="T467" s="146"/>
      <c r="U467" s="146"/>
      <c r="V467" s="147"/>
      <c r="W467" s="146"/>
    </row>
    <row r="468">
      <c r="A468" s="146"/>
      <c r="B468" s="146"/>
      <c r="C468" s="146"/>
      <c r="D468" s="147"/>
      <c r="E468" s="146"/>
      <c r="F468" s="146"/>
      <c r="G468" s="146"/>
      <c r="H468" s="147"/>
      <c r="I468" s="146"/>
      <c r="J468" s="148"/>
      <c r="K468" s="148"/>
      <c r="L468" s="148"/>
      <c r="M468" s="147"/>
      <c r="N468" s="146"/>
      <c r="O468" s="147"/>
      <c r="P468" s="147"/>
      <c r="Q468" s="147"/>
      <c r="R468" s="146"/>
      <c r="S468" s="146"/>
      <c r="T468" s="146"/>
      <c r="U468" s="146"/>
      <c r="V468" s="147"/>
      <c r="W468" s="146"/>
    </row>
    <row r="469">
      <c r="A469" s="146"/>
      <c r="B469" s="146"/>
      <c r="C469" s="146"/>
      <c r="D469" s="147"/>
      <c r="E469" s="146"/>
      <c r="F469" s="146"/>
      <c r="G469" s="146"/>
      <c r="H469" s="147"/>
      <c r="I469" s="146"/>
      <c r="J469" s="148"/>
      <c r="K469" s="148"/>
      <c r="L469" s="148"/>
      <c r="M469" s="147"/>
      <c r="N469" s="146"/>
      <c r="O469" s="147"/>
      <c r="P469" s="147"/>
      <c r="Q469" s="147"/>
      <c r="R469" s="146"/>
      <c r="S469" s="146"/>
      <c r="T469" s="146"/>
      <c r="U469" s="146"/>
      <c r="V469" s="147"/>
      <c r="W469" s="146"/>
    </row>
    <row r="470">
      <c r="A470" s="146"/>
      <c r="B470" s="146"/>
      <c r="C470" s="146"/>
      <c r="D470" s="147"/>
      <c r="E470" s="146"/>
      <c r="F470" s="146"/>
      <c r="G470" s="146"/>
      <c r="H470" s="147"/>
      <c r="I470" s="146"/>
      <c r="J470" s="148"/>
      <c r="K470" s="148"/>
      <c r="L470" s="148"/>
      <c r="M470" s="147"/>
      <c r="N470" s="146"/>
      <c r="O470" s="147"/>
      <c r="P470" s="147"/>
      <c r="Q470" s="147"/>
      <c r="R470" s="146"/>
      <c r="S470" s="146"/>
      <c r="T470" s="146"/>
      <c r="U470" s="146"/>
      <c r="V470" s="147"/>
      <c r="W470" s="146"/>
    </row>
    <row r="471">
      <c r="A471" s="146"/>
      <c r="B471" s="146"/>
      <c r="C471" s="146"/>
      <c r="D471" s="147"/>
      <c r="E471" s="146"/>
      <c r="F471" s="146"/>
      <c r="G471" s="146"/>
      <c r="H471" s="147"/>
      <c r="I471" s="146"/>
      <c r="J471" s="148"/>
      <c r="K471" s="148"/>
      <c r="L471" s="148"/>
      <c r="M471" s="147"/>
      <c r="N471" s="146"/>
      <c r="O471" s="147"/>
      <c r="P471" s="147"/>
      <c r="Q471" s="147"/>
      <c r="R471" s="146"/>
      <c r="S471" s="146"/>
      <c r="T471" s="146"/>
      <c r="U471" s="146"/>
      <c r="V471" s="147"/>
      <c r="W471" s="146"/>
    </row>
    <row r="472">
      <c r="A472" s="146"/>
      <c r="B472" s="146"/>
      <c r="C472" s="146"/>
      <c r="D472" s="147"/>
      <c r="E472" s="146"/>
      <c r="F472" s="146"/>
      <c r="G472" s="146"/>
      <c r="H472" s="147"/>
      <c r="I472" s="146"/>
      <c r="J472" s="148"/>
      <c r="K472" s="148"/>
      <c r="L472" s="148"/>
      <c r="M472" s="147"/>
      <c r="N472" s="146"/>
      <c r="O472" s="147"/>
      <c r="P472" s="147"/>
      <c r="Q472" s="147"/>
      <c r="R472" s="146"/>
      <c r="S472" s="146"/>
      <c r="T472" s="146"/>
      <c r="U472" s="146"/>
      <c r="V472" s="147"/>
      <c r="W472" s="146"/>
    </row>
    <row r="473">
      <c r="A473" s="146"/>
      <c r="B473" s="146"/>
      <c r="C473" s="146"/>
      <c r="D473" s="147"/>
      <c r="E473" s="146"/>
      <c r="F473" s="146"/>
      <c r="G473" s="146"/>
      <c r="H473" s="147"/>
      <c r="I473" s="146"/>
      <c r="J473" s="148"/>
      <c r="K473" s="148"/>
      <c r="L473" s="148"/>
      <c r="M473" s="147"/>
      <c r="N473" s="146"/>
      <c r="O473" s="147"/>
      <c r="P473" s="147"/>
      <c r="Q473" s="147"/>
      <c r="R473" s="146"/>
      <c r="S473" s="146"/>
      <c r="T473" s="146"/>
      <c r="U473" s="146"/>
      <c r="V473" s="147"/>
      <c r="W473" s="146"/>
    </row>
    <row r="474">
      <c r="A474" s="146"/>
      <c r="B474" s="146"/>
      <c r="C474" s="146"/>
      <c r="D474" s="147"/>
      <c r="E474" s="146"/>
      <c r="F474" s="146"/>
      <c r="G474" s="146"/>
      <c r="H474" s="147"/>
      <c r="I474" s="146"/>
      <c r="J474" s="148"/>
      <c r="K474" s="148"/>
      <c r="L474" s="148"/>
      <c r="M474" s="147"/>
      <c r="N474" s="146"/>
      <c r="O474" s="147"/>
      <c r="P474" s="147"/>
      <c r="Q474" s="147"/>
      <c r="R474" s="146"/>
      <c r="S474" s="146"/>
      <c r="T474" s="146"/>
      <c r="U474" s="146"/>
      <c r="V474" s="147"/>
      <c r="W474" s="146"/>
    </row>
    <row r="475">
      <c r="A475" s="146"/>
      <c r="B475" s="146"/>
      <c r="C475" s="146"/>
      <c r="D475" s="147"/>
      <c r="E475" s="146"/>
      <c r="F475" s="146"/>
      <c r="G475" s="146"/>
      <c r="H475" s="147"/>
      <c r="I475" s="146"/>
      <c r="J475" s="148"/>
      <c r="K475" s="148"/>
      <c r="L475" s="148"/>
      <c r="M475" s="147"/>
      <c r="N475" s="146"/>
      <c r="O475" s="147"/>
      <c r="P475" s="147"/>
      <c r="Q475" s="147"/>
      <c r="R475" s="146"/>
      <c r="S475" s="146"/>
      <c r="T475" s="146"/>
      <c r="U475" s="146"/>
      <c r="V475" s="147"/>
      <c r="W475" s="146"/>
    </row>
    <row r="476">
      <c r="A476" s="146"/>
      <c r="B476" s="146"/>
      <c r="C476" s="146"/>
      <c r="D476" s="147"/>
      <c r="E476" s="146"/>
      <c r="F476" s="146"/>
      <c r="G476" s="146"/>
      <c r="H476" s="147"/>
      <c r="I476" s="146"/>
      <c r="J476" s="148"/>
      <c r="K476" s="148"/>
      <c r="L476" s="148"/>
      <c r="M476" s="147"/>
      <c r="N476" s="146"/>
      <c r="O476" s="147"/>
      <c r="P476" s="147"/>
      <c r="Q476" s="147"/>
      <c r="R476" s="146"/>
      <c r="S476" s="146"/>
      <c r="T476" s="146"/>
      <c r="U476" s="146"/>
      <c r="V476" s="147"/>
      <c r="W476" s="146"/>
    </row>
    <row r="477">
      <c r="A477" s="146"/>
      <c r="B477" s="146"/>
      <c r="C477" s="146"/>
      <c r="D477" s="147"/>
      <c r="E477" s="146"/>
      <c r="F477" s="146"/>
      <c r="G477" s="146"/>
      <c r="H477" s="147"/>
      <c r="I477" s="146"/>
      <c r="J477" s="148"/>
      <c r="K477" s="148"/>
      <c r="L477" s="148"/>
      <c r="M477" s="147"/>
      <c r="N477" s="146"/>
      <c r="O477" s="147"/>
      <c r="P477" s="147"/>
      <c r="Q477" s="147"/>
      <c r="R477" s="146"/>
      <c r="S477" s="146"/>
      <c r="T477" s="146"/>
      <c r="U477" s="146"/>
      <c r="V477" s="147"/>
      <c r="W477" s="146"/>
    </row>
    <row r="478">
      <c r="A478" s="146"/>
      <c r="B478" s="146"/>
      <c r="C478" s="146"/>
      <c r="D478" s="147"/>
      <c r="E478" s="146"/>
      <c r="F478" s="146"/>
      <c r="G478" s="146"/>
      <c r="H478" s="147"/>
      <c r="I478" s="146"/>
      <c r="J478" s="148"/>
      <c r="K478" s="148"/>
      <c r="L478" s="148"/>
      <c r="M478" s="147"/>
      <c r="N478" s="146"/>
      <c r="O478" s="147"/>
      <c r="P478" s="147"/>
      <c r="Q478" s="147"/>
      <c r="R478" s="146"/>
      <c r="S478" s="146"/>
      <c r="T478" s="146"/>
      <c r="U478" s="146"/>
      <c r="V478" s="147"/>
      <c r="W478" s="146"/>
    </row>
    <row r="479">
      <c r="A479" s="146"/>
      <c r="B479" s="146"/>
      <c r="C479" s="146"/>
      <c r="D479" s="147"/>
      <c r="E479" s="146"/>
      <c r="F479" s="146"/>
      <c r="G479" s="146"/>
      <c r="H479" s="147"/>
      <c r="I479" s="146"/>
      <c r="J479" s="148"/>
      <c r="K479" s="148"/>
      <c r="L479" s="148"/>
      <c r="M479" s="147"/>
      <c r="N479" s="146"/>
      <c r="O479" s="147"/>
      <c r="P479" s="147"/>
      <c r="Q479" s="147"/>
      <c r="R479" s="146"/>
      <c r="S479" s="146"/>
      <c r="T479" s="146"/>
      <c r="U479" s="146"/>
      <c r="V479" s="147"/>
      <c r="W479" s="146"/>
    </row>
    <row r="480">
      <c r="A480" s="146"/>
      <c r="B480" s="146"/>
      <c r="C480" s="146"/>
      <c r="D480" s="147"/>
      <c r="E480" s="146"/>
      <c r="F480" s="146"/>
      <c r="G480" s="146"/>
      <c r="H480" s="147"/>
      <c r="I480" s="146"/>
      <c r="J480" s="148"/>
      <c r="K480" s="148"/>
      <c r="L480" s="148"/>
      <c r="M480" s="147"/>
      <c r="N480" s="146"/>
      <c r="O480" s="147"/>
      <c r="P480" s="147"/>
      <c r="Q480" s="147"/>
      <c r="R480" s="146"/>
      <c r="S480" s="146"/>
      <c r="T480" s="146"/>
      <c r="U480" s="146"/>
      <c r="V480" s="147"/>
      <c r="W480" s="146"/>
    </row>
    <row r="481">
      <c r="A481" s="146"/>
      <c r="B481" s="146"/>
      <c r="C481" s="146"/>
      <c r="D481" s="147"/>
      <c r="E481" s="146"/>
      <c r="F481" s="146"/>
      <c r="G481" s="146"/>
      <c r="H481" s="147"/>
      <c r="I481" s="146"/>
      <c r="J481" s="148"/>
      <c r="K481" s="148"/>
      <c r="L481" s="148"/>
      <c r="M481" s="147"/>
      <c r="N481" s="146"/>
      <c r="O481" s="147"/>
      <c r="P481" s="147"/>
      <c r="Q481" s="147"/>
      <c r="R481" s="146"/>
      <c r="S481" s="146"/>
      <c r="T481" s="146"/>
      <c r="U481" s="146"/>
      <c r="V481" s="147"/>
      <c r="W481" s="146"/>
    </row>
    <row r="482">
      <c r="A482" s="146"/>
      <c r="B482" s="146"/>
      <c r="C482" s="146"/>
      <c r="D482" s="147"/>
      <c r="E482" s="146"/>
      <c r="F482" s="146"/>
      <c r="G482" s="146"/>
      <c r="H482" s="147"/>
      <c r="I482" s="146"/>
      <c r="J482" s="148"/>
      <c r="K482" s="148"/>
      <c r="L482" s="148"/>
      <c r="M482" s="147"/>
      <c r="N482" s="146"/>
      <c r="O482" s="147"/>
      <c r="P482" s="147"/>
      <c r="Q482" s="147"/>
      <c r="R482" s="146"/>
      <c r="S482" s="146"/>
      <c r="T482" s="146"/>
      <c r="U482" s="146"/>
      <c r="V482" s="147"/>
      <c r="W482" s="146"/>
    </row>
    <row r="483">
      <c r="A483" s="146"/>
      <c r="B483" s="146"/>
      <c r="C483" s="146"/>
      <c r="D483" s="147"/>
      <c r="E483" s="146"/>
      <c r="F483" s="146"/>
      <c r="G483" s="146"/>
      <c r="H483" s="147"/>
      <c r="I483" s="146"/>
      <c r="J483" s="148"/>
      <c r="K483" s="148"/>
      <c r="L483" s="148"/>
      <c r="M483" s="147"/>
      <c r="N483" s="146"/>
      <c r="O483" s="147"/>
      <c r="P483" s="147"/>
      <c r="Q483" s="147"/>
      <c r="R483" s="146"/>
      <c r="S483" s="146"/>
      <c r="T483" s="146"/>
      <c r="U483" s="146"/>
      <c r="V483" s="147"/>
      <c r="W483" s="146"/>
    </row>
    <row r="484">
      <c r="A484" s="146"/>
      <c r="B484" s="146"/>
      <c r="C484" s="146"/>
      <c r="D484" s="147"/>
      <c r="E484" s="146"/>
      <c r="F484" s="146"/>
      <c r="G484" s="146"/>
      <c r="H484" s="147"/>
      <c r="I484" s="146"/>
      <c r="J484" s="148"/>
      <c r="K484" s="148"/>
      <c r="L484" s="148"/>
      <c r="M484" s="147"/>
      <c r="N484" s="146"/>
      <c r="O484" s="147"/>
      <c r="P484" s="147"/>
      <c r="Q484" s="147"/>
      <c r="R484" s="146"/>
      <c r="S484" s="146"/>
      <c r="T484" s="146"/>
      <c r="U484" s="146"/>
      <c r="V484" s="147"/>
      <c r="W484" s="146"/>
    </row>
    <row r="485">
      <c r="A485" s="146"/>
      <c r="B485" s="146"/>
      <c r="C485" s="146"/>
      <c r="D485" s="147"/>
      <c r="E485" s="146"/>
      <c r="F485" s="146"/>
      <c r="G485" s="146"/>
      <c r="H485" s="147"/>
      <c r="I485" s="146"/>
      <c r="J485" s="148"/>
      <c r="K485" s="148"/>
      <c r="L485" s="148"/>
      <c r="M485" s="147"/>
      <c r="N485" s="146"/>
      <c r="O485" s="147"/>
      <c r="P485" s="147"/>
      <c r="Q485" s="147"/>
      <c r="R485" s="146"/>
      <c r="S485" s="146"/>
      <c r="T485" s="146"/>
      <c r="U485" s="146"/>
      <c r="V485" s="147"/>
      <c r="W485" s="146"/>
    </row>
    <row r="486">
      <c r="A486" s="146"/>
      <c r="B486" s="146"/>
      <c r="C486" s="146"/>
      <c r="D486" s="147"/>
      <c r="E486" s="146"/>
      <c r="F486" s="146"/>
      <c r="G486" s="146"/>
      <c r="H486" s="147"/>
      <c r="I486" s="146"/>
      <c r="J486" s="148"/>
      <c r="K486" s="148"/>
      <c r="L486" s="148"/>
      <c r="M486" s="147"/>
      <c r="N486" s="146"/>
      <c r="O486" s="147"/>
      <c r="P486" s="147"/>
      <c r="Q486" s="147"/>
      <c r="R486" s="146"/>
      <c r="S486" s="146"/>
      <c r="T486" s="146"/>
      <c r="U486" s="146"/>
      <c r="V486" s="147"/>
      <c r="W486" s="146"/>
    </row>
    <row r="487">
      <c r="A487" s="146"/>
      <c r="B487" s="146"/>
      <c r="C487" s="146"/>
      <c r="D487" s="147"/>
      <c r="E487" s="146"/>
      <c r="F487" s="146"/>
      <c r="G487" s="146"/>
      <c r="H487" s="147"/>
      <c r="I487" s="146"/>
      <c r="J487" s="148"/>
      <c r="K487" s="148"/>
      <c r="L487" s="148"/>
      <c r="M487" s="147"/>
      <c r="N487" s="146"/>
      <c r="O487" s="147"/>
      <c r="P487" s="147"/>
      <c r="Q487" s="147"/>
      <c r="R487" s="146"/>
      <c r="S487" s="146"/>
      <c r="T487" s="146"/>
      <c r="U487" s="146"/>
      <c r="V487" s="147"/>
      <c r="W487" s="146"/>
    </row>
    <row r="488">
      <c r="A488" s="146"/>
      <c r="B488" s="146"/>
      <c r="C488" s="146"/>
      <c r="D488" s="147"/>
      <c r="E488" s="146"/>
      <c r="F488" s="146"/>
      <c r="G488" s="146"/>
      <c r="H488" s="147"/>
      <c r="I488" s="146"/>
      <c r="J488" s="148"/>
      <c r="K488" s="148"/>
      <c r="L488" s="148"/>
      <c r="M488" s="147"/>
      <c r="N488" s="146"/>
      <c r="O488" s="147"/>
      <c r="P488" s="147"/>
      <c r="Q488" s="147"/>
      <c r="R488" s="146"/>
      <c r="S488" s="146"/>
      <c r="T488" s="146"/>
      <c r="U488" s="146"/>
      <c r="V488" s="147"/>
      <c r="W488" s="146"/>
    </row>
    <row r="489">
      <c r="A489" s="146"/>
      <c r="B489" s="146"/>
      <c r="C489" s="146"/>
      <c r="D489" s="147"/>
      <c r="E489" s="146"/>
      <c r="F489" s="146"/>
      <c r="G489" s="146"/>
      <c r="H489" s="147"/>
      <c r="I489" s="146"/>
      <c r="J489" s="148"/>
      <c r="K489" s="148"/>
      <c r="L489" s="148"/>
      <c r="M489" s="147"/>
      <c r="N489" s="146"/>
      <c r="O489" s="147"/>
      <c r="P489" s="147"/>
      <c r="Q489" s="147"/>
      <c r="R489" s="146"/>
      <c r="S489" s="146"/>
      <c r="T489" s="146"/>
      <c r="U489" s="146"/>
      <c r="V489" s="147"/>
      <c r="W489" s="146"/>
    </row>
    <row r="490">
      <c r="A490" s="146"/>
      <c r="B490" s="146"/>
      <c r="C490" s="146"/>
      <c r="D490" s="147"/>
      <c r="E490" s="146"/>
      <c r="F490" s="146"/>
      <c r="G490" s="146"/>
      <c r="H490" s="147"/>
      <c r="I490" s="146"/>
      <c r="J490" s="148"/>
      <c r="K490" s="148"/>
      <c r="L490" s="148"/>
      <c r="M490" s="147"/>
      <c r="N490" s="146"/>
      <c r="O490" s="147"/>
      <c r="P490" s="147"/>
      <c r="Q490" s="147"/>
      <c r="R490" s="146"/>
      <c r="S490" s="146"/>
      <c r="T490" s="146"/>
      <c r="U490" s="146"/>
      <c r="V490" s="147"/>
      <c r="W490" s="146"/>
    </row>
    <row r="491">
      <c r="A491" s="146"/>
      <c r="B491" s="146"/>
      <c r="C491" s="146"/>
      <c r="D491" s="147"/>
      <c r="E491" s="146"/>
      <c r="F491" s="146"/>
      <c r="G491" s="146"/>
      <c r="H491" s="147"/>
      <c r="I491" s="146"/>
      <c r="J491" s="148"/>
      <c r="K491" s="148"/>
      <c r="L491" s="148"/>
      <c r="M491" s="147"/>
      <c r="N491" s="146"/>
      <c r="O491" s="147"/>
      <c r="P491" s="147"/>
      <c r="Q491" s="147"/>
      <c r="R491" s="146"/>
      <c r="S491" s="146"/>
      <c r="T491" s="146"/>
      <c r="U491" s="146"/>
      <c r="V491" s="147"/>
      <c r="W491" s="146"/>
    </row>
    <row r="492">
      <c r="A492" s="146"/>
      <c r="B492" s="146"/>
      <c r="C492" s="146"/>
      <c r="D492" s="147"/>
      <c r="E492" s="146"/>
      <c r="F492" s="146"/>
      <c r="G492" s="146"/>
      <c r="H492" s="147"/>
      <c r="I492" s="146"/>
      <c r="J492" s="148"/>
      <c r="K492" s="148"/>
      <c r="L492" s="148"/>
      <c r="M492" s="147"/>
      <c r="N492" s="146"/>
      <c r="O492" s="147"/>
      <c r="P492" s="147"/>
      <c r="Q492" s="147"/>
      <c r="R492" s="146"/>
      <c r="S492" s="146"/>
      <c r="T492" s="146"/>
      <c r="U492" s="146"/>
      <c r="V492" s="147"/>
      <c r="W492" s="146"/>
    </row>
    <row r="493">
      <c r="A493" s="146"/>
      <c r="B493" s="146"/>
      <c r="C493" s="146"/>
      <c r="D493" s="147"/>
      <c r="E493" s="146"/>
      <c r="F493" s="146"/>
      <c r="G493" s="146"/>
      <c r="H493" s="147"/>
      <c r="I493" s="146"/>
      <c r="J493" s="148"/>
      <c r="K493" s="148"/>
      <c r="L493" s="148"/>
      <c r="M493" s="147"/>
      <c r="N493" s="146"/>
      <c r="O493" s="147"/>
      <c r="P493" s="147"/>
      <c r="Q493" s="147"/>
      <c r="R493" s="146"/>
      <c r="S493" s="146"/>
      <c r="T493" s="146"/>
      <c r="U493" s="146"/>
      <c r="V493" s="147"/>
      <c r="W493" s="146"/>
    </row>
    <row r="494">
      <c r="A494" s="146"/>
      <c r="B494" s="146"/>
      <c r="C494" s="146"/>
      <c r="D494" s="147"/>
      <c r="E494" s="146"/>
      <c r="F494" s="146"/>
      <c r="G494" s="146"/>
      <c r="H494" s="147"/>
      <c r="I494" s="146"/>
      <c r="J494" s="148"/>
      <c r="K494" s="148"/>
      <c r="L494" s="148"/>
      <c r="M494" s="147"/>
      <c r="N494" s="146"/>
      <c r="O494" s="147"/>
      <c r="P494" s="147"/>
      <c r="Q494" s="147"/>
      <c r="R494" s="146"/>
      <c r="S494" s="146"/>
      <c r="T494" s="146"/>
      <c r="U494" s="146"/>
      <c r="V494" s="147"/>
      <c r="W494" s="146"/>
    </row>
    <row r="495">
      <c r="A495" s="146"/>
      <c r="B495" s="146"/>
      <c r="C495" s="146"/>
      <c r="D495" s="147"/>
      <c r="E495" s="146"/>
      <c r="F495" s="146"/>
      <c r="G495" s="146"/>
      <c r="H495" s="147"/>
      <c r="I495" s="146"/>
      <c r="J495" s="148"/>
      <c r="K495" s="148"/>
      <c r="L495" s="148"/>
      <c r="M495" s="147"/>
      <c r="N495" s="146"/>
      <c r="O495" s="147"/>
      <c r="P495" s="147"/>
      <c r="Q495" s="147"/>
      <c r="R495" s="146"/>
      <c r="S495" s="146"/>
      <c r="T495" s="146"/>
      <c r="U495" s="146"/>
      <c r="V495" s="147"/>
      <c r="W495" s="146"/>
    </row>
    <row r="496">
      <c r="A496" s="146"/>
      <c r="B496" s="146"/>
      <c r="C496" s="146"/>
      <c r="D496" s="147"/>
      <c r="E496" s="146"/>
      <c r="F496" s="146"/>
      <c r="G496" s="146"/>
      <c r="H496" s="147"/>
      <c r="I496" s="146"/>
      <c r="J496" s="148"/>
      <c r="K496" s="148"/>
      <c r="L496" s="148"/>
      <c r="M496" s="147"/>
      <c r="N496" s="146"/>
      <c r="O496" s="147"/>
      <c r="P496" s="147"/>
      <c r="Q496" s="147"/>
      <c r="R496" s="146"/>
      <c r="S496" s="146"/>
      <c r="T496" s="146"/>
      <c r="U496" s="146"/>
      <c r="V496" s="147"/>
      <c r="W496" s="146"/>
    </row>
    <row r="497">
      <c r="A497" s="146"/>
      <c r="B497" s="146"/>
      <c r="C497" s="146"/>
      <c r="D497" s="147"/>
      <c r="E497" s="146"/>
      <c r="F497" s="146"/>
      <c r="G497" s="146"/>
      <c r="H497" s="147"/>
      <c r="I497" s="146"/>
      <c r="J497" s="148"/>
      <c r="K497" s="148"/>
      <c r="L497" s="148"/>
      <c r="M497" s="147"/>
      <c r="N497" s="146"/>
      <c r="O497" s="147"/>
      <c r="P497" s="147"/>
      <c r="Q497" s="147"/>
      <c r="R497" s="146"/>
      <c r="S497" s="146"/>
      <c r="T497" s="146"/>
      <c r="U497" s="146"/>
      <c r="V497" s="147"/>
      <c r="W497" s="146"/>
    </row>
    <row r="498">
      <c r="A498" s="146"/>
      <c r="B498" s="146"/>
      <c r="C498" s="146"/>
      <c r="D498" s="147"/>
      <c r="E498" s="146"/>
      <c r="F498" s="146"/>
      <c r="G498" s="146"/>
      <c r="H498" s="147"/>
      <c r="I498" s="146"/>
      <c r="J498" s="148"/>
      <c r="K498" s="148"/>
      <c r="L498" s="148"/>
      <c r="M498" s="147"/>
      <c r="N498" s="146"/>
      <c r="O498" s="147"/>
      <c r="P498" s="147"/>
      <c r="Q498" s="147"/>
      <c r="R498" s="146"/>
      <c r="S498" s="146"/>
      <c r="T498" s="146"/>
      <c r="U498" s="146"/>
      <c r="V498" s="147"/>
      <c r="W498" s="146"/>
    </row>
    <row r="499">
      <c r="A499" s="146"/>
      <c r="B499" s="146"/>
      <c r="C499" s="146"/>
      <c r="D499" s="147"/>
      <c r="E499" s="146"/>
      <c r="F499" s="146"/>
      <c r="G499" s="146"/>
      <c r="H499" s="147"/>
      <c r="I499" s="146"/>
      <c r="J499" s="148"/>
      <c r="K499" s="148"/>
      <c r="L499" s="148"/>
      <c r="M499" s="147"/>
      <c r="N499" s="146"/>
      <c r="O499" s="147"/>
      <c r="P499" s="147"/>
      <c r="Q499" s="147"/>
      <c r="R499" s="146"/>
      <c r="S499" s="146"/>
      <c r="T499" s="146"/>
      <c r="U499" s="146"/>
      <c r="V499" s="147"/>
      <c r="W499" s="146"/>
    </row>
    <row r="500">
      <c r="A500" s="146"/>
      <c r="B500" s="146"/>
      <c r="C500" s="146"/>
      <c r="D500" s="147"/>
      <c r="E500" s="146"/>
      <c r="F500" s="146"/>
      <c r="G500" s="146"/>
      <c r="H500" s="147"/>
      <c r="I500" s="146"/>
      <c r="J500" s="148"/>
      <c r="K500" s="148"/>
      <c r="L500" s="148"/>
      <c r="M500" s="147"/>
      <c r="N500" s="146"/>
      <c r="O500" s="147"/>
      <c r="P500" s="147"/>
      <c r="Q500" s="147"/>
      <c r="R500" s="146"/>
      <c r="S500" s="146"/>
      <c r="T500" s="146"/>
      <c r="U500" s="146"/>
      <c r="V500" s="147"/>
      <c r="W500" s="146"/>
    </row>
    <row r="501">
      <c r="A501" s="146"/>
      <c r="B501" s="146"/>
      <c r="C501" s="146"/>
      <c r="D501" s="147"/>
      <c r="E501" s="146"/>
      <c r="F501" s="146"/>
      <c r="G501" s="146"/>
      <c r="H501" s="147"/>
      <c r="I501" s="146"/>
      <c r="J501" s="148"/>
      <c r="K501" s="148"/>
      <c r="L501" s="148"/>
      <c r="M501" s="147"/>
      <c r="N501" s="146"/>
      <c r="O501" s="147"/>
      <c r="P501" s="147"/>
      <c r="Q501" s="147"/>
      <c r="R501" s="146"/>
      <c r="S501" s="146"/>
      <c r="T501" s="146"/>
      <c r="U501" s="146"/>
      <c r="V501" s="147"/>
      <c r="W501" s="146"/>
    </row>
    <row r="502">
      <c r="A502" s="146"/>
      <c r="B502" s="146"/>
      <c r="C502" s="146"/>
      <c r="D502" s="147"/>
      <c r="E502" s="146"/>
      <c r="F502" s="146"/>
      <c r="G502" s="146"/>
      <c r="H502" s="147"/>
      <c r="I502" s="146"/>
      <c r="J502" s="148"/>
      <c r="K502" s="148"/>
      <c r="L502" s="148"/>
      <c r="M502" s="147"/>
      <c r="N502" s="146"/>
      <c r="O502" s="147"/>
      <c r="P502" s="147"/>
      <c r="Q502" s="147"/>
      <c r="R502" s="146"/>
      <c r="S502" s="146"/>
      <c r="T502" s="146"/>
      <c r="U502" s="146"/>
      <c r="V502" s="147"/>
      <c r="W502" s="146"/>
    </row>
    <row r="503">
      <c r="A503" s="146"/>
      <c r="B503" s="146"/>
      <c r="C503" s="146"/>
      <c r="D503" s="147"/>
      <c r="E503" s="146"/>
      <c r="F503" s="146"/>
      <c r="G503" s="146"/>
      <c r="H503" s="147"/>
      <c r="I503" s="146"/>
      <c r="J503" s="148"/>
      <c r="K503" s="148"/>
      <c r="L503" s="148"/>
      <c r="M503" s="147"/>
      <c r="N503" s="146"/>
      <c r="O503" s="147"/>
      <c r="P503" s="147"/>
      <c r="Q503" s="147"/>
      <c r="R503" s="146"/>
      <c r="S503" s="146"/>
      <c r="T503" s="146"/>
      <c r="U503" s="146"/>
      <c r="V503" s="147"/>
      <c r="W503" s="146"/>
    </row>
    <row r="504">
      <c r="A504" s="146"/>
      <c r="B504" s="146"/>
      <c r="C504" s="146"/>
      <c r="D504" s="147"/>
      <c r="E504" s="146"/>
      <c r="F504" s="146"/>
      <c r="G504" s="146"/>
      <c r="H504" s="147"/>
      <c r="I504" s="146"/>
      <c r="J504" s="148"/>
      <c r="K504" s="148"/>
      <c r="L504" s="148"/>
      <c r="M504" s="147"/>
      <c r="N504" s="146"/>
      <c r="O504" s="147"/>
      <c r="P504" s="147"/>
      <c r="Q504" s="147"/>
      <c r="R504" s="146"/>
      <c r="S504" s="146"/>
      <c r="T504" s="146"/>
      <c r="U504" s="146"/>
      <c r="V504" s="147"/>
      <c r="W504" s="146"/>
    </row>
    <row r="505">
      <c r="A505" s="146"/>
      <c r="B505" s="146"/>
      <c r="C505" s="146"/>
      <c r="D505" s="147"/>
      <c r="E505" s="146"/>
      <c r="F505" s="146"/>
      <c r="G505" s="146"/>
      <c r="H505" s="147"/>
      <c r="I505" s="146"/>
      <c r="J505" s="148"/>
      <c r="K505" s="148"/>
      <c r="L505" s="148"/>
      <c r="M505" s="147"/>
      <c r="N505" s="146"/>
      <c r="O505" s="147"/>
      <c r="P505" s="147"/>
      <c r="Q505" s="147"/>
      <c r="R505" s="146"/>
      <c r="S505" s="146"/>
      <c r="T505" s="146"/>
      <c r="U505" s="146"/>
      <c r="V505" s="147"/>
      <c r="W505" s="146"/>
    </row>
    <row r="506">
      <c r="A506" s="146"/>
      <c r="B506" s="146"/>
      <c r="C506" s="146"/>
      <c r="D506" s="147"/>
      <c r="E506" s="146"/>
      <c r="F506" s="146"/>
      <c r="G506" s="146"/>
      <c r="H506" s="147"/>
      <c r="I506" s="146"/>
      <c r="J506" s="148"/>
      <c r="K506" s="148"/>
      <c r="L506" s="148"/>
      <c r="M506" s="147"/>
      <c r="N506" s="146"/>
      <c r="O506" s="147"/>
      <c r="P506" s="147"/>
      <c r="Q506" s="147"/>
      <c r="R506" s="146"/>
      <c r="S506" s="146"/>
      <c r="T506" s="146"/>
      <c r="U506" s="146"/>
      <c r="V506" s="147"/>
      <c r="W506" s="146"/>
    </row>
    <row r="507">
      <c r="A507" s="146"/>
      <c r="B507" s="146"/>
      <c r="C507" s="146"/>
      <c r="D507" s="147"/>
      <c r="E507" s="146"/>
      <c r="F507" s="146"/>
      <c r="G507" s="146"/>
      <c r="H507" s="147"/>
      <c r="I507" s="146"/>
      <c r="J507" s="148"/>
      <c r="K507" s="148"/>
      <c r="L507" s="148"/>
      <c r="M507" s="147"/>
      <c r="N507" s="146"/>
      <c r="O507" s="147"/>
      <c r="P507" s="147"/>
      <c r="Q507" s="147"/>
      <c r="R507" s="146"/>
      <c r="S507" s="146"/>
      <c r="T507" s="146"/>
      <c r="U507" s="146"/>
      <c r="V507" s="147"/>
      <c r="W507" s="146"/>
    </row>
    <row r="508">
      <c r="A508" s="146"/>
      <c r="B508" s="146"/>
      <c r="C508" s="146"/>
      <c r="D508" s="147"/>
      <c r="E508" s="146"/>
      <c r="F508" s="146"/>
      <c r="G508" s="146"/>
      <c r="H508" s="147"/>
      <c r="I508" s="146"/>
      <c r="J508" s="148"/>
      <c r="K508" s="148"/>
      <c r="L508" s="148"/>
      <c r="M508" s="147"/>
      <c r="N508" s="146"/>
      <c r="O508" s="147"/>
      <c r="P508" s="147"/>
      <c r="Q508" s="147"/>
      <c r="R508" s="146"/>
      <c r="S508" s="146"/>
      <c r="T508" s="146"/>
      <c r="U508" s="146"/>
      <c r="V508" s="147"/>
      <c r="W508" s="146"/>
    </row>
    <row r="509">
      <c r="A509" s="146"/>
      <c r="B509" s="146"/>
      <c r="C509" s="146"/>
      <c r="D509" s="147"/>
      <c r="E509" s="146"/>
      <c r="F509" s="146"/>
      <c r="G509" s="146"/>
      <c r="H509" s="147"/>
      <c r="I509" s="146"/>
      <c r="J509" s="148"/>
      <c r="K509" s="148"/>
      <c r="L509" s="148"/>
      <c r="M509" s="147"/>
      <c r="N509" s="146"/>
      <c r="O509" s="147"/>
      <c r="P509" s="147"/>
      <c r="Q509" s="147"/>
      <c r="R509" s="146"/>
      <c r="S509" s="146"/>
      <c r="T509" s="146"/>
      <c r="U509" s="146"/>
      <c r="V509" s="147"/>
      <c r="W509" s="146"/>
    </row>
    <row r="510">
      <c r="A510" s="146"/>
      <c r="B510" s="146"/>
      <c r="C510" s="146"/>
      <c r="D510" s="147"/>
      <c r="E510" s="146"/>
      <c r="F510" s="146"/>
      <c r="G510" s="146"/>
      <c r="H510" s="147"/>
      <c r="I510" s="146"/>
      <c r="J510" s="148"/>
      <c r="K510" s="148"/>
      <c r="L510" s="148"/>
      <c r="M510" s="147"/>
      <c r="N510" s="146"/>
      <c r="O510" s="147"/>
      <c r="P510" s="147"/>
      <c r="Q510" s="147"/>
      <c r="R510" s="146"/>
      <c r="S510" s="146"/>
      <c r="T510" s="146"/>
      <c r="U510" s="146"/>
      <c r="V510" s="147"/>
      <c r="W510" s="146"/>
    </row>
    <row r="511">
      <c r="A511" s="146"/>
      <c r="B511" s="146"/>
      <c r="C511" s="146"/>
      <c r="D511" s="147"/>
      <c r="E511" s="146"/>
      <c r="F511" s="146"/>
      <c r="G511" s="146"/>
      <c r="H511" s="147"/>
      <c r="I511" s="146"/>
      <c r="J511" s="148"/>
      <c r="K511" s="148"/>
      <c r="L511" s="148"/>
      <c r="M511" s="147"/>
      <c r="N511" s="146"/>
      <c r="O511" s="147"/>
      <c r="P511" s="147"/>
      <c r="Q511" s="147"/>
      <c r="R511" s="146"/>
      <c r="S511" s="146"/>
      <c r="T511" s="146"/>
      <c r="U511" s="146"/>
      <c r="V511" s="147"/>
      <c r="W511" s="146"/>
    </row>
    <row r="512">
      <c r="A512" s="146"/>
      <c r="B512" s="146"/>
      <c r="C512" s="146"/>
      <c r="D512" s="147"/>
      <c r="E512" s="146"/>
      <c r="F512" s="146"/>
      <c r="G512" s="146"/>
      <c r="H512" s="147"/>
      <c r="I512" s="146"/>
      <c r="J512" s="148"/>
      <c r="K512" s="148"/>
      <c r="L512" s="148"/>
      <c r="M512" s="147"/>
      <c r="N512" s="146"/>
      <c r="O512" s="147"/>
      <c r="P512" s="147"/>
      <c r="Q512" s="147"/>
      <c r="R512" s="146"/>
      <c r="S512" s="146"/>
      <c r="T512" s="146"/>
      <c r="U512" s="146"/>
      <c r="V512" s="147"/>
      <c r="W512" s="146"/>
    </row>
    <row r="513">
      <c r="A513" s="146"/>
      <c r="B513" s="146"/>
      <c r="C513" s="146"/>
      <c r="D513" s="147"/>
      <c r="E513" s="146"/>
      <c r="F513" s="146"/>
      <c r="G513" s="146"/>
      <c r="H513" s="147"/>
      <c r="I513" s="146"/>
      <c r="J513" s="148"/>
      <c r="K513" s="148"/>
      <c r="L513" s="148"/>
      <c r="M513" s="147"/>
      <c r="N513" s="146"/>
      <c r="O513" s="147"/>
      <c r="P513" s="147"/>
      <c r="Q513" s="147"/>
      <c r="R513" s="146"/>
      <c r="S513" s="146"/>
      <c r="T513" s="146"/>
      <c r="U513" s="146"/>
      <c r="V513" s="147"/>
      <c r="W513" s="146"/>
    </row>
    <row r="514">
      <c r="A514" s="146"/>
      <c r="B514" s="146"/>
      <c r="C514" s="146"/>
      <c r="D514" s="147"/>
      <c r="E514" s="146"/>
      <c r="F514" s="146"/>
      <c r="G514" s="146"/>
      <c r="H514" s="147"/>
      <c r="I514" s="146"/>
      <c r="J514" s="148"/>
      <c r="K514" s="148"/>
      <c r="L514" s="148"/>
      <c r="M514" s="147"/>
      <c r="N514" s="146"/>
      <c r="O514" s="147"/>
      <c r="P514" s="147"/>
      <c r="Q514" s="147"/>
      <c r="R514" s="146"/>
      <c r="S514" s="146"/>
      <c r="T514" s="146"/>
      <c r="U514" s="146"/>
      <c r="V514" s="147"/>
      <c r="W514" s="146"/>
    </row>
    <row r="515">
      <c r="A515" s="146"/>
      <c r="B515" s="146"/>
      <c r="C515" s="146"/>
      <c r="D515" s="147"/>
      <c r="E515" s="146"/>
      <c r="F515" s="146"/>
      <c r="G515" s="146"/>
      <c r="H515" s="147"/>
      <c r="I515" s="146"/>
      <c r="J515" s="148"/>
      <c r="K515" s="148"/>
      <c r="L515" s="148"/>
      <c r="M515" s="147"/>
      <c r="N515" s="146"/>
      <c r="O515" s="147"/>
      <c r="P515" s="147"/>
      <c r="Q515" s="147"/>
      <c r="R515" s="146"/>
      <c r="S515" s="146"/>
      <c r="T515" s="146"/>
      <c r="U515" s="146"/>
      <c r="V515" s="147"/>
      <c r="W515" s="146"/>
    </row>
    <row r="516">
      <c r="A516" s="146"/>
      <c r="B516" s="146"/>
      <c r="C516" s="146"/>
      <c r="D516" s="147"/>
      <c r="E516" s="146"/>
      <c r="F516" s="146"/>
      <c r="G516" s="146"/>
      <c r="H516" s="147"/>
      <c r="I516" s="146"/>
      <c r="J516" s="148"/>
      <c r="K516" s="148"/>
      <c r="L516" s="148"/>
      <c r="M516" s="147"/>
      <c r="N516" s="146"/>
      <c r="O516" s="147"/>
      <c r="P516" s="147"/>
      <c r="Q516" s="147"/>
      <c r="R516" s="146"/>
      <c r="S516" s="146"/>
      <c r="T516" s="146"/>
      <c r="U516" s="146"/>
      <c r="V516" s="147"/>
      <c r="W516" s="146"/>
    </row>
    <row r="517">
      <c r="A517" s="146"/>
      <c r="B517" s="146"/>
      <c r="C517" s="146"/>
      <c r="D517" s="147"/>
      <c r="E517" s="146"/>
      <c r="F517" s="146"/>
      <c r="G517" s="146"/>
      <c r="H517" s="147"/>
      <c r="I517" s="146"/>
      <c r="J517" s="148"/>
      <c r="K517" s="148"/>
      <c r="L517" s="148"/>
      <c r="M517" s="147"/>
      <c r="N517" s="146"/>
      <c r="O517" s="147"/>
      <c r="P517" s="147"/>
      <c r="Q517" s="147"/>
      <c r="R517" s="146"/>
      <c r="S517" s="146"/>
      <c r="T517" s="146"/>
      <c r="U517" s="146"/>
      <c r="V517" s="147"/>
      <c r="W517" s="146"/>
    </row>
    <row r="518">
      <c r="A518" s="146"/>
      <c r="B518" s="146"/>
      <c r="C518" s="146"/>
      <c r="D518" s="147"/>
      <c r="E518" s="146"/>
      <c r="F518" s="146"/>
      <c r="G518" s="146"/>
      <c r="H518" s="147"/>
      <c r="I518" s="146"/>
      <c r="J518" s="148"/>
      <c r="K518" s="148"/>
      <c r="L518" s="148"/>
      <c r="M518" s="147"/>
      <c r="N518" s="146"/>
      <c r="O518" s="147"/>
      <c r="P518" s="147"/>
      <c r="Q518" s="147"/>
      <c r="R518" s="146"/>
      <c r="S518" s="146"/>
      <c r="T518" s="146"/>
      <c r="U518" s="146"/>
      <c r="V518" s="147"/>
      <c r="W518" s="146"/>
    </row>
    <row r="519">
      <c r="A519" s="146"/>
      <c r="B519" s="146"/>
      <c r="C519" s="146"/>
      <c r="D519" s="147"/>
      <c r="E519" s="146"/>
      <c r="F519" s="146"/>
      <c r="G519" s="146"/>
      <c r="H519" s="147"/>
      <c r="I519" s="146"/>
      <c r="J519" s="148"/>
      <c r="K519" s="148"/>
      <c r="L519" s="148"/>
      <c r="M519" s="147"/>
      <c r="N519" s="146"/>
      <c r="O519" s="147"/>
      <c r="P519" s="147"/>
      <c r="Q519" s="147"/>
      <c r="R519" s="146"/>
      <c r="S519" s="146"/>
      <c r="T519" s="146"/>
      <c r="U519" s="146"/>
      <c r="V519" s="147"/>
      <c r="W519" s="146"/>
    </row>
    <row r="520">
      <c r="A520" s="146"/>
      <c r="B520" s="146"/>
      <c r="C520" s="146"/>
      <c r="D520" s="147"/>
      <c r="E520" s="146"/>
      <c r="F520" s="146"/>
      <c r="G520" s="146"/>
      <c r="H520" s="147"/>
      <c r="I520" s="146"/>
      <c r="J520" s="148"/>
      <c r="K520" s="148"/>
      <c r="L520" s="148"/>
      <c r="M520" s="147"/>
      <c r="N520" s="146"/>
      <c r="O520" s="147"/>
      <c r="P520" s="147"/>
      <c r="Q520" s="147"/>
      <c r="R520" s="146"/>
      <c r="S520" s="146"/>
      <c r="T520" s="146"/>
      <c r="U520" s="146"/>
      <c r="V520" s="147"/>
      <c r="W520" s="146"/>
    </row>
    <row r="521">
      <c r="A521" s="146"/>
      <c r="B521" s="146"/>
      <c r="C521" s="146"/>
      <c r="D521" s="147"/>
      <c r="E521" s="146"/>
      <c r="F521" s="146"/>
      <c r="G521" s="146"/>
      <c r="H521" s="147"/>
      <c r="I521" s="146"/>
      <c r="J521" s="148"/>
      <c r="K521" s="148"/>
      <c r="L521" s="148"/>
      <c r="M521" s="147"/>
      <c r="N521" s="146"/>
      <c r="O521" s="147"/>
      <c r="P521" s="147"/>
      <c r="Q521" s="147"/>
      <c r="R521" s="146"/>
      <c r="S521" s="146"/>
      <c r="T521" s="146"/>
      <c r="U521" s="146"/>
      <c r="V521" s="147"/>
      <c r="W521" s="146"/>
    </row>
    <row r="522">
      <c r="A522" s="146"/>
      <c r="B522" s="146"/>
      <c r="C522" s="146"/>
      <c r="D522" s="147"/>
      <c r="E522" s="146"/>
      <c r="F522" s="146"/>
      <c r="G522" s="146"/>
      <c r="H522" s="147"/>
      <c r="I522" s="146"/>
      <c r="J522" s="148"/>
      <c r="K522" s="148"/>
      <c r="L522" s="148"/>
      <c r="M522" s="147"/>
      <c r="N522" s="146"/>
      <c r="O522" s="147"/>
      <c r="P522" s="147"/>
      <c r="Q522" s="147"/>
      <c r="R522" s="146"/>
      <c r="S522" s="146"/>
      <c r="T522" s="146"/>
      <c r="U522" s="146"/>
      <c r="V522" s="147"/>
      <c r="W522" s="146"/>
    </row>
    <row r="523">
      <c r="A523" s="146"/>
      <c r="B523" s="146"/>
      <c r="C523" s="146"/>
      <c r="D523" s="147"/>
      <c r="E523" s="146"/>
      <c r="F523" s="146"/>
      <c r="G523" s="146"/>
      <c r="H523" s="147"/>
      <c r="I523" s="146"/>
      <c r="J523" s="148"/>
      <c r="K523" s="148"/>
      <c r="L523" s="148"/>
      <c r="M523" s="147"/>
      <c r="N523" s="146"/>
      <c r="O523" s="147"/>
      <c r="P523" s="147"/>
      <c r="Q523" s="147"/>
      <c r="R523" s="146"/>
      <c r="S523" s="146"/>
      <c r="T523" s="146"/>
      <c r="U523" s="146"/>
      <c r="V523" s="147"/>
      <c r="W523" s="146"/>
    </row>
    <row r="524">
      <c r="A524" s="146"/>
      <c r="B524" s="146"/>
      <c r="C524" s="146"/>
      <c r="D524" s="147"/>
      <c r="E524" s="146"/>
      <c r="F524" s="146"/>
      <c r="G524" s="146"/>
      <c r="H524" s="147"/>
      <c r="I524" s="146"/>
      <c r="J524" s="148"/>
      <c r="K524" s="148"/>
      <c r="L524" s="148"/>
      <c r="M524" s="147"/>
      <c r="N524" s="146"/>
      <c r="O524" s="147"/>
      <c r="P524" s="147"/>
      <c r="Q524" s="147"/>
      <c r="R524" s="146"/>
      <c r="S524" s="146"/>
      <c r="T524" s="146"/>
      <c r="U524" s="146"/>
      <c r="V524" s="147"/>
      <c r="W524" s="146"/>
    </row>
    <row r="525">
      <c r="A525" s="146"/>
      <c r="B525" s="146"/>
      <c r="C525" s="146"/>
      <c r="D525" s="147"/>
      <c r="E525" s="146"/>
      <c r="F525" s="146"/>
      <c r="G525" s="146"/>
      <c r="H525" s="147"/>
      <c r="I525" s="146"/>
      <c r="J525" s="148"/>
      <c r="K525" s="148"/>
      <c r="L525" s="148"/>
      <c r="M525" s="147"/>
      <c r="N525" s="146"/>
      <c r="O525" s="147"/>
      <c r="P525" s="147"/>
      <c r="Q525" s="147"/>
      <c r="R525" s="146"/>
      <c r="S525" s="146"/>
      <c r="T525" s="146"/>
      <c r="U525" s="146"/>
      <c r="V525" s="147"/>
      <c r="W525" s="146"/>
    </row>
    <row r="526">
      <c r="A526" s="146"/>
      <c r="B526" s="146"/>
      <c r="C526" s="146"/>
      <c r="D526" s="147"/>
      <c r="E526" s="146"/>
      <c r="F526" s="146"/>
      <c r="G526" s="146"/>
      <c r="H526" s="147"/>
      <c r="I526" s="146"/>
      <c r="J526" s="148"/>
      <c r="K526" s="148"/>
      <c r="L526" s="148"/>
      <c r="M526" s="147"/>
      <c r="N526" s="146"/>
      <c r="O526" s="147"/>
      <c r="P526" s="147"/>
      <c r="Q526" s="147"/>
      <c r="R526" s="146"/>
      <c r="S526" s="146"/>
      <c r="T526" s="146"/>
      <c r="U526" s="146"/>
      <c r="V526" s="147"/>
      <c r="W526" s="146"/>
    </row>
    <row r="527">
      <c r="A527" s="146"/>
      <c r="B527" s="146"/>
      <c r="C527" s="146"/>
      <c r="D527" s="147"/>
      <c r="E527" s="146"/>
      <c r="F527" s="146"/>
      <c r="G527" s="146"/>
      <c r="H527" s="147"/>
      <c r="I527" s="146"/>
      <c r="J527" s="148"/>
      <c r="K527" s="148"/>
      <c r="L527" s="148"/>
      <c r="M527" s="147"/>
      <c r="N527" s="146"/>
      <c r="O527" s="147"/>
      <c r="P527" s="147"/>
      <c r="Q527" s="147"/>
      <c r="R527" s="146"/>
      <c r="S527" s="146"/>
      <c r="T527" s="146"/>
      <c r="U527" s="146"/>
      <c r="V527" s="147"/>
      <c r="W527" s="146"/>
    </row>
    <row r="528">
      <c r="A528" s="146"/>
      <c r="B528" s="146"/>
      <c r="C528" s="146"/>
      <c r="D528" s="147"/>
      <c r="E528" s="146"/>
      <c r="F528" s="146"/>
      <c r="G528" s="146"/>
      <c r="H528" s="147"/>
      <c r="I528" s="146"/>
      <c r="J528" s="148"/>
      <c r="K528" s="148"/>
      <c r="L528" s="148"/>
      <c r="M528" s="147"/>
      <c r="N528" s="146"/>
      <c r="O528" s="147"/>
      <c r="P528" s="147"/>
      <c r="Q528" s="147"/>
      <c r="R528" s="146"/>
      <c r="S528" s="146"/>
      <c r="T528" s="146"/>
      <c r="U528" s="146"/>
      <c r="V528" s="147"/>
      <c r="W528" s="146"/>
    </row>
    <row r="529">
      <c r="A529" s="146"/>
      <c r="B529" s="146"/>
      <c r="C529" s="146"/>
      <c r="D529" s="147"/>
      <c r="E529" s="146"/>
      <c r="F529" s="146"/>
      <c r="G529" s="146"/>
      <c r="H529" s="147"/>
      <c r="I529" s="146"/>
      <c r="J529" s="148"/>
      <c r="K529" s="148"/>
      <c r="L529" s="148"/>
      <c r="M529" s="147"/>
      <c r="N529" s="146"/>
      <c r="O529" s="147"/>
      <c r="P529" s="147"/>
      <c r="Q529" s="147"/>
      <c r="R529" s="146"/>
      <c r="S529" s="146"/>
      <c r="T529" s="146"/>
      <c r="U529" s="146"/>
      <c r="V529" s="147"/>
      <c r="W529" s="146"/>
    </row>
    <row r="530">
      <c r="A530" s="146"/>
      <c r="B530" s="146"/>
      <c r="C530" s="146"/>
      <c r="D530" s="147"/>
      <c r="E530" s="146"/>
      <c r="F530" s="146"/>
      <c r="G530" s="146"/>
      <c r="H530" s="147"/>
      <c r="I530" s="146"/>
      <c r="J530" s="148"/>
      <c r="K530" s="148"/>
      <c r="L530" s="148"/>
      <c r="M530" s="147"/>
      <c r="N530" s="146"/>
      <c r="O530" s="147"/>
      <c r="P530" s="147"/>
      <c r="Q530" s="147"/>
      <c r="R530" s="146"/>
      <c r="S530" s="146"/>
      <c r="T530" s="146"/>
      <c r="U530" s="146"/>
      <c r="V530" s="147"/>
      <c r="W530" s="146"/>
    </row>
    <row r="531">
      <c r="A531" s="146"/>
      <c r="B531" s="146"/>
      <c r="C531" s="146"/>
      <c r="D531" s="147"/>
      <c r="E531" s="146"/>
      <c r="F531" s="146"/>
      <c r="G531" s="146"/>
      <c r="H531" s="147"/>
      <c r="I531" s="146"/>
      <c r="J531" s="148"/>
      <c r="K531" s="148"/>
      <c r="L531" s="148"/>
      <c r="M531" s="147"/>
      <c r="N531" s="146"/>
      <c r="O531" s="147"/>
      <c r="P531" s="147"/>
      <c r="Q531" s="147"/>
      <c r="R531" s="146"/>
      <c r="S531" s="146"/>
      <c r="T531" s="146"/>
      <c r="U531" s="146"/>
      <c r="V531" s="147"/>
      <c r="W531" s="146"/>
    </row>
    <row r="532">
      <c r="A532" s="146"/>
      <c r="B532" s="146"/>
      <c r="C532" s="146"/>
      <c r="D532" s="147"/>
      <c r="E532" s="146"/>
      <c r="F532" s="146"/>
      <c r="G532" s="146"/>
      <c r="H532" s="147"/>
      <c r="I532" s="146"/>
      <c r="J532" s="148"/>
      <c r="K532" s="148"/>
      <c r="L532" s="148"/>
      <c r="M532" s="147"/>
      <c r="N532" s="146"/>
      <c r="O532" s="147"/>
      <c r="P532" s="147"/>
      <c r="Q532" s="147"/>
      <c r="R532" s="146"/>
      <c r="S532" s="146"/>
      <c r="T532" s="146"/>
      <c r="U532" s="146"/>
      <c r="V532" s="147"/>
      <c r="W532" s="146"/>
    </row>
    <row r="533">
      <c r="A533" s="146"/>
      <c r="B533" s="146"/>
      <c r="C533" s="146"/>
      <c r="D533" s="147"/>
      <c r="E533" s="146"/>
      <c r="F533" s="146"/>
      <c r="G533" s="146"/>
      <c r="H533" s="147"/>
      <c r="I533" s="146"/>
      <c r="J533" s="148"/>
      <c r="K533" s="148"/>
      <c r="L533" s="148"/>
      <c r="M533" s="147"/>
      <c r="N533" s="146"/>
      <c r="O533" s="147"/>
      <c r="P533" s="147"/>
      <c r="Q533" s="147"/>
      <c r="R533" s="146"/>
      <c r="S533" s="146"/>
      <c r="T533" s="146"/>
      <c r="U533" s="146"/>
      <c r="V533" s="147"/>
      <c r="W533" s="146"/>
    </row>
    <row r="534">
      <c r="A534" s="146"/>
      <c r="B534" s="146"/>
      <c r="C534" s="146"/>
      <c r="D534" s="147"/>
      <c r="E534" s="146"/>
      <c r="F534" s="146"/>
      <c r="G534" s="146"/>
      <c r="H534" s="147"/>
      <c r="I534" s="146"/>
      <c r="J534" s="148"/>
      <c r="K534" s="148"/>
      <c r="L534" s="148"/>
      <c r="M534" s="147"/>
      <c r="N534" s="146"/>
      <c r="O534" s="147"/>
      <c r="P534" s="147"/>
      <c r="Q534" s="147"/>
      <c r="R534" s="146"/>
      <c r="S534" s="146"/>
      <c r="T534" s="146"/>
      <c r="U534" s="146"/>
      <c r="V534" s="147"/>
      <c r="W534" s="146"/>
    </row>
    <row r="535">
      <c r="A535" s="146"/>
      <c r="B535" s="146"/>
      <c r="C535" s="146"/>
      <c r="D535" s="147"/>
      <c r="E535" s="146"/>
      <c r="F535" s="146"/>
      <c r="G535" s="146"/>
      <c r="H535" s="147"/>
      <c r="I535" s="146"/>
      <c r="J535" s="148"/>
      <c r="K535" s="148"/>
      <c r="L535" s="148"/>
      <c r="M535" s="147"/>
      <c r="N535" s="146"/>
      <c r="O535" s="147"/>
      <c r="P535" s="147"/>
      <c r="Q535" s="147"/>
      <c r="R535" s="146"/>
      <c r="S535" s="146"/>
      <c r="T535" s="146"/>
      <c r="U535" s="146"/>
      <c r="V535" s="147"/>
      <c r="W535" s="146"/>
    </row>
    <row r="536">
      <c r="A536" s="146"/>
      <c r="B536" s="146"/>
      <c r="C536" s="146"/>
      <c r="D536" s="147"/>
      <c r="E536" s="146"/>
      <c r="F536" s="146"/>
      <c r="G536" s="146"/>
      <c r="H536" s="147"/>
      <c r="I536" s="146"/>
      <c r="J536" s="148"/>
      <c r="K536" s="148"/>
      <c r="L536" s="148"/>
      <c r="M536" s="147"/>
      <c r="N536" s="146"/>
      <c r="O536" s="147"/>
      <c r="P536" s="147"/>
      <c r="Q536" s="147"/>
      <c r="R536" s="146"/>
      <c r="S536" s="146"/>
      <c r="T536" s="146"/>
      <c r="U536" s="146"/>
      <c r="V536" s="147"/>
      <c r="W536" s="146"/>
    </row>
    <row r="537">
      <c r="A537" s="146"/>
      <c r="B537" s="146"/>
      <c r="C537" s="146"/>
      <c r="D537" s="147"/>
      <c r="E537" s="146"/>
      <c r="F537" s="146"/>
      <c r="G537" s="146"/>
      <c r="H537" s="147"/>
      <c r="I537" s="146"/>
      <c r="J537" s="148"/>
      <c r="K537" s="148"/>
      <c r="L537" s="148"/>
      <c r="M537" s="147"/>
      <c r="N537" s="146"/>
      <c r="O537" s="147"/>
      <c r="P537" s="147"/>
      <c r="Q537" s="147"/>
      <c r="R537" s="146"/>
      <c r="S537" s="146"/>
      <c r="T537" s="146"/>
      <c r="U537" s="146"/>
      <c r="V537" s="147"/>
      <c r="W537" s="146"/>
    </row>
    <row r="538">
      <c r="A538" s="146"/>
      <c r="B538" s="146"/>
      <c r="C538" s="146"/>
      <c r="D538" s="147"/>
      <c r="E538" s="146"/>
      <c r="F538" s="146"/>
      <c r="G538" s="146"/>
      <c r="H538" s="147"/>
      <c r="I538" s="146"/>
      <c r="J538" s="148"/>
      <c r="K538" s="148"/>
      <c r="L538" s="148"/>
      <c r="M538" s="147"/>
      <c r="N538" s="146"/>
      <c r="O538" s="147"/>
      <c r="P538" s="147"/>
      <c r="Q538" s="147"/>
      <c r="R538" s="146"/>
      <c r="S538" s="146"/>
      <c r="T538" s="146"/>
      <c r="U538" s="146"/>
      <c r="V538" s="147"/>
      <c r="W538" s="146"/>
    </row>
    <row r="539">
      <c r="A539" s="146"/>
      <c r="B539" s="146"/>
      <c r="C539" s="146"/>
      <c r="D539" s="147"/>
      <c r="E539" s="146"/>
      <c r="F539" s="146"/>
      <c r="G539" s="146"/>
      <c r="H539" s="147"/>
      <c r="I539" s="146"/>
      <c r="J539" s="148"/>
      <c r="K539" s="148"/>
      <c r="L539" s="148"/>
      <c r="M539" s="147"/>
      <c r="N539" s="146"/>
      <c r="O539" s="147"/>
      <c r="P539" s="147"/>
      <c r="Q539" s="147"/>
      <c r="R539" s="146"/>
      <c r="S539" s="146"/>
      <c r="T539" s="146"/>
      <c r="U539" s="146"/>
      <c r="V539" s="147"/>
      <c r="W539" s="146"/>
    </row>
    <row r="540">
      <c r="A540" s="146"/>
      <c r="B540" s="146"/>
      <c r="C540" s="146"/>
      <c r="D540" s="147"/>
      <c r="E540" s="146"/>
      <c r="F540" s="146"/>
      <c r="G540" s="146"/>
      <c r="H540" s="147"/>
      <c r="I540" s="146"/>
      <c r="J540" s="148"/>
      <c r="K540" s="148"/>
      <c r="L540" s="148"/>
      <c r="M540" s="147"/>
      <c r="N540" s="146"/>
      <c r="O540" s="147"/>
      <c r="P540" s="147"/>
      <c r="Q540" s="147"/>
      <c r="R540" s="146"/>
      <c r="S540" s="146"/>
      <c r="T540" s="146"/>
      <c r="U540" s="146"/>
      <c r="V540" s="147"/>
      <c r="W540" s="146"/>
    </row>
    <row r="541">
      <c r="A541" s="146"/>
      <c r="B541" s="146"/>
      <c r="C541" s="146"/>
      <c r="D541" s="147"/>
      <c r="E541" s="146"/>
      <c r="F541" s="146"/>
      <c r="G541" s="146"/>
      <c r="H541" s="147"/>
      <c r="I541" s="146"/>
      <c r="J541" s="148"/>
      <c r="K541" s="148"/>
      <c r="L541" s="148"/>
      <c r="M541" s="147"/>
      <c r="N541" s="146"/>
      <c r="O541" s="147"/>
      <c r="P541" s="147"/>
      <c r="Q541" s="147"/>
      <c r="R541" s="146"/>
      <c r="S541" s="146"/>
      <c r="T541" s="146"/>
      <c r="U541" s="146"/>
      <c r="V541" s="147"/>
      <c r="W541" s="146"/>
    </row>
    <row r="542">
      <c r="A542" s="146"/>
      <c r="B542" s="146"/>
      <c r="C542" s="146"/>
      <c r="D542" s="147"/>
      <c r="E542" s="146"/>
      <c r="F542" s="146"/>
      <c r="G542" s="146"/>
      <c r="H542" s="147"/>
      <c r="I542" s="146"/>
      <c r="J542" s="148"/>
      <c r="K542" s="148"/>
      <c r="L542" s="148"/>
      <c r="M542" s="147"/>
      <c r="N542" s="146"/>
      <c r="O542" s="147"/>
      <c r="P542" s="147"/>
      <c r="Q542" s="147"/>
      <c r="R542" s="146"/>
      <c r="S542" s="146"/>
      <c r="T542" s="146"/>
      <c r="U542" s="146"/>
      <c r="V542" s="147"/>
      <c r="W542" s="146"/>
    </row>
    <row r="543">
      <c r="A543" s="146"/>
      <c r="B543" s="146"/>
      <c r="C543" s="146"/>
      <c r="D543" s="147"/>
      <c r="E543" s="146"/>
      <c r="F543" s="146"/>
      <c r="G543" s="146"/>
      <c r="H543" s="147"/>
      <c r="I543" s="146"/>
      <c r="J543" s="148"/>
      <c r="K543" s="148"/>
      <c r="L543" s="148"/>
      <c r="M543" s="147"/>
      <c r="N543" s="146"/>
      <c r="O543" s="147"/>
      <c r="P543" s="147"/>
      <c r="Q543" s="147"/>
      <c r="R543" s="146"/>
      <c r="S543" s="146"/>
      <c r="T543" s="146"/>
      <c r="U543" s="146"/>
      <c r="V543" s="147"/>
      <c r="W543" s="146"/>
    </row>
    <row r="544">
      <c r="A544" s="146"/>
      <c r="B544" s="146"/>
      <c r="C544" s="146"/>
      <c r="D544" s="147"/>
      <c r="E544" s="146"/>
      <c r="F544" s="146"/>
      <c r="G544" s="146"/>
      <c r="H544" s="147"/>
      <c r="I544" s="146"/>
      <c r="J544" s="148"/>
      <c r="K544" s="148"/>
      <c r="L544" s="148"/>
      <c r="M544" s="147"/>
      <c r="N544" s="146"/>
      <c r="O544" s="147"/>
      <c r="P544" s="147"/>
      <c r="Q544" s="147"/>
      <c r="R544" s="146"/>
      <c r="S544" s="146"/>
      <c r="T544" s="146"/>
      <c r="U544" s="146"/>
      <c r="V544" s="147"/>
      <c r="W544" s="146"/>
    </row>
    <row r="545">
      <c r="A545" s="146"/>
      <c r="B545" s="146"/>
      <c r="C545" s="146"/>
      <c r="D545" s="147"/>
      <c r="E545" s="146"/>
      <c r="F545" s="146"/>
      <c r="G545" s="146"/>
      <c r="H545" s="147"/>
      <c r="I545" s="146"/>
      <c r="J545" s="148"/>
      <c r="K545" s="148"/>
      <c r="L545" s="148"/>
      <c r="M545" s="147"/>
      <c r="N545" s="146"/>
      <c r="O545" s="147"/>
      <c r="P545" s="147"/>
      <c r="Q545" s="147"/>
      <c r="R545" s="146"/>
      <c r="S545" s="146"/>
      <c r="T545" s="146"/>
      <c r="U545" s="146"/>
      <c r="V545" s="147"/>
      <c r="W545" s="146"/>
    </row>
    <row r="546">
      <c r="A546" s="146"/>
      <c r="B546" s="146"/>
      <c r="C546" s="146"/>
      <c r="D546" s="147"/>
      <c r="E546" s="146"/>
      <c r="F546" s="146"/>
      <c r="G546" s="146"/>
      <c r="H546" s="147"/>
      <c r="I546" s="146"/>
      <c r="J546" s="148"/>
      <c r="K546" s="148"/>
      <c r="L546" s="148"/>
      <c r="M546" s="147"/>
      <c r="N546" s="146"/>
      <c r="O546" s="147"/>
      <c r="P546" s="147"/>
      <c r="Q546" s="147"/>
      <c r="R546" s="146"/>
      <c r="S546" s="146"/>
      <c r="T546" s="146"/>
      <c r="U546" s="146"/>
      <c r="V546" s="147"/>
      <c r="W546" s="146"/>
    </row>
    <row r="547">
      <c r="A547" s="146"/>
      <c r="B547" s="146"/>
      <c r="C547" s="146"/>
      <c r="D547" s="147"/>
      <c r="E547" s="146"/>
      <c r="F547" s="146"/>
      <c r="G547" s="146"/>
      <c r="H547" s="147"/>
      <c r="I547" s="146"/>
      <c r="J547" s="148"/>
      <c r="K547" s="148"/>
      <c r="L547" s="148"/>
      <c r="M547" s="147"/>
      <c r="N547" s="146"/>
      <c r="O547" s="147"/>
      <c r="P547" s="147"/>
      <c r="Q547" s="147"/>
      <c r="R547" s="146"/>
      <c r="S547" s="146"/>
      <c r="T547" s="146"/>
      <c r="U547" s="146"/>
      <c r="V547" s="147"/>
      <c r="W547" s="146"/>
    </row>
    <row r="548">
      <c r="A548" s="146"/>
      <c r="B548" s="146"/>
      <c r="C548" s="146"/>
      <c r="D548" s="147"/>
      <c r="E548" s="146"/>
      <c r="F548" s="146"/>
      <c r="G548" s="146"/>
      <c r="H548" s="147"/>
      <c r="I548" s="146"/>
      <c r="J548" s="148"/>
      <c r="K548" s="148"/>
      <c r="L548" s="148"/>
      <c r="M548" s="147"/>
      <c r="N548" s="146"/>
      <c r="O548" s="147"/>
      <c r="P548" s="147"/>
      <c r="Q548" s="147"/>
      <c r="R548" s="146"/>
      <c r="S548" s="146"/>
      <c r="T548" s="146"/>
      <c r="U548" s="146"/>
      <c r="V548" s="147"/>
      <c r="W548" s="146"/>
    </row>
    <row r="549">
      <c r="A549" s="146"/>
      <c r="B549" s="146"/>
      <c r="C549" s="146"/>
      <c r="D549" s="147"/>
      <c r="E549" s="146"/>
      <c r="F549" s="146"/>
      <c r="G549" s="146"/>
      <c r="H549" s="147"/>
      <c r="I549" s="146"/>
      <c r="J549" s="148"/>
      <c r="K549" s="148"/>
      <c r="L549" s="148"/>
      <c r="M549" s="147"/>
      <c r="N549" s="146"/>
      <c r="O549" s="147"/>
      <c r="P549" s="147"/>
      <c r="Q549" s="147"/>
      <c r="R549" s="146"/>
      <c r="S549" s="146"/>
      <c r="T549" s="146"/>
      <c r="U549" s="146"/>
      <c r="V549" s="147"/>
      <c r="W549" s="146"/>
    </row>
    <row r="550">
      <c r="A550" s="146"/>
      <c r="B550" s="146"/>
      <c r="C550" s="146"/>
      <c r="D550" s="147"/>
      <c r="E550" s="146"/>
      <c r="F550" s="146"/>
      <c r="G550" s="146"/>
      <c r="H550" s="147"/>
      <c r="I550" s="146"/>
      <c r="J550" s="148"/>
      <c r="K550" s="148"/>
      <c r="L550" s="148"/>
      <c r="M550" s="147"/>
      <c r="N550" s="146"/>
      <c r="O550" s="147"/>
      <c r="P550" s="147"/>
      <c r="Q550" s="147"/>
      <c r="R550" s="146"/>
      <c r="S550" s="146"/>
      <c r="T550" s="146"/>
      <c r="U550" s="146"/>
      <c r="V550" s="147"/>
      <c r="W550" s="146"/>
    </row>
    <row r="551">
      <c r="A551" s="146"/>
      <c r="B551" s="146"/>
      <c r="C551" s="146"/>
      <c r="D551" s="147"/>
      <c r="E551" s="146"/>
      <c r="F551" s="146"/>
      <c r="G551" s="146"/>
      <c r="H551" s="147"/>
      <c r="I551" s="146"/>
      <c r="J551" s="148"/>
      <c r="K551" s="148"/>
      <c r="L551" s="148"/>
      <c r="M551" s="147"/>
      <c r="N551" s="146"/>
      <c r="O551" s="147"/>
      <c r="P551" s="147"/>
      <c r="Q551" s="147"/>
      <c r="R551" s="146"/>
      <c r="S551" s="146"/>
      <c r="T551" s="146"/>
      <c r="U551" s="146"/>
      <c r="V551" s="147"/>
      <c r="W551" s="146"/>
    </row>
    <row r="552">
      <c r="A552" s="146"/>
      <c r="B552" s="146"/>
      <c r="C552" s="146"/>
      <c r="D552" s="147"/>
      <c r="E552" s="146"/>
      <c r="F552" s="146"/>
      <c r="G552" s="146"/>
      <c r="H552" s="147"/>
      <c r="I552" s="146"/>
      <c r="J552" s="148"/>
      <c r="K552" s="148"/>
      <c r="L552" s="148"/>
      <c r="M552" s="147"/>
      <c r="N552" s="146"/>
      <c r="O552" s="147"/>
      <c r="P552" s="147"/>
      <c r="Q552" s="147"/>
      <c r="R552" s="146"/>
      <c r="S552" s="146"/>
      <c r="T552" s="146"/>
      <c r="U552" s="146"/>
      <c r="V552" s="147"/>
      <c r="W552" s="146"/>
    </row>
    <row r="553">
      <c r="A553" s="146"/>
      <c r="B553" s="146"/>
      <c r="C553" s="146"/>
      <c r="D553" s="147"/>
      <c r="E553" s="146"/>
      <c r="F553" s="146"/>
      <c r="G553" s="146"/>
      <c r="H553" s="147"/>
      <c r="I553" s="146"/>
      <c r="J553" s="148"/>
      <c r="K553" s="148"/>
      <c r="L553" s="148"/>
      <c r="M553" s="147"/>
      <c r="N553" s="146"/>
      <c r="O553" s="147"/>
      <c r="P553" s="147"/>
      <c r="Q553" s="147"/>
      <c r="R553" s="146"/>
      <c r="S553" s="146"/>
      <c r="T553" s="146"/>
      <c r="U553" s="146"/>
      <c r="V553" s="147"/>
      <c r="W553" s="146"/>
    </row>
    <row r="554">
      <c r="A554" s="146"/>
      <c r="B554" s="146"/>
      <c r="C554" s="146"/>
      <c r="D554" s="147"/>
      <c r="E554" s="146"/>
      <c r="F554" s="146"/>
      <c r="G554" s="146"/>
      <c r="H554" s="147"/>
      <c r="I554" s="146"/>
      <c r="J554" s="148"/>
      <c r="K554" s="148"/>
      <c r="L554" s="148"/>
      <c r="M554" s="147"/>
      <c r="N554" s="146"/>
      <c r="O554" s="147"/>
      <c r="P554" s="147"/>
      <c r="Q554" s="147"/>
      <c r="R554" s="146"/>
      <c r="S554" s="146"/>
      <c r="T554" s="146"/>
      <c r="U554" s="146"/>
      <c r="V554" s="147"/>
      <c r="W554" s="146"/>
    </row>
    <row r="555">
      <c r="A555" s="146"/>
      <c r="B555" s="146"/>
      <c r="C555" s="146"/>
      <c r="D555" s="147"/>
      <c r="E555" s="146"/>
      <c r="F555" s="146"/>
      <c r="G555" s="146"/>
      <c r="H555" s="147"/>
      <c r="I555" s="146"/>
      <c r="J555" s="148"/>
      <c r="K555" s="148"/>
      <c r="L555" s="148"/>
      <c r="M555" s="147"/>
      <c r="N555" s="146"/>
      <c r="O555" s="147"/>
      <c r="P555" s="147"/>
      <c r="Q555" s="147"/>
      <c r="R555" s="146"/>
      <c r="S555" s="146"/>
      <c r="T555" s="146"/>
      <c r="U555" s="146"/>
      <c r="V555" s="147"/>
      <c r="W555" s="146"/>
    </row>
    <row r="556">
      <c r="A556" s="146"/>
      <c r="B556" s="146"/>
      <c r="C556" s="146"/>
      <c r="D556" s="147"/>
      <c r="E556" s="146"/>
      <c r="F556" s="146"/>
      <c r="G556" s="146"/>
      <c r="H556" s="147"/>
      <c r="I556" s="146"/>
      <c r="J556" s="148"/>
      <c r="K556" s="148"/>
      <c r="L556" s="148"/>
      <c r="M556" s="147"/>
      <c r="N556" s="146"/>
      <c r="O556" s="147"/>
      <c r="P556" s="147"/>
      <c r="Q556" s="147"/>
      <c r="R556" s="146"/>
      <c r="S556" s="146"/>
      <c r="T556" s="146"/>
      <c r="U556" s="146"/>
      <c r="V556" s="147"/>
      <c r="W556" s="146"/>
    </row>
    <row r="557">
      <c r="A557" s="146"/>
      <c r="B557" s="146"/>
      <c r="C557" s="146"/>
      <c r="D557" s="147"/>
      <c r="E557" s="146"/>
      <c r="F557" s="146"/>
      <c r="G557" s="146"/>
      <c r="H557" s="147"/>
      <c r="I557" s="146"/>
      <c r="J557" s="148"/>
      <c r="K557" s="148"/>
      <c r="L557" s="148"/>
      <c r="M557" s="147"/>
      <c r="N557" s="146"/>
      <c r="O557" s="147"/>
      <c r="P557" s="147"/>
      <c r="Q557" s="147"/>
      <c r="R557" s="146"/>
      <c r="S557" s="146"/>
      <c r="T557" s="146"/>
      <c r="U557" s="146"/>
      <c r="V557" s="147"/>
      <c r="W557" s="146"/>
    </row>
    <row r="558">
      <c r="A558" s="146"/>
      <c r="B558" s="146"/>
      <c r="C558" s="146"/>
      <c r="D558" s="147"/>
      <c r="E558" s="146"/>
      <c r="F558" s="146"/>
      <c r="G558" s="146"/>
      <c r="H558" s="147"/>
      <c r="I558" s="146"/>
      <c r="J558" s="148"/>
      <c r="K558" s="148"/>
      <c r="L558" s="148"/>
      <c r="M558" s="147"/>
      <c r="N558" s="146"/>
      <c r="O558" s="147"/>
      <c r="P558" s="147"/>
      <c r="Q558" s="147"/>
      <c r="R558" s="146"/>
      <c r="S558" s="146"/>
      <c r="T558" s="146"/>
      <c r="U558" s="146"/>
      <c r="V558" s="147"/>
      <c r="W558" s="146"/>
    </row>
    <row r="559">
      <c r="A559" s="146"/>
      <c r="B559" s="146"/>
      <c r="C559" s="146"/>
      <c r="D559" s="147"/>
      <c r="E559" s="146"/>
      <c r="F559" s="146"/>
      <c r="G559" s="146"/>
      <c r="H559" s="147"/>
      <c r="I559" s="146"/>
      <c r="J559" s="148"/>
      <c r="K559" s="148"/>
      <c r="L559" s="148"/>
      <c r="M559" s="147"/>
      <c r="N559" s="146"/>
      <c r="O559" s="147"/>
      <c r="P559" s="147"/>
      <c r="Q559" s="147"/>
      <c r="R559" s="146"/>
      <c r="S559" s="146"/>
      <c r="T559" s="146"/>
      <c r="U559" s="146"/>
      <c r="V559" s="147"/>
      <c r="W559" s="146"/>
    </row>
    <row r="560">
      <c r="A560" s="146"/>
      <c r="B560" s="146"/>
      <c r="C560" s="146"/>
      <c r="D560" s="147"/>
      <c r="E560" s="146"/>
      <c r="F560" s="146"/>
      <c r="G560" s="146"/>
      <c r="H560" s="147"/>
      <c r="I560" s="146"/>
      <c r="J560" s="148"/>
      <c r="K560" s="148"/>
      <c r="L560" s="148"/>
      <c r="M560" s="147"/>
      <c r="N560" s="146"/>
      <c r="O560" s="147"/>
      <c r="P560" s="147"/>
      <c r="Q560" s="147"/>
      <c r="R560" s="146"/>
      <c r="S560" s="146"/>
      <c r="T560" s="146"/>
      <c r="U560" s="146"/>
      <c r="V560" s="147"/>
      <c r="W560" s="146"/>
    </row>
    <row r="561">
      <c r="A561" s="146"/>
      <c r="B561" s="146"/>
      <c r="C561" s="146"/>
      <c r="D561" s="147"/>
      <c r="E561" s="146"/>
      <c r="F561" s="146"/>
      <c r="G561" s="146"/>
      <c r="H561" s="147"/>
      <c r="I561" s="146"/>
      <c r="J561" s="148"/>
      <c r="K561" s="148"/>
      <c r="L561" s="148"/>
      <c r="M561" s="147"/>
      <c r="N561" s="146"/>
      <c r="O561" s="147"/>
      <c r="P561" s="147"/>
      <c r="Q561" s="147"/>
      <c r="R561" s="146"/>
      <c r="S561" s="146"/>
      <c r="T561" s="146"/>
      <c r="U561" s="146"/>
      <c r="V561" s="147"/>
      <c r="W561" s="146"/>
    </row>
    <row r="562">
      <c r="A562" s="146"/>
      <c r="B562" s="146"/>
      <c r="C562" s="146"/>
      <c r="D562" s="147"/>
      <c r="E562" s="146"/>
      <c r="F562" s="146"/>
      <c r="G562" s="146"/>
      <c r="H562" s="147"/>
      <c r="I562" s="146"/>
      <c r="J562" s="148"/>
      <c r="K562" s="148"/>
      <c r="L562" s="148"/>
      <c r="M562" s="147"/>
      <c r="N562" s="146"/>
      <c r="O562" s="147"/>
      <c r="P562" s="147"/>
      <c r="Q562" s="147"/>
      <c r="R562" s="146"/>
      <c r="S562" s="146"/>
      <c r="T562" s="146"/>
      <c r="U562" s="146"/>
      <c r="V562" s="147"/>
      <c r="W562" s="146"/>
    </row>
    <row r="563">
      <c r="A563" s="146"/>
      <c r="B563" s="146"/>
      <c r="C563" s="146"/>
      <c r="D563" s="147"/>
      <c r="E563" s="146"/>
      <c r="F563" s="146"/>
      <c r="G563" s="146"/>
      <c r="H563" s="147"/>
      <c r="I563" s="146"/>
      <c r="J563" s="148"/>
      <c r="K563" s="148"/>
      <c r="L563" s="148"/>
      <c r="M563" s="147"/>
      <c r="N563" s="146"/>
      <c r="O563" s="147"/>
      <c r="P563" s="147"/>
      <c r="Q563" s="147"/>
      <c r="R563" s="146"/>
      <c r="S563" s="146"/>
      <c r="T563" s="146"/>
      <c r="U563" s="146"/>
      <c r="V563" s="147"/>
      <c r="W563" s="146"/>
    </row>
    <row r="564">
      <c r="A564" s="146"/>
      <c r="B564" s="146"/>
      <c r="C564" s="146"/>
      <c r="D564" s="147"/>
      <c r="E564" s="146"/>
      <c r="F564" s="146"/>
      <c r="G564" s="146"/>
      <c r="H564" s="147"/>
      <c r="I564" s="146"/>
      <c r="J564" s="148"/>
      <c r="K564" s="148"/>
      <c r="L564" s="148"/>
      <c r="M564" s="147"/>
      <c r="N564" s="146"/>
      <c r="O564" s="147"/>
      <c r="P564" s="147"/>
      <c r="Q564" s="147"/>
      <c r="R564" s="146"/>
      <c r="S564" s="146"/>
      <c r="T564" s="146"/>
      <c r="U564" s="146"/>
      <c r="V564" s="147"/>
      <c r="W564" s="146"/>
    </row>
    <row r="565">
      <c r="A565" s="146"/>
      <c r="B565" s="146"/>
      <c r="C565" s="146"/>
      <c r="D565" s="147"/>
      <c r="E565" s="146"/>
      <c r="F565" s="146"/>
      <c r="G565" s="146"/>
      <c r="H565" s="147"/>
      <c r="I565" s="146"/>
      <c r="J565" s="148"/>
      <c r="K565" s="148"/>
      <c r="L565" s="148"/>
      <c r="M565" s="147"/>
      <c r="N565" s="146"/>
      <c r="O565" s="147"/>
      <c r="P565" s="147"/>
      <c r="Q565" s="147"/>
      <c r="R565" s="146"/>
      <c r="S565" s="146"/>
      <c r="T565" s="146"/>
      <c r="U565" s="146"/>
      <c r="V565" s="147"/>
      <c r="W565" s="146"/>
    </row>
    <row r="566">
      <c r="A566" s="146"/>
      <c r="B566" s="146"/>
      <c r="C566" s="146"/>
      <c r="D566" s="147"/>
      <c r="E566" s="146"/>
      <c r="F566" s="146"/>
      <c r="G566" s="146"/>
      <c r="H566" s="147"/>
      <c r="I566" s="146"/>
      <c r="J566" s="148"/>
      <c r="K566" s="148"/>
      <c r="L566" s="148"/>
      <c r="M566" s="147"/>
      <c r="N566" s="146"/>
      <c r="O566" s="147"/>
      <c r="P566" s="147"/>
      <c r="Q566" s="147"/>
      <c r="R566" s="146"/>
      <c r="S566" s="146"/>
      <c r="T566" s="146"/>
      <c r="U566" s="146"/>
      <c r="V566" s="147"/>
      <c r="W566" s="146"/>
    </row>
    <row r="567">
      <c r="A567" s="146"/>
      <c r="B567" s="146"/>
      <c r="C567" s="146"/>
      <c r="D567" s="147"/>
      <c r="E567" s="146"/>
      <c r="F567" s="146"/>
      <c r="G567" s="146"/>
      <c r="H567" s="147"/>
      <c r="I567" s="146"/>
      <c r="J567" s="148"/>
      <c r="K567" s="148"/>
      <c r="L567" s="148"/>
      <c r="M567" s="147"/>
      <c r="N567" s="146"/>
      <c r="O567" s="147"/>
      <c r="P567" s="147"/>
      <c r="Q567" s="147"/>
      <c r="R567" s="146"/>
      <c r="S567" s="146"/>
      <c r="T567" s="146"/>
      <c r="U567" s="146"/>
      <c r="V567" s="147"/>
      <c r="W567" s="146"/>
    </row>
    <row r="568">
      <c r="A568" s="146"/>
      <c r="B568" s="146"/>
      <c r="C568" s="146"/>
      <c r="D568" s="147"/>
      <c r="E568" s="146"/>
      <c r="F568" s="146"/>
      <c r="G568" s="146"/>
      <c r="H568" s="147"/>
      <c r="I568" s="146"/>
      <c r="J568" s="148"/>
      <c r="K568" s="148"/>
      <c r="L568" s="148"/>
      <c r="M568" s="147"/>
      <c r="N568" s="146"/>
      <c r="O568" s="147"/>
      <c r="P568" s="147"/>
      <c r="Q568" s="147"/>
      <c r="R568" s="146"/>
      <c r="S568" s="146"/>
      <c r="T568" s="146"/>
      <c r="U568" s="146"/>
      <c r="V568" s="147"/>
      <c r="W568" s="146"/>
    </row>
    <row r="569">
      <c r="A569" s="146"/>
      <c r="B569" s="146"/>
      <c r="C569" s="146"/>
      <c r="D569" s="147"/>
      <c r="E569" s="146"/>
      <c r="F569" s="146"/>
      <c r="G569" s="146"/>
      <c r="H569" s="147"/>
      <c r="I569" s="146"/>
      <c r="J569" s="148"/>
      <c r="K569" s="148"/>
      <c r="L569" s="148"/>
      <c r="M569" s="147"/>
      <c r="N569" s="146"/>
      <c r="O569" s="147"/>
      <c r="P569" s="147"/>
      <c r="Q569" s="147"/>
      <c r="R569" s="146"/>
      <c r="S569" s="146"/>
      <c r="T569" s="146"/>
      <c r="U569" s="146"/>
      <c r="V569" s="147"/>
      <c r="W569" s="146"/>
    </row>
    <row r="570">
      <c r="A570" s="146"/>
      <c r="B570" s="146"/>
      <c r="C570" s="146"/>
      <c r="D570" s="147"/>
      <c r="E570" s="146"/>
      <c r="F570" s="146"/>
      <c r="G570" s="146"/>
      <c r="H570" s="147"/>
      <c r="I570" s="146"/>
      <c r="J570" s="148"/>
      <c r="K570" s="148"/>
      <c r="L570" s="148"/>
      <c r="M570" s="147"/>
      <c r="N570" s="146"/>
      <c r="O570" s="147"/>
      <c r="P570" s="147"/>
      <c r="Q570" s="147"/>
      <c r="R570" s="146"/>
      <c r="S570" s="146"/>
      <c r="T570" s="146"/>
      <c r="U570" s="146"/>
      <c r="V570" s="147"/>
      <c r="W570" s="146"/>
    </row>
    <row r="571">
      <c r="A571" s="146"/>
      <c r="B571" s="146"/>
      <c r="C571" s="146"/>
      <c r="D571" s="147"/>
      <c r="E571" s="146"/>
      <c r="F571" s="146"/>
      <c r="G571" s="146"/>
      <c r="H571" s="147"/>
      <c r="I571" s="146"/>
      <c r="J571" s="148"/>
      <c r="K571" s="148"/>
      <c r="L571" s="148"/>
      <c r="M571" s="147"/>
      <c r="N571" s="146"/>
      <c r="O571" s="147"/>
      <c r="P571" s="147"/>
      <c r="Q571" s="147"/>
      <c r="R571" s="146"/>
      <c r="S571" s="146"/>
      <c r="T571" s="146"/>
      <c r="U571" s="146"/>
      <c r="V571" s="147"/>
      <c r="W571" s="146"/>
    </row>
    <row r="572">
      <c r="A572" s="146"/>
      <c r="B572" s="146"/>
      <c r="C572" s="146"/>
      <c r="D572" s="147"/>
      <c r="E572" s="146"/>
      <c r="F572" s="146"/>
      <c r="G572" s="146"/>
      <c r="H572" s="147"/>
      <c r="I572" s="146"/>
      <c r="J572" s="148"/>
      <c r="K572" s="148"/>
      <c r="L572" s="148"/>
      <c r="M572" s="147"/>
      <c r="N572" s="146"/>
      <c r="O572" s="147"/>
      <c r="P572" s="147"/>
      <c r="Q572" s="147"/>
      <c r="R572" s="146"/>
      <c r="S572" s="146"/>
      <c r="T572" s="146"/>
      <c r="U572" s="146"/>
      <c r="V572" s="147"/>
      <c r="W572" s="146"/>
    </row>
    <row r="573">
      <c r="A573" s="146"/>
      <c r="B573" s="146"/>
      <c r="C573" s="146"/>
      <c r="D573" s="147"/>
      <c r="E573" s="146"/>
      <c r="F573" s="146"/>
      <c r="G573" s="146"/>
      <c r="H573" s="147"/>
      <c r="I573" s="146"/>
      <c r="J573" s="148"/>
      <c r="K573" s="148"/>
      <c r="L573" s="148"/>
      <c r="M573" s="147"/>
      <c r="N573" s="146"/>
      <c r="O573" s="147"/>
      <c r="P573" s="147"/>
      <c r="Q573" s="147"/>
      <c r="R573" s="146"/>
      <c r="S573" s="146"/>
      <c r="T573" s="146"/>
      <c r="U573" s="146"/>
      <c r="V573" s="147"/>
      <c r="W573" s="146"/>
    </row>
    <row r="574">
      <c r="A574" s="146"/>
      <c r="B574" s="146"/>
      <c r="C574" s="146"/>
      <c r="D574" s="147"/>
      <c r="E574" s="146"/>
      <c r="F574" s="146"/>
      <c r="G574" s="146"/>
      <c r="H574" s="147"/>
      <c r="I574" s="146"/>
      <c r="J574" s="148"/>
      <c r="K574" s="148"/>
      <c r="L574" s="148"/>
      <c r="M574" s="147"/>
      <c r="N574" s="146"/>
      <c r="O574" s="147"/>
      <c r="P574" s="147"/>
      <c r="Q574" s="147"/>
      <c r="R574" s="146"/>
      <c r="S574" s="146"/>
      <c r="T574" s="146"/>
      <c r="U574" s="146"/>
      <c r="V574" s="147"/>
      <c r="W574" s="146"/>
    </row>
    <row r="575">
      <c r="A575" s="146"/>
      <c r="B575" s="146"/>
      <c r="C575" s="146"/>
      <c r="D575" s="147"/>
      <c r="E575" s="146"/>
      <c r="F575" s="146"/>
      <c r="G575" s="146"/>
      <c r="H575" s="147"/>
      <c r="I575" s="146"/>
      <c r="J575" s="148"/>
      <c r="K575" s="148"/>
      <c r="L575" s="148"/>
      <c r="M575" s="147"/>
      <c r="N575" s="146"/>
      <c r="O575" s="147"/>
      <c r="P575" s="147"/>
      <c r="Q575" s="147"/>
      <c r="R575" s="146"/>
      <c r="S575" s="146"/>
      <c r="T575" s="146"/>
      <c r="U575" s="146"/>
      <c r="V575" s="147"/>
      <c r="W575" s="146"/>
    </row>
    <row r="576">
      <c r="A576" s="146"/>
      <c r="B576" s="146"/>
      <c r="C576" s="146"/>
      <c r="D576" s="147"/>
      <c r="E576" s="146"/>
      <c r="F576" s="146"/>
      <c r="G576" s="146"/>
      <c r="H576" s="147"/>
      <c r="I576" s="146"/>
      <c r="J576" s="148"/>
      <c r="K576" s="148"/>
      <c r="L576" s="148"/>
      <c r="M576" s="147"/>
      <c r="N576" s="146"/>
      <c r="O576" s="147"/>
      <c r="P576" s="147"/>
      <c r="Q576" s="147"/>
      <c r="R576" s="146"/>
      <c r="S576" s="146"/>
      <c r="T576" s="146"/>
      <c r="U576" s="146"/>
      <c r="V576" s="147"/>
      <c r="W576" s="146"/>
    </row>
    <row r="577">
      <c r="A577" s="146"/>
      <c r="B577" s="146"/>
      <c r="C577" s="146"/>
      <c r="D577" s="147"/>
      <c r="E577" s="146"/>
      <c r="F577" s="146"/>
      <c r="G577" s="146"/>
      <c r="H577" s="147"/>
      <c r="I577" s="146"/>
      <c r="J577" s="148"/>
      <c r="K577" s="148"/>
      <c r="L577" s="148"/>
      <c r="M577" s="147"/>
      <c r="N577" s="146"/>
      <c r="O577" s="147"/>
      <c r="P577" s="147"/>
      <c r="Q577" s="147"/>
      <c r="R577" s="146"/>
      <c r="S577" s="146"/>
      <c r="T577" s="146"/>
      <c r="U577" s="146"/>
      <c r="V577" s="147"/>
      <c r="W577" s="146"/>
    </row>
    <row r="578">
      <c r="A578" s="146"/>
      <c r="B578" s="146"/>
      <c r="C578" s="146"/>
      <c r="D578" s="147"/>
      <c r="E578" s="146"/>
      <c r="F578" s="146"/>
      <c r="G578" s="146"/>
      <c r="H578" s="147"/>
      <c r="I578" s="146"/>
      <c r="J578" s="148"/>
      <c r="K578" s="148"/>
      <c r="L578" s="148"/>
      <c r="M578" s="147"/>
      <c r="N578" s="146"/>
      <c r="O578" s="147"/>
      <c r="P578" s="147"/>
      <c r="Q578" s="147"/>
      <c r="R578" s="146"/>
      <c r="S578" s="146"/>
      <c r="T578" s="146"/>
      <c r="U578" s="146"/>
      <c r="V578" s="147"/>
      <c r="W578" s="146"/>
    </row>
    <row r="579">
      <c r="A579" s="146"/>
      <c r="B579" s="146"/>
      <c r="C579" s="146"/>
      <c r="D579" s="147"/>
      <c r="E579" s="146"/>
      <c r="F579" s="146"/>
      <c r="G579" s="146"/>
      <c r="H579" s="147"/>
      <c r="I579" s="146"/>
      <c r="J579" s="148"/>
      <c r="K579" s="148"/>
      <c r="L579" s="148"/>
      <c r="M579" s="147"/>
      <c r="N579" s="146"/>
      <c r="O579" s="147"/>
      <c r="P579" s="147"/>
      <c r="Q579" s="147"/>
      <c r="R579" s="146"/>
      <c r="S579" s="146"/>
      <c r="T579" s="146"/>
      <c r="U579" s="146"/>
      <c r="V579" s="147"/>
      <c r="W579" s="146"/>
    </row>
    <row r="580">
      <c r="A580" s="146"/>
      <c r="B580" s="146"/>
      <c r="C580" s="146"/>
      <c r="D580" s="147"/>
      <c r="E580" s="146"/>
      <c r="F580" s="146"/>
      <c r="G580" s="146"/>
      <c r="H580" s="147"/>
      <c r="I580" s="146"/>
      <c r="J580" s="148"/>
      <c r="K580" s="148"/>
      <c r="L580" s="148"/>
      <c r="M580" s="147"/>
      <c r="N580" s="146"/>
      <c r="O580" s="147"/>
      <c r="P580" s="147"/>
      <c r="Q580" s="147"/>
      <c r="R580" s="146"/>
      <c r="S580" s="146"/>
      <c r="T580" s="146"/>
      <c r="U580" s="146"/>
      <c r="V580" s="147"/>
      <c r="W580" s="146"/>
    </row>
    <row r="581">
      <c r="A581" s="146"/>
      <c r="B581" s="146"/>
      <c r="C581" s="146"/>
      <c r="D581" s="147"/>
      <c r="E581" s="146"/>
      <c r="F581" s="146"/>
      <c r="G581" s="146"/>
      <c r="H581" s="147"/>
      <c r="I581" s="146"/>
      <c r="J581" s="148"/>
      <c r="K581" s="148"/>
      <c r="L581" s="148"/>
      <c r="M581" s="147"/>
      <c r="N581" s="146"/>
      <c r="O581" s="147"/>
      <c r="P581" s="147"/>
      <c r="Q581" s="147"/>
      <c r="R581" s="146"/>
      <c r="S581" s="146"/>
      <c r="T581" s="146"/>
      <c r="U581" s="146"/>
      <c r="V581" s="147"/>
      <c r="W581" s="146"/>
    </row>
    <row r="582">
      <c r="A582" s="146"/>
      <c r="B582" s="146"/>
      <c r="C582" s="146"/>
      <c r="D582" s="147"/>
      <c r="E582" s="146"/>
      <c r="F582" s="146"/>
      <c r="G582" s="146"/>
      <c r="H582" s="147"/>
      <c r="I582" s="146"/>
      <c r="J582" s="148"/>
      <c r="K582" s="148"/>
      <c r="L582" s="148"/>
      <c r="M582" s="147"/>
      <c r="N582" s="146"/>
      <c r="O582" s="147"/>
      <c r="P582" s="147"/>
      <c r="Q582" s="147"/>
      <c r="R582" s="146"/>
      <c r="S582" s="146"/>
      <c r="T582" s="146"/>
      <c r="U582" s="146"/>
      <c r="V582" s="147"/>
      <c r="W582" s="146"/>
    </row>
    <row r="583">
      <c r="A583" s="146"/>
      <c r="B583" s="146"/>
      <c r="C583" s="146"/>
      <c r="D583" s="147"/>
      <c r="E583" s="146"/>
      <c r="F583" s="146"/>
      <c r="G583" s="146"/>
      <c r="H583" s="147"/>
      <c r="I583" s="146"/>
      <c r="J583" s="148"/>
      <c r="K583" s="148"/>
      <c r="L583" s="148"/>
      <c r="M583" s="147"/>
      <c r="N583" s="146"/>
      <c r="O583" s="147"/>
      <c r="P583" s="147"/>
      <c r="Q583" s="147"/>
      <c r="R583" s="146"/>
      <c r="S583" s="146"/>
      <c r="T583" s="146"/>
      <c r="U583" s="146"/>
      <c r="V583" s="147"/>
      <c r="W583" s="146"/>
    </row>
    <row r="584">
      <c r="A584" s="146"/>
      <c r="B584" s="146"/>
      <c r="C584" s="146"/>
      <c r="D584" s="147"/>
      <c r="E584" s="146"/>
      <c r="F584" s="146"/>
      <c r="G584" s="146"/>
      <c r="H584" s="147"/>
      <c r="I584" s="146"/>
      <c r="J584" s="148"/>
      <c r="K584" s="148"/>
      <c r="L584" s="148"/>
      <c r="M584" s="147"/>
      <c r="N584" s="146"/>
      <c r="O584" s="147"/>
      <c r="P584" s="147"/>
      <c r="Q584" s="147"/>
      <c r="R584" s="146"/>
      <c r="S584" s="146"/>
      <c r="T584" s="146"/>
      <c r="U584" s="146"/>
      <c r="V584" s="147"/>
      <c r="W584" s="146"/>
    </row>
    <row r="585">
      <c r="A585" s="146"/>
      <c r="B585" s="146"/>
      <c r="C585" s="146"/>
      <c r="D585" s="147"/>
      <c r="E585" s="146"/>
      <c r="F585" s="146"/>
      <c r="G585" s="146"/>
      <c r="H585" s="147"/>
      <c r="I585" s="146"/>
      <c r="J585" s="148"/>
      <c r="K585" s="148"/>
      <c r="L585" s="148"/>
      <c r="M585" s="147"/>
      <c r="N585" s="146"/>
      <c r="O585" s="147"/>
      <c r="P585" s="147"/>
      <c r="Q585" s="147"/>
      <c r="R585" s="146"/>
      <c r="S585" s="146"/>
      <c r="T585" s="146"/>
      <c r="U585" s="146"/>
      <c r="V585" s="147"/>
      <c r="W585" s="146"/>
    </row>
    <row r="586">
      <c r="A586" s="146"/>
      <c r="B586" s="146"/>
      <c r="C586" s="146"/>
      <c r="D586" s="147"/>
      <c r="E586" s="146"/>
      <c r="F586" s="146"/>
      <c r="G586" s="146"/>
      <c r="H586" s="147"/>
      <c r="I586" s="146"/>
      <c r="J586" s="148"/>
      <c r="K586" s="148"/>
      <c r="L586" s="148"/>
      <c r="M586" s="147"/>
      <c r="N586" s="146"/>
      <c r="O586" s="147"/>
      <c r="P586" s="147"/>
      <c r="Q586" s="147"/>
      <c r="R586" s="146"/>
      <c r="S586" s="146"/>
      <c r="T586" s="146"/>
      <c r="U586" s="146"/>
      <c r="V586" s="147"/>
      <c r="W586" s="146"/>
    </row>
    <row r="587">
      <c r="A587" s="146"/>
      <c r="B587" s="146"/>
      <c r="C587" s="146"/>
      <c r="D587" s="147"/>
      <c r="E587" s="146"/>
      <c r="F587" s="146"/>
      <c r="G587" s="146"/>
      <c r="H587" s="147"/>
      <c r="I587" s="146"/>
      <c r="J587" s="148"/>
      <c r="K587" s="148"/>
      <c r="L587" s="148"/>
      <c r="M587" s="147"/>
      <c r="N587" s="146"/>
      <c r="O587" s="147"/>
      <c r="P587" s="147"/>
      <c r="Q587" s="147"/>
      <c r="R587" s="146"/>
      <c r="S587" s="146"/>
      <c r="T587" s="146"/>
      <c r="U587" s="146"/>
      <c r="V587" s="147"/>
      <c r="W587" s="146"/>
    </row>
    <row r="588">
      <c r="A588" s="146"/>
      <c r="B588" s="146"/>
      <c r="C588" s="146"/>
      <c r="D588" s="147"/>
      <c r="E588" s="146"/>
      <c r="F588" s="146"/>
      <c r="G588" s="146"/>
      <c r="H588" s="147"/>
      <c r="I588" s="146"/>
      <c r="J588" s="148"/>
      <c r="K588" s="148"/>
      <c r="L588" s="148"/>
      <c r="M588" s="147"/>
      <c r="N588" s="146"/>
      <c r="O588" s="147"/>
      <c r="P588" s="147"/>
      <c r="Q588" s="147"/>
      <c r="R588" s="146"/>
      <c r="S588" s="146"/>
      <c r="T588" s="146"/>
      <c r="U588" s="146"/>
      <c r="V588" s="147"/>
      <c r="W588" s="146"/>
    </row>
    <row r="589">
      <c r="A589" s="146"/>
      <c r="B589" s="146"/>
      <c r="C589" s="146"/>
      <c r="D589" s="147"/>
      <c r="E589" s="146"/>
      <c r="F589" s="146"/>
      <c r="G589" s="146"/>
      <c r="H589" s="147"/>
      <c r="I589" s="146"/>
      <c r="J589" s="148"/>
      <c r="K589" s="148"/>
      <c r="L589" s="148"/>
      <c r="M589" s="147"/>
      <c r="N589" s="146"/>
      <c r="O589" s="147"/>
      <c r="P589" s="147"/>
      <c r="Q589" s="147"/>
      <c r="R589" s="146"/>
      <c r="S589" s="146"/>
      <c r="T589" s="146"/>
      <c r="U589" s="146"/>
      <c r="V589" s="147"/>
      <c r="W589" s="146"/>
    </row>
    <row r="590">
      <c r="A590" s="146"/>
      <c r="B590" s="146"/>
      <c r="C590" s="146"/>
      <c r="D590" s="147"/>
      <c r="E590" s="146"/>
      <c r="F590" s="146"/>
      <c r="G590" s="146"/>
      <c r="H590" s="147"/>
      <c r="I590" s="146"/>
      <c r="J590" s="148"/>
      <c r="K590" s="148"/>
      <c r="L590" s="148"/>
      <c r="M590" s="147"/>
      <c r="N590" s="146"/>
      <c r="O590" s="147"/>
      <c r="P590" s="147"/>
      <c r="Q590" s="147"/>
      <c r="R590" s="146"/>
      <c r="S590" s="146"/>
      <c r="T590" s="146"/>
      <c r="U590" s="146"/>
      <c r="V590" s="147"/>
      <c r="W590" s="146"/>
    </row>
    <row r="591">
      <c r="A591" s="146"/>
      <c r="B591" s="146"/>
      <c r="C591" s="146"/>
      <c r="D591" s="147"/>
      <c r="E591" s="146"/>
      <c r="F591" s="146"/>
      <c r="G591" s="146"/>
      <c r="H591" s="147"/>
      <c r="I591" s="146"/>
      <c r="J591" s="148"/>
      <c r="K591" s="148"/>
      <c r="L591" s="148"/>
      <c r="M591" s="147"/>
      <c r="N591" s="146"/>
      <c r="O591" s="147"/>
      <c r="P591" s="147"/>
      <c r="Q591" s="147"/>
      <c r="R591" s="146"/>
      <c r="S591" s="146"/>
      <c r="T591" s="146"/>
      <c r="U591" s="146"/>
      <c r="V591" s="147"/>
      <c r="W591" s="146"/>
    </row>
    <row r="592">
      <c r="A592" s="146"/>
      <c r="B592" s="146"/>
      <c r="C592" s="146"/>
      <c r="D592" s="147"/>
      <c r="E592" s="146"/>
      <c r="F592" s="146"/>
      <c r="G592" s="146"/>
      <c r="H592" s="147"/>
      <c r="I592" s="146"/>
      <c r="J592" s="148"/>
      <c r="K592" s="148"/>
      <c r="L592" s="148"/>
      <c r="M592" s="147"/>
      <c r="N592" s="146"/>
      <c r="O592" s="147"/>
      <c r="P592" s="147"/>
      <c r="Q592" s="147"/>
      <c r="R592" s="146"/>
      <c r="S592" s="146"/>
      <c r="T592" s="146"/>
      <c r="U592" s="146"/>
      <c r="V592" s="147"/>
      <c r="W592" s="146"/>
    </row>
    <row r="593">
      <c r="A593" s="146"/>
      <c r="B593" s="146"/>
      <c r="C593" s="146"/>
      <c r="D593" s="147"/>
      <c r="E593" s="146"/>
      <c r="F593" s="146"/>
      <c r="G593" s="146"/>
      <c r="H593" s="147"/>
      <c r="I593" s="146"/>
      <c r="J593" s="148"/>
      <c r="K593" s="148"/>
      <c r="L593" s="148"/>
      <c r="M593" s="147"/>
      <c r="N593" s="146"/>
      <c r="O593" s="147"/>
      <c r="P593" s="147"/>
      <c r="Q593" s="147"/>
      <c r="R593" s="146"/>
      <c r="S593" s="146"/>
      <c r="T593" s="146"/>
      <c r="U593" s="146"/>
      <c r="V593" s="147"/>
      <c r="W593" s="146"/>
    </row>
    <row r="594">
      <c r="A594" s="146"/>
      <c r="B594" s="146"/>
      <c r="C594" s="146"/>
      <c r="D594" s="147"/>
      <c r="E594" s="146"/>
      <c r="F594" s="146"/>
      <c r="G594" s="146"/>
      <c r="H594" s="147"/>
      <c r="I594" s="146"/>
      <c r="J594" s="148"/>
      <c r="K594" s="148"/>
      <c r="L594" s="148"/>
      <c r="M594" s="147"/>
      <c r="N594" s="146"/>
      <c r="O594" s="147"/>
      <c r="P594" s="147"/>
      <c r="Q594" s="147"/>
      <c r="R594" s="146"/>
      <c r="S594" s="146"/>
      <c r="T594" s="146"/>
      <c r="U594" s="146"/>
      <c r="V594" s="147"/>
      <c r="W594" s="146"/>
    </row>
    <row r="595">
      <c r="A595" s="146"/>
      <c r="B595" s="146"/>
      <c r="C595" s="146"/>
      <c r="D595" s="147"/>
      <c r="E595" s="146"/>
      <c r="F595" s="146"/>
      <c r="G595" s="146"/>
      <c r="H595" s="147"/>
      <c r="I595" s="146"/>
      <c r="J595" s="148"/>
      <c r="K595" s="148"/>
      <c r="L595" s="148"/>
      <c r="M595" s="147"/>
      <c r="N595" s="146"/>
      <c r="O595" s="147"/>
      <c r="P595" s="147"/>
      <c r="Q595" s="147"/>
      <c r="R595" s="146"/>
      <c r="S595" s="146"/>
      <c r="T595" s="146"/>
      <c r="U595" s="146"/>
      <c r="V595" s="147"/>
      <c r="W595" s="146"/>
    </row>
    <row r="596">
      <c r="A596" s="146"/>
      <c r="B596" s="146"/>
      <c r="C596" s="146"/>
      <c r="D596" s="147"/>
      <c r="E596" s="146"/>
      <c r="F596" s="146"/>
      <c r="G596" s="146"/>
      <c r="H596" s="147"/>
      <c r="I596" s="146"/>
      <c r="J596" s="148"/>
      <c r="K596" s="148"/>
      <c r="L596" s="148"/>
      <c r="M596" s="147"/>
      <c r="N596" s="146"/>
      <c r="O596" s="147"/>
      <c r="P596" s="147"/>
      <c r="Q596" s="147"/>
      <c r="R596" s="146"/>
      <c r="S596" s="146"/>
      <c r="T596" s="146"/>
      <c r="U596" s="146"/>
      <c r="V596" s="147"/>
      <c r="W596" s="146"/>
    </row>
    <row r="597">
      <c r="A597" s="146"/>
      <c r="B597" s="146"/>
      <c r="C597" s="146"/>
      <c r="D597" s="147"/>
      <c r="E597" s="146"/>
      <c r="F597" s="146"/>
      <c r="G597" s="146"/>
      <c r="H597" s="147"/>
      <c r="I597" s="146"/>
      <c r="J597" s="148"/>
      <c r="K597" s="148"/>
      <c r="L597" s="148"/>
      <c r="M597" s="147"/>
      <c r="N597" s="146"/>
      <c r="O597" s="147"/>
      <c r="P597" s="147"/>
      <c r="Q597" s="147"/>
      <c r="R597" s="146"/>
      <c r="S597" s="146"/>
      <c r="T597" s="146"/>
      <c r="U597" s="146"/>
      <c r="V597" s="147"/>
      <c r="W597" s="146"/>
    </row>
    <row r="598">
      <c r="A598" s="146"/>
      <c r="B598" s="146"/>
      <c r="C598" s="146"/>
      <c r="D598" s="147"/>
      <c r="E598" s="146"/>
      <c r="F598" s="146"/>
      <c r="G598" s="146"/>
      <c r="H598" s="147"/>
      <c r="I598" s="146"/>
      <c r="J598" s="148"/>
      <c r="K598" s="148"/>
      <c r="L598" s="148"/>
      <c r="M598" s="147"/>
      <c r="N598" s="146"/>
      <c r="O598" s="147"/>
      <c r="P598" s="147"/>
      <c r="Q598" s="147"/>
      <c r="R598" s="146"/>
      <c r="S598" s="146"/>
      <c r="T598" s="146"/>
      <c r="U598" s="146"/>
      <c r="V598" s="147"/>
      <c r="W598" s="146"/>
    </row>
    <row r="599">
      <c r="A599" s="146"/>
      <c r="B599" s="146"/>
      <c r="C599" s="146"/>
      <c r="D599" s="147"/>
      <c r="E599" s="146"/>
      <c r="F599" s="146"/>
      <c r="G599" s="146"/>
      <c r="H599" s="147"/>
      <c r="I599" s="146"/>
      <c r="J599" s="148"/>
      <c r="K599" s="148"/>
      <c r="L599" s="148"/>
      <c r="M599" s="147"/>
      <c r="N599" s="146"/>
      <c r="O599" s="147"/>
      <c r="P599" s="147"/>
      <c r="Q599" s="147"/>
      <c r="R599" s="146"/>
      <c r="S599" s="146"/>
      <c r="T599" s="146"/>
      <c r="U599" s="146"/>
      <c r="V599" s="147"/>
      <c r="W599" s="146"/>
    </row>
    <row r="600">
      <c r="A600" s="146"/>
      <c r="B600" s="146"/>
      <c r="C600" s="146"/>
      <c r="D600" s="147"/>
      <c r="E600" s="146"/>
      <c r="F600" s="146"/>
      <c r="G600" s="146"/>
      <c r="H600" s="147"/>
      <c r="I600" s="146"/>
      <c r="J600" s="148"/>
      <c r="K600" s="148"/>
      <c r="L600" s="148"/>
      <c r="M600" s="147"/>
      <c r="N600" s="146"/>
      <c r="O600" s="147"/>
      <c r="P600" s="147"/>
      <c r="Q600" s="147"/>
      <c r="R600" s="146"/>
      <c r="S600" s="146"/>
      <c r="T600" s="146"/>
      <c r="U600" s="146"/>
      <c r="V600" s="147"/>
      <c r="W600" s="146"/>
    </row>
    <row r="601">
      <c r="A601" s="146"/>
      <c r="B601" s="146"/>
      <c r="C601" s="146"/>
      <c r="D601" s="147"/>
      <c r="E601" s="146"/>
      <c r="F601" s="146"/>
      <c r="G601" s="146"/>
      <c r="H601" s="147"/>
      <c r="I601" s="146"/>
      <c r="J601" s="148"/>
      <c r="K601" s="148"/>
      <c r="L601" s="148"/>
      <c r="M601" s="147"/>
      <c r="N601" s="146"/>
      <c r="O601" s="147"/>
      <c r="P601" s="147"/>
      <c r="Q601" s="147"/>
      <c r="R601" s="146"/>
      <c r="S601" s="146"/>
      <c r="T601" s="146"/>
      <c r="U601" s="146"/>
      <c r="V601" s="147"/>
      <c r="W601" s="146"/>
    </row>
    <row r="602">
      <c r="A602" s="146"/>
      <c r="B602" s="146"/>
      <c r="C602" s="146"/>
      <c r="D602" s="147"/>
      <c r="E602" s="146"/>
      <c r="F602" s="146"/>
      <c r="G602" s="146"/>
      <c r="H602" s="147"/>
      <c r="I602" s="146"/>
      <c r="J602" s="148"/>
      <c r="K602" s="148"/>
      <c r="L602" s="148"/>
      <c r="M602" s="147"/>
      <c r="N602" s="146"/>
      <c r="O602" s="147"/>
      <c r="P602" s="147"/>
      <c r="Q602" s="147"/>
      <c r="R602" s="146"/>
      <c r="S602" s="146"/>
      <c r="T602" s="146"/>
      <c r="U602" s="146"/>
      <c r="V602" s="147"/>
      <c r="W602" s="146"/>
    </row>
    <row r="603">
      <c r="A603" s="146"/>
      <c r="B603" s="146"/>
      <c r="C603" s="146"/>
      <c r="D603" s="147"/>
      <c r="E603" s="146"/>
      <c r="F603" s="146"/>
      <c r="G603" s="146"/>
      <c r="H603" s="147"/>
      <c r="I603" s="146"/>
      <c r="J603" s="148"/>
      <c r="K603" s="148"/>
      <c r="L603" s="148"/>
      <c r="M603" s="147"/>
      <c r="N603" s="146"/>
      <c r="O603" s="147"/>
      <c r="P603" s="147"/>
      <c r="Q603" s="147"/>
      <c r="R603" s="146"/>
      <c r="S603" s="146"/>
      <c r="T603" s="146"/>
      <c r="U603" s="146"/>
      <c r="V603" s="147"/>
      <c r="W603" s="146"/>
    </row>
    <row r="604">
      <c r="A604" s="146"/>
      <c r="B604" s="146"/>
      <c r="C604" s="146"/>
      <c r="D604" s="147"/>
      <c r="E604" s="146"/>
      <c r="F604" s="146"/>
      <c r="G604" s="146"/>
      <c r="H604" s="147"/>
      <c r="I604" s="146"/>
      <c r="J604" s="148"/>
      <c r="K604" s="148"/>
      <c r="L604" s="148"/>
      <c r="M604" s="147"/>
      <c r="N604" s="146"/>
      <c r="O604" s="147"/>
      <c r="P604" s="147"/>
      <c r="Q604" s="147"/>
      <c r="R604" s="146"/>
      <c r="S604" s="146"/>
      <c r="T604" s="146"/>
      <c r="U604" s="146"/>
      <c r="V604" s="147"/>
      <c r="W604" s="146"/>
    </row>
    <row r="605">
      <c r="A605" s="146"/>
      <c r="B605" s="146"/>
      <c r="C605" s="146"/>
      <c r="D605" s="147"/>
      <c r="E605" s="146"/>
      <c r="F605" s="146"/>
      <c r="G605" s="146"/>
      <c r="H605" s="147"/>
      <c r="I605" s="146"/>
      <c r="J605" s="148"/>
      <c r="K605" s="148"/>
      <c r="L605" s="148"/>
      <c r="M605" s="147"/>
      <c r="N605" s="146"/>
      <c r="O605" s="147"/>
      <c r="P605" s="147"/>
      <c r="Q605" s="147"/>
      <c r="R605" s="146"/>
      <c r="S605" s="146"/>
      <c r="T605" s="146"/>
      <c r="U605" s="146"/>
      <c r="V605" s="147"/>
      <c r="W605" s="146"/>
    </row>
    <row r="606">
      <c r="A606" s="146"/>
      <c r="B606" s="146"/>
      <c r="C606" s="146"/>
      <c r="D606" s="147"/>
      <c r="E606" s="146"/>
      <c r="F606" s="146"/>
      <c r="G606" s="146"/>
      <c r="H606" s="147"/>
      <c r="I606" s="146"/>
      <c r="J606" s="148"/>
      <c r="K606" s="148"/>
      <c r="L606" s="148"/>
      <c r="M606" s="147"/>
      <c r="N606" s="146"/>
      <c r="O606" s="147"/>
      <c r="P606" s="147"/>
      <c r="Q606" s="147"/>
      <c r="R606" s="146"/>
      <c r="S606" s="146"/>
      <c r="T606" s="146"/>
      <c r="U606" s="146"/>
      <c r="V606" s="147"/>
      <c r="W606" s="146"/>
    </row>
    <row r="607">
      <c r="A607" s="146"/>
      <c r="B607" s="146"/>
      <c r="C607" s="146"/>
      <c r="D607" s="147"/>
      <c r="E607" s="146"/>
      <c r="F607" s="146"/>
      <c r="G607" s="146"/>
      <c r="H607" s="147"/>
      <c r="I607" s="146"/>
      <c r="J607" s="148"/>
      <c r="K607" s="148"/>
      <c r="L607" s="148"/>
      <c r="M607" s="147"/>
      <c r="N607" s="146"/>
      <c r="O607" s="147"/>
      <c r="P607" s="147"/>
      <c r="Q607" s="147"/>
      <c r="R607" s="146"/>
      <c r="S607" s="146"/>
      <c r="T607" s="146"/>
      <c r="U607" s="146"/>
      <c r="V607" s="147"/>
      <c r="W607" s="146"/>
    </row>
    <row r="608">
      <c r="A608" s="146"/>
      <c r="B608" s="146"/>
      <c r="C608" s="146"/>
      <c r="D608" s="147"/>
      <c r="E608" s="146"/>
      <c r="F608" s="146"/>
      <c r="G608" s="146"/>
      <c r="H608" s="147"/>
      <c r="I608" s="146"/>
      <c r="J608" s="148"/>
      <c r="K608" s="148"/>
      <c r="L608" s="148"/>
      <c r="M608" s="147"/>
      <c r="N608" s="146"/>
      <c r="O608" s="147"/>
      <c r="P608" s="147"/>
      <c r="Q608" s="147"/>
      <c r="R608" s="146"/>
      <c r="S608" s="146"/>
      <c r="T608" s="146"/>
      <c r="U608" s="146"/>
      <c r="V608" s="147"/>
      <c r="W608" s="146"/>
    </row>
    <row r="609">
      <c r="A609" s="146"/>
      <c r="B609" s="146"/>
      <c r="C609" s="146"/>
      <c r="D609" s="147"/>
      <c r="E609" s="146"/>
      <c r="F609" s="146"/>
      <c r="G609" s="146"/>
      <c r="H609" s="147"/>
      <c r="I609" s="146"/>
      <c r="J609" s="148"/>
      <c r="K609" s="148"/>
      <c r="L609" s="148"/>
      <c r="M609" s="147"/>
      <c r="N609" s="146"/>
      <c r="O609" s="147"/>
      <c r="P609" s="147"/>
      <c r="Q609" s="147"/>
      <c r="R609" s="146"/>
      <c r="S609" s="146"/>
      <c r="T609" s="146"/>
      <c r="U609" s="146"/>
      <c r="V609" s="147"/>
      <c r="W609" s="146"/>
    </row>
    <row r="610">
      <c r="A610" s="146"/>
      <c r="B610" s="146"/>
      <c r="C610" s="146"/>
      <c r="D610" s="147"/>
      <c r="E610" s="146"/>
      <c r="F610" s="146"/>
      <c r="G610" s="146"/>
      <c r="H610" s="147"/>
      <c r="I610" s="146"/>
      <c r="J610" s="148"/>
      <c r="K610" s="148"/>
      <c r="L610" s="148"/>
      <c r="M610" s="147"/>
      <c r="N610" s="146"/>
      <c r="O610" s="147"/>
      <c r="P610" s="147"/>
      <c r="Q610" s="147"/>
      <c r="R610" s="146"/>
      <c r="S610" s="146"/>
      <c r="T610" s="146"/>
      <c r="U610" s="146"/>
      <c r="V610" s="147"/>
      <c r="W610" s="146"/>
    </row>
    <row r="611">
      <c r="A611" s="146"/>
      <c r="B611" s="146"/>
      <c r="C611" s="146"/>
      <c r="D611" s="147"/>
      <c r="E611" s="146"/>
      <c r="F611" s="146"/>
      <c r="G611" s="146"/>
      <c r="H611" s="147"/>
      <c r="I611" s="146"/>
      <c r="J611" s="148"/>
      <c r="K611" s="148"/>
      <c r="L611" s="148"/>
      <c r="M611" s="147"/>
      <c r="N611" s="146"/>
      <c r="O611" s="147"/>
      <c r="P611" s="147"/>
      <c r="Q611" s="147"/>
      <c r="R611" s="146"/>
      <c r="S611" s="146"/>
      <c r="T611" s="146"/>
      <c r="U611" s="146"/>
      <c r="V611" s="147"/>
      <c r="W611" s="146"/>
    </row>
    <row r="612">
      <c r="A612" s="146"/>
      <c r="B612" s="146"/>
      <c r="C612" s="146"/>
      <c r="D612" s="147"/>
      <c r="E612" s="146"/>
      <c r="F612" s="146"/>
      <c r="G612" s="146"/>
      <c r="H612" s="147"/>
      <c r="I612" s="146"/>
      <c r="J612" s="148"/>
      <c r="K612" s="148"/>
      <c r="L612" s="148"/>
      <c r="M612" s="147"/>
      <c r="N612" s="146"/>
      <c r="O612" s="147"/>
      <c r="P612" s="147"/>
      <c r="Q612" s="147"/>
      <c r="R612" s="146"/>
      <c r="S612" s="146"/>
      <c r="T612" s="146"/>
      <c r="U612" s="146"/>
      <c r="V612" s="147"/>
      <c r="W612" s="146"/>
    </row>
    <row r="613">
      <c r="A613" s="146"/>
      <c r="B613" s="146"/>
      <c r="C613" s="146"/>
      <c r="D613" s="147"/>
      <c r="E613" s="146"/>
      <c r="F613" s="146"/>
      <c r="G613" s="146"/>
      <c r="H613" s="147"/>
      <c r="I613" s="146"/>
      <c r="J613" s="148"/>
      <c r="K613" s="148"/>
      <c r="L613" s="148"/>
      <c r="M613" s="147"/>
      <c r="N613" s="146"/>
      <c r="O613" s="147"/>
      <c r="P613" s="147"/>
      <c r="Q613" s="147"/>
      <c r="R613" s="146"/>
      <c r="S613" s="146"/>
      <c r="T613" s="146"/>
      <c r="U613" s="146"/>
      <c r="V613" s="147"/>
      <c r="W613" s="146"/>
    </row>
    <row r="614">
      <c r="A614" s="146"/>
      <c r="B614" s="146"/>
      <c r="C614" s="146"/>
      <c r="D614" s="147"/>
      <c r="E614" s="146"/>
      <c r="F614" s="146"/>
      <c r="G614" s="146"/>
      <c r="H614" s="147"/>
      <c r="I614" s="146"/>
      <c r="J614" s="148"/>
      <c r="K614" s="148"/>
      <c r="L614" s="148"/>
      <c r="M614" s="147"/>
      <c r="N614" s="146"/>
      <c r="O614" s="147"/>
      <c r="P614" s="147"/>
      <c r="Q614" s="147"/>
      <c r="R614" s="146"/>
      <c r="S614" s="146"/>
      <c r="T614" s="146"/>
      <c r="U614" s="146"/>
      <c r="V614" s="147"/>
      <c r="W614" s="146"/>
    </row>
    <row r="615">
      <c r="A615" s="146"/>
      <c r="B615" s="146"/>
      <c r="C615" s="146"/>
      <c r="D615" s="147"/>
      <c r="E615" s="146"/>
      <c r="F615" s="146"/>
      <c r="G615" s="146"/>
      <c r="H615" s="147"/>
      <c r="I615" s="146"/>
      <c r="J615" s="148"/>
      <c r="K615" s="148"/>
      <c r="L615" s="148"/>
      <c r="M615" s="147"/>
      <c r="N615" s="146"/>
      <c r="O615" s="147"/>
      <c r="P615" s="147"/>
      <c r="Q615" s="147"/>
      <c r="R615" s="146"/>
      <c r="S615" s="146"/>
      <c r="T615" s="146"/>
      <c r="U615" s="146"/>
      <c r="V615" s="147"/>
      <c r="W615" s="146"/>
    </row>
    <row r="616">
      <c r="A616" s="146"/>
      <c r="B616" s="146"/>
      <c r="C616" s="146"/>
      <c r="D616" s="147"/>
      <c r="E616" s="146"/>
      <c r="F616" s="146"/>
      <c r="G616" s="146"/>
      <c r="H616" s="147"/>
      <c r="I616" s="146"/>
      <c r="J616" s="148"/>
      <c r="K616" s="148"/>
      <c r="L616" s="148"/>
      <c r="M616" s="147"/>
      <c r="N616" s="146"/>
      <c r="O616" s="147"/>
      <c r="P616" s="147"/>
      <c r="Q616" s="147"/>
      <c r="R616" s="146"/>
      <c r="S616" s="146"/>
      <c r="T616" s="146"/>
      <c r="U616" s="146"/>
      <c r="V616" s="147"/>
      <c r="W616" s="146"/>
    </row>
    <row r="617">
      <c r="A617" s="146"/>
      <c r="B617" s="146"/>
      <c r="C617" s="146"/>
      <c r="D617" s="147"/>
      <c r="E617" s="146"/>
      <c r="F617" s="146"/>
      <c r="G617" s="146"/>
      <c r="H617" s="147"/>
      <c r="I617" s="146"/>
      <c r="J617" s="148"/>
      <c r="K617" s="148"/>
      <c r="L617" s="148"/>
      <c r="M617" s="147"/>
      <c r="N617" s="146"/>
      <c r="O617" s="147"/>
      <c r="P617" s="147"/>
      <c r="Q617" s="147"/>
      <c r="R617" s="146"/>
      <c r="S617" s="146"/>
      <c r="T617" s="146"/>
      <c r="U617" s="146"/>
      <c r="V617" s="147"/>
      <c r="W617" s="146"/>
    </row>
    <row r="618">
      <c r="A618" s="146"/>
      <c r="B618" s="146"/>
      <c r="C618" s="146"/>
      <c r="D618" s="147"/>
      <c r="E618" s="146"/>
      <c r="F618" s="146"/>
      <c r="G618" s="146"/>
      <c r="H618" s="147"/>
      <c r="I618" s="146"/>
      <c r="J618" s="148"/>
      <c r="K618" s="148"/>
      <c r="L618" s="148"/>
      <c r="M618" s="147"/>
      <c r="N618" s="146"/>
      <c r="O618" s="147"/>
      <c r="P618" s="147"/>
      <c r="Q618" s="147"/>
      <c r="R618" s="146"/>
      <c r="S618" s="146"/>
      <c r="T618" s="146"/>
      <c r="U618" s="146"/>
      <c r="V618" s="147"/>
      <c r="W618" s="146"/>
    </row>
    <row r="619">
      <c r="A619" s="146"/>
      <c r="B619" s="146"/>
      <c r="C619" s="146"/>
      <c r="D619" s="147"/>
      <c r="E619" s="146"/>
      <c r="F619" s="146"/>
      <c r="G619" s="146"/>
      <c r="H619" s="147"/>
      <c r="I619" s="146"/>
      <c r="J619" s="148"/>
      <c r="K619" s="148"/>
      <c r="L619" s="148"/>
      <c r="M619" s="147"/>
      <c r="N619" s="146"/>
      <c r="O619" s="147"/>
      <c r="P619" s="147"/>
      <c r="Q619" s="147"/>
      <c r="R619" s="146"/>
      <c r="S619" s="146"/>
      <c r="T619" s="146"/>
      <c r="U619" s="146"/>
      <c r="V619" s="147"/>
      <c r="W619" s="146"/>
    </row>
    <row r="620">
      <c r="A620" s="146"/>
      <c r="B620" s="146"/>
      <c r="C620" s="146"/>
      <c r="D620" s="147"/>
      <c r="E620" s="146"/>
      <c r="F620" s="146"/>
      <c r="G620" s="146"/>
      <c r="H620" s="147"/>
      <c r="I620" s="146"/>
      <c r="J620" s="148"/>
      <c r="K620" s="148"/>
      <c r="L620" s="148"/>
      <c r="M620" s="147"/>
      <c r="N620" s="146"/>
      <c r="O620" s="147"/>
      <c r="P620" s="147"/>
      <c r="Q620" s="147"/>
      <c r="R620" s="146"/>
      <c r="S620" s="146"/>
      <c r="T620" s="146"/>
      <c r="U620" s="146"/>
      <c r="V620" s="147"/>
      <c r="W620" s="146"/>
    </row>
    <row r="621">
      <c r="A621" s="146"/>
      <c r="B621" s="146"/>
      <c r="C621" s="146"/>
      <c r="D621" s="147"/>
      <c r="E621" s="146"/>
      <c r="F621" s="146"/>
      <c r="G621" s="146"/>
      <c r="H621" s="147"/>
      <c r="I621" s="146"/>
      <c r="J621" s="148"/>
      <c r="K621" s="148"/>
      <c r="L621" s="148"/>
      <c r="M621" s="147"/>
      <c r="N621" s="146"/>
      <c r="O621" s="147"/>
      <c r="P621" s="147"/>
      <c r="Q621" s="147"/>
      <c r="R621" s="146"/>
      <c r="S621" s="146"/>
      <c r="T621" s="146"/>
      <c r="U621" s="146"/>
      <c r="V621" s="147"/>
      <c r="W621" s="146"/>
    </row>
    <row r="622">
      <c r="A622" s="146"/>
      <c r="B622" s="146"/>
      <c r="C622" s="146"/>
      <c r="D622" s="147"/>
      <c r="E622" s="146"/>
      <c r="F622" s="146"/>
      <c r="G622" s="146"/>
      <c r="H622" s="147"/>
      <c r="I622" s="146"/>
      <c r="J622" s="148"/>
      <c r="K622" s="148"/>
      <c r="L622" s="148"/>
      <c r="M622" s="147"/>
      <c r="N622" s="146"/>
      <c r="O622" s="147"/>
      <c r="P622" s="147"/>
      <c r="Q622" s="147"/>
      <c r="R622" s="146"/>
      <c r="S622" s="146"/>
      <c r="T622" s="146"/>
      <c r="U622" s="146"/>
      <c r="V622" s="147"/>
      <c r="W622" s="146"/>
    </row>
    <row r="623">
      <c r="A623" s="146"/>
      <c r="B623" s="146"/>
      <c r="C623" s="146"/>
      <c r="D623" s="147"/>
      <c r="E623" s="146"/>
      <c r="F623" s="146"/>
      <c r="G623" s="146"/>
      <c r="H623" s="147"/>
      <c r="I623" s="146"/>
      <c r="J623" s="148"/>
      <c r="K623" s="148"/>
      <c r="L623" s="148"/>
      <c r="M623" s="147"/>
      <c r="N623" s="146"/>
      <c r="O623" s="147"/>
      <c r="P623" s="147"/>
      <c r="Q623" s="147"/>
      <c r="R623" s="146"/>
      <c r="S623" s="146"/>
      <c r="T623" s="146"/>
      <c r="U623" s="146"/>
      <c r="V623" s="147"/>
      <c r="W623" s="146"/>
    </row>
    <row r="624">
      <c r="A624" s="146"/>
      <c r="B624" s="146"/>
      <c r="C624" s="146"/>
      <c r="D624" s="147"/>
      <c r="E624" s="146"/>
      <c r="F624" s="146"/>
      <c r="G624" s="146"/>
      <c r="H624" s="147"/>
      <c r="I624" s="146"/>
      <c r="J624" s="148"/>
      <c r="K624" s="148"/>
      <c r="L624" s="148"/>
      <c r="M624" s="147"/>
      <c r="N624" s="146"/>
      <c r="O624" s="147"/>
      <c r="P624" s="147"/>
      <c r="Q624" s="147"/>
      <c r="R624" s="146"/>
      <c r="S624" s="146"/>
      <c r="T624" s="146"/>
      <c r="U624" s="146"/>
      <c r="V624" s="147"/>
      <c r="W624" s="146"/>
    </row>
    <row r="625">
      <c r="A625" s="146"/>
      <c r="B625" s="146"/>
      <c r="C625" s="146"/>
      <c r="D625" s="147"/>
      <c r="E625" s="146"/>
      <c r="F625" s="146"/>
      <c r="G625" s="146"/>
      <c r="H625" s="147"/>
      <c r="I625" s="146"/>
      <c r="J625" s="148"/>
      <c r="K625" s="148"/>
      <c r="L625" s="148"/>
      <c r="M625" s="147"/>
      <c r="N625" s="146"/>
      <c r="O625" s="147"/>
      <c r="P625" s="147"/>
      <c r="Q625" s="147"/>
      <c r="R625" s="146"/>
      <c r="S625" s="146"/>
      <c r="T625" s="146"/>
      <c r="U625" s="146"/>
      <c r="V625" s="147"/>
      <c r="W625" s="146"/>
    </row>
    <row r="626">
      <c r="A626" s="146"/>
      <c r="B626" s="146"/>
      <c r="C626" s="146"/>
      <c r="D626" s="147"/>
      <c r="E626" s="146"/>
      <c r="F626" s="146"/>
      <c r="G626" s="146"/>
      <c r="H626" s="147"/>
      <c r="I626" s="146"/>
      <c r="J626" s="148"/>
      <c r="K626" s="148"/>
      <c r="L626" s="148"/>
      <c r="M626" s="147"/>
      <c r="N626" s="146"/>
      <c r="O626" s="147"/>
      <c r="P626" s="147"/>
      <c r="Q626" s="147"/>
      <c r="R626" s="146"/>
      <c r="S626" s="146"/>
      <c r="T626" s="146"/>
      <c r="U626" s="146"/>
      <c r="V626" s="147"/>
      <c r="W626" s="146"/>
    </row>
    <row r="627">
      <c r="A627" s="146"/>
      <c r="B627" s="146"/>
      <c r="C627" s="146"/>
      <c r="D627" s="147"/>
      <c r="E627" s="146"/>
      <c r="F627" s="146"/>
      <c r="G627" s="146"/>
      <c r="H627" s="147"/>
      <c r="I627" s="146"/>
      <c r="J627" s="148"/>
      <c r="K627" s="148"/>
      <c r="L627" s="148"/>
      <c r="M627" s="147"/>
      <c r="N627" s="146"/>
      <c r="O627" s="147"/>
      <c r="P627" s="147"/>
      <c r="Q627" s="147"/>
      <c r="R627" s="146"/>
      <c r="S627" s="146"/>
      <c r="T627" s="146"/>
      <c r="U627" s="146"/>
      <c r="V627" s="147"/>
      <c r="W627" s="146"/>
    </row>
    <row r="628">
      <c r="A628" s="146"/>
      <c r="B628" s="146"/>
      <c r="C628" s="146"/>
      <c r="D628" s="147"/>
      <c r="E628" s="146"/>
      <c r="F628" s="146"/>
      <c r="G628" s="146"/>
      <c r="H628" s="147"/>
      <c r="I628" s="146"/>
      <c r="J628" s="148"/>
      <c r="K628" s="148"/>
      <c r="L628" s="148"/>
      <c r="M628" s="147"/>
      <c r="N628" s="146"/>
      <c r="O628" s="147"/>
      <c r="P628" s="147"/>
      <c r="Q628" s="147"/>
      <c r="R628" s="146"/>
      <c r="S628" s="146"/>
      <c r="T628" s="146"/>
      <c r="U628" s="146"/>
      <c r="V628" s="147"/>
      <c r="W628" s="146"/>
    </row>
    <row r="629">
      <c r="A629" s="146"/>
      <c r="B629" s="146"/>
      <c r="C629" s="146"/>
      <c r="D629" s="147"/>
      <c r="E629" s="146"/>
      <c r="F629" s="146"/>
      <c r="G629" s="146"/>
      <c r="H629" s="147"/>
      <c r="I629" s="146"/>
      <c r="J629" s="148"/>
      <c r="K629" s="148"/>
      <c r="L629" s="148"/>
      <c r="M629" s="147"/>
      <c r="N629" s="146"/>
      <c r="O629" s="147"/>
      <c r="P629" s="147"/>
      <c r="Q629" s="147"/>
      <c r="R629" s="146"/>
      <c r="S629" s="146"/>
      <c r="T629" s="146"/>
      <c r="U629" s="146"/>
      <c r="V629" s="147"/>
      <c r="W629" s="146"/>
    </row>
    <row r="630">
      <c r="A630" s="146"/>
      <c r="B630" s="146"/>
      <c r="C630" s="146"/>
      <c r="D630" s="147"/>
      <c r="E630" s="146"/>
      <c r="F630" s="146"/>
      <c r="G630" s="146"/>
      <c r="H630" s="147"/>
      <c r="I630" s="146"/>
      <c r="J630" s="148"/>
      <c r="K630" s="148"/>
      <c r="L630" s="148"/>
      <c r="M630" s="147"/>
      <c r="N630" s="146"/>
      <c r="O630" s="147"/>
      <c r="P630" s="147"/>
      <c r="Q630" s="147"/>
      <c r="R630" s="146"/>
      <c r="S630" s="146"/>
      <c r="T630" s="146"/>
      <c r="U630" s="146"/>
      <c r="V630" s="147"/>
      <c r="W630" s="146"/>
    </row>
    <row r="631">
      <c r="A631" s="146"/>
      <c r="B631" s="146"/>
      <c r="C631" s="146"/>
      <c r="D631" s="147"/>
      <c r="E631" s="146"/>
      <c r="F631" s="146"/>
      <c r="G631" s="146"/>
      <c r="H631" s="147"/>
      <c r="I631" s="146"/>
      <c r="J631" s="148"/>
      <c r="K631" s="148"/>
      <c r="L631" s="148"/>
      <c r="M631" s="147"/>
      <c r="N631" s="146"/>
      <c r="O631" s="147"/>
      <c r="P631" s="147"/>
      <c r="Q631" s="147"/>
      <c r="R631" s="146"/>
      <c r="S631" s="146"/>
      <c r="T631" s="146"/>
      <c r="U631" s="146"/>
      <c r="V631" s="147"/>
      <c r="W631" s="146"/>
    </row>
    <row r="632">
      <c r="A632" s="146"/>
      <c r="B632" s="146"/>
      <c r="C632" s="146"/>
      <c r="D632" s="147"/>
      <c r="E632" s="146"/>
      <c r="F632" s="146"/>
      <c r="G632" s="146"/>
      <c r="H632" s="147"/>
      <c r="I632" s="146"/>
      <c r="J632" s="148"/>
      <c r="K632" s="148"/>
      <c r="L632" s="148"/>
      <c r="M632" s="147"/>
      <c r="N632" s="146"/>
      <c r="O632" s="147"/>
      <c r="P632" s="147"/>
      <c r="Q632" s="147"/>
      <c r="R632" s="146"/>
      <c r="S632" s="146"/>
      <c r="T632" s="146"/>
      <c r="U632" s="146"/>
      <c r="V632" s="147"/>
      <c r="W632" s="146"/>
    </row>
    <row r="633">
      <c r="A633" s="146"/>
      <c r="B633" s="146"/>
      <c r="C633" s="146"/>
      <c r="D633" s="147"/>
      <c r="E633" s="146"/>
      <c r="F633" s="146"/>
      <c r="G633" s="146"/>
      <c r="H633" s="147"/>
      <c r="I633" s="146"/>
      <c r="J633" s="148"/>
      <c r="K633" s="148"/>
      <c r="L633" s="148"/>
      <c r="M633" s="147"/>
      <c r="N633" s="146"/>
      <c r="O633" s="147"/>
      <c r="P633" s="147"/>
      <c r="Q633" s="147"/>
      <c r="R633" s="146"/>
      <c r="S633" s="146"/>
      <c r="T633" s="146"/>
      <c r="U633" s="146"/>
      <c r="V633" s="147"/>
      <c r="W633" s="146"/>
    </row>
    <row r="634">
      <c r="A634" s="146"/>
      <c r="B634" s="146"/>
      <c r="C634" s="146"/>
      <c r="D634" s="147"/>
      <c r="E634" s="146"/>
      <c r="F634" s="146"/>
      <c r="G634" s="146"/>
      <c r="H634" s="147"/>
      <c r="I634" s="146"/>
      <c r="J634" s="148"/>
      <c r="K634" s="148"/>
      <c r="L634" s="148"/>
      <c r="M634" s="147"/>
      <c r="N634" s="146"/>
      <c r="O634" s="147"/>
      <c r="P634" s="147"/>
      <c r="Q634" s="147"/>
      <c r="R634" s="146"/>
      <c r="S634" s="146"/>
      <c r="T634" s="146"/>
      <c r="U634" s="146"/>
      <c r="V634" s="147"/>
      <c r="W634" s="146"/>
    </row>
    <row r="635">
      <c r="A635" s="146"/>
      <c r="B635" s="146"/>
      <c r="C635" s="146"/>
      <c r="D635" s="147"/>
      <c r="E635" s="146"/>
      <c r="F635" s="146"/>
      <c r="G635" s="146"/>
      <c r="H635" s="147"/>
      <c r="I635" s="146"/>
      <c r="J635" s="148"/>
      <c r="K635" s="148"/>
      <c r="L635" s="148"/>
      <c r="M635" s="147"/>
      <c r="N635" s="146"/>
      <c r="O635" s="147"/>
      <c r="P635" s="147"/>
      <c r="Q635" s="147"/>
      <c r="R635" s="146"/>
      <c r="S635" s="146"/>
      <c r="T635" s="146"/>
      <c r="U635" s="146"/>
      <c r="V635" s="147"/>
      <c r="W635" s="146"/>
    </row>
    <row r="636">
      <c r="A636" s="146"/>
      <c r="B636" s="146"/>
      <c r="C636" s="146"/>
      <c r="D636" s="147"/>
      <c r="E636" s="146"/>
      <c r="F636" s="146"/>
      <c r="G636" s="146"/>
      <c r="H636" s="147"/>
      <c r="I636" s="146"/>
      <c r="J636" s="148"/>
      <c r="K636" s="148"/>
      <c r="L636" s="148"/>
      <c r="M636" s="147"/>
      <c r="N636" s="146"/>
      <c r="O636" s="147"/>
      <c r="P636" s="147"/>
      <c r="Q636" s="147"/>
      <c r="R636" s="146"/>
      <c r="S636" s="146"/>
      <c r="T636" s="146"/>
      <c r="U636" s="146"/>
      <c r="V636" s="147"/>
      <c r="W636" s="146"/>
    </row>
    <row r="637">
      <c r="A637" s="146"/>
      <c r="B637" s="146"/>
      <c r="C637" s="146"/>
      <c r="D637" s="147"/>
      <c r="E637" s="146"/>
      <c r="F637" s="146"/>
      <c r="G637" s="146"/>
      <c r="H637" s="147"/>
      <c r="I637" s="146"/>
      <c r="J637" s="148"/>
      <c r="K637" s="148"/>
      <c r="L637" s="148"/>
      <c r="M637" s="147"/>
      <c r="N637" s="146"/>
      <c r="O637" s="147"/>
      <c r="P637" s="147"/>
      <c r="Q637" s="147"/>
      <c r="R637" s="146"/>
      <c r="S637" s="146"/>
      <c r="T637" s="146"/>
      <c r="U637" s="146"/>
      <c r="V637" s="147"/>
      <c r="W637" s="146"/>
    </row>
    <row r="638">
      <c r="A638" s="146"/>
      <c r="B638" s="146"/>
      <c r="C638" s="146"/>
      <c r="D638" s="147"/>
      <c r="E638" s="146"/>
      <c r="F638" s="146"/>
      <c r="G638" s="146"/>
      <c r="H638" s="147"/>
      <c r="I638" s="146"/>
      <c r="J638" s="148"/>
      <c r="K638" s="148"/>
      <c r="L638" s="148"/>
      <c r="M638" s="147"/>
      <c r="N638" s="146"/>
      <c r="O638" s="147"/>
      <c r="P638" s="147"/>
      <c r="Q638" s="147"/>
      <c r="R638" s="146"/>
      <c r="S638" s="146"/>
      <c r="T638" s="146"/>
      <c r="U638" s="146"/>
      <c r="V638" s="147"/>
      <c r="W638" s="146"/>
    </row>
    <row r="639">
      <c r="A639" s="146"/>
      <c r="B639" s="146"/>
      <c r="C639" s="146"/>
      <c r="D639" s="147"/>
      <c r="E639" s="146"/>
      <c r="F639" s="146"/>
      <c r="G639" s="146"/>
      <c r="H639" s="147"/>
      <c r="I639" s="146"/>
      <c r="J639" s="148"/>
      <c r="K639" s="148"/>
      <c r="L639" s="148"/>
      <c r="M639" s="147"/>
      <c r="N639" s="146"/>
      <c r="O639" s="147"/>
      <c r="P639" s="147"/>
      <c r="Q639" s="147"/>
      <c r="R639" s="146"/>
      <c r="S639" s="146"/>
      <c r="T639" s="146"/>
      <c r="U639" s="146"/>
      <c r="V639" s="147"/>
      <c r="W639" s="146"/>
    </row>
    <row r="640">
      <c r="A640" s="146"/>
      <c r="B640" s="146"/>
      <c r="C640" s="146"/>
      <c r="D640" s="147"/>
      <c r="E640" s="146"/>
      <c r="F640" s="146"/>
      <c r="G640" s="146"/>
      <c r="H640" s="147"/>
      <c r="I640" s="146"/>
      <c r="J640" s="148"/>
      <c r="K640" s="148"/>
      <c r="L640" s="148"/>
      <c r="M640" s="147"/>
      <c r="N640" s="146"/>
      <c r="O640" s="147"/>
      <c r="P640" s="147"/>
      <c r="Q640" s="147"/>
      <c r="R640" s="146"/>
      <c r="S640" s="146"/>
      <c r="T640" s="146"/>
      <c r="U640" s="146"/>
      <c r="V640" s="147"/>
      <c r="W640" s="146"/>
    </row>
    <row r="641">
      <c r="A641" s="146"/>
      <c r="B641" s="146"/>
      <c r="C641" s="146"/>
      <c r="D641" s="147"/>
      <c r="E641" s="146"/>
      <c r="F641" s="146"/>
      <c r="G641" s="146"/>
      <c r="H641" s="147"/>
      <c r="I641" s="146"/>
      <c r="J641" s="148"/>
      <c r="K641" s="148"/>
      <c r="L641" s="148"/>
      <c r="M641" s="147"/>
      <c r="N641" s="146"/>
      <c r="O641" s="147"/>
      <c r="P641" s="147"/>
      <c r="Q641" s="147"/>
      <c r="R641" s="146"/>
      <c r="S641" s="146"/>
      <c r="T641" s="146"/>
      <c r="U641" s="146"/>
      <c r="V641" s="147"/>
      <c r="W641" s="146"/>
    </row>
    <row r="642">
      <c r="A642" s="146"/>
      <c r="B642" s="146"/>
      <c r="C642" s="146"/>
      <c r="D642" s="147"/>
      <c r="E642" s="146"/>
      <c r="F642" s="146"/>
      <c r="G642" s="146"/>
      <c r="H642" s="147"/>
      <c r="I642" s="146"/>
      <c r="J642" s="148"/>
      <c r="K642" s="148"/>
      <c r="L642" s="148"/>
      <c r="M642" s="147"/>
      <c r="N642" s="146"/>
      <c r="O642" s="147"/>
      <c r="P642" s="147"/>
      <c r="Q642" s="147"/>
      <c r="R642" s="146"/>
      <c r="S642" s="146"/>
      <c r="T642" s="146"/>
      <c r="U642" s="146"/>
      <c r="V642" s="147"/>
      <c r="W642" s="146"/>
    </row>
    <row r="643">
      <c r="A643" s="146"/>
      <c r="B643" s="146"/>
      <c r="C643" s="146"/>
      <c r="D643" s="147"/>
      <c r="E643" s="146"/>
      <c r="F643" s="146"/>
      <c r="G643" s="146"/>
      <c r="H643" s="147"/>
      <c r="I643" s="146"/>
      <c r="J643" s="148"/>
      <c r="K643" s="148"/>
      <c r="L643" s="148"/>
      <c r="M643" s="147"/>
      <c r="N643" s="146"/>
      <c r="O643" s="147"/>
      <c r="P643" s="147"/>
      <c r="Q643" s="147"/>
      <c r="R643" s="146"/>
      <c r="S643" s="146"/>
      <c r="T643" s="146"/>
      <c r="U643" s="146"/>
      <c r="V643" s="147"/>
      <c r="W643" s="146"/>
    </row>
    <row r="644">
      <c r="A644" s="146"/>
      <c r="B644" s="146"/>
      <c r="C644" s="146"/>
      <c r="D644" s="147"/>
      <c r="E644" s="146"/>
      <c r="F644" s="146"/>
      <c r="G644" s="146"/>
      <c r="H644" s="147"/>
      <c r="I644" s="146"/>
      <c r="J644" s="148"/>
      <c r="K644" s="148"/>
      <c r="L644" s="148"/>
      <c r="M644" s="147"/>
      <c r="N644" s="146"/>
      <c r="O644" s="147"/>
      <c r="P644" s="147"/>
      <c r="Q644" s="147"/>
      <c r="R644" s="146"/>
      <c r="S644" s="146"/>
      <c r="T644" s="146"/>
      <c r="U644" s="146"/>
      <c r="V644" s="147"/>
      <c r="W644" s="146"/>
    </row>
    <row r="645">
      <c r="A645" s="146"/>
      <c r="B645" s="146"/>
      <c r="C645" s="146"/>
      <c r="D645" s="147"/>
      <c r="E645" s="146"/>
      <c r="F645" s="146"/>
      <c r="G645" s="146"/>
      <c r="H645" s="147"/>
      <c r="I645" s="146"/>
      <c r="J645" s="148"/>
      <c r="K645" s="148"/>
      <c r="L645" s="148"/>
      <c r="M645" s="147"/>
      <c r="N645" s="146"/>
      <c r="O645" s="147"/>
      <c r="P645" s="147"/>
      <c r="Q645" s="147"/>
      <c r="R645" s="146"/>
      <c r="S645" s="146"/>
      <c r="T645" s="146"/>
      <c r="U645" s="146"/>
      <c r="V645" s="147"/>
      <c r="W645" s="146"/>
    </row>
    <row r="646">
      <c r="A646" s="146"/>
      <c r="B646" s="146"/>
      <c r="C646" s="146"/>
      <c r="D646" s="147"/>
      <c r="E646" s="146"/>
      <c r="F646" s="146"/>
      <c r="G646" s="146"/>
      <c r="H646" s="147"/>
      <c r="I646" s="146"/>
      <c r="J646" s="148"/>
      <c r="K646" s="148"/>
      <c r="L646" s="148"/>
      <c r="M646" s="147"/>
      <c r="N646" s="146"/>
      <c r="O646" s="147"/>
      <c r="P646" s="147"/>
      <c r="Q646" s="147"/>
      <c r="R646" s="146"/>
      <c r="S646" s="146"/>
      <c r="T646" s="146"/>
      <c r="U646" s="146"/>
      <c r="V646" s="147"/>
      <c r="W646" s="146"/>
    </row>
    <row r="647">
      <c r="A647" s="146"/>
      <c r="B647" s="146"/>
      <c r="C647" s="146"/>
      <c r="D647" s="147"/>
      <c r="E647" s="146"/>
      <c r="F647" s="146"/>
      <c r="G647" s="146"/>
      <c r="H647" s="147"/>
      <c r="I647" s="146"/>
      <c r="J647" s="148"/>
      <c r="K647" s="148"/>
      <c r="L647" s="148"/>
      <c r="M647" s="147"/>
      <c r="N647" s="146"/>
      <c r="O647" s="147"/>
      <c r="P647" s="147"/>
      <c r="Q647" s="147"/>
      <c r="R647" s="146"/>
      <c r="S647" s="146"/>
      <c r="T647" s="146"/>
      <c r="U647" s="146"/>
      <c r="V647" s="147"/>
      <c r="W647" s="146"/>
    </row>
    <row r="648">
      <c r="A648" s="146"/>
      <c r="B648" s="146"/>
      <c r="C648" s="146"/>
      <c r="D648" s="147"/>
      <c r="E648" s="146"/>
      <c r="F648" s="146"/>
      <c r="G648" s="146"/>
      <c r="H648" s="147"/>
      <c r="I648" s="146"/>
      <c r="J648" s="148"/>
      <c r="K648" s="148"/>
      <c r="L648" s="148"/>
      <c r="M648" s="147"/>
      <c r="N648" s="146"/>
      <c r="O648" s="147"/>
      <c r="P648" s="147"/>
      <c r="Q648" s="147"/>
      <c r="R648" s="146"/>
      <c r="S648" s="146"/>
      <c r="T648" s="146"/>
      <c r="U648" s="146"/>
      <c r="V648" s="147"/>
      <c r="W648" s="146"/>
    </row>
    <row r="649">
      <c r="A649" s="146"/>
      <c r="B649" s="146"/>
      <c r="C649" s="146"/>
      <c r="D649" s="147"/>
      <c r="E649" s="146"/>
      <c r="F649" s="146"/>
      <c r="G649" s="146"/>
      <c r="H649" s="147"/>
      <c r="I649" s="146"/>
      <c r="J649" s="148"/>
      <c r="K649" s="148"/>
      <c r="L649" s="148"/>
      <c r="M649" s="147"/>
      <c r="N649" s="146"/>
      <c r="O649" s="147"/>
      <c r="P649" s="147"/>
      <c r="Q649" s="147"/>
      <c r="R649" s="146"/>
      <c r="S649" s="146"/>
      <c r="T649" s="146"/>
      <c r="U649" s="146"/>
      <c r="V649" s="147"/>
      <c r="W649" s="146"/>
    </row>
    <row r="650">
      <c r="A650" s="146"/>
      <c r="B650" s="146"/>
      <c r="C650" s="146"/>
      <c r="D650" s="147"/>
      <c r="E650" s="146"/>
      <c r="F650" s="146"/>
      <c r="G650" s="146"/>
      <c r="H650" s="147"/>
      <c r="I650" s="146"/>
      <c r="J650" s="148"/>
      <c r="K650" s="148"/>
      <c r="L650" s="148"/>
      <c r="M650" s="147"/>
      <c r="N650" s="146"/>
      <c r="O650" s="147"/>
      <c r="P650" s="147"/>
      <c r="Q650" s="147"/>
      <c r="R650" s="146"/>
      <c r="S650" s="146"/>
      <c r="T650" s="146"/>
      <c r="U650" s="146"/>
      <c r="V650" s="147"/>
      <c r="W650" s="146"/>
    </row>
    <row r="651">
      <c r="A651" s="146"/>
      <c r="B651" s="146"/>
      <c r="C651" s="146"/>
      <c r="D651" s="147"/>
      <c r="E651" s="146"/>
      <c r="F651" s="146"/>
      <c r="G651" s="146"/>
      <c r="H651" s="147"/>
      <c r="I651" s="146"/>
      <c r="J651" s="148"/>
      <c r="K651" s="148"/>
      <c r="L651" s="148"/>
      <c r="M651" s="147"/>
      <c r="N651" s="146"/>
      <c r="O651" s="147"/>
      <c r="P651" s="147"/>
      <c r="Q651" s="147"/>
      <c r="R651" s="146"/>
      <c r="S651" s="146"/>
      <c r="T651" s="146"/>
      <c r="U651" s="146"/>
      <c r="V651" s="147"/>
      <c r="W651" s="146"/>
    </row>
    <row r="652">
      <c r="A652" s="146"/>
      <c r="B652" s="146"/>
      <c r="C652" s="146"/>
      <c r="D652" s="147"/>
      <c r="E652" s="146"/>
      <c r="F652" s="146"/>
      <c r="G652" s="146"/>
      <c r="H652" s="147"/>
      <c r="I652" s="146"/>
      <c r="J652" s="148"/>
      <c r="K652" s="148"/>
      <c r="L652" s="148"/>
      <c r="M652" s="147"/>
      <c r="N652" s="146"/>
      <c r="O652" s="147"/>
      <c r="P652" s="147"/>
      <c r="Q652" s="147"/>
      <c r="R652" s="146"/>
      <c r="S652" s="146"/>
      <c r="T652" s="146"/>
      <c r="U652" s="146"/>
      <c r="V652" s="147"/>
      <c r="W652" s="146"/>
    </row>
    <row r="653">
      <c r="A653" s="146"/>
      <c r="B653" s="146"/>
      <c r="C653" s="146"/>
      <c r="D653" s="147"/>
      <c r="E653" s="146"/>
      <c r="F653" s="146"/>
      <c r="G653" s="146"/>
      <c r="H653" s="147"/>
      <c r="I653" s="146"/>
      <c r="J653" s="148"/>
      <c r="K653" s="148"/>
      <c r="L653" s="148"/>
      <c r="M653" s="147"/>
      <c r="N653" s="146"/>
      <c r="O653" s="147"/>
      <c r="P653" s="147"/>
      <c r="Q653" s="147"/>
      <c r="R653" s="146"/>
      <c r="S653" s="146"/>
      <c r="T653" s="146"/>
      <c r="U653" s="146"/>
      <c r="V653" s="147"/>
      <c r="W653" s="146"/>
    </row>
    <row r="654">
      <c r="A654" s="146"/>
      <c r="B654" s="146"/>
      <c r="C654" s="146"/>
      <c r="D654" s="147"/>
      <c r="E654" s="146"/>
      <c r="F654" s="146"/>
      <c r="G654" s="146"/>
      <c r="H654" s="147"/>
      <c r="I654" s="146"/>
      <c r="J654" s="148"/>
      <c r="K654" s="148"/>
      <c r="L654" s="148"/>
      <c r="M654" s="147"/>
      <c r="N654" s="146"/>
      <c r="O654" s="147"/>
      <c r="P654" s="147"/>
      <c r="Q654" s="147"/>
      <c r="R654" s="146"/>
      <c r="S654" s="146"/>
      <c r="T654" s="146"/>
      <c r="U654" s="146"/>
      <c r="V654" s="147"/>
      <c r="W654" s="146"/>
    </row>
    <row r="655">
      <c r="A655" s="146"/>
      <c r="B655" s="146"/>
      <c r="C655" s="146"/>
      <c r="D655" s="147"/>
      <c r="E655" s="146"/>
      <c r="F655" s="146"/>
      <c r="G655" s="146"/>
      <c r="H655" s="147"/>
      <c r="I655" s="146"/>
      <c r="J655" s="148"/>
      <c r="K655" s="148"/>
      <c r="L655" s="148"/>
      <c r="M655" s="147"/>
      <c r="N655" s="146"/>
      <c r="O655" s="147"/>
      <c r="P655" s="147"/>
      <c r="Q655" s="147"/>
      <c r="R655" s="146"/>
      <c r="S655" s="146"/>
      <c r="T655" s="146"/>
      <c r="U655" s="146"/>
      <c r="V655" s="147"/>
      <c r="W655" s="146"/>
    </row>
    <row r="656">
      <c r="A656" s="146"/>
      <c r="B656" s="146"/>
      <c r="C656" s="146"/>
      <c r="D656" s="147"/>
      <c r="E656" s="146"/>
      <c r="F656" s="146"/>
      <c r="G656" s="146"/>
      <c r="H656" s="147"/>
      <c r="I656" s="146"/>
      <c r="J656" s="148"/>
      <c r="K656" s="148"/>
      <c r="L656" s="148"/>
      <c r="M656" s="147"/>
      <c r="N656" s="146"/>
      <c r="O656" s="147"/>
      <c r="P656" s="147"/>
      <c r="Q656" s="147"/>
      <c r="R656" s="146"/>
      <c r="S656" s="146"/>
      <c r="T656" s="146"/>
      <c r="U656" s="146"/>
      <c r="V656" s="147"/>
      <c r="W656" s="146"/>
    </row>
    <row r="657">
      <c r="A657" s="146"/>
      <c r="B657" s="146"/>
      <c r="C657" s="146"/>
      <c r="D657" s="147"/>
      <c r="E657" s="146"/>
      <c r="F657" s="146"/>
      <c r="G657" s="146"/>
      <c r="H657" s="147"/>
      <c r="I657" s="146"/>
      <c r="J657" s="148"/>
      <c r="K657" s="148"/>
      <c r="L657" s="148"/>
      <c r="M657" s="147"/>
      <c r="N657" s="146"/>
      <c r="O657" s="147"/>
      <c r="P657" s="147"/>
      <c r="Q657" s="147"/>
      <c r="R657" s="146"/>
      <c r="S657" s="146"/>
      <c r="T657" s="146"/>
      <c r="U657" s="146"/>
      <c r="V657" s="147"/>
      <c r="W657" s="146"/>
    </row>
    <row r="658">
      <c r="A658" s="146"/>
      <c r="B658" s="146"/>
      <c r="C658" s="146"/>
      <c r="D658" s="147"/>
      <c r="E658" s="146"/>
      <c r="F658" s="146"/>
      <c r="G658" s="146"/>
      <c r="H658" s="147"/>
      <c r="I658" s="146"/>
      <c r="J658" s="148"/>
      <c r="K658" s="148"/>
      <c r="L658" s="148"/>
      <c r="M658" s="147"/>
      <c r="N658" s="146"/>
      <c r="O658" s="147"/>
      <c r="P658" s="147"/>
      <c r="Q658" s="147"/>
      <c r="R658" s="146"/>
      <c r="S658" s="146"/>
      <c r="T658" s="146"/>
      <c r="U658" s="146"/>
      <c r="V658" s="147"/>
      <c r="W658" s="146"/>
    </row>
    <row r="659">
      <c r="A659" s="146"/>
      <c r="B659" s="146"/>
      <c r="C659" s="146"/>
      <c r="D659" s="147"/>
      <c r="E659" s="146"/>
      <c r="F659" s="146"/>
      <c r="G659" s="146"/>
      <c r="H659" s="147"/>
      <c r="I659" s="146"/>
      <c r="J659" s="148"/>
      <c r="K659" s="148"/>
      <c r="L659" s="148"/>
      <c r="M659" s="147"/>
      <c r="N659" s="146"/>
      <c r="O659" s="147"/>
      <c r="P659" s="147"/>
      <c r="Q659" s="147"/>
      <c r="R659" s="146"/>
      <c r="S659" s="146"/>
      <c r="T659" s="146"/>
      <c r="U659" s="146"/>
      <c r="V659" s="147"/>
      <c r="W659" s="146"/>
    </row>
    <row r="660">
      <c r="A660" s="146"/>
      <c r="B660" s="146"/>
      <c r="C660" s="146"/>
      <c r="D660" s="147"/>
      <c r="E660" s="146"/>
      <c r="F660" s="146"/>
      <c r="G660" s="146"/>
      <c r="H660" s="147"/>
      <c r="I660" s="146"/>
      <c r="J660" s="148"/>
      <c r="K660" s="148"/>
      <c r="L660" s="148"/>
      <c r="M660" s="147"/>
      <c r="N660" s="146"/>
      <c r="O660" s="147"/>
      <c r="P660" s="147"/>
      <c r="Q660" s="147"/>
      <c r="R660" s="146"/>
      <c r="S660" s="146"/>
      <c r="T660" s="146"/>
      <c r="U660" s="146"/>
      <c r="V660" s="147"/>
      <c r="W660" s="146"/>
    </row>
    <row r="661">
      <c r="A661" s="146"/>
      <c r="B661" s="146"/>
      <c r="C661" s="146"/>
      <c r="D661" s="147"/>
      <c r="E661" s="146"/>
      <c r="F661" s="146"/>
      <c r="G661" s="146"/>
      <c r="H661" s="147"/>
      <c r="I661" s="146"/>
      <c r="J661" s="148"/>
      <c r="K661" s="148"/>
      <c r="L661" s="148"/>
      <c r="M661" s="147"/>
      <c r="N661" s="146"/>
      <c r="O661" s="147"/>
      <c r="P661" s="147"/>
      <c r="Q661" s="147"/>
      <c r="R661" s="146"/>
      <c r="S661" s="146"/>
      <c r="T661" s="146"/>
      <c r="U661" s="146"/>
      <c r="V661" s="147"/>
      <c r="W661" s="146"/>
    </row>
    <row r="662">
      <c r="A662" s="146"/>
      <c r="B662" s="146"/>
      <c r="C662" s="146"/>
      <c r="D662" s="147"/>
      <c r="E662" s="146"/>
      <c r="F662" s="146"/>
      <c r="G662" s="146"/>
      <c r="H662" s="147"/>
      <c r="I662" s="146"/>
      <c r="J662" s="148"/>
      <c r="K662" s="148"/>
      <c r="L662" s="148"/>
      <c r="M662" s="147"/>
      <c r="N662" s="146"/>
      <c r="O662" s="147"/>
      <c r="P662" s="147"/>
      <c r="Q662" s="147"/>
      <c r="R662" s="146"/>
      <c r="S662" s="146"/>
      <c r="T662" s="146"/>
      <c r="U662" s="146"/>
      <c r="V662" s="147"/>
      <c r="W662" s="146"/>
    </row>
    <row r="663">
      <c r="A663" s="146"/>
      <c r="B663" s="146"/>
      <c r="C663" s="146"/>
      <c r="D663" s="147"/>
      <c r="E663" s="146"/>
      <c r="F663" s="146"/>
      <c r="G663" s="146"/>
      <c r="H663" s="147"/>
      <c r="I663" s="146"/>
      <c r="J663" s="148"/>
      <c r="K663" s="148"/>
      <c r="L663" s="148"/>
      <c r="M663" s="147"/>
      <c r="N663" s="146"/>
      <c r="O663" s="147"/>
      <c r="P663" s="147"/>
      <c r="Q663" s="147"/>
      <c r="R663" s="146"/>
      <c r="S663" s="146"/>
      <c r="T663" s="146"/>
      <c r="U663" s="146"/>
      <c r="V663" s="147"/>
      <c r="W663" s="146"/>
    </row>
    <row r="664">
      <c r="A664" s="146"/>
      <c r="B664" s="146"/>
      <c r="C664" s="146"/>
      <c r="D664" s="147"/>
      <c r="E664" s="146"/>
      <c r="F664" s="146"/>
      <c r="G664" s="146"/>
      <c r="H664" s="147"/>
      <c r="I664" s="146"/>
      <c r="J664" s="148"/>
      <c r="K664" s="148"/>
      <c r="L664" s="148"/>
      <c r="M664" s="147"/>
      <c r="N664" s="146"/>
      <c r="O664" s="147"/>
      <c r="P664" s="147"/>
      <c r="Q664" s="147"/>
      <c r="R664" s="146"/>
      <c r="S664" s="146"/>
      <c r="T664" s="146"/>
      <c r="U664" s="146"/>
      <c r="V664" s="147"/>
      <c r="W664" s="146"/>
    </row>
    <row r="665">
      <c r="A665" s="146"/>
      <c r="B665" s="146"/>
      <c r="C665" s="146"/>
      <c r="D665" s="147"/>
      <c r="E665" s="146"/>
      <c r="F665" s="146"/>
      <c r="G665" s="146"/>
      <c r="H665" s="147"/>
      <c r="I665" s="146"/>
      <c r="J665" s="148"/>
      <c r="K665" s="148"/>
      <c r="L665" s="148"/>
      <c r="M665" s="147"/>
      <c r="N665" s="146"/>
      <c r="O665" s="147"/>
      <c r="P665" s="147"/>
      <c r="Q665" s="147"/>
      <c r="R665" s="146"/>
      <c r="S665" s="146"/>
      <c r="T665" s="146"/>
      <c r="U665" s="146"/>
      <c r="V665" s="147"/>
      <c r="W665" s="146"/>
    </row>
    <row r="666">
      <c r="A666" s="146"/>
      <c r="B666" s="146"/>
      <c r="C666" s="146"/>
      <c r="D666" s="147"/>
      <c r="E666" s="146"/>
      <c r="F666" s="146"/>
      <c r="G666" s="146"/>
      <c r="H666" s="147"/>
      <c r="I666" s="146"/>
      <c r="J666" s="148"/>
      <c r="K666" s="148"/>
      <c r="L666" s="148"/>
      <c r="M666" s="147"/>
      <c r="N666" s="146"/>
      <c r="O666" s="147"/>
      <c r="P666" s="147"/>
      <c r="Q666" s="147"/>
      <c r="R666" s="146"/>
      <c r="S666" s="146"/>
      <c r="T666" s="146"/>
      <c r="U666" s="146"/>
      <c r="V666" s="147"/>
      <c r="W666" s="146"/>
    </row>
    <row r="667">
      <c r="A667" s="146"/>
      <c r="B667" s="146"/>
      <c r="C667" s="146"/>
      <c r="D667" s="147"/>
      <c r="E667" s="146"/>
      <c r="F667" s="146"/>
      <c r="G667" s="146"/>
      <c r="H667" s="147"/>
      <c r="I667" s="146"/>
      <c r="J667" s="148"/>
      <c r="K667" s="148"/>
      <c r="L667" s="148"/>
      <c r="M667" s="147"/>
      <c r="N667" s="146"/>
      <c r="O667" s="147"/>
      <c r="P667" s="147"/>
      <c r="Q667" s="147"/>
      <c r="R667" s="146"/>
      <c r="S667" s="146"/>
      <c r="T667" s="146"/>
      <c r="U667" s="146"/>
      <c r="V667" s="147"/>
      <c r="W667" s="146"/>
    </row>
    <row r="668">
      <c r="A668" s="146"/>
      <c r="B668" s="146"/>
      <c r="C668" s="146"/>
      <c r="D668" s="147"/>
      <c r="E668" s="146"/>
      <c r="F668" s="146"/>
      <c r="G668" s="146"/>
      <c r="H668" s="147"/>
      <c r="I668" s="146"/>
      <c r="J668" s="148"/>
      <c r="K668" s="148"/>
      <c r="L668" s="148"/>
      <c r="M668" s="147"/>
      <c r="N668" s="146"/>
      <c r="O668" s="147"/>
      <c r="P668" s="147"/>
      <c r="Q668" s="147"/>
      <c r="R668" s="146"/>
      <c r="S668" s="146"/>
      <c r="T668" s="146"/>
      <c r="U668" s="146"/>
      <c r="V668" s="147"/>
      <c r="W668" s="146"/>
    </row>
    <row r="669">
      <c r="A669" s="146"/>
      <c r="B669" s="146"/>
      <c r="C669" s="146"/>
      <c r="D669" s="147"/>
      <c r="E669" s="146"/>
      <c r="F669" s="146"/>
      <c r="G669" s="146"/>
      <c r="H669" s="147"/>
      <c r="I669" s="146"/>
      <c r="J669" s="148"/>
      <c r="K669" s="148"/>
      <c r="L669" s="148"/>
      <c r="M669" s="147"/>
      <c r="N669" s="146"/>
      <c r="O669" s="147"/>
      <c r="P669" s="147"/>
      <c r="Q669" s="147"/>
      <c r="R669" s="146"/>
      <c r="S669" s="146"/>
      <c r="T669" s="146"/>
      <c r="U669" s="146"/>
      <c r="V669" s="147"/>
      <c r="W669" s="146"/>
    </row>
    <row r="670">
      <c r="A670" s="146"/>
      <c r="B670" s="146"/>
      <c r="C670" s="146"/>
      <c r="D670" s="147"/>
      <c r="E670" s="146"/>
      <c r="F670" s="146"/>
      <c r="G670" s="146"/>
      <c r="H670" s="147"/>
      <c r="I670" s="146"/>
      <c r="J670" s="148"/>
      <c r="K670" s="148"/>
      <c r="L670" s="148"/>
      <c r="M670" s="147"/>
      <c r="N670" s="146"/>
      <c r="O670" s="147"/>
      <c r="P670" s="147"/>
      <c r="Q670" s="147"/>
      <c r="R670" s="146"/>
      <c r="S670" s="146"/>
      <c r="T670" s="146"/>
      <c r="U670" s="146"/>
      <c r="V670" s="147"/>
      <c r="W670" s="146"/>
    </row>
    <row r="671">
      <c r="A671" s="146"/>
      <c r="B671" s="146"/>
      <c r="C671" s="146"/>
      <c r="D671" s="147"/>
      <c r="E671" s="146"/>
      <c r="F671" s="146"/>
      <c r="G671" s="146"/>
      <c r="H671" s="147"/>
      <c r="I671" s="146"/>
      <c r="J671" s="148"/>
      <c r="K671" s="148"/>
      <c r="L671" s="148"/>
      <c r="M671" s="147"/>
      <c r="N671" s="146"/>
      <c r="O671" s="147"/>
      <c r="P671" s="147"/>
      <c r="Q671" s="147"/>
      <c r="R671" s="146"/>
      <c r="S671" s="146"/>
      <c r="T671" s="146"/>
      <c r="U671" s="146"/>
      <c r="V671" s="147"/>
      <c r="W671" s="146"/>
    </row>
    <row r="672">
      <c r="A672" s="146"/>
      <c r="B672" s="146"/>
      <c r="C672" s="146"/>
      <c r="D672" s="147"/>
      <c r="E672" s="146"/>
      <c r="F672" s="146"/>
      <c r="G672" s="146"/>
      <c r="H672" s="147"/>
      <c r="I672" s="146"/>
      <c r="J672" s="148"/>
      <c r="K672" s="148"/>
      <c r="L672" s="148"/>
      <c r="M672" s="147"/>
      <c r="N672" s="146"/>
      <c r="O672" s="147"/>
      <c r="P672" s="147"/>
      <c r="Q672" s="147"/>
      <c r="R672" s="146"/>
      <c r="S672" s="146"/>
      <c r="T672" s="146"/>
      <c r="U672" s="146"/>
      <c r="V672" s="147"/>
      <c r="W672" s="146"/>
    </row>
    <row r="673">
      <c r="A673" s="146"/>
      <c r="B673" s="146"/>
      <c r="C673" s="146"/>
      <c r="D673" s="147"/>
      <c r="E673" s="146"/>
      <c r="F673" s="146"/>
      <c r="G673" s="146"/>
      <c r="H673" s="147"/>
      <c r="I673" s="146"/>
      <c r="J673" s="148"/>
      <c r="K673" s="148"/>
      <c r="L673" s="148"/>
      <c r="M673" s="147"/>
      <c r="N673" s="146"/>
      <c r="O673" s="147"/>
      <c r="P673" s="147"/>
      <c r="Q673" s="147"/>
      <c r="R673" s="146"/>
      <c r="S673" s="146"/>
      <c r="T673" s="146"/>
      <c r="U673" s="146"/>
      <c r="V673" s="147"/>
      <c r="W673" s="146"/>
    </row>
    <row r="674">
      <c r="A674" s="146"/>
      <c r="B674" s="146"/>
      <c r="C674" s="146"/>
      <c r="D674" s="147"/>
      <c r="E674" s="146"/>
      <c r="F674" s="146"/>
      <c r="G674" s="146"/>
      <c r="H674" s="147"/>
      <c r="I674" s="146"/>
      <c r="J674" s="148"/>
      <c r="K674" s="148"/>
      <c r="L674" s="148"/>
      <c r="M674" s="147"/>
      <c r="N674" s="146"/>
      <c r="O674" s="147"/>
      <c r="P674" s="147"/>
      <c r="Q674" s="147"/>
      <c r="R674" s="146"/>
      <c r="S674" s="146"/>
      <c r="T674" s="146"/>
      <c r="U674" s="146"/>
      <c r="V674" s="147"/>
      <c r="W674" s="146"/>
    </row>
    <row r="675">
      <c r="A675" s="146"/>
      <c r="B675" s="146"/>
      <c r="C675" s="146"/>
      <c r="D675" s="147"/>
      <c r="E675" s="146"/>
      <c r="F675" s="146"/>
      <c r="G675" s="146"/>
      <c r="H675" s="147"/>
      <c r="I675" s="146"/>
      <c r="J675" s="148"/>
      <c r="K675" s="148"/>
      <c r="L675" s="148"/>
      <c r="M675" s="147"/>
      <c r="N675" s="146"/>
      <c r="O675" s="147"/>
      <c r="P675" s="147"/>
      <c r="Q675" s="147"/>
      <c r="R675" s="146"/>
      <c r="S675" s="146"/>
      <c r="T675" s="146"/>
      <c r="U675" s="146"/>
      <c r="V675" s="147"/>
      <c r="W675" s="146"/>
    </row>
    <row r="676">
      <c r="A676" s="146"/>
      <c r="B676" s="146"/>
      <c r="C676" s="146"/>
      <c r="D676" s="147"/>
      <c r="E676" s="146"/>
      <c r="F676" s="146"/>
      <c r="G676" s="146"/>
      <c r="H676" s="147"/>
      <c r="I676" s="146"/>
      <c r="J676" s="148"/>
      <c r="K676" s="148"/>
      <c r="L676" s="148"/>
      <c r="M676" s="147"/>
      <c r="N676" s="146"/>
      <c r="O676" s="147"/>
      <c r="P676" s="147"/>
      <c r="Q676" s="147"/>
      <c r="R676" s="146"/>
      <c r="S676" s="146"/>
      <c r="T676" s="146"/>
      <c r="U676" s="146"/>
      <c r="V676" s="147"/>
      <c r="W676" s="146"/>
    </row>
    <row r="677">
      <c r="A677" s="146"/>
      <c r="B677" s="146"/>
      <c r="C677" s="146"/>
      <c r="D677" s="147"/>
      <c r="E677" s="146"/>
      <c r="F677" s="146"/>
      <c r="G677" s="146"/>
      <c r="H677" s="147"/>
      <c r="I677" s="146"/>
      <c r="J677" s="148"/>
      <c r="K677" s="148"/>
      <c r="L677" s="148"/>
      <c r="M677" s="147"/>
      <c r="N677" s="146"/>
      <c r="O677" s="147"/>
      <c r="P677" s="147"/>
      <c r="Q677" s="147"/>
      <c r="R677" s="146"/>
      <c r="S677" s="146"/>
      <c r="T677" s="146"/>
      <c r="U677" s="146"/>
      <c r="V677" s="147"/>
      <c r="W677" s="146"/>
    </row>
    <row r="678">
      <c r="A678" s="146"/>
      <c r="B678" s="146"/>
      <c r="C678" s="146"/>
      <c r="D678" s="147"/>
      <c r="E678" s="146"/>
      <c r="F678" s="146"/>
      <c r="G678" s="146"/>
      <c r="H678" s="147"/>
      <c r="I678" s="146"/>
      <c r="J678" s="148"/>
      <c r="K678" s="148"/>
      <c r="L678" s="148"/>
      <c r="M678" s="147"/>
      <c r="N678" s="146"/>
      <c r="O678" s="147"/>
      <c r="P678" s="147"/>
      <c r="Q678" s="147"/>
      <c r="R678" s="146"/>
      <c r="S678" s="146"/>
      <c r="T678" s="146"/>
      <c r="U678" s="146"/>
      <c r="V678" s="147"/>
      <c r="W678" s="146"/>
    </row>
    <row r="679">
      <c r="A679" s="146"/>
      <c r="B679" s="146"/>
      <c r="C679" s="146"/>
      <c r="D679" s="147"/>
      <c r="E679" s="146"/>
      <c r="F679" s="146"/>
      <c r="G679" s="146"/>
      <c r="H679" s="147"/>
      <c r="I679" s="146"/>
      <c r="J679" s="148"/>
      <c r="K679" s="148"/>
      <c r="L679" s="148"/>
      <c r="M679" s="147"/>
      <c r="N679" s="146"/>
      <c r="O679" s="147"/>
      <c r="P679" s="147"/>
      <c r="Q679" s="147"/>
      <c r="R679" s="146"/>
      <c r="S679" s="146"/>
      <c r="T679" s="146"/>
      <c r="U679" s="146"/>
      <c r="V679" s="147"/>
      <c r="W679" s="146"/>
    </row>
    <row r="680">
      <c r="A680" s="146"/>
      <c r="B680" s="146"/>
      <c r="C680" s="146"/>
      <c r="D680" s="147"/>
      <c r="E680" s="146"/>
      <c r="F680" s="146"/>
      <c r="G680" s="146"/>
      <c r="H680" s="147"/>
      <c r="I680" s="146"/>
      <c r="J680" s="148"/>
      <c r="K680" s="148"/>
      <c r="L680" s="148"/>
      <c r="M680" s="147"/>
      <c r="N680" s="146"/>
      <c r="O680" s="147"/>
      <c r="P680" s="147"/>
      <c r="Q680" s="147"/>
      <c r="R680" s="146"/>
      <c r="S680" s="146"/>
      <c r="T680" s="146"/>
      <c r="U680" s="146"/>
      <c r="V680" s="147"/>
      <c r="W680" s="146"/>
    </row>
    <row r="681">
      <c r="A681" s="146"/>
      <c r="B681" s="146"/>
      <c r="C681" s="146"/>
      <c r="D681" s="147"/>
      <c r="E681" s="146"/>
      <c r="F681" s="146"/>
      <c r="G681" s="146"/>
      <c r="H681" s="147"/>
      <c r="I681" s="146"/>
      <c r="J681" s="148"/>
      <c r="K681" s="148"/>
      <c r="L681" s="148"/>
      <c r="M681" s="147"/>
      <c r="N681" s="146"/>
      <c r="O681" s="147"/>
      <c r="P681" s="147"/>
      <c r="Q681" s="147"/>
      <c r="R681" s="146"/>
      <c r="S681" s="146"/>
      <c r="T681" s="146"/>
      <c r="U681" s="146"/>
      <c r="V681" s="147"/>
      <c r="W681" s="146"/>
    </row>
    <row r="682">
      <c r="A682" s="146"/>
      <c r="B682" s="146"/>
      <c r="C682" s="146"/>
      <c r="D682" s="147"/>
      <c r="E682" s="146"/>
      <c r="F682" s="146"/>
      <c r="G682" s="146"/>
      <c r="H682" s="147"/>
      <c r="I682" s="146"/>
      <c r="J682" s="148"/>
      <c r="K682" s="148"/>
      <c r="L682" s="148"/>
      <c r="M682" s="147"/>
      <c r="N682" s="146"/>
      <c r="O682" s="147"/>
      <c r="P682" s="147"/>
      <c r="Q682" s="147"/>
      <c r="R682" s="146"/>
      <c r="S682" s="146"/>
      <c r="T682" s="146"/>
      <c r="U682" s="146"/>
      <c r="V682" s="147"/>
      <c r="W682" s="146"/>
    </row>
    <row r="683">
      <c r="A683" s="146"/>
      <c r="B683" s="146"/>
      <c r="C683" s="146"/>
      <c r="D683" s="147"/>
      <c r="E683" s="146"/>
      <c r="F683" s="146"/>
      <c r="G683" s="146"/>
      <c r="H683" s="147"/>
      <c r="I683" s="146"/>
      <c r="J683" s="148"/>
      <c r="K683" s="148"/>
      <c r="L683" s="148"/>
      <c r="M683" s="147"/>
      <c r="N683" s="146"/>
      <c r="O683" s="147"/>
      <c r="P683" s="147"/>
      <c r="Q683" s="147"/>
      <c r="R683" s="146"/>
      <c r="S683" s="146"/>
      <c r="T683" s="146"/>
      <c r="U683" s="146"/>
      <c r="V683" s="147"/>
      <c r="W683" s="146"/>
    </row>
    <row r="684">
      <c r="A684" s="146"/>
      <c r="B684" s="146"/>
      <c r="C684" s="146"/>
      <c r="D684" s="147"/>
      <c r="E684" s="146"/>
      <c r="F684" s="146"/>
      <c r="G684" s="146"/>
      <c r="H684" s="147"/>
      <c r="I684" s="146"/>
      <c r="J684" s="148"/>
      <c r="K684" s="148"/>
      <c r="L684" s="148"/>
      <c r="M684" s="147"/>
      <c r="N684" s="146"/>
      <c r="O684" s="147"/>
      <c r="P684" s="147"/>
      <c r="Q684" s="147"/>
      <c r="R684" s="146"/>
      <c r="S684" s="146"/>
      <c r="T684" s="146"/>
      <c r="U684" s="146"/>
      <c r="V684" s="147"/>
      <c r="W684" s="146"/>
    </row>
    <row r="685">
      <c r="A685" s="146"/>
      <c r="B685" s="146"/>
      <c r="C685" s="146"/>
      <c r="D685" s="147"/>
      <c r="E685" s="146"/>
      <c r="F685" s="146"/>
      <c r="G685" s="146"/>
      <c r="H685" s="147"/>
      <c r="I685" s="146"/>
      <c r="J685" s="148"/>
      <c r="K685" s="148"/>
      <c r="L685" s="148"/>
      <c r="M685" s="147"/>
      <c r="N685" s="146"/>
      <c r="O685" s="147"/>
      <c r="P685" s="147"/>
      <c r="Q685" s="147"/>
      <c r="R685" s="146"/>
      <c r="S685" s="146"/>
      <c r="T685" s="146"/>
      <c r="U685" s="146"/>
      <c r="V685" s="147"/>
      <c r="W685" s="146"/>
    </row>
    <row r="686">
      <c r="A686" s="146"/>
      <c r="B686" s="146"/>
      <c r="C686" s="146"/>
      <c r="D686" s="147"/>
      <c r="E686" s="146"/>
      <c r="F686" s="146"/>
      <c r="G686" s="146"/>
      <c r="H686" s="147"/>
      <c r="I686" s="146"/>
      <c r="J686" s="148"/>
      <c r="K686" s="148"/>
      <c r="L686" s="148"/>
      <c r="M686" s="147"/>
      <c r="N686" s="146"/>
      <c r="O686" s="147"/>
      <c r="P686" s="147"/>
      <c r="Q686" s="147"/>
      <c r="R686" s="146"/>
      <c r="S686" s="146"/>
      <c r="T686" s="146"/>
      <c r="U686" s="146"/>
      <c r="V686" s="147"/>
      <c r="W686" s="146"/>
    </row>
    <row r="687">
      <c r="A687" s="146"/>
      <c r="B687" s="146"/>
      <c r="C687" s="146"/>
      <c r="D687" s="147"/>
      <c r="E687" s="146"/>
      <c r="F687" s="146"/>
      <c r="G687" s="146"/>
      <c r="H687" s="147"/>
      <c r="I687" s="146"/>
      <c r="J687" s="148"/>
      <c r="K687" s="148"/>
      <c r="L687" s="148"/>
      <c r="M687" s="147"/>
      <c r="N687" s="146"/>
      <c r="O687" s="147"/>
      <c r="P687" s="147"/>
      <c r="Q687" s="147"/>
      <c r="R687" s="146"/>
      <c r="S687" s="146"/>
      <c r="T687" s="146"/>
      <c r="U687" s="146"/>
      <c r="V687" s="147"/>
      <c r="W687" s="146"/>
    </row>
    <row r="688">
      <c r="A688" s="146"/>
      <c r="B688" s="146"/>
      <c r="C688" s="146"/>
      <c r="D688" s="147"/>
      <c r="E688" s="146"/>
      <c r="F688" s="146"/>
      <c r="G688" s="146"/>
      <c r="H688" s="147"/>
      <c r="I688" s="146"/>
      <c r="J688" s="148"/>
      <c r="K688" s="148"/>
      <c r="L688" s="148"/>
      <c r="M688" s="147"/>
      <c r="N688" s="146"/>
      <c r="O688" s="147"/>
      <c r="P688" s="147"/>
      <c r="Q688" s="147"/>
      <c r="R688" s="146"/>
      <c r="S688" s="146"/>
      <c r="T688" s="146"/>
      <c r="U688" s="146"/>
      <c r="V688" s="147"/>
      <c r="W688" s="146"/>
    </row>
    <row r="689">
      <c r="A689" s="146"/>
      <c r="B689" s="146"/>
      <c r="C689" s="146"/>
      <c r="D689" s="147"/>
      <c r="E689" s="146"/>
      <c r="F689" s="146"/>
      <c r="G689" s="146"/>
      <c r="H689" s="147"/>
      <c r="I689" s="146"/>
      <c r="J689" s="148"/>
      <c r="K689" s="148"/>
      <c r="L689" s="148"/>
      <c r="M689" s="147"/>
      <c r="N689" s="146"/>
      <c r="O689" s="147"/>
      <c r="P689" s="147"/>
      <c r="Q689" s="147"/>
      <c r="R689" s="146"/>
      <c r="S689" s="146"/>
      <c r="T689" s="146"/>
      <c r="U689" s="146"/>
      <c r="V689" s="147"/>
      <c r="W689" s="146"/>
    </row>
    <row r="690">
      <c r="A690" s="146"/>
      <c r="B690" s="146"/>
      <c r="C690" s="146"/>
      <c r="D690" s="147"/>
      <c r="E690" s="146"/>
      <c r="F690" s="146"/>
      <c r="G690" s="146"/>
      <c r="H690" s="147"/>
      <c r="I690" s="146"/>
      <c r="J690" s="148"/>
      <c r="K690" s="148"/>
      <c r="L690" s="148"/>
      <c r="M690" s="147"/>
      <c r="N690" s="146"/>
      <c r="O690" s="147"/>
      <c r="P690" s="147"/>
      <c r="Q690" s="147"/>
      <c r="R690" s="146"/>
      <c r="S690" s="146"/>
      <c r="T690" s="146"/>
      <c r="U690" s="146"/>
      <c r="V690" s="147"/>
      <c r="W690" s="146"/>
    </row>
    <row r="691">
      <c r="A691" s="146"/>
      <c r="B691" s="146"/>
      <c r="C691" s="146"/>
      <c r="D691" s="147"/>
      <c r="E691" s="146"/>
      <c r="F691" s="146"/>
      <c r="G691" s="146"/>
      <c r="H691" s="147"/>
      <c r="I691" s="146"/>
      <c r="J691" s="148"/>
      <c r="K691" s="148"/>
      <c r="L691" s="148"/>
      <c r="M691" s="147"/>
      <c r="N691" s="146"/>
      <c r="O691" s="147"/>
      <c r="P691" s="147"/>
      <c r="Q691" s="147"/>
      <c r="R691" s="146"/>
      <c r="S691" s="146"/>
      <c r="T691" s="146"/>
      <c r="U691" s="146"/>
      <c r="V691" s="147"/>
      <c r="W691" s="146"/>
    </row>
    <row r="692">
      <c r="A692" s="146"/>
      <c r="B692" s="146"/>
      <c r="C692" s="146"/>
      <c r="D692" s="147"/>
      <c r="E692" s="146"/>
      <c r="F692" s="146"/>
      <c r="G692" s="146"/>
      <c r="H692" s="147"/>
      <c r="I692" s="146"/>
      <c r="J692" s="148"/>
      <c r="K692" s="148"/>
      <c r="L692" s="148"/>
      <c r="M692" s="147"/>
      <c r="N692" s="146"/>
      <c r="O692" s="147"/>
      <c r="P692" s="147"/>
      <c r="Q692" s="147"/>
      <c r="R692" s="146"/>
      <c r="S692" s="146"/>
      <c r="T692" s="146"/>
      <c r="U692" s="146"/>
      <c r="V692" s="147"/>
      <c r="W692" s="146"/>
    </row>
    <row r="693">
      <c r="A693" s="146"/>
      <c r="B693" s="146"/>
      <c r="C693" s="146"/>
      <c r="D693" s="147"/>
      <c r="E693" s="146"/>
      <c r="F693" s="146"/>
      <c r="G693" s="146"/>
      <c r="H693" s="147"/>
      <c r="I693" s="146"/>
      <c r="J693" s="148"/>
      <c r="K693" s="148"/>
      <c r="L693" s="148"/>
      <c r="M693" s="147"/>
      <c r="N693" s="146"/>
      <c r="O693" s="147"/>
      <c r="P693" s="147"/>
      <c r="Q693" s="147"/>
      <c r="R693" s="146"/>
      <c r="S693" s="146"/>
      <c r="T693" s="146"/>
      <c r="U693" s="146"/>
      <c r="V693" s="147"/>
      <c r="W693" s="146"/>
    </row>
    <row r="694">
      <c r="A694" s="146"/>
      <c r="B694" s="146"/>
      <c r="C694" s="146"/>
      <c r="D694" s="147"/>
      <c r="E694" s="146"/>
      <c r="F694" s="146"/>
      <c r="G694" s="146"/>
      <c r="H694" s="147"/>
      <c r="I694" s="146"/>
      <c r="J694" s="148"/>
      <c r="K694" s="148"/>
      <c r="L694" s="148"/>
      <c r="M694" s="147"/>
      <c r="N694" s="146"/>
      <c r="O694" s="147"/>
      <c r="P694" s="147"/>
      <c r="Q694" s="147"/>
      <c r="R694" s="146"/>
      <c r="S694" s="146"/>
      <c r="T694" s="146"/>
      <c r="U694" s="146"/>
      <c r="V694" s="147"/>
      <c r="W694" s="146"/>
    </row>
    <row r="695">
      <c r="A695" s="146"/>
      <c r="B695" s="146"/>
      <c r="C695" s="146"/>
      <c r="D695" s="147"/>
      <c r="E695" s="146"/>
      <c r="F695" s="146"/>
      <c r="G695" s="146"/>
      <c r="H695" s="147"/>
      <c r="I695" s="146"/>
      <c r="J695" s="148"/>
      <c r="K695" s="148"/>
      <c r="L695" s="148"/>
      <c r="M695" s="147"/>
      <c r="N695" s="146"/>
      <c r="O695" s="147"/>
      <c r="P695" s="147"/>
      <c r="Q695" s="147"/>
      <c r="R695" s="146"/>
      <c r="S695" s="146"/>
      <c r="T695" s="146"/>
      <c r="U695" s="146"/>
      <c r="V695" s="147"/>
      <c r="W695" s="146"/>
    </row>
    <row r="696">
      <c r="A696" s="146"/>
      <c r="B696" s="146"/>
      <c r="C696" s="146"/>
      <c r="D696" s="147"/>
      <c r="E696" s="146"/>
      <c r="F696" s="146"/>
      <c r="G696" s="146"/>
      <c r="H696" s="147"/>
      <c r="I696" s="146"/>
      <c r="J696" s="148"/>
      <c r="K696" s="148"/>
      <c r="L696" s="148"/>
      <c r="M696" s="147"/>
      <c r="N696" s="146"/>
      <c r="O696" s="147"/>
      <c r="P696" s="147"/>
      <c r="Q696" s="147"/>
      <c r="R696" s="146"/>
      <c r="S696" s="146"/>
      <c r="T696" s="146"/>
      <c r="U696" s="146"/>
      <c r="V696" s="147"/>
      <c r="W696" s="146"/>
    </row>
    <row r="697">
      <c r="A697" s="146"/>
      <c r="B697" s="146"/>
      <c r="C697" s="146"/>
      <c r="D697" s="147"/>
      <c r="E697" s="146"/>
      <c r="F697" s="146"/>
      <c r="G697" s="146"/>
      <c r="H697" s="147"/>
      <c r="I697" s="146"/>
      <c r="J697" s="148"/>
      <c r="K697" s="148"/>
      <c r="L697" s="148"/>
      <c r="M697" s="147"/>
      <c r="N697" s="146"/>
      <c r="O697" s="147"/>
      <c r="P697" s="147"/>
      <c r="Q697" s="147"/>
      <c r="R697" s="146"/>
      <c r="S697" s="146"/>
      <c r="T697" s="146"/>
      <c r="U697" s="146"/>
      <c r="V697" s="147"/>
      <c r="W697" s="146"/>
    </row>
    <row r="698">
      <c r="A698" s="146"/>
      <c r="B698" s="146"/>
      <c r="C698" s="146"/>
      <c r="D698" s="147"/>
      <c r="E698" s="146"/>
      <c r="F698" s="146"/>
      <c r="G698" s="146"/>
      <c r="H698" s="147"/>
      <c r="I698" s="146"/>
      <c r="J698" s="148"/>
      <c r="K698" s="148"/>
      <c r="L698" s="148"/>
      <c r="M698" s="147"/>
      <c r="N698" s="146"/>
      <c r="O698" s="147"/>
      <c r="P698" s="147"/>
      <c r="Q698" s="147"/>
      <c r="R698" s="146"/>
      <c r="S698" s="146"/>
      <c r="T698" s="146"/>
      <c r="U698" s="146"/>
      <c r="V698" s="147"/>
      <c r="W698" s="146"/>
    </row>
    <row r="699">
      <c r="A699" s="146"/>
      <c r="B699" s="146"/>
      <c r="C699" s="146"/>
      <c r="D699" s="147"/>
      <c r="E699" s="146"/>
      <c r="F699" s="146"/>
      <c r="G699" s="146"/>
      <c r="H699" s="147"/>
      <c r="I699" s="146"/>
      <c r="J699" s="148"/>
      <c r="K699" s="148"/>
      <c r="L699" s="148"/>
      <c r="M699" s="147"/>
      <c r="N699" s="146"/>
      <c r="O699" s="147"/>
      <c r="P699" s="147"/>
      <c r="Q699" s="147"/>
      <c r="R699" s="146"/>
      <c r="S699" s="146"/>
      <c r="T699" s="146"/>
      <c r="U699" s="146"/>
      <c r="V699" s="147"/>
      <c r="W699" s="146"/>
    </row>
    <row r="700">
      <c r="A700" s="146"/>
      <c r="B700" s="146"/>
      <c r="C700" s="146"/>
      <c r="D700" s="147"/>
      <c r="E700" s="146"/>
      <c r="F700" s="146"/>
      <c r="G700" s="146"/>
      <c r="H700" s="147"/>
      <c r="I700" s="146"/>
      <c r="J700" s="148"/>
      <c r="K700" s="148"/>
      <c r="L700" s="148"/>
      <c r="M700" s="147"/>
      <c r="N700" s="146"/>
      <c r="O700" s="147"/>
      <c r="P700" s="147"/>
      <c r="Q700" s="147"/>
      <c r="R700" s="146"/>
      <c r="S700" s="146"/>
      <c r="T700" s="146"/>
      <c r="U700" s="146"/>
      <c r="V700" s="147"/>
      <c r="W700" s="146"/>
    </row>
    <row r="701">
      <c r="A701" s="146"/>
      <c r="B701" s="146"/>
      <c r="C701" s="146"/>
      <c r="D701" s="147"/>
      <c r="E701" s="146"/>
      <c r="F701" s="146"/>
      <c r="G701" s="146"/>
      <c r="H701" s="147"/>
      <c r="I701" s="146"/>
      <c r="J701" s="148"/>
      <c r="K701" s="148"/>
      <c r="L701" s="148"/>
      <c r="M701" s="147"/>
      <c r="N701" s="146"/>
      <c r="O701" s="147"/>
      <c r="P701" s="147"/>
      <c r="Q701" s="147"/>
      <c r="R701" s="146"/>
      <c r="S701" s="146"/>
      <c r="T701" s="146"/>
      <c r="U701" s="146"/>
      <c r="V701" s="147"/>
      <c r="W701" s="146"/>
    </row>
    <row r="702">
      <c r="A702" s="146"/>
      <c r="B702" s="146"/>
      <c r="C702" s="146"/>
      <c r="D702" s="147"/>
      <c r="E702" s="146"/>
      <c r="F702" s="146"/>
      <c r="G702" s="146"/>
      <c r="H702" s="147"/>
      <c r="I702" s="146"/>
      <c r="J702" s="148"/>
      <c r="K702" s="148"/>
      <c r="L702" s="148"/>
      <c r="M702" s="147"/>
      <c r="N702" s="146"/>
      <c r="O702" s="147"/>
      <c r="P702" s="147"/>
      <c r="Q702" s="147"/>
      <c r="R702" s="146"/>
      <c r="S702" s="146"/>
      <c r="T702" s="146"/>
      <c r="U702" s="146"/>
      <c r="V702" s="147"/>
      <c r="W702" s="146"/>
    </row>
    <row r="703">
      <c r="A703" s="146"/>
      <c r="B703" s="146"/>
      <c r="C703" s="146"/>
      <c r="D703" s="147"/>
      <c r="E703" s="146"/>
      <c r="F703" s="146"/>
      <c r="G703" s="146"/>
      <c r="H703" s="147"/>
      <c r="I703" s="146"/>
      <c r="J703" s="148"/>
      <c r="K703" s="148"/>
      <c r="L703" s="148"/>
      <c r="M703" s="147"/>
      <c r="N703" s="146"/>
      <c r="O703" s="147"/>
      <c r="P703" s="147"/>
      <c r="Q703" s="147"/>
      <c r="R703" s="146"/>
      <c r="S703" s="146"/>
      <c r="T703" s="146"/>
      <c r="U703" s="146"/>
      <c r="V703" s="147"/>
      <c r="W703" s="146"/>
    </row>
    <row r="704">
      <c r="A704" s="146"/>
      <c r="B704" s="146"/>
      <c r="C704" s="146"/>
      <c r="D704" s="147"/>
      <c r="E704" s="146"/>
      <c r="F704" s="146"/>
      <c r="G704" s="146"/>
      <c r="H704" s="147"/>
      <c r="I704" s="146"/>
      <c r="J704" s="148"/>
      <c r="K704" s="148"/>
      <c r="L704" s="148"/>
      <c r="M704" s="147"/>
      <c r="N704" s="146"/>
      <c r="O704" s="147"/>
      <c r="P704" s="147"/>
      <c r="Q704" s="147"/>
      <c r="R704" s="146"/>
      <c r="S704" s="146"/>
      <c r="T704" s="146"/>
      <c r="U704" s="146"/>
      <c r="V704" s="147"/>
      <c r="W704" s="146"/>
    </row>
    <row r="705">
      <c r="A705" s="146"/>
      <c r="B705" s="146"/>
      <c r="C705" s="146"/>
      <c r="D705" s="147"/>
      <c r="E705" s="146"/>
      <c r="F705" s="146"/>
      <c r="G705" s="146"/>
      <c r="H705" s="147"/>
      <c r="I705" s="146"/>
      <c r="J705" s="148"/>
      <c r="K705" s="148"/>
      <c r="L705" s="148"/>
      <c r="M705" s="147"/>
      <c r="N705" s="146"/>
      <c r="O705" s="147"/>
      <c r="P705" s="147"/>
      <c r="Q705" s="147"/>
      <c r="R705" s="146"/>
      <c r="S705" s="146"/>
      <c r="T705" s="146"/>
      <c r="U705" s="146"/>
      <c r="V705" s="147"/>
      <c r="W705" s="146"/>
    </row>
    <row r="706">
      <c r="A706" s="146"/>
      <c r="B706" s="146"/>
      <c r="C706" s="146"/>
      <c r="D706" s="147"/>
      <c r="E706" s="146"/>
      <c r="F706" s="146"/>
      <c r="G706" s="146"/>
      <c r="H706" s="147"/>
      <c r="I706" s="146"/>
      <c r="J706" s="148"/>
      <c r="K706" s="148"/>
      <c r="L706" s="148"/>
      <c r="M706" s="147"/>
      <c r="N706" s="146"/>
      <c r="O706" s="147"/>
      <c r="P706" s="147"/>
      <c r="Q706" s="147"/>
      <c r="R706" s="146"/>
      <c r="S706" s="146"/>
      <c r="T706" s="146"/>
      <c r="U706" s="146"/>
      <c r="V706" s="147"/>
      <c r="W706" s="146"/>
    </row>
    <row r="707">
      <c r="A707" s="146"/>
      <c r="B707" s="146"/>
      <c r="C707" s="146"/>
      <c r="D707" s="147"/>
      <c r="E707" s="146"/>
      <c r="F707" s="146"/>
      <c r="G707" s="146"/>
      <c r="H707" s="147"/>
      <c r="I707" s="146"/>
      <c r="J707" s="148"/>
      <c r="K707" s="148"/>
      <c r="L707" s="148"/>
      <c r="M707" s="147"/>
      <c r="N707" s="146"/>
      <c r="O707" s="147"/>
      <c r="P707" s="147"/>
      <c r="Q707" s="147"/>
      <c r="R707" s="146"/>
      <c r="S707" s="146"/>
      <c r="T707" s="146"/>
      <c r="U707" s="146"/>
      <c r="V707" s="147"/>
      <c r="W707" s="146"/>
    </row>
    <row r="708">
      <c r="A708" s="146"/>
      <c r="B708" s="146"/>
      <c r="C708" s="146"/>
      <c r="D708" s="147"/>
      <c r="E708" s="146"/>
      <c r="F708" s="146"/>
      <c r="G708" s="146"/>
      <c r="H708" s="147"/>
      <c r="I708" s="146"/>
      <c r="J708" s="148"/>
      <c r="K708" s="148"/>
      <c r="L708" s="148"/>
      <c r="M708" s="147"/>
      <c r="N708" s="146"/>
      <c r="O708" s="147"/>
      <c r="P708" s="147"/>
      <c r="Q708" s="147"/>
      <c r="R708" s="146"/>
      <c r="S708" s="146"/>
      <c r="T708" s="146"/>
      <c r="U708" s="146"/>
      <c r="V708" s="147"/>
      <c r="W708" s="146"/>
    </row>
    <row r="709">
      <c r="A709" s="146"/>
      <c r="B709" s="146"/>
      <c r="C709" s="146"/>
      <c r="D709" s="147"/>
      <c r="E709" s="146"/>
      <c r="F709" s="146"/>
      <c r="G709" s="146"/>
      <c r="H709" s="147"/>
      <c r="I709" s="146"/>
      <c r="J709" s="148"/>
      <c r="K709" s="148"/>
      <c r="L709" s="148"/>
      <c r="M709" s="147"/>
      <c r="N709" s="146"/>
      <c r="O709" s="147"/>
      <c r="P709" s="147"/>
      <c r="Q709" s="147"/>
      <c r="R709" s="146"/>
      <c r="S709" s="146"/>
      <c r="T709" s="146"/>
      <c r="U709" s="146"/>
      <c r="V709" s="147"/>
      <c r="W709" s="146"/>
    </row>
    <row r="710">
      <c r="A710" s="146"/>
      <c r="B710" s="146"/>
      <c r="C710" s="146"/>
      <c r="D710" s="147"/>
      <c r="E710" s="146"/>
      <c r="F710" s="146"/>
      <c r="G710" s="146"/>
      <c r="H710" s="147"/>
      <c r="I710" s="146"/>
      <c r="J710" s="148"/>
      <c r="K710" s="148"/>
      <c r="L710" s="148"/>
      <c r="M710" s="147"/>
      <c r="N710" s="146"/>
      <c r="O710" s="147"/>
      <c r="P710" s="147"/>
      <c r="Q710" s="147"/>
      <c r="R710" s="146"/>
      <c r="S710" s="146"/>
      <c r="T710" s="146"/>
      <c r="U710" s="146"/>
      <c r="V710" s="147"/>
      <c r="W710" s="146"/>
    </row>
    <row r="711">
      <c r="A711" s="146"/>
      <c r="B711" s="146"/>
      <c r="C711" s="146"/>
      <c r="D711" s="147"/>
      <c r="E711" s="146"/>
      <c r="F711" s="146"/>
      <c r="G711" s="146"/>
      <c r="H711" s="147"/>
      <c r="I711" s="146"/>
      <c r="J711" s="148"/>
      <c r="K711" s="148"/>
      <c r="L711" s="148"/>
      <c r="M711" s="147"/>
      <c r="N711" s="146"/>
      <c r="O711" s="147"/>
      <c r="P711" s="147"/>
      <c r="Q711" s="147"/>
      <c r="R711" s="146"/>
      <c r="S711" s="146"/>
      <c r="T711" s="146"/>
      <c r="U711" s="146"/>
      <c r="V711" s="147"/>
      <c r="W711" s="146"/>
    </row>
    <row r="712">
      <c r="A712" s="146"/>
      <c r="B712" s="146"/>
      <c r="C712" s="146"/>
      <c r="D712" s="147"/>
      <c r="E712" s="146"/>
      <c r="F712" s="146"/>
      <c r="G712" s="146"/>
      <c r="H712" s="147"/>
      <c r="I712" s="146"/>
      <c r="J712" s="148"/>
      <c r="K712" s="148"/>
      <c r="L712" s="148"/>
      <c r="M712" s="147"/>
      <c r="N712" s="146"/>
      <c r="O712" s="147"/>
      <c r="P712" s="147"/>
      <c r="Q712" s="147"/>
      <c r="R712" s="146"/>
      <c r="S712" s="146"/>
      <c r="T712" s="146"/>
      <c r="U712" s="146"/>
      <c r="V712" s="147"/>
      <c r="W712" s="146"/>
    </row>
    <row r="713">
      <c r="A713" s="146"/>
      <c r="B713" s="146"/>
      <c r="C713" s="146"/>
      <c r="D713" s="147"/>
      <c r="E713" s="146"/>
      <c r="F713" s="146"/>
      <c r="G713" s="146"/>
      <c r="H713" s="147"/>
      <c r="I713" s="146"/>
      <c r="J713" s="148"/>
      <c r="K713" s="148"/>
      <c r="L713" s="148"/>
      <c r="M713" s="147"/>
      <c r="N713" s="146"/>
      <c r="O713" s="147"/>
      <c r="P713" s="147"/>
      <c r="Q713" s="147"/>
      <c r="R713" s="146"/>
      <c r="S713" s="146"/>
      <c r="T713" s="146"/>
      <c r="U713" s="146"/>
      <c r="V713" s="147"/>
      <c r="W713" s="146"/>
    </row>
    <row r="714">
      <c r="A714" s="146"/>
      <c r="B714" s="146"/>
      <c r="C714" s="146"/>
      <c r="D714" s="147"/>
      <c r="E714" s="146"/>
      <c r="F714" s="146"/>
      <c r="G714" s="146"/>
      <c r="H714" s="147"/>
      <c r="I714" s="146"/>
      <c r="J714" s="148"/>
      <c r="K714" s="148"/>
      <c r="L714" s="148"/>
      <c r="M714" s="147"/>
      <c r="N714" s="146"/>
      <c r="O714" s="147"/>
      <c r="P714" s="147"/>
      <c r="Q714" s="147"/>
      <c r="R714" s="146"/>
      <c r="S714" s="146"/>
      <c r="T714" s="146"/>
      <c r="U714" s="146"/>
      <c r="V714" s="147"/>
      <c r="W714" s="146"/>
    </row>
    <row r="715">
      <c r="A715" s="146"/>
      <c r="B715" s="146"/>
      <c r="C715" s="146"/>
      <c r="D715" s="147"/>
      <c r="E715" s="146"/>
      <c r="F715" s="146"/>
      <c r="G715" s="146"/>
      <c r="H715" s="147"/>
      <c r="I715" s="146"/>
      <c r="J715" s="148"/>
      <c r="K715" s="148"/>
      <c r="L715" s="148"/>
      <c r="M715" s="147"/>
      <c r="N715" s="146"/>
      <c r="O715" s="147"/>
      <c r="P715" s="147"/>
      <c r="Q715" s="147"/>
      <c r="R715" s="146"/>
      <c r="S715" s="146"/>
      <c r="T715" s="146"/>
      <c r="U715" s="146"/>
      <c r="V715" s="147"/>
      <c r="W715" s="146"/>
    </row>
    <row r="716">
      <c r="A716" s="146"/>
      <c r="B716" s="146"/>
      <c r="C716" s="146"/>
      <c r="D716" s="147"/>
      <c r="E716" s="146"/>
      <c r="F716" s="146"/>
      <c r="G716" s="146"/>
      <c r="H716" s="147"/>
      <c r="I716" s="146"/>
      <c r="J716" s="148"/>
      <c r="K716" s="148"/>
      <c r="L716" s="148"/>
      <c r="M716" s="147"/>
      <c r="N716" s="146"/>
      <c r="O716" s="147"/>
      <c r="P716" s="147"/>
      <c r="Q716" s="147"/>
      <c r="R716" s="146"/>
      <c r="S716" s="146"/>
      <c r="T716" s="146"/>
      <c r="U716" s="146"/>
      <c r="V716" s="147"/>
      <c r="W716" s="146"/>
    </row>
    <row r="717">
      <c r="A717" s="146"/>
      <c r="B717" s="146"/>
      <c r="C717" s="146"/>
      <c r="D717" s="147"/>
      <c r="E717" s="146"/>
      <c r="F717" s="146"/>
      <c r="G717" s="146"/>
      <c r="H717" s="147"/>
      <c r="I717" s="146"/>
      <c r="J717" s="148"/>
      <c r="K717" s="148"/>
      <c r="L717" s="148"/>
      <c r="M717" s="147"/>
      <c r="N717" s="146"/>
      <c r="O717" s="147"/>
      <c r="P717" s="147"/>
      <c r="Q717" s="147"/>
      <c r="R717" s="146"/>
      <c r="S717" s="146"/>
      <c r="T717" s="146"/>
      <c r="U717" s="146"/>
      <c r="V717" s="147"/>
      <c r="W717" s="146"/>
    </row>
    <row r="718">
      <c r="A718" s="146"/>
      <c r="B718" s="146"/>
      <c r="C718" s="146"/>
      <c r="D718" s="147"/>
      <c r="E718" s="146"/>
      <c r="F718" s="146"/>
      <c r="G718" s="146"/>
      <c r="H718" s="147"/>
      <c r="I718" s="146"/>
      <c r="J718" s="148"/>
      <c r="K718" s="148"/>
      <c r="L718" s="148"/>
      <c r="M718" s="147"/>
      <c r="N718" s="146"/>
      <c r="O718" s="147"/>
      <c r="P718" s="147"/>
      <c r="Q718" s="147"/>
      <c r="R718" s="146"/>
      <c r="S718" s="146"/>
      <c r="T718" s="146"/>
      <c r="U718" s="146"/>
      <c r="V718" s="147"/>
      <c r="W718" s="146"/>
    </row>
    <row r="719">
      <c r="A719" s="146"/>
      <c r="B719" s="146"/>
      <c r="C719" s="146"/>
      <c r="D719" s="147"/>
      <c r="E719" s="146"/>
      <c r="F719" s="146"/>
      <c r="G719" s="146"/>
      <c r="H719" s="147"/>
      <c r="I719" s="146"/>
      <c r="J719" s="148"/>
      <c r="K719" s="148"/>
      <c r="L719" s="148"/>
      <c r="M719" s="147"/>
      <c r="N719" s="146"/>
      <c r="O719" s="147"/>
      <c r="P719" s="147"/>
      <c r="Q719" s="147"/>
      <c r="R719" s="146"/>
      <c r="S719" s="146"/>
      <c r="T719" s="146"/>
      <c r="U719" s="146"/>
      <c r="V719" s="147"/>
      <c r="W719" s="146"/>
    </row>
    <row r="720">
      <c r="A720" s="146"/>
      <c r="B720" s="146"/>
      <c r="C720" s="146"/>
      <c r="D720" s="147"/>
      <c r="E720" s="146"/>
      <c r="F720" s="146"/>
      <c r="G720" s="146"/>
      <c r="H720" s="147"/>
      <c r="I720" s="146"/>
      <c r="J720" s="148"/>
      <c r="K720" s="148"/>
      <c r="L720" s="148"/>
      <c r="M720" s="147"/>
      <c r="N720" s="146"/>
      <c r="O720" s="147"/>
      <c r="P720" s="147"/>
      <c r="Q720" s="147"/>
      <c r="R720" s="146"/>
      <c r="S720" s="146"/>
      <c r="T720" s="146"/>
      <c r="U720" s="146"/>
      <c r="V720" s="147"/>
      <c r="W720" s="146"/>
    </row>
    <row r="721">
      <c r="A721" s="146"/>
      <c r="B721" s="146"/>
      <c r="C721" s="146"/>
      <c r="D721" s="147"/>
      <c r="E721" s="146"/>
      <c r="F721" s="146"/>
      <c r="G721" s="146"/>
      <c r="H721" s="147"/>
      <c r="I721" s="146"/>
      <c r="J721" s="148"/>
      <c r="K721" s="148"/>
      <c r="L721" s="148"/>
      <c r="M721" s="147"/>
      <c r="N721" s="146"/>
      <c r="O721" s="147"/>
      <c r="P721" s="147"/>
      <c r="Q721" s="147"/>
      <c r="R721" s="146"/>
      <c r="S721" s="146"/>
      <c r="T721" s="146"/>
      <c r="U721" s="146"/>
      <c r="V721" s="147"/>
      <c r="W721" s="146"/>
    </row>
    <row r="722">
      <c r="A722" s="146"/>
      <c r="B722" s="146"/>
      <c r="C722" s="146"/>
      <c r="D722" s="147"/>
      <c r="E722" s="146"/>
      <c r="F722" s="146"/>
      <c r="G722" s="146"/>
      <c r="H722" s="147"/>
      <c r="I722" s="146"/>
      <c r="J722" s="148"/>
      <c r="K722" s="148"/>
      <c r="L722" s="148"/>
      <c r="M722" s="147"/>
      <c r="N722" s="146"/>
      <c r="O722" s="147"/>
      <c r="P722" s="147"/>
      <c r="Q722" s="147"/>
      <c r="R722" s="146"/>
      <c r="S722" s="146"/>
      <c r="T722" s="146"/>
      <c r="U722" s="146"/>
      <c r="V722" s="147"/>
      <c r="W722" s="146"/>
    </row>
    <row r="723">
      <c r="A723" s="146"/>
      <c r="B723" s="146"/>
      <c r="C723" s="146"/>
      <c r="D723" s="147"/>
      <c r="E723" s="146"/>
      <c r="F723" s="146"/>
      <c r="G723" s="146"/>
      <c r="H723" s="147"/>
      <c r="I723" s="146"/>
      <c r="J723" s="148"/>
      <c r="K723" s="148"/>
      <c r="L723" s="148"/>
      <c r="M723" s="147"/>
      <c r="N723" s="146"/>
      <c r="O723" s="147"/>
      <c r="P723" s="147"/>
      <c r="Q723" s="147"/>
      <c r="R723" s="146"/>
      <c r="S723" s="146"/>
      <c r="T723" s="146"/>
      <c r="U723" s="146"/>
      <c r="V723" s="147"/>
      <c r="W723" s="146"/>
    </row>
    <row r="724">
      <c r="A724" s="146"/>
      <c r="B724" s="146"/>
      <c r="C724" s="146"/>
      <c r="D724" s="147"/>
      <c r="E724" s="146"/>
      <c r="F724" s="146"/>
      <c r="G724" s="146"/>
      <c r="H724" s="147"/>
      <c r="I724" s="146"/>
      <c r="J724" s="148"/>
      <c r="K724" s="148"/>
      <c r="L724" s="148"/>
      <c r="M724" s="147"/>
      <c r="N724" s="146"/>
      <c r="O724" s="147"/>
      <c r="P724" s="147"/>
      <c r="Q724" s="147"/>
      <c r="R724" s="146"/>
      <c r="S724" s="146"/>
      <c r="T724" s="146"/>
      <c r="U724" s="146"/>
      <c r="V724" s="147"/>
      <c r="W724" s="146"/>
    </row>
    <row r="725">
      <c r="A725" s="146"/>
      <c r="B725" s="146"/>
      <c r="C725" s="146"/>
      <c r="D725" s="147"/>
      <c r="E725" s="146"/>
      <c r="F725" s="146"/>
      <c r="G725" s="146"/>
      <c r="H725" s="147"/>
      <c r="I725" s="146"/>
      <c r="J725" s="148"/>
      <c r="K725" s="148"/>
      <c r="L725" s="148"/>
      <c r="M725" s="147"/>
      <c r="N725" s="146"/>
      <c r="O725" s="147"/>
      <c r="P725" s="147"/>
      <c r="Q725" s="147"/>
      <c r="R725" s="146"/>
      <c r="S725" s="146"/>
      <c r="T725" s="146"/>
      <c r="U725" s="146"/>
      <c r="V725" s="147"/>
      <c r="W725" s="146"/>
    </row>
    <row r="726">
      <c r="A726" s="146"/>
      <c r="B726" s="146"/>
      <c r="C726" s="146"/>
      <c r="D726" s="147"/>
      <c r="E726" s="146"/>
      <c r="F726" s="146"/>
      <c r="G726" s="146"/>
      <c r="H726" s="147"/>
      <c r="I726" s="146"/>
      <c r="J726" s="148"/>
      <c r="K726" s="148"/>
      <c r="L726" s="148"/>
      <c r="M726" s="147"/>
      <c r="N726" s="146"/>
      <c r="O726" s="147"/>
      <c r="P726" s="147"/>
      <c r="Q726" s="147"/>
      <c r="R726" s="146"/>
      <c r="S726" s="146"/>
      <c r="T726" s="146"/>
      <c r="U726" s="146"/>
      <c r="V726" s="147"/>
      <c r="W726" s="146"/>
    </row>
    <row r="727">
      <c r="A727" s="146"/>
      <c r="B727" s="146"/>
      <c r="C727" s="146"/>
      <c r="D727" s="147"/>
      <c r="E727" s="146"/>
      <c r="F727" s="146"/>
      <c r="G727" s="146"/>
      <c r="H727" s="147"/>
      <c r="I727" s="146"/>
      <c r="J727" s="148"/>
      <c r="K727" s="148"/>
      <c r="L727" s="148"/>
      <c r="M727" s="147"/>
      <c r="N727" s="146"/>
      <c r="O727" s="147"/>
      <c r="P727" s="147"/>
      <c r="Q727" s="147"/>
      <c r="R727" s="146"/>
      <c r="S727" s="146"/>
      <c r="T727" s="146"/>
      <c r="U727" s="146"/>
      <c r="V727" s="147"/>
      <c r="W727" s="146"/>
    </row>
    <row r="728">
      <c r="A728" s="146"/>
      <c r="B728" s="146"/>
      <c r="C728" s="146"/>
      <c r="D728" s="147"/>
      <c r="E728" s="146"/>
      <c r="F728" s="146"/>
      <c r="G728" s="146"/>
      <c r="H728" s="147"/>
      <c r="I728" s="146"/>
      <c r="J728" s="148"/>
      <c r="K728" s="148"/>
      <c r="L728" s="148"/>
      <c r="M728" s="147"/>
      <c r="N728" s="146"/>
      <c r="O728" s="147"/>
      <c r="P728" s="147"/>
      <c r="Q728" s="147"/>
      <c r="R728" s="146"/>
      <c r="S728" s="146"/>
      <c r="T728" s="146"/>
      <c r="U728" s="146"/>
      <c r="V728" s="147"/>
      <c r="W728" s="146"/>
    </row>
    <row r="729">
      <c r="A729" s="146"/>
      <c r="B729" s="146"/>
      <c r="C729" s="146"/>
      <c r="D729" s="147"/>
      <c r="E729" s="146"/>
      <c r="F729" s="146"/>
      <c r="G729" s="146"/>
      <c r="H729" s="147"/>
      <c r="I729" s="146"/>
      <c r="J729" s="148"/>
      <c r="K729" s="148"/>
      <c r="L729" s="148"/>
      <c r="M729" s="147"/>
      <c r="N729" s="146"/>
      <c r="O729" s="147"/>
      <c r="P729" s="147"/>
      <c r="Q729" s="147"/>
      <c r="R729" s="146"/>
      <c r="S729" s="146"/>
      <c r="T729" s="146"/>
      <c r="U729" s="146"/>
      <c r="V729" s="147"/>
      <c r="W729" s="146"/>
    </row>
    <row r="730">
      <c r="A730" s="146"/>
      <c r="B730" s="146"/>
      <c r="C730" s="146"/>
      <c r="D730" s="147"/>
      <c r="E730" s="146"/>
      <c r="F730" s="146"/>
      <c r="G730" s="146"/>
      <c r="H730" s="147"/>
      <c r="I730" s="146"/>
      <c r="J730" s="148"/>
      <c r="K730" s="148"/>
      <c r="L730" s="148"/>
      <c r="M730" s="147"/>
      <c r="N730" s="146"/>
      <c r="O730" s="147"/>
      <c r="P730" s="147"/>
      <c r="Q730" s="147"/>
      <c r="R730" s="146"/>
      <c r="S730" s="146"/>
      <c r="T730" s="146"/>
      <c r="U730" s="146"/>
      <c r="V730" s="147"/>
      <c r="W730" s="146"/>
    </row>
    <row r="731">
      <c r="A731" s="146"/>
      <c r="B731" s="146"/>
      <c r="C731" s="146"/>
      <c r="D731" s="147"/>
      <c r="E731" s="146"/>
      <c r="F731" s="146"/>
      <c r="G731" s="146"/>
      <c r="H731" s="147"/>
      <c r="I731" s="146"/>
      <c r="J731" s="148"/>
      <c r="K731" s="148"/>
      <c r="L731" s="148"/>
      <c r="M731" s="147"/>
      <c r="N731" s="146"/>
      <c r="O731" s="147"/>
      <c r="P731" s="147"/>
      <c r="Q731" s="147"/>
      <c r="R731" s="146"/>
      <c r="S731" s="146"/>
      <c r="T731" s="146"/>
      <c r="U731" s="146"/>
      <c r="V731" s="147"/>
      <c r="W731" s="146"/>
    </row>
    <row r="732">
      <c r="A732" s="146"/>
      <c r="B732" s="146"/>
      <c r="C732" s="146"/>
      <c r="D732" s="147"/>
      <c r="E732" s="146"/>
      <c r="F732" s="146"/>
      <c r="G732" s="146"/>
      <c r="H732" s="147"/>
      <c r="I732" s="146"/>
      <c r="J732" s="148"/>
      <c r="K732" s="148"/>
      <c r="L732" s="148"/>
      <c r="M732" s="147"/>
      <c r="N732" s="146"/>
      <c r="O732" s="147"/>
      <c r="P732" s="147"/>
      <c r="Q732" s="147"/>
      <c r="R732" s="146"/>
      <c r="S732" s="146"/>
      <c r="T732" s="146"/>
      <c r="U732" s="146"/>
      <c r="V732" s="147"/>
      <c r="W732" s="146"/>
    </row>
    <row r="733">
      <c r="A733" s="146"/>
      <c r="B733" s="146"/>
      <c r="C733" s="146"/>
      <c r="D733" s="147"/>
      <c r="E733" s="146"/>
      <c r="F733" s="146"/>
      <c r="G733" s="146"/>
      <c r="H733" s="147"/>
      <c r="I733" s="146"/>
      <c r="J733" s="148"/>
      <c r="K733" s="148"/>
      <c r="L733" s="148"/>
      <c r="M733" s="147"/>
      <c r="N733" s="146"/>
      <c r="O733" s="147"/>
      <c r="P733" s="147"/>
      <c r="Q733" s="147"/>
      <c r="R733" s="146"/>
      <c r="S733" s="146"/>
      <c r="T733" s="146"/>
      <c r="U733" s="146"/>
      <c r="V733" s="147"/>
      <c r="W733" s="146"/>
    </row>
    <row r="734">
      <c r="A734" s="146"/>
      <c r="B734" s="146"/>
      <c r="C734" s="146"/>
      <c r="D734" s="147"/>
      <c r="E734" s="146"/>
      <c r="F734" s="146"/>
      <c r="G734" s="146"/>
      <c r="H734" s="147"/>
      <c r="I734" s="146"/>
      <c r="J734" s="148"/>
      <c r="K734" s="148"/>
      <c r="L734" s="148"/>
      <c r="M734" s="147"/>
      <c r="N734" s="146"/>
      <c r="O734" s="147"/>
      <c r="P734" s="147"/>
      <c r="Q734" s="147"/>
      <c r="R734" s="146"/>
      <c r="S734" s="146"/>
      <c r="T734" s="146"/>
      <c r="U734" s="146"/>
      <c r="V734" s="147"/>
      <c r="W734" s="146"/>
    </row>
    <row r="735">
      <c r="A735" s="146"/>
      <c r="B735" s="146"/>
      <c r="C735" s="146"/>
      <c r="D735" s="147"/>
      <c r="E735" s="146"/>
      <c r="F735" s="146"/>
      <c r="G735" s="146"/>
      <c r="H735" s="147"/>
      <c r="I735" s="146"/>
      <c r="J735" s="148"/>
      <c r="K735" s="148"/>
      <c r="L735" s="148"/>
      <c r="M735" s="147"/>
      <c r="N735" s="146"/>
      <c r="O735" s="147"/>
      <c r="P735" s="147"/>
      <c r="Q735" s="147"/>
      <c r="R735" s="146"/>
      <c r="S735" s="146"/>
      <c r="T735" s="146"/>
      <c r="U735" s="146"/>
      <c r="V735" s="147"/>
      <c r="W735" s="146"/>
    </row>
    <row r="736">
      <c r="A736" s="146"/>
      <c r="B736" s="146"/>
      <c r="C736" s="146"/>
      <c r="D736" s="147"/>
      <c r="E736" s="146"/>
      <c r="F736" s="146"/>
      <c r="G736" s="146"/>
      <c r="H736" s="147"/>
      <c r="I736" s="146"/>
      <c r="J736" s="148"/>
      <c r="K736" s="148"/>
      <c r="L736" s="148"/>
      <c r="M736" s="147"/>
      <c r="N736" s="146"/>
      <c r="O736" s="147"/>
      <c r="P736" s="147"/>
      <c r="Q736" s="147"/>
      <c r="R736" s="146"/>
      <c r="S736" s="146"/>
      <c r="T736" s="146"/>
      <c r="U736" s="146"/>
      <c r="V736" s="147"/>
      <c r="W736" s="146"/>
    </row>
    <row r="737">
      <c r="A737" s="146"/>
      <c r="B737" s="146"/>
      <c r="C737" s="146"/>
      <c r="D737" s="147"/>
      <c r="E737" s="146"/>
      <c r="F737" s="146"/>
      <c r="G737" s="146"/>
      <c r="H737" s="147"/>
      <c r="I737" s="146"/>
      <c r="J737" s="148"/>
      <c r="K737" s="148"/>
      <c r="L737" s="148"/>
      <c r="M737" s="147"/>
      <c r="N737" s="146"/>
      <c r="O737" s="147"/>
      <c r="P737" s="147"/>
      <c r="Q737" s="147"/>
      <c r="R737" s="146"/>
      <c r="S737" s="146"/>
      <c r="T737" s="146"/>
      <c r="U737" s="146"/>
      <c r="V737" s="147"/>
      <c r="W737" s="146"/>
    </row>
    <row r="738">
      <c r="A738" s="146"/>
      <c r="B738" s="146"/>
      <c r="C738" s="146"/>
      <c r="D738" s="147"/>
      <c r="E738" s="146"/>
      <c r="F738" s="146"/>
      <c r="G738" s="146"/>
      <c r="H738" s="147"/>
      <c r="I738" s="146"/>
      <c r="J738" s="148"/>
      <c r="K738" s="148"/>
      <c r="L738" s="148"/>
      <c r="M738" s="147"/>
      <c r="N738" s="146"/>
      <c r="O738" s="147"/>
      <c r="P738" s="147"/>
      <c r="Q738" s="147"/>
      <c r="R738" s="146"/>
      <c r="S738" s="146"/>
      <c r="T738" s="146"/>
      <c r="U738" s="146"/>
      <c r="V738" s="147"/>
      <c r="W738" s="146"/>
    </row>
    <row r="739">
      <c r="A739" s="146"/>
      <c r="B739" s="146"/>
      <c r="C739" s="146"/>
      <c r="D739" s="147"/>
      <c r="E739" s="146"/>
      <c r="F739" s="146"/>
      <c r="G739" s="146"/>
      <c r="H739" s="147"/>
      <c r="I739" s="146"/>
      <c r="J739" s="148"/>
      <c r="K739" s="148"/>
      <c r="L739" s="148"/>
      <c r="M739" s="147"/>
      <c r="N739" s="146"/>
      <c r="O739" s="147"/>
      <c r="P739" s="147"/>
      <c r="Q739" s="147"/>
      <c r="R739" s="146"/>
      <c r="S739" s="146"/>
      <c r="T739" s="146"/>
      <c r="U739" s="146"/>
      <c r="V739" s="147"/>
      <c r="W739" s="146"/>
    </row>
    <row r="740">
      <c r="A740" s="146"/>
      <c r="B740" s="146"/>
      <c r="C740" s="146"/>
      <c r="D740" s="147"/>
      <c r="E740" s="146"/>
      <c r="F740" s="146"/>
      <c r="G740" s="146"/>
      <c r="H740" s="147"/>
      <c r="I740" s="146"/>
      <c r="J740" s="148"/>
      <c r="K740" s="148"/>
      <c r="L740" s="148"/>
      <c r="M740" s="147"/>
      <c r="N740" s="146"/>
      <c r="O740" s="147"/>
      <c r="P740" s="147"/>
      <c r="Q740" s="147"/>
      <c r="R740" s="146"/>
      <c r="S740" s="146"/>
      <c r="T740" s="146"/>
      <c r="U740" s="146"/>
      <c r="V740" s="147"/>
      <c r="W740" s="146"/>
    </row>
    <row r="741">
      <c r="A741" s="146"/>
      <c r="B741" s="146"/>
      <c r="C741" s="146"/>
      <c r="D741" s="147"/>
      <c r="E741" s="146"/>
      <c r="F741" s="146"/>
      <c r="G741" s="146"/>
      <c r="H741" s="147"/>
      <c r="I741" s="146"/>
      <c r="J741" s="148"/>
      <c r="K741" s="148"/>
      <c r="L741" s="148"/>
      <c r="M741" s="147"/>
      <c r="N741" s="146"/>
      <c r="O741" s="147"/>
      <c r="P741" s="147"/>
      <c r="Q741" s="147"/>
      <c r="R741" s="146"/>
      <c r="S741" s="146"/>
      <c r="T741" s="146"/>
      <c r="U741" s="146"/>
      <c r="V741" s="147"/>
      <c r="W741" s="146"/>
    </row>
    <row r="742">
      <c r="A742" s="146"/>
      <c r="B742" s="146"/>
      <c r="C742" s="146"/>
      <c r="D742" s="147"/>
      <c r="E742" s="146"/>
      <c r="F742" s="146"/>
      <c r="G742" s="146"/>
      <c r="H742" s="147"/>
      <c r="I742" s="146"/>
      <c r="J742" s="148"/>
      <c r="K742" s="148"/>
      <c r="L742" s="148"/>
      <c r="M742" s="147"/>
      <c r="N742" s="146"/>
      <c r="O742" s="147"/>
      <c r="P742" s="147"/>
      <c r="Q742" s="147"/>
      <c r="R742" s="146"/>
      <c r="S742" s="146"/>
      <c r="T742" s="146"/>
      <c r="U742" s="146"/>
      <c r="V742" s="147"/>
      <c r="W742" s="146"/>
    </row>
    <row r="743">
      <c r="A743" s="146"/>
      <c r="B743" s="146"/>
      <c r="C743" s="146"/>
      <c r="D743" s="147"/>
      <c r="E743" s="146"/>
      <c r="F743" s="146"/>
      <c r="G743" s="146"/>
      <c r="H743" s="147"/>
      <c r="I743" s="146"/>
      <c r="J743" s="148"/>
      <c r="K743" s="148"/>
      <c r="L743" s="148"/>
      <c r="M743" s="147"/>
      <c r="N743" s="146"/>
      <c r="O743" s="147"/>
      <c r="P743" s="147"/>
      <c r="Q743" s="147"/>
      <c r="R743" s="146"/>
      <c r="S743" s="146"/>
      <c r="T743" s="146"/>
      <c r="U743" s="146"/>
      <c r="V743" s="147"/>
      <c r="W743" s="146"/>
    </row>
    <row r="744">
      <c r="A744" s="146"/>
      <c r="B744" s="146"/>
      <c r="C744" s="146"/>
      <c r="D744" s="147"/>
      <c r="E744" s="146"/>
      <c r="F744" s="146"/>
      <c r="G744" s="146"/>
      <c r="H744" s="147"/>
      <c r="I744" s="146"/>
      <c r="J744" s="148"/>
      <c r="K744" s="148"/>
      <c r="L744" s="148"/>
      <c r="M744" s="147"/>
      <c r="N744" s="146"/>
      <c r="O744" s="147"/>
      <c r="P744" s="147"/>
      <c r="Q744" s="147"/>
      <c r="R744" s="146"/>
      <c r="S744" s="146"/>
      <c r="T744" s="146"/>
      <c r="U744" s="146"/>
      <c r="V744" s="147"/>
      <c r="W744" s="146"/>
    </row>
    <row r="745">
      <c r="A745" s="146"/>
      <c r="B745" s="146"/>
      <c r="C745" s="146"/>
      <c r="D745" s="147"/>
      <c r="E745" s="146"/>
      <c r="F745" s="146"/>
      <c r="G745" s="146"/>
      <c r="H745" s="147"/>
      <c r="I745" s="146"/>
      <c r="J745" s="148"/>
      <c r="K745" s="148"/>
      <c r="L745" s="148"/>
      <c r="M745" s="147"/>
      <c r="N745" s="146"/>
      <c r="O745" s="147"/>
      <c r="P745" s="147"/>
      <c r="Q745" s="147"/>
      <c r="R745" s="146"/>
      <c r="S745" s="146"/>
      <c r="T745" s="146"/>
      <c r="U745" s="146"/>
      <c r="V745" s="147"/>
      <c r="W745" s="146"/>
    </row>
    <row r="746">
      <c r="A746" s="146"/>
      <c r="B746" s="146"/>
      <c r="C746" s="146"/>
      <c r="D746" s="147"/>
      <c r="E746" s="146"/>
      <c r="F746" s="146"/>
      <c r="G746" s="146"/>
      <c r="H746" s="147"/>
      <c r="I746" s="146"/>
      <c r="J746" s="148"/>
      <c r="K746" s="148"/>
      <c r="L746" s="148"/>
      <c r="M746" s="147"/>
      <c r="N746" s="146"/>
      <c r="O746" s="147"/>
      <c r="P746" s="147"/>
      <c r="Q746" s="147"/>
      <c r="R746" s="146"/>
      <c r="S746" s="146"/>
      <c r="T746" s="146"/>
      <c r="U746" s="146"/>
      <c r="V746" s="147"/>
      <c r="W746" s="146"/>
    </row>
    <row r="747">
      <c r="A747" s="146"/>
      <c r="B747" s="146"/>
      <c r="C747" s="146"/>
      <c r="D747" s="147"/>
      <c r="E747" s="146"/>
      <c r="F747" s="146"/>
      <c r="G747" s="146"/>
      <c r="H747" s="147"/>
      <c r="I747" s="146"/>
      <c r="J747" s="148"/>
      <c r="K747" s="148"/>
      <c r="L747" s="148"/>
      <c r="M747" s="147"/>
      <c r="N747" s="146"/>
      <c r="O747" s="147"/>
      <c r="P747" s="147"/>
      <c r="Q747" s="147"/>
      <c r="R747" s="146"/>
      <c r="S747" s="146"/>
      <c r="T747" s="146"/>
      <c r="U747" s="146"/>
      <c r="V747" s="147"/>
      <c r="W747" s="146"/>
    </row>
    <row r="748">
      <c r="A748" s="146"/>
      <c r="B748" s="146"/>
      <c r="C748" s="146"/>
      <c r="D748" s="147"/>
      <c r="E748" s="146"/>
      <c r="F748" s="146"/>
      <c r="G748" s="146"/>
      <c r="H748" s="147"/>
      <c r="I748" s="146"/>
      <c r="J748" s="148"/>
      <c r="K748" s="148"/>
      <c r="L748" s="148"/>
      <c r="M748" s="147"/>
      <c r="N748" s="146"/>
      <c r="O748" s="147"/>
      <c r="P748" s="147"/>
      <c r="Q748" s="147"/>
      <c r="R748" s="146"/>
      <c r="S748" s="146"/>
      <c r="T748" s="146"/>
      <c r="U748" s="146"/>
      <c r="V748" s="147"/>
      <c r="W748" s="146"/>
    </row>
    <row r="749">
      <c r="A749" s="146"/>
      <c r="B749" s="146"/>
      <c r="C749" s="146"/>
      <c r="D749" s="147"/>
      <c r="E749" s="146"/>
      <c r="F749" s="146"/>
      <c r="G749" s="146"/>
      <c r="H749" s="147"/>
      <c r="I749" s="146"/>
      <c r="J749" s="148"/>
      <c r="K749" s="148"/>
      <c r="L749" s="148"/>
      <c r="M749" s="147"/>
      <c r="N749" s="146"/>
      <c r="O749" s="147"/>
      <c r="P749" s="147"/>
      <c r="Q749" s="147"/>
      <c r="R749" s="146"/>
      <c r="S749" s="146"/>
      <c r="T749" s="146"/>
      <c r="U749" s="146"/>
      <c r="V749" s="147"/>
      <c r="W749" s="146"/>
    </row>
    <row r="750">
      <c r="A750" s="146"/>
      <c r="B750" s="146"/>
      <c r="C750" s="146"/>
      <c r="D750" s="147"/>
      <c r="E750" s="146"/>
      <c r="F750" s="146"/>
      <c r="G750" s="146"/>
      <c r="H750" s="147"/>
      <c r="I750" s="146"/>
      <c r="J750" s="148"/>
      <c r="K750" s="148"/>
      <c r="L750" s="148"/>
      <c r="M750" s="147"/>
      <c r="N750" s="146"/>
      <c r="O750" s="147"/>
      <c r="P750" s="147"/>
      <c r="Q750" s="147"/>
      <c r="R750" s="146"/>
      <c r="S750" s="146"/>
      <c r="T750" s="146"/>
      <c r="U750" s="146"/>
      <c r="V750" s="147"/>
      <c r="W750" s="146"/>
    </row>
    <row r="751">
      <c r="A751" s="146"/>
      <c r="B751" s="146"/>
      <c r="C751" s="146"/>
      <c r="D751" s="147"/>
      <c r="E751" s="146"/>
      <c r="F751" s="146"/>
      <c r="G751" s="146"/>
      <c r="H751" s="147"/>
      <c r="I751" s="146"/>
      <c r="J751" s="148"/>
      <c r="K751" s="148"/>
      <c r="L751" s="148"/>
      <c r="M751" s="147"/>
      <c r="N751" s="146"/>
      <c r="O751" s="147"/>
      <c r="P751" s="147"/>
      <c r="Q751" s="147"/>
      <c r="R751" s="146"/>
      <c r="S751" s="146"/>
      <c r="T751" s="146"/>
      <c r="U751" s="146"/>
      <c r="V751" s="147"/>
      <c r="W751" s="146"/>
    </row>
    <row r="752">
      <c r="A752" s="146"/>
      <c r="B752" s="146"/>
      <c r="C752" s="146"/>
      <c r="D752" s="147"/>
      <c r="E752" s="146"/>
      <c r="F752" s="146"/>
      <c r="G752" s="146"/>
      <c r="H752" s="147"/>
      <c r="I752" s="146"/>
      <c r="J752" s="148"/>
      <c r="K752" s="148"/>
      <c r="L752" s="148"/>
      <c r="M752" s="147"/>
      <c r="N752" s="146"/>
      <c r="O752" s="147"/>
      <c r="P752" s="147"/>
      <c r="Q752" s="147"/>
      <c r="R752" s="146"/>
      <c r="S752" s="146"/>
      <c r="T752" s="146"/>
      <c r="U752" s="146"/>
      <c r="V752" s="147"/>
      <c r="W752" s="146"/>
    </row>
    <row r="753">
      <c r="A753" s="146"/>
      <c r="B753" s="146"/>
      <c r="C753" s="146"/>
      <c r="D753" s="147"/>
      <c r="E753" s="146"/>
      <c r="F753" s="146"/>
      <c r="G753" s="146"/>
      <c r="H753" s="147"/>
      <c r="I753" s="146"/>
      <c r="J753" s="148"/>
      <c r="K753" s="148"/>
      <c r="L753" s="148"/>
      <c r="M753" s="147"/>
      <c r="N753" s="146"/>
      <c r="O753" s="147"/>
      <c r="P753" s="147"/>
      <c r="Q753" s="147"/>
      <c r="R753" s="146"/>
      <c r="S753" s="146"/>
      <c r="T753" s="146"/>
      <c r="U753" s="146"/>
      <c r="V753" s="147"/>
      <c r="W753" s="146"/>
    </row>
    <row r="754">
      <c r="A754" s="146"/>
      <c r="B754" s="146"/>
      <c r="C754" s="146"/>
      <c r="D754" s="147"/>
      <c r="E754" s="146"/>
      <c r="F754" s="146"/>
      <c r="G754" s="146"/>
      <c r="H754" s="147"/>
      <c r="I754" s="146"/>
      <c r="J754" s="148"/>
      <c r="K754" s="148"/>
      <c r="L754" s="148"/>
      <c r="M754" s="147"/>
      <c r="N754" s="146"/>
      <c r="O754" s="147"/>
      <c r="P754" s="147"/>
      <c r="Q754" s="147"/>
      <c r="R754" s="146"/>
      <c r="S754" s="146"/>
      <c r="T754" s="146"/>
      <c r="U754" s="146"/>
      <c r="V754" s="147"/>
      <c r="W754" s="146"/>
    </row>
    <row r="755">
      <c r="A755" s="146"/>
      <c r="B755" s="146"/>
      <c r="C755" s="146"/>
      <c r="D755" s="147"/>
      <c r="E755" s="146"/>
      <c r="F755" s="146"/>
      <c r="G755" s="146"/>
      <c r="H755" s="147"/>
      <c r="I755" s="146"/>
      <c r="J755" s="148"/>
      <c r="K755" s="148"/>
      <c r="L755" s="148"/>
      <c r="M755" s="147"/>
      <c r="N755" s="146"/>
      <c r="O755" s="147"/>
      <c r="P755" s="147"/>
      <c r="Q755" s="147"/>
      <c r="R755" s="146"/>
      <c r="S755" s="146"/>
      <c r="T755" s="146"/>
      <c r="U755" s="146"/>
      <c r="V755" s="147"/>
      <c r="W755" s="146"/>
    </row>
    <row r="756">
      <c r="A756" s="146"/>
      <c r="B756" s="146"/>
      <c r="C756" s="146"/>
      <c r="D756" s="147"/>
      <c r="E756" s="146"/>
      <c r="F756" s="146"/>
      <c r="G756" s="146"/>
      <c r="H756" s="147"/>
      <c r="I756" s="146"/>
      <c r="J756" s="148"/>
      <c r="K756" s="148"/>
      <c r="L756" s="148"/>
      <c r="M756" s="147"/>
      <c r="N756" s="146"/>
      <c r="O756" s="147"/>
      <c r="P756" s="147"/>
      <c r="Q756" s="147"/>
      <c r="R756" s="146"/>
      <c r="S756" s="146"/>
      <c r="T756" s="146"/>
      <c r="U756" s="146"/>
      <c r="V756" s="147"/>
      <c r="W756" s="146"/>
    </row>
    <row r="757">
      <c r="A757" s="146"/>
      <c r="B757" s="146"/>
      <c r="C757" s="146"/>
      <c r="D757" s="147"/>
      <c r="E757" s="146"/>
      <c r="F757" s="146"/>
      <c r="G757" s="146"/>
      <c r="H757" s="147"/>
      <c r="I757" s="146"/>
      <c r="J757" s="148"/>
      <c r="K757" s="148"/>
      <c r="L757" s="148"/>
      <c r="M757" s="147"/>
      <c r="N757" s="146"/>
      <c r="O757" s="147"/>
      <c r="P757" s="147"/>
      <c r="Q757" s="147"/>
      <c r="R757" s="146"/>
      <c r="S757" s="146"/>
      <c r="T757" s="146"/>
      <c r="U757" s="146"/>
      <c r="V757" s="147"/>
      <c r="W757" s="146"/>
    </row>
    <row r="758">
      <c r="A758" s="146"/>
      <c r="B758" s="146"/>
      <c r="C758" s="146"/>
      <c r="D758" s="147"/>
      <c r="E758" s="146"/>
      <c r="F758" s="146"/>
      <c r="G758" s="146"/>
      <c r="H758" s="147"/>
      <c r="I758" s="146"/>
      <c r="J758" s="148"/>
      <c r="K758" s="148"/>
      <c r="L758" s="148"/>
      <c r="M758" s="147"/>
      <c r="N758" s="146"/>
      <c r="O758" s="147"/>
      <c r="P758" s="147"/>
      <c r="Q758" s="147"/>
      <c r="R758" s="146"/>
      <c r="S758" s="146"/>
      <c r="T758" s="146"/>
      <c r="U758" s="146"/>
      <c r="V758" s="147"/>
      <c r="W758" s="146"/>
    </row>
    <row r="759">
      <c r="A759" s="146"/>
      <c r="B759" s="146"/>
      <c r="C759" s="146"/>
      <c r="D759" s="147"/>
      <c r="E759" s="146"/>
      <c r="F759" s="146"/>
      <c r="G759" s="146"/>
      <c r="H759" s="147"/>
      <c r="I759" s="146"/>
      <c r="J759" s="148"/>
      <c r="K759" s="148"/>
      <c r="L759" s="148"/>
      <c r="M759" s="147"/>
      <c r="N759" s="146"/>
      <c r="O759" s="147"/>
      <c r="P759" s="147"/>
      <c r="Q759" s="147"/>
      <c r="R759" s="146"/>
      <c r="S759" s="146"/>
      <c r="T759" s="146"/>
      <c r="U759" s="146"/>
      <c r="V759" s="147"/>
      <c r="W759" s="146"/>
    </row>
    <row r="760">
      <c r="A760" s="146"/>
      <c r="B760" s="146"/>
      <c r="C760" s="146"/>
      <c r="D760" s="147"/>
      <c r="E760" s="146"/>
      <c r="F760" s="146"/>
      <c r="G760" s="146"/>
      <c r="H760" s="147"/>
      <c r="I760" s="146"/>
      <c r="J760" s="148"/>
      <c r="K760" s="148"/>
      <c r="L760" s="148"/>
      <c r="M760" s="147"/>
      <c r="N760" s="146"/>
      <c r="O760" s="147"/>
      <c r="P760" s="147"/>
      <c r="Q760" s="147"/>
      <c r="R760" s="146"/>
      <c r="S760" s="146"/>
      <c r="T760" s="146"/>
      <c r="U760" s="146"/>
      <c r="V760" s="147"/>
      <c r="W760" s="146"/>
    </row>
    <row r="761">
      <c r="A761" s="146"/>
      <c r="B761" s="146"/>
      <c r="C761" s="146"/>
      <c r="D761" s="147"/>
      <c r="E761" s="146"/>
      <c r="F761" s="146"/>
      <c r="G761" s="146"/>
      <c r="H761" s="147"/>
      <c r="I761" s="146"/>
      <c r="J761" s="148"/>
      <c r="K761" s="148"/>
      <c r="L761" s="148"/>
      <c r="M761" s="147"/>
      <c r="N761" s="146"/>
      <c r="O761" s="147"/>
      <c r="P761" s="147"/>
      <c r="Q761" s="147"/>
      <c r="R761" s="146"/>
      <c r="S761" s="146"/>
      <c r="T761" s="146"/>
      <c r="U761" s="146"/>
      <c r="V761" s="147"/>
      <c r="W761" s="146"/>
    </row>
    <row r="762">
      <c r="A762" s="146"/>
      <c r="B762" s="146"/>
      <c r="C762" s="146"/>
      <c r="D762" s="147"/>
      <c r="E762" s="146"/>
      <c r="F762" s="146"/>
      <c r="G762" s="146"/>
      <c r="H762" s="147"/>
      <c r="I762" s="146"/>
      <c r="J762" s="148"/>
      <c r="K762" s="148"/>
      <c r="L762" s="148"/>
      <c r="M762" s="147"/>
      <c r="N762" s="146"/>
      <c r="O762" s="147"/>
      <c r="P762" s="147"/>
      <c r="Q762" s="147"/>
      <c r="R762" s="146"/>
      <c r="S762" s="146"/>
      <c r="T762" s="146"/>
      <c r="U762" s="146"/>
      <c r="V762" s="147"/>
      <c r="W762" s="146"/>
    </row>
    <row r="763">
      <c r="A763" s="146"/>
      <c r="B763" s="146"/>
      <c r="C763" s="146"/>
      <c r="D763" s="147"/>
      <c r="E763" s="146"/>
      <c r="F763" s="146"/>
      <c r="G763" s="146"/>
      <c r="H763" s="147"/>
      <c r="I763" s="146"/>
      <c r="J763" s="148"/>
      <c r="K763" s="148"/>
      <c r="L763" s="148"/>
      <c r="M763" s="147"/>
      <c r="N763" s="146"/>
      <c r="O763" s="147"/>
      <c r="P763" s="147"/>
      <c r="Q763" s="147"/>
      <c r="R763" s="146"/>
      <c r="S763" s="146"/>
      <c r="T763" s="146"/>
      <c r="U763" s="146"/>
      <c r="V763" s="147"/>
      <c r="W763" s="146"/>
    </row>
    <row r="764">
      <c r="A764" s="146"/>
      <c r="B764" s="146"/>
      <c r="C764" s="146"/>
      <c r="D764" s="147"/>
      <c r="E764" s="146"/>
      <c r="F764" s="146"/>
      <c r="G764" s="146"/>
      <c r="H764" s="147"/>
      <c r="I764" s="146"/>
      <c r="J764" s="148"/>
      <c r="K764" s="148"/>
      <c r="L764" s="148"/>
      <c r="M764" s="147"/>
      <c r="N764" s="146"/>
      <c r="O764" s="147"/>
      <c r="P764" s="147"/>
      <c r="Q764" s="147"/>
      <c r="R764" s="146"/>
      <c r="S764" s="146"/>
      <c r="T764" s="146"/>
      <c r="U764" s="146"/>
      <c r="V764" s="147"/>
      <c r="W764" s="146"/>
    </row>
    <row r="765">
      <c r="A765" s="146"/>
      <c r="B765" s="146"/>
      <c r="C765" s="146"/>
      <c r="D765" s="147"/>
      <c r="E765" s="146"/>
      <c r="F765" s="146"/>
      <c r="G765" s="146"/>
      <c r="H765" s="147"/>
      <c r="I765" s="146"/>
      <c r="J765" s="148"/>
      <c r="K765" s="148"/>
      <c r="L765" s="148"/>
      <c r="M765" s="147"/>
      <c r="N765" s="146"/>
      <c r="O765" s="147"/>
      <c r="P765" s="147"/>
      <c r="Q765" s="147"/>
      <c r="R765" s="146"/>
      <c r="S765" s="146"/>
      <c r="T765" s="146"/>
      <c r="U765" s="146"/>
      <c r="V765" s="147"/>
      <c r="W765" s="146"/>
    </row>
    <row r="766">
      <c r="A766" s="146"/>
      <c r="B766" s="146"/>
      <c r="C766" s="146"/>
      <c r="D766" s="147"/>
      <c r="E766" s="146"/>
      <c r="F766" s="146"/>
      <c r="G766" s="146"/>
      <c r="H766" s="147"/>
      <c r="I766" s="146"/>
      <c r="J766" s="148"/>
      <c r="K766" s="148"/>
      <c r="L766" s="148"/>
      <c r="M766" s="147"/>
      <c r="N766" s="146"/>
      <c r="O766" s="147"/>
      <c r="P766" s="147"/>
      <c r="Q766" s="147"/>
      <c r="R766" s="146"/>
      <c r="S766" s="146"/>
      <c r="T766" s="146"/>
      <c r="U766" s="146"/>
      <c r="V766" s="147"/>
      <c r="W766" s="146"/>
    </row>
    <row r="767">
      <c r="A767" s="146"/>
      <c r="B767" s="146"/>
      <c r="C767" s="146"/>
      <c r="D767" s="147"/>
      <c r="E767" s="146"/>
      <c r="F767" s="146"/>
      <c r="G767" s="146"/>
      <c r="H767" s="147"/>
      <c r="I767" s="146"/>
      <c r="J767" s="148"/>
      <c r="K767" s="148"/>
      <c r="L767" s="148"/>
      <c r="M767" s="147"/>
      <c r="N767" s="146"/>
      <c r="O767" s="147"/>
      <c r="P767" s="147"/>
      <c r="Q767" s="147"/>
      <c r="R767" s="146"/>
      <c r="S767" s="146"/>
      <c r="T767" s="146"/>
      <c r="U767" s="146"/>
      <c r="V767" s="147"/>
      <c r="W767" s="146"/>
    </row>
    <row r="768">
      <c r="A768" s="146"/>
      <c r="B768" s="146"/>
      <c r="C768" s="146"/>
      <c r="D768" s="147"/>
      <c r="E768" s="146"/>
      <c r="F768" s="146"/>
      <c r="G768" s="146"/>
      <c r="H768" s="147"/>
      <c r="I768" s="146"/>
      <c r="J768" s="148"/>
      <c r="K768" s="148"/>
      <c r="L768" s="148"/>
      <c r="M768" s="147"/>
      <c r="N768" s="146"/>
      <c r="O768" s="147"/>
      <c r="P768" s="147"/>
      <c r="Q768" s="147"/>
      <c r="R768" s="146"/>
      <c r="S768" s="146"/>
      <c r="T768" s="146"/>
      <c r="U768" s="146"/>
      <c r="V768" s="147"/>
      <c r="W768" s="146"/>
    </row>
    <row r="769">
      <c r="A769" s="146"/>
      <c r="B769" s="146"/>
      <c r="C769" s="146"/>
      <c r="D769" s="147"/>
      <c r="E769" s="146"/>
      <c r="F769" s="146"/>
      <c r="G769" s="146"/>
      <c r="H769" s="147"/>
      <c r="I769" s="146"/>
      <c r="J769" s="148"/>
      <c r="K769" s="148"/>
      <c r="L769" s="148"/>
      <c r="M769" s="147"/>
      <c r="N769" s="146"/>
      <c r="O769" s="147"/>
      <c r="P769" s="147"/>
      <c r="Q769" s="147"/>
      <c r="R769" s="146"/>
      <c r="S769" s="146"/>
      <c r="T769" s="146"/>
      <c r="U769" s="146"/>
      <c r="V769" s="147"/>
      <c r="W769" s="146"/>
    </row>
    <row r="770">
      <c r="A770" s="146"/>
      <c r="B770" s="146"/>
      <c r="C770" s="146"/>
      <c r="D770" s="147"/>
      <c r="E770" s="146"/>
      <c r="F770" s="146"/>
      <c r="G770" s="146"/>
      <c r="H770" s="147"/>
      <c r="I770" s="146"/>
      <c r="J770" s="148"/>
      <c r="K770" s="148"/>
      <c r="L770" s="148"/>
      <c r="M770" s="147"/>
      <c r="N770" s="146"/>
      <c r="O770" s="147"/>
      <c r="P770" s="147"/>
      <c r="Q770" s="147"/>
      <c r="R770" s="146"/>
      <c r="S770" s="146"/>
      <c r="T770" s="146"/>
      <c r="U770" s="146"/>
      <c r="V770" s="147"/>
      <c r="W770" s="146"/>
    </row>
    <row r="771">
      <c r="A771" s="146"/>
      <c r="B771" s="146"/>
      <c r="C771" s="146"/>
      <c r="D771" s="147"/>
      <c r="E771" s="146"/>
      <c r="F771" s="146"/>
      <c r="G771" s="146"/>
      <c r="H771" s="147"/>
      <c r="I771" s="146"/>
      <c r="J771" s="148"/>
      <c r="K771" s="148"/>
      <c r="L771" s="148"/>
      <c r="M771" s="147"/>
      <c r="N771" s="146"/>
      <c r="O771" s="147"/>
      <c r="P771" s="147"/>
      <c r="Q771" s="147"/>
      <c r="R771" s="146"/>
      <c r="S771" s="146"/>
      <c r="T771" s="146"/>
      <c r="U771" s="146"/>
      <c r="V771" s="147"/>
      <c r="W771" s="146"/>
    </row>
    <row r="772">
      <c r="A772" s="146"/>
      <c r="B772" s="146"/>
      <c r="C772" s="146"/>
      <c r="D772" s="147"/>
      <c r="E772" s="146"/>
      <c r="F772" s="146"/>
      <c r="G772" s="146"/>
      <c r="H772" s="147"/>
      <c r="I772" s="146"/>
      <c r="J772" s="148"/>
      <c r="K772" s="148"/>
      <c r="L772" s="148"/>
      <c r="M772" s="147"/>
      <c r="N772" s="146"/>
      <c r="O772" s="147"/>
      <c r="P772" s="147"/>
      <c r="Q772" s="147"/>
      <c r="R772" s="146"/>
      <c r="S772" s="146"/>
      <c r="T772" s="146"/>
      <c r="U772" s="146"/>
      <c r="V772" s="147"/>
      <c r="W772" s="146"/>
    </row>
    <row r="773">
      <c r="A773" s="146"/>
      <c r="B773" s="146"/>
      <c r="C773" s="146"/>
      <c r="D773" s="147"/>
      <c r="E773" s="146"/>
      <c r="F773" s="146"/>
      <c r="G773" s="146"/>
      <c r="H773" s="147"/>
      <c r="I773" s="146"/>
      <c r="J773" s="148"/>
      <c r="K773" s="148"/>
      <c r="L773" s="148"/>
      <c r="M773" s="147"/>
      <c r="N773" s="146"/>
      <c r="O773" s="147"/>
      <c r="P773" s="147"/>
      <c r="Q773" s="147"/>
      <c r="R773" s="146"/>
      <c r="S773" s="146"/>
      <c r="T773" s="146"/>
      <c r="U773" s="146"/>
      <c r="V773" s="147"/>
      <c r="W773" s="146"/>
    </row>
    <row r="774">
      <c r="A774" s="146"/>
      <c r="B774" s="146"/>
      <c r="C774" s="146"/>
      <c r="D774" s="147"/>
      <c r="E774" s="146"/>
      <c r="F774" s="146"/>
      <c r="G774" s="146"/>
      <c r="H774" s="147"/>
      <c r="I774" s="146"/>
      <c r="J774" s="148"/>
      <c r="K774" s="148"/>
      <c r="L774" s="148"/>
      <c r="M774" s="147"/>
      <c r="N774" s="146"/>
      <c r="O774" s="147"/>
      <c r="P774" s="147"/>
      <c r="Q774" s="147"/>
      <c r="R774" s="146"/>
      <c r="S774" s="146"/>
      <c r="T774" s="146"/>
      <c r="U774" s="146"/>
      <c r="V774" s="147"/>
      <c r="W774" s="146"/>
    </row>
    <row r="775">
      <c r="A775" s="146"/>
      <c r="B775" s="146"/>
      <c r="C775" s="146"/>
      <c r="D775" s="147"/>
      <c r="E775" s="146"/>
      <c r="F775" s="146"/>
      <c r="G775" s="146"/>
      <c r="H775" s="147"/>
      <c r="I775" s="146"/>
      <c r="J775" s="148"/>
      <c r="K775" s="148"/>
      <c r="L775" s="148"/>
      <c r="M775" s="147"/>
      <c r="N775" s="146"/>
      <c r="O775" s="147"/>
      <c r="P775" s="147"/>
      <c r="Q775" s="147"/>
      <c r="R775" s="146"/>
      <c r="S775" s="146"/>
      <c r="T775" s="146"/>
      <c r="U775" s="146"/>
      <c r="V775" s="147"/>
      <c r="W775" s="146"/>
    </row>
    <row r="776">
      <c r="A776" s="146"/>
      <c r="B776" s="146"/>
      <c r="C776" s="146"/>
      <c r="D776" s="147"/>
      <c r="E776" s="146"/>
      <c r="F776" s="146"/>
      <c r="G776" s="146"/>
      <c r="H776" s="147"/>
      <c r="I776" s="146"/>
      <c r="J776" s="148"/>
      <c r="K776" s="148"/>
      <c r="L776" s="148"/>
      <c r="M776" s="147"/>
      <c r="N776" s="146"/>
      <c r="O776" s="147"/>
      <c r="P776" s="147"/>
      <c r="Q776" s="147"/>
      <c r="R776" s="146"/>
      <c r="S776" s="146"/>
      <c r="T776" s="146"/>
      <c r="U776" s="146"/>
      <c r="V776" s="147"/>
      <c r="W776" s="146"/>
    </row>
    <row r="777">
      <c r="A777" s="146"/>
      <c r="B777" s="146"/>
      <c r="C777" s="146"/>
      <c r="D777" s="147"/>
      <c r="E777" s="146"/>
      <c r="F777" s="146"/>
      <c r="G777" s="146"/>
      <c r="H777" s="147"/>
      <c r="I777" s="146"/>
      <c r="J777" s="148"/>
      <c r="K777" s="148"/>
      <c r="L777" s="148"/>
      <c r="M777" s="147"/>
      <c r="N777" s="146"/>
      <c r="O777" s="147"/>
      <c r="P777" s="147"/>
      <c r="Q777" s="147"/>
      <c r="R777" s="146"/>
      <c r="S777" s="146"/>
      <c r="T777" s="146"/>
      <c r="U777" s="146"/>
      <c r="V777" s="147"/>
      <c r="W777" s="146"/>
    </row>
    <row r="778">
      <c r="A778" s="146"/>
      <c r="B778" s="146"/>
      <c r="C778" s="146"/>
      <c r="D778" s="147"/>
      <c r="E778" s="146"/>
      <c r="F778" s="146"/>
      <c r="G778" s="146"/>
      <c r="H778" s="147"/>
      <c r="I778" s="146"/>
      <c r="J778" s="148"/>
      <c r="K778" s="148"/>
      <c r="L778" s="148"/>
      <c r="M778" s="147"/>
      <c r="N778" s="146"/>
      <c r="O778" s="147"/>
      <c r="P778" s="147"/>
      <c r="Q778" s="147"/>
      <c r="R778" s="146"/>
      <c r="S778" s="146"/>
      <c r="T778" s="146"/>
      <c r="U778" s="146"/>
      <c r="V778" s="147"/>
      <c r="W778" s="146"/>
    </row>
    <row r="779">
      <c r="A779" s="146"/>
      <c r="B779" s="146"/>
      <c r="C779" s="146"/>
      <c r="D779" s="147"/>
      <c r="E779" s="146"/>
      <c r="F779" s="146"/>
      <c r="G779" s="146"/>
      <c r="H779" s="147"/>
      <c r="I779" s="146"/>
      <c r="J779" s="148"/>
      <c r="K779" s="148"/>
      <c r="L779" s="148"/>
      <c r="M779" s="147"/>
      <c r="N779" s="146"/>
      <c r="O779" s="147"/>
      <c r="P779" s="147"/>
      <c r="Q779" s="147"/>
      <c r="R779" s="146"/>
      <c r="S779" s="146"/>
      <c r="T779" s="146"/>
      <c r="U779" s="146"/>
      <c r="V779" s="147"/>
      <c r="W779" s="146"/>
    </row>
    <row r="780">
      <c r="A780" s="146"/>
      <c r="B780" s="146"/>
      <c r="C780" s="146"/>
      <c r="D780" s="147"/>
      <c r="E780" s="146"/>
      <c r="F780" s="146"/>
      <c r="G780" s="146"/>
      <c r="H780" s="147"/>
      <c r="I780" s="146"/>
      <c r="J780" s="148"/>
      <c r="K780" s="148"/>
      <c r="L780" s="148"/>
      <c r="M780" s="147"/>
      <c r="N780" s="146"/>
      <c r="O780" s="147"/>
      <c r="P780" s="147"/>
      <c r="Q780" s="147"/>
      <c r="R780" s="146"/>
      <c r="S780" s="146"/>
      <c r="T780" s="146"/>
      <c r="U780" s="146"/>
      <c r="V780" s="147"/>
      <c r="W780" s="146"/>
    </row>
    <row r="781">
      <c r="A781" s="146"/>
      <c r="B781" s="146"/>
      <c r="C781" s="146"/>
      <c r="D781" s="147"/>
      <c r="E781" s="146"/>
      <c r="F781" s="146"/>
      <c r="G781" s="146"/>
      <c r="H781" s="147"/>
      <c r="I781" s="146"/>
      <c r="J781" s="148"/>
      <c r="K781" s="148"/>
      <c r="L781" s="148"/>
      <c r="M781" s="147"/>
      <c r="N781" s="146"/>
      <c r="O781" s="147"/>
      <c r="P781" s="147"/>
      <c r="Q781" s="147"/>
      <c r="R781" s="146"/>
      <c r="S781" s="146"/>
      <c r="T781" s="146"/>
      <c r="U781" s="146"/>
      <c r="V781" s="147"/>
      <c r="W781" s="146"/>
    </row>
    <row r="782">
      <c r="A782" s="146"/>
      <c r="B782" s="146"/>
      <c r="C782" s="146"/>
      <c r="D782" s="147"/>
      <c r="E782" s="146"/>
      <c r="F782" s="146"/>
      <c r="G782" s="146"/>
      <c r="H782" s="147"/>
      <c r="I782" s="146"/>
      <c r="J782" s="148"/>
      <c r="K782" s="148"/>
      <c r="L782" s="148"/>
      <c r="M782" s="147"/>
      <c r="N782" s="146"/>
      <c r="O782" s="147"/>
      <c r="P782" s="147"/>
      <c r="Q782" s="147"/>
      <c r="R782" s="146"/>
      <c r="S782" s="146"/>
      <c r="T782" s="146"/>
      <c r="U782" s="146"/>
      <c r="V782" s="147"/>
      <c r="W782" s="146"/>
    </row>
    <row r="783">
      <c r="A783" s="146"/>
      <c r="B783" s="146"/>
      <c r="C783" s="146"/>
      <c r="D783" s="147"/>
      <c r="E783" s="146"/>
      <c r="F783" s="146"/>
      <c r="G783" s="146"/>
      <c r="H783" s="147"/>
      <c r="I783" s="146"/>
      <c r="J783" s="148"/>
      <c r="K783" s="148"/>
      <c r="L783" s="148"/>
      <c r="M783" s="147"/>
      <c r="N783" s="146"/>
      <c r="O783" s="147"/>
      <c r="P783" s="147"/>
      <c r="Q783" s="147"/>
      <c r="R783" s="146"/>
      <c r="S783" s="146"/>
      <c r="T783" s="146"/>
      <c r="U783" s="146"/>
      <c r="V783" s="147"/>
      <c r="W783" s="146"/>
    </row>
    <row r="784">
      <c r="A784" s="146"/>
      <c r="B784" s="146"/>
      <c r="C784" s="146"/>
      <c r="D784" s="147"/>
      <c r="E784" s="146"/>
      <c r="F784" s="146"/>
      <c r="G784" s="146"/>
      <c r="H784" s="147"/>
      <c r="I784" s="146"/>
      <c r="J784" s="148"/>
      <c r="K784" s="148"/>
      <c r="L784" s="148"/>
      <c r="M784" s="147"/>
      <c r="N784" s="146"/>
      <c r="O784" s="147"/>
      <c r="P784" s="147"/>
      <c r="Q784" s="147"/>
      <c r="R784" s="146"/>
      <c r="S784" s="146"/>
      <c r="T784" s="146"/>
      <c r="U784" s="146"/>
      <c r="V784" s="147"/>
      <c r="W784" s="146"/>
    </row>
    <row r="785">
      <c r="A785" s="146"/>
      <c r="B785" s="146"/>
      <c r="C785" s="146"/>
      <c r="D785" s="147"/>
      <c r="E785" s="146"/>
      <c r="F785" s="146"/>
      <c r="G785" s="146"/>
      <c r="H785" s="147"/>
      <c r="I785" s="146"/>
      <c r="J785" s="148"/>
      <c r="K785" s="148"/>
      <c r="L785" s="148"/>
      <c r="M785" s="147"/>
      <c r="N785" s="146"/>
      <c r="O785" s="147"/>
      <c r="P785" s="147"/>
      <c r="Q785" s="147"/>
      <c r="R785" s="146"/>
      <c r="S785" s="146"/>
      <c r="T785" s="146"/>
      <c r="U785" s="146"/>
      <c r="V785" s="147"/>
      <c r="W785" s="146"/>
    </row>
    <row r="786">
      <c r="A786" s="146"/>
      <c r="B786" s="146"/>
      <c r="C786" s="146"/>
      <c r="D786" s="147"/>
      <c r="E786" s="146"/>
      <c r="F786" s="146"/>
      <c r="G786" s="146"/>
      <c r="H786" s="147"/>
      <c r="I786" s="146"/>
      <c r="J786" s="148"/>
      <c r="K786" s="148"/>
      <c r="L786" s="148"/>
      <c r="M786" s="147"/>
      <c r="N786" s="146"/>
      <c r="O786" s="147"/>
      <c r="P786" s="147"/>
      <c r="Q786" s="147"/>
      <c r="R786" s="146"/>
      <c r="S786" s="146"/>
      <c r="T786" s="146"/>
      <c r="U786" s="146"/>
      <c r="V786" s="147"/>
      <c r="W786" s="146"/>
    </row>
    <row r="787">
      <c r="A787" s="146"/>
      <c r="B787" s="146"/>
      <c r="C787" s="146"/>
      <c r="D787" s="147"/>
      <c r="E787" s="146"/>
      <c r="F787" s="146"/>
      <c r="G787" s="146"/>
      <c r="H787" s="147"/>
      <c r="I787" s="146"/>
      <c r="J787" s="148"/>
      <c r="K787" s="148"/>
      <c r="L787" s="148"/>
      <c r="M787" s="147"/>
      <c r="N787" s="146"/>
      <c r="O787" s="147"/>
      <c r="P787" s="147"/>
      <c r="Q787" s="147"/>
      <c r="R787" s="146"/>
      <c r="S787" s="146"/>
      <c r="T787" s="146"/>
      <c r="U787" s="146"/>
      <c r="V787" s="147"/>
      <c r="W787" s="146"/>
    </row>
    <row r="788">
      <c r="A788" s="146"/>
      <c r="B788" s="146"/>
      <c r="C788" s="146"/>
      <c r="D788" s="147"/>
      <c r="E788" s="146"/>
      <c r="F788" s="146"/>
      <c r="G788" s="146"/>
      <c r="H788" s="147"/>
      <c r="I788" s="146"/>
      <c r="J788" s="148"/>
      <c r="K788" s="148"/>
      <c r="L788" s="148"/>
      <c r="M788" s="147"/>
      <c r="N788" s="146"/>
      <c r="O788" s="147"/>
      <c r="P788" s="147"/>
      <c r="Q788" s="147"/>
      <c r="R788" s="146"/>
      <c r="S788" s="146"/>
      <c r="T788" s="146"/>
      <c r="U788" s="146"/>
      <c r="V788" s="147"/>
      <c r="W788" s="146"/>
    </row>
    <row r="789">
      <c r="A789" s="146"/>
      <c r="B789" s="146"/>
      <c r="C789" s="146"/>
      <c r="D789" s="147"/>
      <c r="E789" s="146"/>
      <c r="F789" s="146"/>
      <c r="G789" s="146"/>
      <c r="H789" s="147"/>
      <c r="I789" s="146"/>
      <c r="J789" s="148"/>
      <c r="K789" s="148"/>
      <c r="L789" s="148"/>
      <c r="M789" s="147"/>
      <c r="N789" s="146"/>
      <c r="O789" s="147"/>
      <c r="P789" s="147"/>
      <c r="Q789" s="147"/>
      <c r="R789" s="146"/>
      <c r="S789" s="146"/>
      <c r="T789" s="146"/>
      <c r="U789" s="146"/>
      <c r="V789" s="147"/>
      <c r="W789" s="146"/>
    </row>
    <row r="790">
      <c r="A790" s="146"/>
      <c r="B790" s="146"/>
      <c r="C790" s="146"/>
      <c r="D790" s="147"/>
      <c r="E790" s="146"/>
      <c r="F790" s="146"/>
      <c r="G790" s="146"/>
      <c r="H790" s="147"/>
      <c r="I790" s="146"/>
      <c r="J790" s="148"/>
      <c r="K790" s="148"/>
      <c r="L790" s="148"/>
      <c r="M790" s="147"/>
      <c r="N790" s="146"/>
      <c r="O790" s="147"/>
      <c r="P790" s="147"/>
      <c r="Q790" s="147"/>
      <c r="R790" s="146"/>
      <c r="S790" s="146"/>
      <c r="T790" s="146"/>
      <c r="U790" s="146"/>
      <c r="V790" s="147"/>
      <c r="W790" s="146"/>
    </row>
    <row r="791">
      <c r="A791" s="146"/>
      <c r="B791" s="146"/>
      <c r="C791" s="146"/>
      <c r="D791" s="147"/>
      <c r="E791" s="146"/>
      <c r="F791" s="146"/>
      <c r="G791" s="146"/>
      <c r="H791" s="147"/>
      <c r="I791" s="146"/>
      <c r="J791" s="148"/>
      <c r="K791" s="148"/>
      <c r="L791" s="148"/>
      <c r="M791" s="147"/>
      <c r="N791" s="146"/>
      <c r="O791" s="147"/>
      <c r="P791" s="147"/>
      <c r="Q791" s="147"/>
      <c r="R791" s="146"/>
      <c r="S791" s="146"/>
      <c r="T791" s="146"/>
      <c r="U791" s="146"/>
      <c r="V791" s="147"/>
      <c r="W791" s="146"/>
    </row>
    <row r="792">
      <c r="A792" s="146"/>
      <c r="B792" s="146"/>
      <c r="C792" s="146"/>
      <c r="D792" s="147"/>
      <c r="E792" s="146"/>
      <c r="F792" s="146"/>
      <c r="G792" s="146"/>
      <c r="H792" s="147"/>
      <c r="I792" s="146"/>
      <c r="J792" s="148"/>
      <c r="K792" s="148"/>
      <c r="L792" s="148"/>
      <c r="M792" s="147"/>
      <c r="N792" s="146"/>
      <c r="O792" s="147"/>
      <c r="P792" s="147"/>
      <c r="Q792" s="147"/>
      <c r="R792" s="146"/>
      <c r="S792" s="146"/>
      <c r="T792" s="146"/>
      <c r="U792" s="146"/>
      <c r="V792" s="147"/>
      <c r="W792" s="146"/>
    </row>
    <row r="793">
      <c r="A793" s="146"/>
      <c r="B793" s="146"/>
      <c r="C793" s="146"/>
      <c r="D793" s="147"/>
      <c r="E793" s="146"/>
      <c r="F793" s="146"/>
      <c r="G793" s="146"/>
      <c r="H793" s="147"/>
      <c r="I793" s="146"/>
      <c r="J793" s="148"/>
      <c r="K793" s="148"/>
      <c r="L793" s="148"/>
      <c r="M793" s="147"/>
      <c r="N793" s="146"/>
      <c r="O793" s="147"/>
      <c r="P793" s="147"/>
      <c r="Q793" s="147"/>
      <c r="R793" s="146"/>
      <c r="S793" s="146"/>
      <c r="T793" s="146"/>
      <c r="U793" s="146"/>
      <c r="V793" s="147"/>
      <c r="W793" s="146"/>
    </row>
    <row r="794">
      <c r="A794" s="146"/>
      <c r="B794" s="146"/>
      <c r="C794" s="146"/>
      <c r="D794" s="147"/>
      <c r="E794" s="146"/>
      <c r="F794" s="146"/>
      <c r="G794" s="146"/>
      <c r="H794" s="147"/>
      <c r="I794" s="146"/>
      <c r="J794" s="148"/>
      <c r="K794" s="148"/>
      <c r="L794" s="148"/>
      <c r="M794" s="147"/>
      <c r="N794" s="146"/>
      <c r="O794" s="147"/>
      <c r="P794" s="147"/>
      <c r="Q794" s="147"/>
      <c r="R794" s="146"/>
      <c r="S794" s="146"/>
      <c r="T794" s="146"/>
      <c r="U794" s="146"/>
      <c r="V794" s="147"/>
      <c r="W794" s="146"/>
    </row>
    <row r="795">
      <c r="A795" s="146"/>
      <c r="B795" s="146"/>
      <c r="C795" s="146"/>
      <c r="D795" s="147"/>
      <c r="E795" s="146"/>
      <c r="F795" s="146"/>
      <c r="G795" s="146"/>
      <c r="H795" s="147"/>
      <c r="I795" s="146"/>
      <c r="J795" s="148"/>
      <c r="K795" s="148"/>
      <c r="L795" s="148"/>
      <c r="M795" s="147"/>
      <c r="N795" s="146"/>
      <c r="O795" s="147"/>
      <c r="P795" s="147"/>
      <c r="Q795" s="147"/>
      <c r="R795" s="146"/>
      <c r="S795" s="146"/>
      <c r="T795" s="146"/>
      <c r="U795" s="146"/>
      <c r="V795" s="147"/>
      <c r="W795" s="146"/>
    </row>
    <row r="796">
      <c r="A796" s="146"/>
      <c r="B796" s="146"/>
      <c r="C796" s="146"/>
      <c r="D796" s="147"/>
      <c r="E796" s="146"/>
      <c r="F796" s="146"/>
      <c r="G796" s="146"/>
      <c r="H796" s="147"/>
      <c r="I796" s="146"/>
      <c r="J796" s="148"/>
      <c r="K796" s="148"/>
      <c r="L796" s="148"/>
      <c r="M796" s="147"/>
      <c r="N796" s="146"/>
      <c r="O796" s="147"/>
      <c r="P796" s="147"/>
      <c r="Q796" s="147"/>
      <c r="R796" s="146"/>
      <c r="S796" s="146"/>
      <c r="T796" s="146"/>
      <c r="U796" s="146"/>
      <c r="V796" s="147"/>
      <c r="W796" s="146"/>
    </row>
    <row r="797">
      <c r="A797" s="146"/>
      <c r="B797" s="146"/>
      <c r="C797" s="146"/>
      <c r="D797" s="147"/>
      <c r="E797" s="146"/>
      <c r="F797" s="146"/>
      <c r="G797" s="146"/>
      <c r="H797" s="147"/>
      <c r="I797" s="146"/>
      <c r="J797" s="148"/>
      <c r="K797" s="148"/>
      <c r="L797" s="148"/>
      <c r="M797" s="147"/>
      <c r="N797" s="146"/>
      <c r="O797" s="147"/>
      <c r="P797" s="147"/>
      <c r="Q797" s="147"/>
      <c r="R797" s="146"/>
      <c r="S797" s="146"/>
      <c r="T797" s="146"/>
      <c r="U797" s="146"/>
      <c r="V797" s="147"/>
      <c r="W797" s="146"/>
    </row>
    <row r="798">
      <c r="A798" s="146"/>
      <c r="B798" s="146"/>
      <c r="C798" s="146"/>
      <c r="D798" s="147"/>
      <c r="E798" s="146"/>
      <c r="F798" s="146"/>
      <c r="G798" s="146"/>
      <c r="H798" s="147"/>
      <c r="I798" s="146"/>
      <c r="J798" s="148"/>
      <c r="K798" s="148"/>
      <c r="L798" s="148"/>
      <c r="M798" s="147"/>
      <c r="N798" s="146"/>
      <c r="O798" s="147"/>
      <c r="P798" s="147"/>
      <c r="Q798" s="147"/>
      <c r="R798" s="146"/>
      <c r="S798" s="146"/>
      <c r="T798" s="146"/>
      <c r="U798" s="146"/>
      <c r="V798" s="147"/>
      <c r="W798" s="146"/>
    </row>
    <row r="799">
      <c r="A799" s="146"/>
      <c r="B799" s="146"/>
      <c r="C799" s="146"/>
      <c r="D799" s="147"/>
      <c r="E799" s="146"/>
      <c r="F799" s="146"/>
      <c r="G799" s="146"/>
      <c r="H799" s="147"/>
      <c r="I799" s="146"/>
      <c r="J799" s="148"/>
      <c r="K799" s="148"/>
      <c r="L799" s="148"/>
      <c r="M799" s="147"/>
      <c r="N799" s="146"/>
      <c r="O799" s="147"/>
      <c r="P799" s="147"/>
      <c r="Q799" s="147"/>
      <c r="R799" s="146"/>
      <c r="S799" s="146"/>
      <c r="T799" s="146"/>
      <c r="U799" s="146"/>
      <c r="V799" s="147"/>
      <c r="W799" s="146"/>
    </row>
    <row r="800">
      <c r="A800" s="146"/>
      <c r="B800" s="146"/>
      <c r="C800" s="146"/>
      <c r="D800" s="147"/>
      <c r="E800" s="146"/>
      <c r="F800" s="146"/>
      <c r="G800" s="146"/>
      <c r="H800" s="147"/>
      <c r="I800" s="146"/>
      <c r="J800" s="148"/>
      <c r="K800" s="148"/>
      <c r="L800" s="148"/>
      <c r="M800" s="147"/>
      <c r="N800" s="146"/>
      <c r="O800" s="147"/>
      <c r="P800" s="147"/>
      <c r="Q800" s="147"/>
      <c r="R800" s="146"/>
      <c r="S800" s="146"/>
      <c r="T800" s="146"/>
      <c r="U800" s="146"/>
      <c r="V800" s="147"/>
      <c r="W800" s="146"/>
    </row>
    <row r="801">
      <c r="A801" s="146"/>
      <c r="B801" s="146"/>
      <c r="C801" s="146"/>
      <c r="D801" s="147"/>
      <c r="E801" s="146"/>
      <c r="F801" s="146"/>
      <c r="G801" s="146"/>
      <c r="H801" s="147"/>
      <c r="I801" s="146"/>
      <c r="J801" s="148"/>
      <c r="K801" s="148"/>
      <c r="L801" s="148"/>
      <c r="M801" s="147"/>
      <c r="N801" s="146"/>
      <c r="O801" s="147"/>
      <c r="P801" s="147"/>
      <c r="Q801" s="147"/>
      <c r="R801" s="146"/>
      <c r="S801" s="146"/>
      <c r="T801" s="146"/>
      <c r="U801" s="146"/>
      <c r="V801" s="147"/>
      <c r="W801" s="146"/>
    </row>
    <row r="802">
      <c r="A802" s="146"/>
      <c r="B802" s="146"/>
      <c r="C802" s="146"/>
      <c r="D802" s="147"/>
      <c r="E802" s="146"/>
      <c r="F802" s="146"/>
      <c r="G802" s="146"/>
      <c r="H802" s="147"/>
      <c r="I802" s="146"/>
      <c r="J802" s="148"/>
      <c r="K802" s="148"/>
      <c r="L802" s="148"/>
      <c r="M802" s="147"/>
      <c r="N802" s="146"/>
      <c r="O802" s="147"/>
      <c r="P802" s="147"/>
      <c r="Q802" s="147"/>
      <c r="R802" s="146"/>
      <c r="S802" s="146"/>
      <c r="T802" s="146"/>
      <c r="U802" s="146"/>
      <c r="V802" s="147"/>
      <c r="W802" s="146"/>
    </row>
    <row r="803">
      <c r="A803" s="146"/>
      <c r="B803" s="146"/>
      <c r="C803" s="146"/>
      <c r="D803" s="147"/>
      <c r="E803" s="146"/>
      <c r="F803" s="146"/>
      <c r="G803" s="146"/>
      <c r="H803" s="147"/>
      <c r="I803" s="146"/>
      <c r="J803" s="148"/>
      <c r="K803" s="148"/>
      <c r="L803" s="148"/>
      <c r="M803" s="147"/>
      <c r="N803" s="146"/>
      <c r="O803" s="147"/>
      <c r="P803" s="147"/>
      <c r="Q803" s="147"/>
      <c r="R803" s="146"/>
      <c r="S803" s="146"/>
      <c r="T803" s="146"/>
      <c r="U803" s="146"/>
      <c r="V803" s="147"/>
      <c r="W803" s="146"/>
    </row>
    <row r="804">
      <c r="A804" s="146"/>
      <c r="B804" s="146"/>
      <c r="C804" s="146"/>
      <c r="D804" s="147"/>
      <c r="E804" s="146"/>
      <c r="F804" s="146"/>
      <c r="G804" s="146"/>
      <c r="H804" s="147"/>
      <c r="I804" s="146"/>
      <c r="J804" s="148"/>
      <c r="K804" s="148"/>
      <c r="L804" s="148"/>
      <c r="M804" s="147"/>
      <c r="N804" s="146"/>
      <c r="O804" s="147"/>
      <c r="P804" s="147"/>
      <c r="Q804" s="147"/>
      <c r="R804" s="146"/>
      <c r="S804" s="146"/>
      <c r="T804" s="146"/>
      <c r="U804" s="146"/>
      <c r="V804" s="147"/>
      <c r="W804" s="146"/>
    </row>
    <row r="805">
      <c r="A805" s="146"/>
      <c r="B805" s="146"/>
      <c r="C805" s="146"/>
      <c r="D805" s="147"/>
      <c r="E805" s="146"/>
      <c r="F805" s="146"/>
      <c r="G805" s="146"/>
      <c r="H805" s="147"/>
      <c r="I805" s="146"/>
      <c r="J805" s="148"/>
      <c r="K805" s="148"/>
      <c r="L805" s="148"/>
      <c r="M805" s="147"/>
      <c r="N805" s="146"/>
      <c r="O805" s="147"/>
      <c r="P805" s="147"/>
      <c r="Q805" s="147"/>
      <c r="R805" s="146"/>
      <c r="S805" s="146"/>
      <c r="T805" s="146"/>
      <c r="U805" s="146"/>
      <c r="V805" s="147"/>
      <c r="W805" s="146"/>
    </row>
    <row r="806">
      <c r="A806" s="146"/>
      <c r="B806" s="146"/>
      <c r="C806" s="146"/>
      <c r="D806" s="147"/>
      <c r="E806" s="146"/>
      <c r="F806" s="146"/>
      <c r="G806" s="146"/>
      <c r="H806" s="147"/>
      <c r="I806" s="146"/>
      <c r="J806" s="148"/>
      <c r="K806" s="148"/>
      <c r="L806" s="148"/>
      <c r="M806" s="147"/>
      <c r="N806" s="146"/>
      <c r="O806" s="147"/>
      <c r="P806" s="147"/>
      <c r="Q806" s="147"/>
      <c r="R806" s="146"/>
      <c r="S806" s="146"/>
      <c r="T806" s="146"/>
      <c r="U806" s="146"/>
      <c r="V806" s="147"/>
      <c r="W806" s="146"/>
    </row>
    <row r="807">
      <c r="A807" s="146"/>
      <c r="B807" s="146"/>
      <c r="C807" s="146"/>
      <c r="D807" s="147"/>
      <c r="E807" s="146"/>
      <c r="F807" s="146"/>
      <c r="G807" s="146"/>
      <c r="H807" s="147"/>
      <c r="I807" s="146"/>
      <c r="J807" s="148"/>
      <c r="K807" s="148"/>
      <c r="L807" s="148"/>
      <c r="M807" s="147"/>
      <c r="N807" s="146"/>
      <c r="O807" s="147"/>
      <c r="P807" s="147"/>
      <c r="Q807" s="147"/>
      <c r="R807" s="146"/>
      <c r="S807" s="146"/>
      <c r="T807" s="146"/>
      <c r="U807" s="146"/>
      <c r="V807" s="147"/>
      <c r="W807" s="146"/>
    </row>
    <row r="808">
      <c r="A808" s="146"/>
      <c r="B808" s="146"/>
      <c r="C808" s="146"/>
      <c r="D808" s="147"/>
      <c r="E808" s="146"/>
      <c r="F808" s="146"/>
      <c r="G808" s="146"/>
      <c r="H808" s="147"/>
      <c r="I808" s="146"/>
      <c r="J808" s="148"/>
      <c r="K808" s="148"/>
      <c r="L808" s="148"/>
      <c r="M808" s="147"/>
      <c r="N808" s="146"/>
      <c r="O808" s="147"/>
      <c r="P808" s="147"/>
      <c r="Q808" s="147"/>
      <c r="R808" s="146"/>
      <c r="S808" s="146"/>
      <c r="T808" s="146"/>
      <c r="U808" s="146"/>
      <c r="V808" s="147"/>
      <c r="W808" s="146"/>
    </row>
    <row r="809">
      <c r="A809" s="146"/>
      <c r="B809" s="146"/>
      <c r="C809" s="146"/>
      <c r="D809" s="147"/>
      <c r="E809" s="146"/>
      <c r="F809" s="146"/>
      <c r="G809" s="146"/>
      <c r="H809" s="147"/>
      <c r="I809" s="146"/>
      <c r="J809" s="148"/>
      <c r="K809" s="148"/>
      <c r="L809" s="148"/>
      <c r="M809" s="147"/>
      <c r="N809" s="146"/>
      <c r="O809" s="147"/>
      <c r="P809" s="147"/>
      <c r="Q809" s="147"/>
      <c r="R809" s="146"/>
      <c r="S809" s="146"/>
      <c r="T809" s="146"/>
      <c r="U809" s="146"/>
      <c r="V809" s="147"/>
      <c r="W809" s="146"/>
    </row>
    <row r="810">
      <c r="A810" s="146"/>
      <c r="B810" s="146"/>
      <c r="C810" s="146"/>
      <c r="D810" s="147"/>
      <c r="E810" s="146"/>
      <c r="F810" s="146"/>
      <c r="G810" s="146"/>
      <c r="H810" s="147"/>
      <c r="I810" s="146"/>
      <c r="J810" s="148"/>
      <c r="K810" s="148"/>
      <c r="L810" s="148"/>
      <c r="M810" s="147"/>
      <c r="N810" s="146"/>
      <c r="O810" s="147"/>
      <c r="P810" s="147"/>
      <c r="Q810" s="147"/>
      <c r="R810" s="146"/>
      <c r="S810" s="146"/>
      <c r="T810" s="146"/>
      <c r="U810" s="146"/>
      <c r="V810" s="147"/>
      <c r="W810" s="146"/>
    </row>
    <row r="811">
      <c r="A811" s="146"/>
      <c r="B811" s="146"/>
      <c r="C811" s="146"/>
      <c r="D811" s="147"/>
      <c r="E811" s="146"/>
      <c r="F811" s="146"/>
      <c r="G811" s="146"/>
      <c r="H811" s="147"/>
      <c r="I811" s="146"/>
      <c r="J811" s="148"/>
      <c r="K811" s="148"/>
      <c r="L811" s="148"/>
      <c r="M811" s="147"/>
      <c r="N811" s="146"/>
      <c r="O811" s="147"/>
      <c r="P811" s="147"/>
      <c r="Q811" s="147"/>
      <c r="R811" s="146"/>
      <c r="S811" s="146"/>
      <c r="T811" s="146"/>
      <c r="U811" s="146"/>
      <c r="V811" s="147"/>
      <c r="W811" s="146"/>
    </row>
    <row r="812">
      <c r="A812" s="146"/>
      <c r="B812" s="146"/>
      <c r="C812" s="146"/>
      <c r="D812" s="147"/>
      <c r="E812" s="146"/>
      <c r="F812" s="146"/>
      <c r="G812" s="146"/>
      <c r="H812" s="147"/>
      <c r="I812" s="146"/>
      <c r="J812" s="148"/>
      <c r="K812" s="148"/>
      <c r="L812" s="148"/>
      <c r="M812" s="147"/>
      <c r="N812" s="146"/>
      <c r="O812" s="147"/>
      <c r="P812" s="147"/>
      <c r="Q812" s="147"/>
      <c r="R812" s="146"/>
      <c r="S812" s="146"/>
      <c r="T812" s="146"/>
      <c r="U812" s="146"/>
      <c r="V812" s="147"/>
      <c r="W812" s="146"/>
    </row>
    <row r="813">
      <c r="A813" s="146"/>
      <c r="B813" s="146"/>
      <c r="C813" s="146"/>
      <c r="D813" s="147"/>
      <c r="E813" s="146"/>
      <c r="F813" s="146"/>
      <c r="G813" s="146"/>
      <c r="H813" s="147"/>
      <c r="I813" s="146"/>
      <c r="J813" s="148"/>
      <c r="K813" s="148"/>
      <c r="L813" s="148"/>
      <c r="M813" s="147"/>
      <c r="N813" s="146"/>
      <c r="O813" s="147"/>
      <c r="P813" s="147"/>
      <c r="Q813" s="147"/>
      <c r="R813" s="146"/>
      <c r="S813" s="146"/>
      <c r="T813" s="146"/>
      <c r="U813" s="146"/>
      <c r="V813" s="147"/>
      <c r="W813" s="146"/>
    </row>
    <row r="814">
      <c r="A814" s="146"/>
      <c r="B814" s="146"/>
      <c r="C814" s="146"/>
      <c r="D814" s="147"/>
      <c r="E814" s="146"/>
      <c r="F814" s="146"/>
      <c r="G814" s="146"/>
      <c r="H814" s="147"/>
      <c r="I814" s="146"/>
      <c r="J814" s="148"/>
      <c r="K814" s="148"/>
      <c r="L814" s="148"/>
      <c r="M814" s="147"/>
      <c r="N814" s="146"/>
      <c r="O814" s="147"/>
      <c r="P814" s="147"/>
      <c r="Q814" s="147"/>
      <c r="R814" s="146"/>
      <c r="S814" s="146"/>
      <c r="T814" s="146"/>
      <c r="U814" s="146"/>
      <c r="V814" s="147"/>
      <c r="W814" s="146"/>
    </row>
    <row r="815">
      <c r="A815" s="146"/>
      <c r="B815" s="146"/>
      <c r="C815" s="146"/>
      <c r="D815" s="147"/>
      <c r="E815" s="146"/>
      <c r="F815" s="146"/>
      <c r="G815" s="146"/>
      <c r="H815" s="147"/>
      <c r="I815" s="146"/>
      <c r="J815" s="148"/>
      <c r="K815" s="148"/>
      <c r="L815" s="148"/>
      <c r="M815" s="147"/>
      <c r="N815" s="146"/>
      <c r="O815" s="147"/>
      <c r="P815" s="147"/>
      <c r="Q815" s="147"/>
      <c r="R815" s="146"/>
      <c r="S815" s="146"/>
      <c r="T815" s="146"/>
      <c r="U815" s="146"/>
      <c r="V815" s="147"/>
      <c r="W815" s="146"/>
    </row>
    <row r="816">
      <c r="A816" s="146"/>
      <c r="B816" s="146"/>
      <c r="C816" s="146"/>
      <c r="D816" s="147"/>
      <c r="E816" s="146"/>
      <c r="F816" s="146"/>
      <c r="G816" s="146"/>
      <c r="H816" s="147"/>
      <c r="I816" s="146"/>
      <c r="J816" s="148"/>
      <c r="K816" s="148"/>
      <c r="L816" s="148"/>
      <c r="M816" s="147"/>
      <c r="N816" s="146"/>
      <c r="O816" s="147"/>
      <c r="P816" s="147"/>
      <c r="Q816" s="147"/>
      <c r="R816" s="146"/>
      <c r="S816" s="146"/>
      <c r="T816" s="146"/>
      <c r="U816" s="146"/>
      <c r="V816" s="147"/>
      <c r="W816" s="146"/>
    </row>
    <row r="817">
      <c r="A817" s="146"/>
      <c r="B817" s="146"/>
      <c r="C817" s="146"/>
      <c r="D817" s="147"/>
      <c r="E817" s="146"/>
      <c r="F817" s="146"/>
      <c r="G817" s="146"/>
      <c r="H817" s="147"/>
      <c r="I817" s="146"/>
      <c r="J817" s="148"/>
      <c r="K817" s="148"/>
      <c r="L817" s="148"/>
      <c r="M817" s="147"/>
      <c r="N817" s="146"/>
      <c r="O817" s="147"/>
      <c r="P817" s="147"/>
      <c r="Q817" s="147"/>
      <c r="R817" s="146"/>
      <c r="S817" s="146"/>
      <c r="T817" s="146"/>
      <c r="U817" s="146"/>
      <c r="V817" s="147"/>
      <c r="W817" s="146"/>
    </row>
    <row r="818">
      <c r="A818" s="146"/>
      <c r="B818" s="146"/>
      <c r="C818" s="146"/>
      <c r="D818" s="147"/>
      <c r="E818" s="146"/>
      <c r="F818" s="146"/>
      <c r="G818" s="146"/>
      <c r="H818" s="147"/>
      <c r="I818" s="146"/>
      <c r="J818" s="148"/>
      <c r="K818" s="148"/>
      <c r="L818" s="148"/>
      <c r="M818" s="147"/>
      <c r="N818" s="146"/>
      <c r="O818" s="147"/>
      <c r="P818" s="147"/>
      <c r="Q818" s="147"/>
      <c r="R818" s="146"/>
      <c r="S818" s="146"/>
      <c r="T818" s="146"/>
      <c r="U818" s="146"/>
      <c r="V818" s="147"/>
      <c r="W818" s="146"/>
    </row>
    <row r="819">
      <c r="A819" s="146"/>
      <c r="B819" s="146"/>
      <c r="C819" s="146"/>
      <c r="D819" s="147"/>
      <c r="E819" s="146"/>
      <c r="F819" s="146"/>
      <c r="G819" s="146"/>
      <c r="H819" s="147"/>
      <c r="I819" s="146"/>
      <c r="J819" s="148"/>
      <c r="K819" s="148"/>
      <c r="L819" s="148"/>
      <c r="M819" s="147"/>
      <c r="N819" s="146"/>
      <c r="O819" s="147"/>
      <c r="P819" s="147"/>
      <c r="Q819" s="147"/>
      <c r="R819" s="146"/>
      <c r="S819" s="146"/>
      <c r="T819" s="146"/>
      <c r="U819" s="146"/>
      <c r="V819" s="147"/>
      <c r="W819" s="146"/>
    </row>
    <row r="820">
      <c r="A820" s="146"/>
      <c r="B820" s="146"/>
      <c r="C820" s="146"/>
      <c r="D820" s="147"/>
      <c r="E820" s="146"/>
      <c r="F820" s="146"/>
      <c r="G820" s="146"/>
      <c r="H820" s="147"/>
      <c r="I820" s="146"/>
      <c r="J820" s="148"/>
      <c r="K820" s="148"/>
      <c r="L820" s="148"/>
      <c r="M820" s="147"/>
      <c r="N820" s="146"/>
      <c r="O820" s="147"/>
      <c r="P820" s="147"/>
      <c r="Q820" s="147"/>
      <c r="R820" s="146"/>
      <c r="S820" s="146"/>
      <c r="T820" s="146"/>
      <c r="U820" s="146"/>
      <c r="V820" s="147"/>
      <c r="W820" s="146"/>
    </row>
    <row r="821">
      <c r="A821" s="146"/>
      <c r="B821" s="146"/>
      <c r="C821" s="146"/>
      <c r="D821" s="147"/>
      <c r="E821" s="146"/>
      <c r="F821" s="146"/>
      <c r="G821" s="146"/>
      <c r="H821" s="147"/>
      <c r="I821" s="146"/>
      <c r="J821" s="148"/>
      <c r="K821" s="148"/>
      <c r="L821" s="148"/>
      <c r="M821" s="147"/>
      <c r="N821" s="146"/>
      <c r="O821" s="147"/>
      <c r="P821" s="147"/>
      <c r="Q821" s="147"/>
      <c r="R821" s="146"/>
      <c r="S821" s="146"/>
      <c r="T821" s="146"/>
      <c r="U821" s="146"/>
      <c r="V821" s="147"/>
      <c r="W821" s="146"/>
    </row>
    <row r="822">
      <c r="A822" s="146"/>
      <c r="B822" s="146"/>
      <c r="C822" s="146"/>
      <c r="D822" s="147"/>
      <c r="E822" s="146"/>
      <c r="F822" s="146"/>
      <c r="G822" s="146"/>
      <c r="H822" s="147"/>
      <c r="I822" s="146"/>
      <c r="J822" s="148"/>
      <c r="K822" s="148"/>
      <c r="L822" s="148"/>
      <c r="M822" s="147"/>
      <c r="N822" s="146"/>
      <c r="O822" s="147"/>
      <c r="P822" s="147"/>
      <c r="Q822" s="147"/>
      <c r="R822" s="146"/>
      <c r="S822" s="146"/>
      <c r="T822" s="146"/>
      <c r="U822" s="146"/>
      <c r="V822" s="147"/>
      <c r="W822" s="146"/>
    </row>
    <row r="823">
      <c r="A823" s="146"/>
      <c r="B823" s="146"/>
      <c r="C823" s="146"/>
      <c r="D823" s="147"/>
      <c r="E823" s="146"/>
      <c r="F823" s="146"/>
      <c r="G823" s="146"/>
      <c r="H823" s="147"/>
      <c r="I823" s="146"/>
      <c r="J823" s="148"/>
      <c r="K823" s="148"/>
      <c r="L823" s="148"/>
      <c r="M823" s="147"/>
      <c r="N823" s="146"/>
      <c r="O823" s="147"/>
      <c r="P823" s="147"/>
      <c r="Q823" s="147"/>
      <c r="R823" s="146"/>
      <c r="S823" s="146"/>
      <c r="T823" s="146"/>
      <c r="U823" s="146"/>
      <c r="V823" s="147"/>
      <c r="W823" s="146"/>
    </row>
    <row r="824">
      <c r="A824" s="146"/>
      <c r="B824" s="146"/>
      <c r="C824" s="146"/>
      <c r="D824" s="147"/>
      <c r="E824" s="146"/>
      <c r="F824" s="146"/>
      <c r="G824" s="146"/>
      <c r="H824" s="147"/>
      <c r="I824" s="146"/>
      <c r="J824" s="148"/>
      <c r="K824" s="148"/>
      <c r="L824" s="148"/>
      <c r="M824" s="147"/>
      <c r="N824" s="146"/>
      <c r="O824" s="147"/>
      <c r="P824" s="147"/>
      <c r="Q824" s="147"/>
      <c r="R824" s="146"/>
      <c r="S824" s="146"/>
      <c r="T824" s="146"/>
      <c r="U824" s="146"/>
      <c r="V824" s="147"/>
      <c r="W824" s="146"/>
    </row>
    <row r="825">
      <c r="A825" s="146"/>
      <c r="B825" s="146"/>
      <c r="C825" s="146"/>
      <c r="D825" s="147"/>
      <c r="E825" s="146"/>
      <c r="F825" s="146"/>
      <c r="G825" s="146"/>
      <c r="H825" s="147"/>
      <c r="I825" s="146"/>
      <c r="J825" s="148"/>
      <c r="K825" s="148"/>
      <c r="L825" s="148"/>
      <c r="M825" s="147"/>
      <c r="N825" s="146"/>
      <c r="O825" s="147"/>
      <c r="P825" s="147"/>
      <c r="Q825" s="147"/>
      <c r="R825" s="146"/>
      <c r="S825" s="146"/>
      <c r="T825" s="146"/>
      <c r="U825" s="146"/>
      <c r="V825" s="147"/>
      <c r="W825" s="146"/>
    </row>
    <row r="826">
      <c r="A826" s="146"/>
      <c r="B826" s="146"/>
      <c r="C826" s="146"/>
      <c r="D826" s="147"/>
      <c r="E826" s="146"/>
      <c r="F826" s="146"/>
      <c r="G826" s="146"/>
      <c r="H826" s="147"/>
      <c r="I826" s="146"/>
      <c r="J826" s="148"/>
      <c r="K826" s="148"/>
      <c r="L826" s="148"/>
      <c r="M826" s="147"/>
      <c r="N826" s="146"/>
      <c r="O826" s="147"/>
      <c r="P826" s="147"/>
      <c r="Q826" s="147"/>
      <c r="R826" s="146"/>
      <c r="S826" s="146"/>
      <c r="T826" s="146"/>
      <c r="U826" s="146"/>
      <c r="V826" s="147"/>
      <c r="W826" s="146"/>
    </row>
    <row r="827">
      <c r="A827" s="146"/>
      <c r="B827" s="146"/>
      <c r="C827" s="146"/>
      <c r="D827" s="147"/>
      <c r="E827" s="146"/>
      <c r="F827" s="146"/>
      <c r="G827" s="146"/>
      <c r="H827" s="147"/>
      <c r="I827" s="146"/>
      <c r="J827" s="148"/>
      <c r="K827" s="148"/>
      <c r="L827" s="148"/>
      <c r="M827" s="147"/>
      <c r="N827" s="146"/>
      <c r="O827" s="147"/>
      <c r="P827" s="147"/>
      <c r="Q827" s="147"/>
      <c r="R827" s="146"/>
      <c r="S827" s="146"/>
      <c r="T827" s="146"/>
      <c r="U827" s="146"/>
      <c r="V827" s="147"/>
      <c r="W827" s="146"/>
    </row>
    <row r="828">
      <c r="A828" s="146"/>
      <c r="B828" s="146"/>
      <c r="C828" s="146"/>
      <c r="D828" s="147"/>
      <c r="E828" s="146"/>
      <c r="F828" s="146"/>
      <c r="G828" s="146"/>
      <c r="H828" s="147"/>
      <c r="I828" s="146"/>
      <c r="J828" s="148"/>
      <c r="K828" s="148"/>
      <c r="L828" s="148"/>
      <c r="M828" s="147"/>
      <c r="N828" s="146"/>
      <c r="O828" s="147"/>
      <c r="P828" s="147"/>
      <c r="Q828" s="147"/>
      <c r="R828" s="146"/>
      <c r="S828" s="146"/>
      <c r="T828" s="146"/>
      <c r="U828" s="146"/>
      <c r="V828" s="147"/>
      <c r="W828" s="146"/>
    </row>
    <row r="829">
      <c r="A829" s="146"/>
      <c r="B829" s="146"/>
      <c r="C829" s="146"/>
      <c r="D829" s="147"/>
      <c r="E829" s="146"/>
      <c r="F829" s="146"/>
      <c r="G829" s="146"/>
      <c r="H829" s="147"/>
      <c r="I829" s="146"/>
      <c r="J829" s="148"/>
      <c r="K829" s="148"/>
      <c r="L829" s="148"/>
      <c r="M829" s="147"/>
      <c r="N829" s="146"/>
      <c r="O829" s="147"/>
      <c r="P829" s="147"/>
      <c r="Q829" s="147"/>
      <c r="R829" s="146"/>
      <c r="S829" s="146"/>
      <c r="T829" s="146"/>
      <c r="U829" s="146"/>
      <c r="V829" s="147"/>
      <c r="W829" s="146"/>
    </row>
    <row r="830">
      <c r="A830" s="146"/>
      <c r="B830" s="146"/>
      <c r="C830" s="146"/>
      <c r="D830" s="147"/>
      <c r="E830" s="146"/>
      <c r="F830" s="146"/>
      <c r="G830" s="146"/>
      <c r="H830" s="147"/>
      <c r="I830" s="146"/>
      <c r="J830" s="148"/>
      <c r="K830" s="148"/>
      <c r="L830" s="148"/>
      <c r="M830" s="147"/>
      <c r="N830" s="146"/>
      <c r="O830" s="147"/>
      <c r="P830" s="147"/>
      <c r="Q830" s="147"/>
      <c r="R830" s="146"/>
      <c r="S830" s="146"/>
      <c r="T830" s="146"/>
      <c r="U830" s="146"/>
      <c r="V830" s="147"/>
      <c r="W830" s="146"/>
    </row>
    <row r="831">
      <c r="A831" s="146"/>
      <c r="B831" s="146"/>
      <c r="C831" s="146"/>
      <c r="D831" s="147"/>
      <c r="E831" s="146"/>
      <c r="F831" s="146"/>
      <c r="G831" s="146"/>
      <c r="H831" s="147"/>
      <c r="I831" s="146"/>
      <c r="J831" s="148"/>
      <c r="K831" s="148"/>
      <c r="L831" s="148"/>
      <c r="M831" s="147"/>
      <c r="N831" s="146"/>
      <c r="O831" s="147"/>
      <c r="P831" s="147"/>
      <c r="Q831" s="147"/>
      <c r="R831" s="146"/>
      <c r="S831" s="146"/>
      <c r="T831" s="146"/>
      <c r="U831" s="146"/>
      <c r="V831" s="147"/>
      <c r="W831" s="146"/>
    </row>
    <row r="832">
      <c r="A832" s="146"/>
      <c r="B832" s="146"/>
      <c r="C832" s="146"/>
      <c r="D832" s="147"/>
      <c r="E832" s="146"/>
      <c r="F832" s="146"/>
      <c r="G832" s="146"/>
      <c r="H832" s="147"/>
      <c r="I832" s="146"/>
      <c r="J832" s="148"/>
      <c r="K832" s="148"/>
      <c r="L832" s="148"/>
      <c r="M832" s="147"/>
      <c r="N832" s="146"/>
      <c r="O832" s="147"/>
      <c r="P832" s="147"/>
      <c r="Q832" s="147"/>
      <c r="R832" s="146"/>
      <c r="S832" s="146"/>
      <c r="T832" s="146"/>
      <c r="U832" s="146"/>
      <c r="V832" s="147"/>
      <c r="W832" s="146"/>
    </row>
    <row r="833">
      <c r="A833" s="146"/>
      <c r="B833" s="146"/>
      <c r="C833" s="146"/>
      <c r="D833" s="147"/>
      <c r="E833" s="146"/>
      <c r="F833" s="146"/>
      <c r="G833" s="146"/>
      <c r="H833" s="147"/>
      <c r="I833" s="146"/>
      <c r="J833" s="148"/>
      <c r="K833" s="148"/>
      <c r="L833" s="148"/>
      <c r="M833" s="147"/>
      <c r="N833" s="146"/>
      <c r="O833" s="147"/>
      <c r="P833" s="147"/>
      <c r="Q833" s="147"/>
      <c r="R833" s="146"/>
      <c r="S833" s="146"/>
      <c r="T833" s="146"/>
      <c r="U833" s="146"/>
      <c r="V833" s="147"/>
      <c r="W833" s="146"/>
    </row>
    <row r="834">
      <c r="A834" s="146"/>
      <c r="B834" s="146"/>
      <c r="C834" s="146"/>
      <c r="D834" s="147"/>
      <c r="E834" s="146"/>
      <c r="F834" s="146"/>
      <c r="G834" s="146"/>
      <c r="H834" s="147"/>
      <c r="I834" s="146"/>
      <c r="J834" s="148"/>
      <c r="K834" s="148"/>
      <c r="L834" s="148"/>
      <c r="M834" s="147"/>
      <c r="N834" s="146"/>
      <c r="O834" s="147"/>
      <c r="P834" s="147"/>
      <c r="Q834" s="147"/>
      <c r="R834" s="146"/>
      <c r="S834" s="146"/>
      <c r="T834" s="146"/>
      <c r="U834" s="146"/>
      <c r="V834" s="147"/>
      <c r="W834" s="146"/>
    </row>
    <row r="835">
      <c r="A835" s="146"/>
      <c r="B835" s="146"/>
      <c r="C835" s="146"/>
      <c r="D835" s="147"/>
      <c r="E835" s="146"/>
      <c r="F835" s="146"/>
      <c r="G835" s="146"/>
      <c r="H835" s="147"/>
      <c r="I835" s="146"/>
      <c r="J835" s="148"/>
      <c r="K835" s="148"/>
      <c r="L835" s="148"/>
      <c r="M835" s="147"/>
      <c r="N835" s="146"/>
      <c r="O835" s="147"/>
      <c r="P835" s="147"/>
      <c r="Q835" s="147"/>
      <c r="R835" s="146"/>
      <c r="S835" s="146"/>
      <c r="T835" s="146"/>
      <c r="U835" s="146"/>
      <c r="V835" s="147"/>
      <c r="W835" s="146"/>
    </row>
    <row r="836">
      <c r="A836" s="146"/>
      <c r="B836" s="146"/>
      <c r="C836" s="146"/>
      <c r="D836" s="147"/>
      <c r="E836" s="146"/>
      <c r="F836" s="146"/>
      <c r="G836" s="146"/>
      <c r="H836" s="147"/>
      <c r="I836" s="146"/>
      <c r="J836" s="148"/>
      <c r="K836" s="148"/>
      <c r="L836" s="148"/>
      <c r="M836" s="147"/>
      <c r="N836" s="146"/>
      <c r="O836" s="147"/>
      <c r="P836" s="147"/>
      <c r="Q836" s="147"/>
      <c r="R836" s="146"/>
      <c r="S836" s="146"/>
      <c r="T836" s="146"/>
      <c r="U836" s="146"/>
      <c r="V836" s="147"/>
      <c r="W836" s="146"/>
    </row>
    <row r="837">
      <c r="A837" s="146"/>
      <c r="B837" s="146"/>
      <c r="C837" s="146"/>
      <c r="D837" s="147"/>
      <c r="E837" s="146"/>
      <c r="F837" s="146"/>
      <c r="G837" s="146"/>
      <c r="H837" s="147"/>
      <c r="I837" s="146"/>
      <c r="J837" s="148"/>
      <c r="K837" s="148"/>
      <c r="L837" s="148"/>
      <c r="M837" s="147"/>
      <c r="N837" s="146"/>
      <c r="O837" s="147"/>
      <c r="P837" s="147"/>
      <c r="Q837" s="147"/>
      <c r="R837" s="146"/>
      <c r="S837" s="146"/>
      <c r="T837" s="146"/>
      <c r="U837" s="146"/>
      <c r="V837" s="147"/>
      <c r="W837" s="146"/>
    </row>
    <row r="838">
      <c r="A838" s="146"/>
      <c r="B838" s="146"/>
      <c r="C838" s="146"/>
      <c r="D838" s="147"/>
      <c r="E838" s="146"/>
      <c r="F838" s="146"/>
      <c r="G838" s="146"/>
      <c r="H838" s="147"/>
      <c r="I838" s="146"/>
      <c r="J838" s="148"/>
      <c r="K838" s="148"/>
      <c r="L838" s="148"/>
      <c r="M838" s="147"/>
      <c r="N838" s="146"/>
      <c r="O838" s="147"/>
      <c r="P838" s="147"/>
      <c r="Q838" s="147"/>
      <c r="R838" s="146"/>
      <c r="S838" s="146"/>
      <c r="T838" s="146"/>
      <c r="U838" s="146"/>
      <c r="V838" s="147"/>
      <c r="W838" s="146"/>
    </row>
    <row r="839">
      <c r="A839" s="146"/>
      <c r="B839" s="146"/>
      <c r="C839" s="146"/>
      <c r="D839" s="147"/>
      <c r="E839" s="146"/>
      <c r="F839" s="146"/>
      <c r="G839" s="146"/>
      <c r="H839" s="147"/>
      <c r="I839" s="146"/>
      <c r="J839" s="148"/>
      <c r="K839" s="148"/>
      <c r="L839" s="148"/>
      <c r="M839" s="147"/>
      <c r="N839" s="146"/>
      <c r="O839" s="147"/>
      <c r="P839" s="147"/>
      <c r="Q839" s="147"/>
      <c r="R839" s="146"/>
      <c r="S839" s="146"/>
      <c r="T839" s="146"/>
      <c r="U839" s="146"/>
      <c r="V839" s="147"/>
      <c r="W839" s="146"/>
    </row>
    <row r="840">
      <c r="A840" s="146"/>
      <c r="B840" s="146"/>
      <c r="C840" s="146"/>
      <c r="D840" s="147"/>
      <c r="E840" s="146"/>
      <c r="F840" s="146"/>
      <c r="G840" s="146"/>
      <c r="H840" s="147"/>
      <c r="I840" s="146"/>
      <c r="J840" s="148"/>
      <c r="K840" s="148"/>
      <c r="L840" s="148"/>
      <c r="M840" s="147"/>
      <c r="N840" s="146"/>
      <c r="O840" s="147"/>
      <c r="P840" s="147"/>
      <c r="Q840" s="147"/>
      <c r="R840" s="146"/>
      <c r="S840" s="146"/>
      <c r="T840" s="146"/>
      <c r="U840" s="146"/>
      <c r="V840" s="147"/>
      <c r="W840" s="146"/>
    </row>
    <row r="841">
      <c r="A841" s="146"/>
      <c r="B841" s="146"/>
      <c r="C841" s="146"/>
      <c r="D841" s="147"/>
      <c r="E841" s="146"/>
      <c r="F841" s="146"/>
      <c r="G841" s="146"/>
      <c r="H841" s="147"/>
      <c r="I841" s="146"/>
      <c r="J841" s="148"/>
      <c r="K841" s="148"/>
      <c r="L841" s="148"/>
      <c r="M841" s="147"/>
      <c r="N841" s="146"/>
      <c r="O841" s="147"/>
      <c r="P841" s="147"/>
      <c r="Q841" s="147"/>
      <c r="R841" s="146"/>
      <c r="S841" s="146"/>
      <c r="T841" s="146"/>
      <c r="U841" s="146"/>
      <c r="V841" s="147"/>
      <c r="W841" s="146"/>
    </row>
    <row r="842">
      <c r="A842" s="146"/>
      <c r="B842" s="146"/>
      <c r="C842" s="146"/>
      <c r="D842" s="147"/>
      <c r="E842" s="146"/>
      <c r="F842" s="146"/>
      <c r="G842" s="146"/>
      <c r="H842" s="147"/>
      <c r="I842" s="146"/>
      <c r="J842" s="148"/>
      <c r="K842" s="148"/>
      <c r="L842" s="148"/>
      <c r="M842" s="147"/>
      <c r="N842" s="146"/>
      <c r="O842" s="147"/>
      <c r="P842" s="147"/>
      <c r="Q842" s="147"/>
      <c r="R842" s="146"/>
      <c r="S842" s="146"/>
      <c r="T842" s="146"/>
      <c r="U842" s="146"/>
      <c r="V842" s="147"/>
      <c r="W842" s="146"/>
    </row>
    <row r="843">
      <c r="A843" s="146"/>
      <c r="B843" s="146"/>
      <c r="C843" s="146"/>
      <c r="D843" s="147"/>
      <c r="E843" s="146"/>
      <c r="F843" s="146"/>
      <c r="G843" s="146"/>
      <c r="H843" s="147"/>
      <c r="I843" s="146"/>
      <c r="J843" s="148"/>
      <c r="K843" s="148"/>
      <c r="L843" s="148"/>
      <c r="M843" s="147"/>
      <c r="N843" s="146"/>
      <c r="O843" s="147"/>
      <c r="P843" s="147"/>
      <c r="Q843" s="147"/>
      <c r="R843" s="146"/>
      <c r="S843" s="146"/>
      <c r="T843" s="146"/>
      <c r="U843" s="146"/>
      <c r="V843" s="147"/>
      <c r="W843" s="146"/>
    </row>
    <row r="844">
      <c r="A844" s="146"/>
      <c r="B844" s="146"/>
      <c r="C844" s="146"/>
      <c r="D844" s="147"/>
      <c r="E844" s="146"/>
      <c r="F844" s="146"/>
      <c r="G844" s="146"/>
      <c r="H844" s="147"/>
      <c r="I844" s="146"/>
      <c r="J844" s="148"/>
      <c r="K844" s="148"/>
      <c r="L844" s="148"/>
      <c r="M844" s="147"/>
      <c r="N844" s="146"/>
      <c r="O844" s="147"/>
      <c r="P844" s="147"/>
      <c r="Q844" s="147"/>
      <c r="R844" s="146"/>
      <c r="S844" s="146"/>
      <c r="T844" s="146"/>
      <c r="U844" s="146"/>
      <c r="V844" s="147"/>
      <c r="W844" s="146"/>
    </row>
    <row r="845">
      <c r="A845" s="146"/>
      <c r="B845" s="146"/>
      <c r="C845" s="146"/>
      <c r="D845" s="147"/>
      <c r="E845" s="146"/>
      <c r="F845" s="146"/>
      <c r="G845" s="146"/>
      <c r="H845" s="147"/>
      <c r="I845" s="146"/>
      <c r="J845" s="148"/>
      <c r="K845" s="148"/>
      <c r="L845" s="148"/>
      <c r="M845" s="147"/>
      <c r="N845" s="146"/>
      <c r="O845" s="147"/>
      <c r="P845" s="147"/>
      <c r="Q845" s="147"/>
      <c r="R845" s="146"/>
      <c r="S845" s="146"/>
      <c r="T845" s="146"/>
      <c r="U845" s="146"/>
      <c r="V845" s="147"/>
      <c r="W845" s="146"/>
    </row>
    <row r="846">
      <c r="A846" s="146"/>
      <c r="B846" s="146"/>
      <c r="C846" s="146"/>
      <c r="D846" s="147"/>
      <c r="E846" s="146"/>
      <c r="F846" s="146"/>
      <c r="G846" s="146"/>
      <c r="H846" s="147"/>
      <c r="I846" s="146"/>
      <c r="J846" s="148"/>
      <c r="K846" s="148"/>
      <c r="L846" s="148"/>
      <c r="M846" s="147"/>
      <c r="N846" s="146"/>
      <c r="O846" s="147"/>
      <c r="P846" s="147"/>
      <c r="Q846" s="147"/>
      <c r="R846" s="146"/>
      <c r="S846" s="146"/>
      <c r="T846" s="146"/>
      <c r="U846" s="146"/>
      <c r="V846" s="147"/>
      <c r="W846" s="146"/>
    </row>
    <row r="847">
      <c r="A847" s="146"/>
      <c r="B847" s="146"/>
      <c r="C847" s="146"/>
      <c r="D847" s="147"/>
      <c r="E847" s="146"/>
      <c r="F847" s="146"/>
      <c r="G847" s="146"/>
      <c r="H847" s="147"/>
      <c r="I847" s="146"/>
      <c r="J847" s="148"/>
      <c r="K847" s="148"/>
      <c r="L847" s="148"/>
      <c r="M847" s="147"/>
      <c r="N847" s="146"/>
      <c r="O847" s="147"/>
      <c r="P847" s="147"/>
      <c r="Q847" s="147"/>
      <c r="R847" s="146"/>
      <c r="S847" s="146"/>
      <c r="T847" s="146"/>
      <c r="U847" s="146"/>
      <c r="V847" s="147"/>
      <c r="W847" s="146"/>
    </row>
    <row r="848">
      <c r="A848" s="146"/>
      <c r="B848" s="146"/>
      <c r="C848" s="146"/>
      <c r="D848" s="147"/>
      <c r="E848" s="146"/>
      <c r="F848" s="146"/>
      <c r="G848" s="146"/>
      <c r="H848" s="147"/>
      <c r="I848" s="146"/>
      <c r="J848" s="148"/>
      <c r="K848" s="148"/>
      <c r="L848" s="148"/>
      <c r="M848" s="147"/>
      <c r="N848" s="146"/>
      <c r="O848" s="147"/>
      <c r="P848" s="147"/>
      <c r="Q848" s="147"/>
      <c r="R848" s="146"/>
      <c r="S848" s="146"/>
      <c r="T848" s="146"/>
      <c r="U848" s="146"/>
      <c r="V848" s="147"/>
      <c r="W848" s="146"/>
    </row>
    <row r="849">
      <c r="A849" s="146"/>
      <c r="B849" s="146"/>
      <c r="C849" s="146"/>
      <c r="D849" s="147"/>
      <c r="E849" s="146"/>
      <c r="F849" s="146"/>
      <c r="G849" s="146"/>
      <c r="H849" s="147"/>
      <c r="I849" s="146"/>
      <c r="J849" s="148"/>
      <c r="K849" s="148"/>
      <c r="L849" s="148"/>
      <c r="M849" s="147"/>
      <c r="N849" s="146"/>
      <c r="O849" s="147"/>
      <c r="P849" s="147"/>
      <c r="Q849" s="147"/>
      <c r="R849" s="146"/>
      <c r="S849" s="146"/>
      <c r="T849" s="146"/>
      <c r="U849" s="146"/>
      <c r="V849" s="147"/>
      <c r="W849" s="146"/>
    </row>
    <row r="850">
      <c r="A850" s="146"/>
      <c r="B850" s="146"/>
      <c r="C850" s="146"/>
      <c r="D850" s="147"/>
      <c r="E850" s="146"/>
      <c r="F850" s="146"/>
      <c r="G850" s="146"/>
      <c r="H850" s="147"/>
      <c r="I850" s="146"/>
      <c r="J850" s="148"/>
      <c r="K850" s="148"/>
      <c r="L850" s="148"/>
      <c r="M850" s="147"/>
      <c r="N850" s="146"/>
      <c r="O850" s="147"/>
      <c r="P850" s="147"/>
      <c r="Q850" s="147"/>
      <c r="R850" s="146"/>
      <c r="S850" s="146"/>
      <c r="T850" s="146"/>
      <c r="U850" s="146"/>
      <c r="V850" s="147"/>
      <c r="W850" s="146"/>
    </row>
    <row r="851">
      <c r="A851" s="146"/>
      <c r="B851" s="146"/>
      <c r="C851" s="146"/>
      <c r="D851" s="147"/>
      <c r="E851" s="146"/>
      <c r="F851" s="146"/>
      <c r="G851" s="146"/>
      <c r="H851" s="147"/>
      <c r="I851" s="146"/>
      <c r="J851" s="148"/>
      <c r="K851" s="148"/>
      <c r="L851" s="148"/>
      <c r="M851" s="147"/>
      <c r="N851" s="146"/>
      <c r="O851" s="147"/>
      <c r="P851" s="147"/>
      <c r="Q851" s="147"/>
      <c r="R851" s="146"/>
      <c r="S851" s="146"/>
      <c r="T851" s="146"/>
      <c r="U851" s="146"/>
      <c r="V851" s="147"/>
      <c r="W851" s="146"/>
    </row>
    <row r="852">
      <c r="A852" s="146"/>
      <c r="B852" s="146"/>
      <c r="C852" s="146"/>
      <c r="D852" s="147"/>
      <c r="E852" s="146"/>
      <c r="F852" s="146"/>
      <c r="G852" s="146"/>
      <c r="H852" s="147"/>
      <c r="I852" s="146"/>
      <c r="J852" s="148"/>
      <c r="K852" s="148"/>
      <c r="L852" s="148"/>
      <c r="M852" s="147"/>
      <c r="N852" s="146"/>
      <c r="O852" s="147"/>
      <c r="P852" s="147"/>
      <c r="Q852" s="147"/>
      <c r="R852" s="146"/>
      <c r="S852" s="146"/>
      <c r="T852" s="146"/>
      <c r="U852" s="146"/>
      <c r="V852" s="147"/>
      <c r="W852" s="146"/>
    </row>
    <row r="853">
      <c r="A853" s="146"/>
      <c r="B853" s="146"/>
      <c r="C853" s="146"/>
      <c r="D853" s="147"/>
      <c r="E853" s="146"/>
      <c r="F853" s="146"/>
      <c r="G853" s="146"/>
      <c r="H853" s="147"/>
      <c r="I853" s="146"/>
      <c r="J853" s="148"/>
      <c r="K853" s="148"/>
      <c r="L853" s="148"/>
      <c r="M853" s="147"/>
      <c r="N853" s="146"/>
      <c r="O853" s="147"/>
      <c r="P853" s="147"/>
      <c r="Q853" s="147"/>
      <c r="R853" s="146"/>
      <c r="S853" s="146"/>
      <c r="T853" s="146"/>
      <c r="U853" s="146"/>
      <c r="V853" s="147"/>
      <c r="W853" s="146"/>
    </row>
    <row r="854">
      <c r="A854" s="146"/>
      <c r="B854" s="146"/>
      <c r="C854" s="146"/>
      <c r="D854" s="147"/>
      <c r="E854" s="146"/>
      <c r="F854" s="146"/>
      <c r="G854" s="146"/>
      <c r="H854" s="147"/>
      <c r="I854" s="146"/>
      <c r="J854" s="148"/>
      <c r="K854" s="148"/>
      <c r="L854" s="148"/>
      <c r="M854" s="147"/>
      <c r="N854" s="146"/>
      <c r="O854" s="147"/>
      <c r="P854" s="147"/>
      <c r="Q854" s="147"/>
      <c r="R854" s="146"/>
      <c r="S854" s="146"/>
      <c r="T854" s="146"/>
      <c r="U854" s="146"/>
      <c r="V854" s="147"/>
      <c r="W854" s="146"/>
    </row>
    <row r="855">
      <c r="A855" s="146"/>
      <c r="B855" s="146"/>
      <c r="C855" s="146"/>
      <c r="D855" s="147"/>
      <c r="E855" s="146"/>
      <c r="F855" s="146"/>
      <c r="G855" s="146"/>
      <c r="H855" s="147"/>
      <c r="I855" s="146"/>
      <c r="J855" s="148"/>
      <c r="K855" s="148"/>
      <c r="L855" s="148"/>
      <c r="M855" s="147"/>
      <c r="N855" s="146"/>
      <c r="O855" s="147"/>
      <c r="P855" s="147"/>
      <c r="Q855" s="147"/>
      <c r="R855" s="146"/>
      <c r="S855" s="146"/>
      <c r="T855" s="146"/>
      <c r="U855" s="146"/>
      <c r="V855" s="147"/>
      <c r="W855" s="146"/>
    </row>
    <row r="856">
      <c r="A856" s="146"/>
      <c r="B856" s="146"/>
      <c r="C856" s="146"/>
      <c r="D856" s="147"/>
      <c r="E856" s="146"/>
      <c r="F856" s="146"/>
      <c r="G856" s="146"/>
      <c r="H856" s="147"/>
      <c r="I856" s="146"/>
      <c r="J856" s="148"/>
      <c r="K856" s="148"/>
      <c r="L856" s="148"/>
      <c r="M856" s="147"/>
      <c r="N856" s="146"/>
      <c r="O856" s="147"/>
      <c r="P856" s="147"/>
      <c r="Q856" s="147"/>
      <c r="R856" s="146"/>
      <c r="S856" s="146"/>
      <c r="T856" s="146"/>
      <c r="U856" s="146"/>
      <c r="V856" s="147"/>
      <c r="W856" s="146"/>
    </row>
    <row r="857">
      <c r="A857" s="146"/>
      <c r="B857" s="146"/>
      <c r="C857" s="146"/>
      <c r="D857" s="147"/>
      <c r="E857" s="146"/>
      <c r="F857" s="146"/>
      <c r="G857" s="146"/>
      <c r="H857" s="147"/>
      <c r="I857" s="146"/>
      <c r="J857" s="148"/>
      <c r="K857" s="148"/>
      <c r="L857" s="148"/>
      <c r="M857" s="147"/>
      <c r="N857" s="146"/>
      <c r="O857" s="147"/>
      <c r="P857" s="147"/>
      <c r="Q857" s="147"/>
      <c r="R857" s="146"/>
      <c r="S857" s="146"/>
      <c r="T857" s="146"/>
      <c r="U857" s="146"/>
      <c r="V857" s="147"/>
      <c r="W857" s="146"/>
    </row>
    <row r="858">
      <c r="A858" s="146"/>
      <c r="B858" s="146"/>
      <c r="C858" s="146"/>
      <c r="D858" s="147"/>
      <c r="E858" s="146"/>
      <c r="F858" s="146"/>
      <c r="G858" s="146"/>
      <c r="H858" s="147"/>
      <c r="I858" s="146"/>
      <c r="J858" s="148"/>
      <c r="K858" s="148"/>
      <c r="L858" s="148"/>
      <c r="M858" s="147"/>
      <c r="N858" s="146"/>
      <c r="O858" s="147"/>
      <c r="P858" s="147"/>
      <c r="Q858" s="147"/>
      <c r="R858" s="146"/>
      <c r="S858" s="146"/>
      <c r="T858" s="146"/>
      <c r="U858" s="146"/>
      <c r="V858" s="147"/>
      <c r="W858" s="146"/>
    </row>
    <row r="859">
      <c r="A859" s="146"/>
      <c r="B859" s="146"/>
      <c r="C859" s="146"/>
      <c r="D859" s="147"/>
      <c r="E859" s="146"/>
      <c r="F859" s="146"/>
      <c r="G859" s="146"/>
      <c r="H859" s="147"/>
      <c r="I859" s="146"/>
      <c r="J859" s="148"/>
      <c r="K859" s="148"/>
      <c r="L859" s="148"/>
      <c r="M859" s="147"/>
      <c r="N859" s="146"/>
      <c r="O859" s="147"/>
      <c r="P859" s="147"/>
      <c r="Q859" s="147"/>
      <c r="R859" s="146"/>
      <c r="S859" s="146"/>
      <c r="T859" s="146"/>
      <c r="U859" s="146"/>
      <c r="V859" s="147"/>
      <c r="W859" s="146"/>
    </row>
    <row r="860">
      <c r="A860" s="146"/>
      <c r="B860" s="146"/>
      <c r="C860" s="146"/>
      <c r="D860" s="147"/>
      <c r="E860" s="146"/>
      <c r="F860" s="146"/>
      <c r="G860" s="146"/>
      <c r="H860" s="147"/>
      <c r="I860" s="146"/>
      <c r="J860" s="148"/>
      <c r="K860" s="148"/>
      <c r="L860" s="148"/>
      <c r="M860" s="147"/>
      <c r="N860" s="146"/>
      <c r="O860" s="147"/>
      <c r="P860" s="147"/>
      <c r="Q860" s="147"/>
      <c r="R860" s="146"/>
      <c r="S860" s="146"/>
      <c r="T860" s="146"/>
      <c r="U860" s="146"/>
      <c r="V860" s="147"/>
      <c r="W860" s="146"/>
    </row>
    <row r="861">
      <c r="A861" s="146"/>
      <c r="B861" s="146"/>
      <c r="C861" s="146"/>
      <c r="D861" s="147"/>
      <c r="E861" s="146"/>
      <c r="F861" s="146"/>
      <c r="G861" s="146"/>
      <c r="H861" s="147"/>
      <c r="I861" s="146"/>
      <c r="J861" s="148"/>
      <c r="K861" s="148"/>
      <c r="L861" s="148"/>
      <c r="M861" s="147"/>
      <c r="N861" s="146"/>
      <c r="O861" s="147"/>
      <c r="P861" s="147"/>
      <c r="Q861" s="147"/>
      <c r="R861" s="146"/>
      <c r="S861" s="146"/>
      <c r="T861" s="146"/>
      <c r="U861" s="146"/>
      <c r="V861" s="147"/>
      <c r="W861" s="146"/>
    </row>
    <row r="862">
      <c r="A862" s="146"/>
      <c r="B862" s="146"/>
      <c r="C862" s="146"/>
      <c r="D862" s="147"/>
      <c r="E862" s="146"/>
      <c r="F862" s="146"/>
      <c r="G862" s="146"/>
      <c r="H862" s="147"/>
      <c r="I862" s="146"/>
      <c r="J862" s="148"/>
      <c r="K862" s="148"/>
      <c r="L862" s="148"/>
      <c r="M862" s="147"/>
      <c r="N862" s="146"/>
      <c r="O862" s="147"/>
      <c r="P862" s="147"/>
      <c r="Q862" s="147"/>
      <c r="R862" s="146"/>
      <c r="S862" s="146"/>
      <c r="T862" s="146"/>
      <c r="U862" s="146"/>
      <c r="V862" s="147"/>
      <c r="W862" s="146"/>
    </row>
    <row r="863">
      <c r="A863" s="146"/>
      <c r="B863" s="146"/>
      <c r="C863" s="146"/>
      <c r="D863" s="147"/>
      <c r="E863" s="146"/>
      <c r="F863" s="146"/>
      <c r="G863" s="146"/>
      <c r="H863" s="147"/>
      <c r="I863" s="146"/>
      <c r="J863" s="148"/>
      <c r="K863" s="148"/>
      <c r="L863" s="148"/>
      <c r="M863" s="147"/>
      <c r="N863" s="146"/>
      <c r="O863" s="147"/>
      <c r="P863" s="147"/>
      <c r="Q863" s="147"/>
      <c r="R863" s="146"/>
      <c r="S863" s="146"/>
      <c r="T863" s="146"/>
      <c r="U863" s="146"/>
      <c r="V863" s="147"/>
      <c r="W863" s="146"/>
    </row>
    <row r="864">
      <c r="A864" s="146"/>
      <c r="B864" s="146"/>
      <c r="C864" s="146"/>
      <c r="D864" s="147"/>
      <c r="E864" s="146"/>
      <c r="F864" s="146"/>
      <c r="G864" s="146"/>
      <c r="H864" s="147"/>
      <c r="I864" s="146"/>
      <c r="J864" s="148"/>
      <c r="K864" s="148"/>
      <c r="L864" s="148"/>
      <c r="M864" s="147"/>
      <c r="N864" s="146"/>
      <c r="O864" s="147"/>
      <c r="P864" s="147"/>
      <c r="Q864" s="147"/>
      <c r="R864" s="146"/>
      <c r="S864" s="146"/>
      <c r="T864" s="146"/>
      <c r="U864" s="146"/>
      <c r="V864" s="147"/>
      <c r="W864" s="146"/>
    </row>
    <row r="865">
      <c r="A865" s="146"/>
      <c r="B865" s="146"/>
      <c r="C865" s="146"/>
      <c r="D865" s="147"/>
      <c r="E865" s="146"/>
      <c r="F865" s="146"/>
      <c r="G865" s="146"/>
      <c r="H865" s="147"/>
      <c r="I865" s="146"/>
      <c r="J865" s="148"/>
      <c r="K865" s="148"/>
      <c r="L865" s="148"/>
      <c r="M865" s="147"/>
      <c r="N865" s="146"/>
      <c r="O865" s="147"/>
      <c r="P865" s="147"/>
      <c r="Q865" s="147"/>
      <c r="R865" s="146"/>
      <c r="S865" s="146"/>
      <c r="T865" s="146"/>
      <c r="U865" s="146"/>
      <c r="V865" s="147"/>
      <c r="W865" s="146"/>
    </row>
    <row r="866">
      <c r="A866" s="146"/>
      <c r="B866" s="146"/>
      <c r="C866" s="146"/>
      <c r="D866" s="147"/>
      <c r="E866" s="146"/>
      <c r="F866" s="146"/>
      <c r="G866" s="146"/>
      <c r="H866" s="147"/>
      <c r="I866" s="146"/>
      <c r="J866" s="148"/>
      <c r="K866" s="148"/>
      <c r="L866" s="148"/>
      <c r="M866" s="147"/>
      <c r="N866" s="146"/>
      <c r="O866" s="147"/>
      <c r="P866" s="147"/>
      <c r="Q866" s="147"/>
      <c r="R866" s="146"/>
      <c r="S866" s="146"/>
      <c r="T866" s="146"/>
      <c r="U866" s="146"/>
      <c r="V866" s="147"/>
      <c r="W866" s="146"/>
    </row>
    <row r="867">
      <c r="A867" s="146"/>
      <c r="B867" s="146"/>
      <c r="C867" s="146"/>
      <c r="D867" s="147"/>
      <c r="E867" s="146"/>
      <c r="F867" s="146"/>
      <c r="G867" s="146"/>
      <c r="H867" s="147"/>
      <c r="I867" s="146"/>
      <c r="J867" s="148"/>
      <c r="K867" s="148"/>
      <c r="L867" s="148"/>
      <c r="M867" s="147"/>
      <c r="N867" s="146"/>
      <c r="O867" s="147"/>
      <c r="P867" s="147"/>
      <c r="Q867" s="147"/>
      <c r="R867" s="146"/>
      <c r="S867" s="146"/>
      <c r="T867" s="146"/>
      <c r="U867" s="146"/>
      <c r="V867" s="147"/>
      <c r="W867" s="146"/>
    </row>
    <row r="868">
      <c r="A868" s="146"/>
      <c r="B868" s="146"/>
      <c r="C868" s="146"/>
      <c r="D868" s="147"/>
      <c r="E868" s="146"/>
      <c r="F868" s="146"/>
      <c r="G868" s="146"/>
      <c r="H868" s="147"/>
      <c r="I868" s="146"/>
      <c r="J868" s="148"/>
      <c r="K868" s="148"/>
      <c r="L868" s="148"/>
      <c r="M868" s="147"/>
      <c r="N868" s="146"/>
      <c r="O868" s="147"/>
      <c r="P868" s="147"/>
      <c r="Q868" s="147"/>
      <c r="R868" s="146"/>
      <c r="S868" s="146"/>
      <c r="T868" s="146"/>
      <c r="U868" s="146"/>
      <c r="V868" s="147"/>
      <c r="W868" s="146"/>
    </row>
    <row r="869">
      <c r="A869" s="146"/>
      <c r="B869" s="146"/>
      <c r="C869" s="146"/>
      <c r="D869" s="147"/>
      <c r="E869" s="146"/>
      <c r="F869" s="146"/>
      <c r="G869" s="146"/>
      <c r="H869" s="147"/>
      <c r="I869" s="146"/>
      <c r="J869" s="148"/>
      <c r="K869" s="148"/>
      <c r="L869" s="148"/>
      <c r="M869" s="147"/>
      <c r="N869" s="146"/>
      <c r="O869" s="147"/>
      <c r="P869" s="147"/>
      <c r="Q869" s="147"/>
      <c r="R869" s="146"/>
      <c r="S869" s="146"/>
      <c r="T869" s="146"/>
      <c r="U869" s="146"/>
      <c r="V869" s="147"/>
      <c r="W869" s="146"/>
    </row>
    <row r="870">
      <c r="A870" s="146"/>
      <c r="B870" s="146"/>
      <c r="C870" s="146"/>
      <c r="D870" s="147"/>
      <c r="E870" s="146"/>
      <c r="F870" s="146"/>
      <c r="G870" s="146"/>
      <c r="H870" s="147"/>
      <c r="I870" s="146"/>
      <c r="J870" s="148"/>
      <c r="K870" s="148"/>
      <c r="L870" s="148"/>
      <c r="M870" s="147"/>
      <c r="N870" s="146"/>
      <c r="O870" s="147"/>
      <c r="P870" s="147"/>
      <c r="Q870" s="147"/>
      <c r="R870" s="146"/>
      <c r="S870" s="146"/>
      <c r="T870" s="146"/>
      <c r="U870" s="146"/>
      <c r="V870" s="147"/>
      <c r="W870" s="146"/>
    </row>
    <row r="871">
      <c r="A871" s="146"/>
      <c r="B871" s="146"/>
      <c r="C871" s="146"/>
      <c r="D871" s="147"/>
      <c r="E871" s="146"/>
      <c r="F871" s="146"/>
      <c r="G871" s="146"/>
      <c r="H871" s="147"/>
      <c r="I871" s="146"/>
      <c r="J871" s="148"/>
      <c r="K871" s="148"/>
      <c r="L871" s="148"/>
      <c r="M871" s="147"/>
      <c r="N871" s="146"/>
      <c r="O871" s="147"/>
      <c r="P871" s="147"/>
      <c r="Q871" s="147"/>
      <c r="R871" s="146"/>
      <c r="S871" s="146"/>
      <c r="T871" s="146"/>
      <c r="U871" s="146"/>
      <c r="V871" s="147"/>
      <c r="W871" s="146"/>
    </row>
    <row r="872">
      <c r="A872" s="146"/>
      <c r="B872" s="146"/>
      <c r="C872" s="146"/>
      <c r="D872" s="147"/>
      <c r="E872" s="146"/>
      <c r="F872" s="146"/>
      <c r="G872" s="146"/>
      <c r="H872" s="147"/>
      <c r="I872" s="146"/>
      <c r="J872" s="148"/>
      <c r="K872" s="148"/>
      <c r="L872" s="148"/>
      <c r="M872" s="147"/>
      <c r="N872" s="146"/>
      <c r="O872" s="147"/>
      <c r="P872" s="147"/>
      <c r="Q872" s="147"/>
      <c r="R872" s="146"/>
      <c r="S872" s="146"/>
      <c r="T872" s="146"/>
      <c r="U872" s="146"/>
      <c r="V872" s="147"/>
      <c r="W872" s="146"/>
    </row>
    <row r="873">
      <c r="A873" s="146"/>
      <c r="B873" s="146"/>
      <c r="C873" s="146"/>
      <c r="D873" s="147"/>
      <c r="E873" s="146"/>
      <c r="F873" s="146"/>
      <c r="G873" s="146"/>
      <c r="H873" s="147"/>
      <c r="I873" s="146"/>
      <c r="J873" s="148"/>
      <c r="K873" s="148"/>
      <c r="L873" s="148"/>
      <c r="M873" s="147"/>
      <c r="N873" s="146"/>
      <c r="O873" s="147"/>
      <c r="P873" s="147"/>
      <c r="Q873" s="147"/>
      <c r="R873" s="146"/>
      <c r="S873" s="146"/>
      <c r="T873" s="146"/>
      <c r="U873" s="146"/>
      <c r="V873" s="147"/>
      <c r="W873" s="146"/>
    </row>
    <row r="874">
      <c r="A874" s="146"/>
      <c r="B874" s="146"/>
      <c r="C874" s="146"/>
      <c r="D874" s="147"/>
      <c r="E874" s="146"/>
      <c r="F874" s="146"/>
      <c r="G874" s="146"/>
      <c r="H874" s="147"/>
      <c r="I874" s="146"/>
      <c r="J874" s="148"/>
      <c r="K874" s="148"/>
      <c r="L874" s="148"/>
      <c r="M874" s="147"/>
      <c r="N874" s="146"/>
      <c r="O874" s="147"/>
      <c r="P874" s="147"/>
      <c r="Q874" s="147"/>
      <c r="R874" s="146"/>
      <c r="S874" s="146"/>
      <c r="T874" s="146"/>
      <c r="U874" s="146"/>
      <c r="V874" s="147"/>
      <c r="W874" s="146"/>
    </row>
    <row r="875">
      <c r="A875" s="146"/>
      <c r="B875" s="146"/>
      <c r="C875" s="146"/>
      <c r="D875" s="147"/>
      <c r="E875" s="146"/>
      <c r="F875" s="146"/>
      <c r="G875" s="146"/>
      <c r="H875" s="147"/>
      <c r="I875" s="146"/>
      <c r="J875" s="148"/>
      <c r="K875" s="148"/>
      <c r="L875" s="148"/>
      <c r="M875" s="147"/>
      <c r="N875" s="146"/>
      <c r="O875" s="147"/>
      <c r="P875" s="147"/>
      <c r="Q875" s="147"/>
      <c r="R875" s="146"/>
      <c r="S875" s="146"/>
      <c r="T875" s="146"/>
      <c r="U875" s="146"/>
      <c r="V875" s="147"/>
      <c r="W875" s="146"/>
    </row>
    <row r="876">
      <c r="A876" s="146"/>
      <c r="B876" s="146"/>
      <c r="C876" s="146"/>
      <c r="D876" s="147"/>
      <c r="E876" s="146"/>
      <c r="F876" s="146"/>
      <c r="G876" s="146"/>
      <c r="H876" s="147"/>
      <c r="I876" s="146"/>
      <c r="J876" s="148"/>
      <c r="K876" s="148"/>
      <c r="L876" s="148"/>
      <c r="M876" s="147"/>
      <c r="N876" s="146"/>
      <c r="O876" s="147"/>
      <c r="P876" s="147"/>
      <c r="Q876" s="147"/>
      <c r="R876" s="146"/>
      <c r="S876" s="146"/>
      <c r="T876" s="146"/>
      <c r="U876" s="146"/>
      <c r="V876" s="147"/>
      <c r="W876" s="146"/>
    </row>
    <row r="877">
      <c r="A877" s="146"/>
      <c r="B877" s="146"/>
      <c r="C877" s="146"/>
      <c r="D877" s="147"/>
      <c r="E877" s="146"/>
      <c r="F877" s="146"/>
      <c r="G877" s="146"/>
      <c r="H877" s="147"/>
      <c r="I877" s="146"/>
      <c r="J877" s="148"/>
      <c r="K877" s="148"/>
      <c r="L877" s="148"/>
      <c r="M877" s="147"/>
      <c r="N877" s="146"/>
      <c r="O877" s="147"/>
      <c r="P877" s="147"/>
      <c r="Q877" s="147"/>
      <c r="R877" s="146"/>
      <c r="S877" s="146"/>
      <c r="T877" s="146"/>
      <c r="U877" s="146"/>
      <c r="V877" s="147"/>
      <c r="W877" s="146"/>
    </row>
    <row r="878">
      <c r="A878" s="146"/>
      <c r="B878" s="146"/>
      <c r="C878" s="146"/>
      <c r="D878" s="147"/>
      <c r="E878" s="146"/>
      <c r="F878" s="146"/>
      <c r="G878" s="146"/>
      <c r="H878" s="147"/>
      <c r="I878" s="146"/>
      <c r="J878" s="148"/>
      <c r="K878" s="148"/>
      <c r="L878" s="148"/>
      <c r="M878" s="147"/>
      <c r="N878" s="146"/>
      <c r="O878" s="147"/>
      <c r="P878" s="147"/>
      <c r="Q878" s="147"/>
      <c r="R878" s="146"/>
      <c r="S878" s="146"/>
      <c r="T878" s="146"/>
      <c r="U878" s="146"/>
      <c r="V878" s="147"/>
      <c r="W878" s="146"/>
    </row>
    <row r="879">
      <c r="A879" s="146"/>
      <c r="B879" s="146"/>
      <c r="C879" s="146"/>
      <c r="D879" s="147"/>
      <c r="E879" s="146"/>
      <c r="F879" s="146"/>
      <c r="G879" s="146"/>
      <c r="H879" s="147"/>
      <c r="I879" s="146"/>
      <c r="J879" s="148"/>
      <c r="K879" s="148"/>
      <c r="L879" s="148"/>
      <c r="M879" s="147"/>
      <c r="N879" s="146"/>
      <c r="O879" s="147"/>
      <c r="P879" s="147"/>
      <c r="Q879" s="147"/>
      <c r="R879" s="146"/>
      <c r="S879" s="146"/>
      <c r="T879" s="146"/>
      <c r="U879" s="146"/>
      <c r="V879" s="147"/>
      <c r="W879" s="146"/>
    </row>
    <row r="880">
      <c r="A880" s="146"/>
      <c r="B880" s="146"/>
      <c r="C880" s="146"/>
      <c r="D880" s="147"/>
      <c r="E880" s="146"/>
      <c r="F880" s="146"/>
      <c r="G880" s="146"/>
      <c r="H880" s="147"/>
      <c r="I880" s="146"/>
      <c r="J880" s="148"/>
      <c r="K880" s="148"/>
      <c r="L880" s="148"/>
      <c r="M880" s="147"/>
      <c r="N880" s="146"/>
      <c r="O880" s="147"/>
      <c r="P880" s="147"/>
      <c r="Q880" s="147"/>
      <c r="R880" s="146"/>
      <c r="S880" s="146"/>
      <c r="T880" s="146"/>
      <c r="U880" s="146"/>
      <c r="V880" s="147"/>
      <c r="W880" s="146"/>
    </row>
    <row r="881">
      <c r="A881" s="146"/>
      <c r="B881" s="146"/>
      <c r="C881" s="146"/>
      <c r="D881" s="147"/>
      <c r="E881" s="146"/>
      <c r="F881" s="146"/>
      <c r="G881" s="146"/>
      <c r="H881" s="147"/>
      <c r="I881" s="146"/>
      <c r="J881" s="148"/>
      <c r="K881" s="148"/>
      <c r="L881" s="148"/>
      <c r="M881" s="147"/>
      <c r="N881" s="146"/>
      <c r="O881" s="147"/>
      <c r="P881" s="147"/>
      <c r="Q881" s="147"/>
      <c r="R881" s="146"/>
      <c r="S881" s="146"/>
      <c r="T881" s="146"/>
      <c r="U881" s="146"/>
      <c r="V881" s="147"/>
      <c r="W881" s="146"/>
    </row>
    <row r="882">
      <c r="A882" s="146"/>
      <c r="B882" s="146"/>
      <c r="C882" s="146"/>
      <c r="D882" s="147"/>
      <c r="E882" s="146"/>
      <c r="F882" s="146"/>
      <c r="G882" s="146"/>
      <c r="H882" s="147"/>
      <c r="I882" s="146"/>
      <c r="J882" s="148"/>
      <c r="K882" s="148"/>
      <c r="L882" s="148"/>
      <c r="M882" s="147"/>
      <c r="N882" s="146"/>
      <c r="O882" s="147"/>
      <c r="P882" s="147"/>
      <c r="Q882" s="147"/>
      <c r="R882" s="146"/>
      <c r="S882" s="146"/>
      <c r="T882" s="146"/>
      <c r="U882" s="146"/>
      <c r="V882" s="147"/>
      <c r="W882" s="146"/>
    </row>
    <row r="883">
      <c r="A883" s="146"/>
      <c r="B883" s="146"/>
      <c r="C883" s="146"/>
      <c r="D883" s="147"/>
      <c r="E883" s="146"/>
      <c r="F883" s="146"/>
      <c r="G883" s="146"/>
      <c r="H883" s="147"/>
      <c r="I883" s="146"/>
      <c r="J883" s="148"/>
      <c r="K883" s="148"/>
      <c r="L883" s="148"/>
      <c r="M883" s="147"/>
      <c r="N883" s="146"/>
      <c r="O883" s="147"/>
      <c r="P883" s="147"/>
      <c r="Q883" s="147"/>
      <c r="R883" s="146"/>
      <c r="S883" s="146"/>
      <c r="T883" s="146"/>
      <c r="U883" s="146"/>
      <c r="V883" s="147"/>
      <c r="W883" s="146"/>
    </row>
    <row r="884">
      <c r="A884" s="146"/>
      <c r="B884" s="146"/>
      <c r="C884" s="146"/>
      <c r="D884" s="147"/>
      <c r="E884" s="146"/>
      <c r="F884" s="146"/>
      <c r="G884" s="146"/>
      <c r="H884" s="147"/>
      <c r="I884" s="146"/>
      <c r="J884" s="148"/>
      <c r="K884" s="148"/>
      <c r="L884" s="148"/>
      <c r="M884" s="147"/>
      <c r="N884" s="146"/>
      <c r="O884" s="147"/>
      <c r="P884" s="147"/>
      <c r="Q884" s="147"/>
      <c r="R884" s="146"/>
      <c r="S884" s="146"/>
      <c r="T884" s="146"/>
      <c r="U884" s="146"/>
      <c r="V884" s="147"/>
      <c r="W884" s="146"/>
    </row>
    <row r="885">
      <c r="A885" s="146"/>
      <c r="B885" s="146"/>
      <c r="C885" s="146"/>
      <c r="D885" s="147"/>
      <c r="E885" s="146"/>
      <c r="F885" s="146"/>
      <c r="G885" s="146"/>
      <c r="H885" s="147"/>
      <c r="I885" s="146"/>
      <c r="J885" s="148"/>
      <c r="K885" s="148"/>
      <c r="L885" s="148"/>
      <c r="M885" s="147"/>
      <c r="N885" s="146"/>
      <c r="O885" s="147"/>
      <c r="P885" s="147"/>
      <c r="Q885" s="147"/>
      <c r="R885" s="146"/>
      <c r="S885" s="146"/>
      <c r="T885" s="146"/>
      <c r="U885" s="146"/>
      <c r="V885" s="147"/>
      <c r="W885" s="146"/>
    </row>
    <row r="886">
      <c r="A886" s="146"/>
      <c r="B886" s="146"/>
      <c r="C886" s="146"/>
      <c r="D886" s="147"/>
      <c r="E886" s="146"/>
      <c r="F886" s="146"/>
      <c r="G886" s="146"/>
      <c r="H886" s="147"/>
      <c r="I886" s="146"/>
      <c r="J886" s="148"/>
      <c r="K886" s="148"/>
      <c r="L886" s="148"/>
      <c r="M886" s="147"/>
      <c r="N886" s="146"/>
      <c r="O886" s="147"/>
      <c r="P886" s="147"/>
      <c r="Q886" s="147"/>
      <c r="R886" s="146"/>
      <c r="S886" s="146"/>
      <c r="T886" s="146"/>
      <c r="U886" s="146"/>
      <c r="V886" s="147"/>
      <c r="W886" s="146"/>
    </row>
    <row r="887">
      <c r="A887" s="146"/>
      <c r="B887" s="146"/>
      <c r="C887" s="146"/>
      <c r="D887" s="147"/>
      <c r="E887" s="146"/>
      <c r="F887" s="146"/>
      <c r="G887" s="146"/>
      <c r="H887" s="147"/>
      <c r="I887" s="146"/>
      <c r="J887" s="148"/>
      <c r="K887" s="148"/>
      <c r="L887" s="148"/>
      <c r="M887" s="147"/>
      <c r="N887" s="146"/>
      <c r="O887" s="147"/>
      <c r="P887" s="147"/>
      <c r="Q887" s="147"/>
      <c r="R887" s="146"/>
      <c r="S887" s="146"/>
      <c r="T887" s="146"/>
      <c r="U887" s="146"/>
      <c r="V887" s="147"/>
      <c r="W887" s="146"/>
    </row>
    <row r="888">
      <c r="A888" s="146"/>
      <c r="B888" s="146"/>
      <c r="C888" s="146"/>
      <c r="D888" s="147"/>
      <c r="E888" s="146"/>
      <c r="F888" s="146"/>
      <c r="G888" s="146"/>
      <c r="H888" s="147"/>
      <c r="I888" s="146"/>
      <c r="J888" s="148"/>
      <c r="K888" s="148"/>
      <c r="L888" s="148"/>
      <c r="M888" s="147"/>
      <c r="N888" s="146"/>
      <c r="O888" s="147"/>
      <c r="P888" s="147"/>
      <c r="Q888" s="147"/>
      <c r="R888" s="146"/>
      <c r="S888" s="146"/>
      <c r="T888" s="146"/>
      <c r="U888" s="146"/>
      <c r="V888" s="147"/>
      <c r="W888" s="146"/>
    </row>
    <row r="889">
      <c r="A889" s="146"/>
      <c r="B889" s="146"/>
      <c r="C889" s="146"/>
      <c r="D889" s="147"/>
      <c r="E889" s="146"/>
      <c r="F889" s="146"/>
      <c r="G889" s="146"/>
      <c r="H889" s="147"/>
      <c r="I889" s="146"/>
      <c r="J889" s="148"/>
      <c r="K889" s="148"/>
      <c r="L889" s="148"/>
      <c r="M889" s="147"/>
      <c r="N889" s="146"/>
      <c r="O889" s="147"/>
      <c r="P889" s="147"/>
      <c r="Q889" s="147"/>
      <c r="R889" s="146"/>
      <c r="S889" s="146"/>
      <c r="T889" s="146"/>
      <c r="U889" s="146"/>
      <c r="V889" s="147"/>
      <c r="W889" s="146"/>
    </row>
    <row r="890">
      <c r="A890" s="146"/>
      <c r="B890" s="146"/>
      <c r="C890" s="146"/>
      <c r="D890" s="147"/>
      <c r="E890" s="146"/>
      <c r="F890" s="146"/>
      <c r="G890" s="146"/>
      <c r="H890" s="147"/>
      <c r="I890" s="146"/>
      <c r="J890" s="148"/>
      <c r="K890" s="148"/>
      <c r="L890" s="148"/>
      <c r="M890" s="147"/>
      <c r="N890" s="146"/>
      <c r="O890" s="147"/>
      <c r="P890" s="147"/>
      <c r="Q890" s="147"/>
      <c r="R890" s="146"/>
      <c r="S890" s="146"/>
      <c r="T890" s="146"/>
      <c r="U890" s="146"/>
      <c r="V890" s="147"/>
      <c r="W890" s="146"/>
    </row>
    <row r="891">
      <c r="A891" s="146"/>
      <c r="B891" s="146"/>
      <c r="C891" s="146"/>
      <c r="D891" s="147"/>
      <c r="E891" s="146"/>
      <c r="F891" s="146"/>
      <c r="G891" s="146"/>
      <c r="H891" s="147"/>
      <c r="I891" s="146"/>
      <c r="J891" s="148"/>
      <c r="K891" s="148"/>
      <c r="L891" s="148"/>
      <c r="M891" s="147"/>
      <c r="N891" s="146"/>
      <c r="O891" s="147"/>
      <c r="P891" s="147"/>
      <c r="Q891" s="147"/>
      <c r="R891" s="146"/>
      <c r="S891" s="146"/>
      <c r="T891" s="146"/>
      <c r="U891" s="146"/>
      <c r="V891" s="147"/>
      <c r="W891" s="146"/>
    </row>
    <row r="892">
      <c r="A892" s="146"/>
      <c r="B892" s="146"/>
      <c r="C892" s="146"/>
      <c r="D892" s="147"/>
      <c r="E892" s="146"/>
      <c r="F892" s="146"/>
      <c r="G892" s="146"/>
      <c r="H892" s="147"/>
      <c r="I892" s="146"/>
      <c r="J892" s="148"/>
      <c r="K892" s="148"/>
      <c r="L892" s="148"/>
      <c r="M892" s="147"/>
      <c r="N892" s="146"/>
      <c r="O892" s="147"/>
      <c r="P892" s="147"/>
      <c r="Q892" s="147"/>
      <c r="R892" s="146"/>
      <c r="S892" s="146"/>
      <c r="T892" s="146"/>
      <c r="U892" s="146"/>
      <c r="V892" s="147"/>
      <c r="W892" s="146"/>
    </row>
    <row r="893">
      <c r="A893" s="146"/>
      <c r="B893" s="146"/>
      <c r="C893" s="146"/>
      <c r="D893" s="147"/>
      <c r="E893" s="146"/>
      <c r="F893" s="146"/>
      <c r="G893" s="146"/>
      <c r="H893" s="147"/>
      <c r="I893" s="146"/>
      <c r="J893" s="148"/>
      <c r="K893" s="148"/>
      <c r="L893" s="148"/>
      <c r="M893" s="147"/>
      <c r="N893" s="146"/>
      <c r="O893" s="147"/>
      <c r="P893" s="147"/>
      <c r="Q893" s="147"/>
      <c r="R893" s="146"/>
      <c r="S893" s="146"/>
      <c r="T893" s="146"/>
      <c r="U893" s="146"/>
      <c r="V893" s="147"/>
      <c r="W893" s="146"/>
    </row>
    <row r="894">
      <c r="A894" s="146"/>
      <c r="B894" s="146"/>
      <c r="C894" s="146"/>
      <c r="D894" s="147"/>
      <c r="E894" s="146"/>
      <c r="F894" s="146"/>
      <c r="G894" s="146"/>
      <c r="H894" s="147"/>
      <c r="I894" s="146"/>
      <c r="J894" s="148"/>
      <c r="K894" s="148"/>
      <c r="L894" s="148"/>
      <c r="M894" s="147"/>
      <c r="N894" s="146"/>
      <c r="O894" s="147"/>
      <c r="P894" s="147"/>
      <c r="Q894" s="147"/>
      <c r="R894" s="146"/>
      <c r="S894" s="146"/>
      <c r="T894" s="146"/>
      <c r="U894" s="146"/>
      <c r="V894" s="147"/>
      <c r="W894" s="146"/>
    </row>
    <row r="895">
      <c r="A895" s="146"/>
      <c r="B895" s="146"/>
      <c r="C895" s="146"/>
      <c r="D895" s="147"/>
      <c r="E895" s="146"/>
      <c r="F895" s="146"/>
      <c r="G895" s="146"/>
      <c r="H895" s="147"/>
      <c r="I895" s="146"/>
      <c r="J895" s="148"/>
      <c r="K895" s="148"/>
      <c r="L895" s="148"/>
      <c r="M895" s="147"/>
      <c r="N895" s="146"/>
      <c r="O895" s="147"/>
      <c r="P895" s="147"/>
      <c r="Q895" s="147"/>
      <c r="R895" s="146"/>
      <c r="S895" s="146"/>
      <c r="T895" s="146"/>
      <c r="U895" s="146"/>
      <c r="V895" s="147"/>
      <c r="W895" s="146"/>
    </row>
    <row r="896">
      <c r="A896" s="146"/>
      <c r="B896" s="146"/>
      <c r="C896" s="146"/>
      <c r="D896" s="147"/>
      <c r="E896" s="146"/>
      <c r="F896" s="146"/>
      <c r="G896" s="146"/>
      <c r="H896" s="147"/>
      <c r="I896" s="146"/>
      <c r="J896" s="148"/>
      <c r="K896" s="148"/>
      <c r="L896" s="148"/>
      <c r="M896" s="147"/>
      <c r="N896" s="146"/>
      <c r="O896" s="147"/>
      <c r="P896" s="147"/>
      <c r="Q896" s="147"/>
      <c r="R896" s="146"/>
      <c r="S896" s="146"/>
      <c r="T896" s="146"/>
      <c r="U896" s="146"/>
      <c r="V896" s="147"/>
      <c r="W896" s="146"/>
    </row>
    <row r="897">
      <c r="A897" s="146"/>
      <c r="B897" s="146"/>
      <c r="C897" s="146"/>
      <c r="D897" s="147"/>
      <c r="E897" s="146"/>
      <c r="F897" s="146"/>
      <c r="G897" s="146"/>
      <c r="H897" s="147"/>
      <c r="I897" s="146"/>
      <c r="J897" s="148"/>
      <c r="K897" s="148"/>
      <c r="L897" s="148"/>
      <c r="M897" s="147"/>
      <c r="N897" s="146"/>
      <c r="O897" s="147"/>
      <c r="P897" s="147"/>
      <c r="Q897" s="147"/>
      <c r="R897" s="146"/>
      <c r="S897" s="146"/>
      <c r="T897" s="146"/>
      <c r="U897" s="146"/>
      <c r="V897" s="147"/>
      <c r="W897" s="146"/>
    </row>
    <row r="898">
      <c r="A898" s="146"/>
      <c r="B898" s="146"/>
      <c r="C898" s="146"/>
      <c r="D898" s="147"/>
      <c r="E898" s="146"/>
      <c r="F898" s="146"/>
      <c r="G898" s="146"/>
      <c r="H898" s="147"/>
      <c r="I898" s="146"/>
      <c r="J898" s="148"/>
      <c r="K898" s="148"/>
      <c r="L898" s="148"/>
      <c r="M898" s="147"/>
      <c r="N898" s="146"/>
      <c r="O898" s="147"/>
      <c r="P898" s="147"/>
      <c r="Q898" s="147"/>
      <c r="R898" s="146"/>
      <c r="S898" s="146"/>
      <c r="T898" s="146"/>
      <c r="U898" s="146"/>
      <c r="V898" s="147"/>
      <c r="W898" s="146"/>
    </row>
    <row r="899">
      <c r="A899" s="146"/>
      <c r="B899" s="146"/>
      <c r="C899" s="146"/>
      <c r="D899" s="147"/>
      <c r="E899" s="146"/>
      <c r="F899" s="146"/>
      <c r="G899" s="146"/>
      <c r="H899" s="147"/>
      <c r="I899" s="146"/>
      <c r="J899" s="148"/>
      <c r="K899" s="148"/>
      <c r="L899" s="148"/>
      <c r="M899" s="147"/>
      <c r="N899" s="146"/>
      <c r="O899" s="147"/>
      <c r="P899" s="147"/>
      <c r="Q899" s="147"/>
      <c r="R899" s="146"/>
      <c r="S899" s="146"/>
      <c r="T899" s="146"/>
      <c r="U899" s="146"/>
      <c r="V899" s="147"/>
      <c r="W899" s="146"/>
    </row>
    <row r="900">
      <c r="A900" s="146"/>
      <c r="B900" s="146"/>
      <c r="C900" s="146"/>
      <c r="D900" s="147"/>
      <c r="E900" s="146"/>
      <c r="F900" s="146"/>
      <c r="G900" s="146"/>
      <c r="H900" s="147"/>
      <c r="I900" s="146"/>
      <c r="J900" s="148"/>
      <c r="K900" s="148"/>
      <c r="L900" s="148"/>
      <c r="M900" s="147"/>
      <c r="N900" s="146"/>
      <c r="O900" s="147"/>
      <c r="P900" s="147"/>
      <c r="Q900" s="147"/>
      <c r="R900" s="146"/>
      <c r="S900" s="146"/>
      <c r="T900" s="146"/>
      <c r="U900" s="146"/>
      <c r="V900" s="147"/>
      <c r="W900" s="146"/>
    </row>
    <row r="901">
      <c r="A901" s="146"/>
      <c r="B901" s="146"/>
      <c r="C901" s="146"/>
      <c r="D901" s="147"/>
      <c r="E901" s="146"/>
      <c r="F901" s="146"/>
      <c r="G901" s="146"/>
      <c r="H901" s="147"/>
      <c r="I901" s="146"/>
      <c r="J901" s="148"/>
      <c r="K901" s="148"/>
      <c r="L901" s="148"/>
      <c r="M901" s="147"/>
      <c r="N901" s="146"/>
      <c r="O901" s="147"/>
      <c r="P901" s="147"/>
      <c r="Q901" s="147"/>
      <c r="R901" s="146"/>
      <c r="S901" s="146"/>
      <c r="T901" s="146"/>
      <c r="U901" s="146"/>
      <c r="V901" s="147"/>
      <c r="W901" s="146"/>
    </row>
    <row r="902">
      <c r="A902" s="146"/>
      <c r="B902" s="146"/>
      <c r="C902" s="146"/>
      <c r="D902" s="147"/>
      <c r="E902" s="146"/>
      <c r="F902" s="146"/>
      <c r="G902" s="146"/>
      <c r="H902" s="147"/>
      <c r="I902" s="146"/>
      <c r="J902" s="148"/>
      <c r="K902" s="148"/>
      <c r="L902" s="148"/>
      <c r="M902" s="147"/>
      <c r="N902" s="146"/>
      <c r="O902" s="147"/>
      <c r="P902" s="147"/>
      <c r="Q902" s="147"/>
      <c r="R902" s="146"/>
      <c r="S902" s="146"/>
      <c r="T902" s="146"/>
      <c r="U902" s="146"/>
      <c r="V902" s="147"/>
      <c r="W902" s="146"/>
    </row>
    <row r="903">
      <c r="A903" s="146"/>
      <c r="B903" s="146"/>
      <c r="C903" s="146"/>
      <c r="D903" s="147"/>
      <c r="E903" s="146"/>
      <c r="F903" s="146"/>
      <c r="G903" s="146"/>
      <c r="H903" s="147"/>
      <c r="I903" s="146"/>
      <c r="J903" s="148"/>
      <c r="K903" s="148"/>
      <c r="L903" s="148"/>
      <c r="M903" s="147"/>
      <c r="N903" s="146"/>
      <c r="O903" s="147"/>
      <c r="P903" s="147"/>
      <c r="Q903" s="147"/>
      <c r="R903" s="146"/>
      <c r="S903" s="146"/>
      <c r="T903" s="146"/>
      <c r="U903" s="146"/>
      <c r="V903" s="147"/>
      <c r="W903" s="146"/>
    </row>
    <row r="904">
      <c r="A904" s="146"/>
      <c r="B904" s="146"/>
      <c r="C904" s="146"/>
      <c r="D904" s="147"/>
      <c r="E904" s="146"/>
      <c r="F904" s="146"/>
      <c r="G904" s="146"/>
      <c r="H904" s="147"/>
      <c r="I904" s="146"/>
      <c r="J904" s="148"/>
      <c r="K904" s="148"/>
      <c r="L904" s="148"/>
      <c r="M904" s="147"/>
      <c r="N904" s="146"/>
      <c r="O904" s="147"/>
      <c r="P904" s="147"/>
      <c r="Q904" s="147"/>
      <c r="R904" s="146"/>
      <c r="S904" s="146"/>
      <c r="T904" s="146"/>
      <c r="U904" s="146"/>
      <c r="V904" s="147"/>
      <c r="W904" s="146"/>
    </row>
    <row r="905">
      <c r="A905" s="146"/>
      <c r="B905" s="146"/>
      <c r="C905" s="146"/>
      <c r="D905" s="147"/>
      <c r="E905" s="146"/>
      <c r="F905" s="146"/>
      <c r="G905" s="146"/>
      <c r="H905" s="147"/>
      <c r="I905" s="146"/>
      <c r="J905" s="148"/>
      <c r="K905" s="148"/>
      <c r="L905" s="148"/>
      <c r="M905" s="147"/>
      <c r="N905" s="146"/>
      <c r="O905" s="147"/>
      <c r="P905" s="147"/>
      <c r="Q905" s="147"/>
      <c r="R905" s="146"/>
      <c r="S905" s="146"/>
      <c r="T905" s="146"/>
      <c r="U905" s="146"/>
      <c r="V905" s="147"/>
      <c r="W905" s="146"/>
    </row>
    <row r="906">
      <c r="A906" s="146"/>
      <c r="B906" s="146"/>
      <c r="C906" s="146"/>
      <c r="D906" s="147"/>
      <c r="E906" s="146"/>
      <c r="F906" s="146"/>
      <c r="G906" s="146"/>
      <c r="H906" s="147"/>
      <c r="I906" s="146"/>
      <c r="J906" s="148"/>
      <c r="K906" s="148"/>
      <c r="L906" s="148"/>
      <c r="M906" s="147"/>
      <c r="N906" s="146"/>
      <c r="O906" s="147"/>
      <c r="P906" s="147"/>
      <c r="Q906" s="147"/>
      <c r="R906" s="146"/>
      <c r="S906" s="146"/>
      <c r="T906" s="146"/>
      <c r="U906" s="146"/>
      <c r="V906" s="147"/>
      <c r="W906" s="146"/>
    </row>
    <row r="907">
      <c r="A907" s="146"/>
      <c r="B907" s="146"/>
      <c r="C907" s="146"/>
      <c r="D907" s="147"/>
      <c r="E907" s="146"/>
      <c r="F907" s="146"/>
      <c r="G907" s="146"/>
      <c r="H907" s="147"/>
      <c r="I907" s="146"/>
      <c r="J907" s="148"/>
      <c r="K907" s="148"/>
      <c r="L907" s="148"/>
      <c r="M907" s="147"/>
      <c r="N907" s="146"/>
      <c r="O907" s="147"/>
      <c r="P907" s="147"/>
      <c r="Q907" s="147"/>
      <c r="R907" s="146"/>
      <c r="S907" s="146"/>
      <c r="T907" s="146"/>
      <c r="U907" s="146"/>
      <c r="V907" s="147"/>
      <c r="W907" s="146"/>
    </row>
    <row r="908">
      <c r="A908" s="146"/>
      <c r="B908" s="146"/>
      <c r="C908" s="146"/>
      <c r="D908" s="147"/>
      <c r="E908" s="146"/>
      <c r="F908" s="146"/>
      <c r="G908" s="146"/>
      <c r="H908" s="147"/>
      <c r="I908" s="146"/>
      <c r="J908" s="148"/>
      <c r="K908" s="148"/>
      <c r="L908" s="148"/>
      <c r="M908" s="147"/>
      <c r="N908" s="146"/>
      <c r="O908" s="147"/>
      <c r="P908" s="147"/>
      <c r="Q908" s="147"/>
      <c r="R908" s="146"/>
      <c r="S908" s="146"/>
      <c r="T908" s="146"/>
      <c r="U908" s="146"/>
      <c r="V908" s="147"/>
      <c r="W908" s="146"/>
    </row>
    <row r="909">
      <c r="A909" s="146"/>
      <c r="B909" s="146"/>
      <c r="C909" s="146"/>
      <c r="D909" s="147"/>
      <c r="E909" s="146"/>
      <c r="F909" s="146"/>
      <c r="G909" s="146"/>
      <c r="H909" s="147"/>
      <c r="I909" s="146"/>
      <c r="J909" s="148"/>
      <c r="K909" s="148"/>
      <c r="L909" s="148"/>
      <c r="M909" s="147"/>
      <c r="N909" s="146"/>
      <c r="O909" s="147"/>
      <c r="P909" s="147"/>
      <c r="Q909" s="147"/>
      <c r="R909" s="146"/>
      <c r="S909" s="146"/>
      <c r="T909" s="146"/>
      <c r="U909" s="146"/>
      <c r="V909" s="147"/>
      <c r="W909" s="146"/>
    </row>
    <row r="910">
      <c r="A910" s="146"/>
      <c r="B910" s="146"/>
      <c r="C910" s="146"/>
      <c r="D910" s="147"/>
      <c r="E910" s="146"/>
      <c r="F910" s="146"/>
      <c r="G910" s="146"/>
      <c r="H910" s="147"/>
      <c r="I910" s="146"/>
      <c r="J910" s="148"/>
      <c r="K910" s="148"/>
      <c r="L910" s="148"/>
      <c r="M910" s="147"/>
      <c r="N910" s="146"/>
      <c r="O910" s="147"/>
      <c r="P910" s="147"/>
      <c r="Q910" s="147"/>
      <c r="R910" s="146"/>
      <c r="S910" s="146"/>
      <c r="T910" s="146"/>
      <c r="U910" s="146"/>
      <c r="V910" s="147"/>
      <c r="W910" s="146"/>
    </row>
    <row r="911">
      <c r="A911" s="146"/>
      <c r="B911" s="146"/>
      <c r="C911" s="146"/>
      <c r="D911" s="147"/>
      <c r="E911" s="146"/>
      <c r="F911" s="146"/>
      <c r="G911" s="146"/>
      <c r="H911" s="147"/>
      <c r="I911" s="146"/>
      <c r="J911" s="148"/>
      <c r="K911" s="148"/>
      <c r="L911" s="148"/>
      <c r="M911" s="147"/>
      <c r="N911" s="146"/>
      <c r="O911" s="147"/>
      <c r="P911" s="147"/>
      <c r="Q911" s="147"/>
      <c r="R911" s="146"/>
      <c r="S911" s="146"/>
      <c r="T911" s="146"/>
      <c r="U911" s="146"/>
      <c r="V911" s="147"/>
      <c r="W911" s="146"/>
    </row>
    <row r="912">
      <c r="A912" s="146"/>
      <c r="B912" s="146"/>
      <c r="C912" s="146"/>
      <c r="D912" s="147"/>
      <c r="E912" s="146"/>
      <c r="F912" s="146"/>
      <c r="G912" s="146"/>
      <c r="H912" s="147"/>
      <c r="I912" s="146"/>
      <c r="J912" s="148"/>
      <c r="K912" s="148"/>
      <c r="L912" s="148"/>
      <c r="M912" s="147"/>
      <c r="N912" s="146"/>
      <c r="O912" s="147"/>
      <c r="P912" s="147"/>
      <c r="Q912" s="147"/>
      <c r="R912" s="146"/>
      <c r="S912" s="146"/>
      <c r="T912" s="146"/>
      <c r="U912" s="146"/>
      <c r="V912" s="147"/>
      <c r="W912" s="146"/>
    </row>
    <row r="913">
      <c r="A913" s="146"/>
      <c r="B913" s="146"/>
      <c r="C913" s="146"/>
      <c r="D913" s="147"/>
      <c r="E913" s="146"/>
      <c r="F913" s="146"/>
      <c r="G913" s="146"/>
      <c r="H913" s="147"/>
      <c r="I913" s="146"/>
      <c r="J913" s="148"/>
      <c r="K913" s="148"/>
      <c r="L913" s="148"/>
      <c r="M913" s="147"/>
      <c r="N913" s="146"/>
      <c r="O913" s="147"/>
      <c r="P913" s="147"/>
      <c r="Q913" s="147"/>
      <c r="R913" s="146"/>
      <c r="S913" s="146"/>
      <c r="T913" s="146"/>
      <c r="U913" s="146"/>
      <c r="V913" s="147"/>
      <c r="W913" s="146"/>
    </row>
    <row r="914">
      <c r="A914" s="146"/>
      <c r="B914" s="146"/>
      <c r="C914" s="146"/>
      <c r="D914" s="147"/>
      <c r="E914" s="146"/>
      <c r="F914" s="146"/>
      <c r="G914" s="146"/>
      <c r="H914" s="147"/>
      <c r="I914" s="146"/>
      <c r="J914" s="148"/>
      <c r="K914" s="148"/>
      <c r="L914" s="148"/>
      <c r="M914" s="147"/>
      <c r="N914" s="146"/>
      <c r="O914" s="147"/>
      <c r="P914" s="147"/>
      <c r="Q914" s="147"/>
      <c r="R914" s="146"/>
      <c r="S914" s="146"/>
      <c r="T914" s="146"/>
      <c r="U914" s="146"/>
      <c r="V914" s="147"/>
      <c r="W914" s="146"/>
    </row>
    <row r="915">
      <c r="A915" s="146"/>
      <c r="B915" s="146"/>
      <c r="C915" s="146"/>
      <c r="D915" s="147"/>
      <c r="E915" s="146"/>
      <c r="F915" s="146"/>
      <c r="G915" s="146"/>
      <c r="H915" s="147"/>
      <c r="I915" s="146"/>
      <c r="J915" s="148"/>
      <c r="K915" s="148"/>
      <c r="L915" s="148"/>
      <c r="M915" s="147"/>
      <c r="N915" s="146"/>
      <c r="O915" s="147"/>
      <c r="P915" s="147"/>
      <c r="Q915" s="147"/>
      <c r="R915" s="146"/>
      <c r="S915" s="146"/>
      <c r="T915" s="146"/>
      <c r="U915" s="146"/>
      <c r="V915" s="147"/>
      <c r="W915" s="146"/>
    </row>
    <row r="916">
      <c r="A916" s="146"/>
      <c r="B916" s="146"/>
      <c r="C916" s="146"/>
      <c r="D916" s="147"/>
      <c r="E916" s="146"/>
      <c r="F916" s="146"/>
      <c r="G916" s="146"/>
      <c r="H916" s="147"/>
      <c r="I916" s="146"/>
      <c r="J916" s="148"/>
      <c r="K916" s="148"/>
      <c r="L916" s="148"/>
      <c r="M916" s="147"/>
      <c r="N916" s="146"/>
      <c r="O916" s="147"/>
      <c r="P916" s="147"/>
      <c r="Q916" s="147"/>
      <c r="R916" s="146"/>
      <c r="S916" s="146"/>
      <c r="T916" s="146"/>
      <c r="U916" s="146"/>
      <c r="V916" s="147"/>
      <c r="W916" s="146"/>
    </row>
    <row r="917">
      <c r="A917" s="146"/>
      <c r="B917" s="146"/>
      <c r="C917" s="146"/>
      <c r="D917" s="147"/>
      <c r="E917" s="146"/>
      <c r="F917" s="146"/>
      <c r="G917" s="146"/>
      <c r="H917" s="147"/>
      <c r="I917" s="146"/>
      <c r="J917" s="148"/>
      <c r="K917" s="148"/>
      <c r="L917" s="148"/>
      <c r="M917" s="147"/>
      <c r="N917" s="146"/>
      <c r="O917" s="147"/>
      <c r="P917" s="147"/>
      <c r="Q917" s="147"/>
      <c r="R917" s="146"/>
      <c r="S917" s="146"/>
      <c r="T917" s="146"/>
      <c r="U917" s="146"/>
      <c r="V917" s="147"/>
      <c r="W917" s="146"/>
    </row>
    <row r="918">
      <c r="A918" s="146"/>
      <c r="B918" s="146"/>
      <c r="C918" s="146"/>
      <c r="D918" s="147"/>
      <c r="E918" s="146"/>
      <c r="F918" s="146"/>
      <c r="G918" s="146"/>
      <c r="H918" s="147"/>
      <c r="I918" s="146"/>
      <c r="J918" s="148"/>
      <c r="K918" s="148"/>
      <c r="L918" s="148"/>
      <c r="M918" s="147"/>
      <c r="N918" s="146"/>
      <c r="O918" s="147"/>
      <c r="P918" s="147"/>
      <c r="Q918" s="147"/>
      <c r="R918" s="146"/>
      <c r="S918" s="146"/>
      <c r="T918" s="146"/>
      <c r="U918" s="146"/>
      <c r="V918" s="147"/>
      <c r="W918" s="146"/>
    </row>
    <row r="919">
      <c r="A919" s="146"/>
      <c r="B919" s="146"/>
      <c r="C919" s="146"/>
      <c r="D919" s="147"/>
      <c r="E919" s="146"/>
      <c r="F919" s="146"/>
      <c r="G919" s="146"/>
      <c r="H919" s="147"/>
      <c r="I919" s="146"/>
      <c r="J919" s="148"/>
      <c r="K919" s="148"/>
      <c r="L919" s="148"/>
      <c r="M919" s="147"/>
      <c r="N919" s="146"/>
      <c r="O919" s="147"/>
      <c r="P919" s="147"/>
      <c r="Q919" s="147"/>
      <c r="R919" s="146"/>
      <c r="S919" s="146"/>
      <c r="T919" s="146"/>
      <c r="U919" s="146"/>
      <c r="V919" s="147"/>
      <c r="W919" s="146"/>
    </row>
    <row r="920">
      <c r="A920" s="146"/>
      <c r="B920" s="146"/>
      <c r="C920" s="146"/>
      <c r="D920" s="147"/>
      <c r="E920" s="146"/>
      <c r="F920" s="146"/>
      <c r="G920" s="146"/>
      <c r="H920" s="147"/>
      <c r="I920" s="146"/>
      <c r="J920" s="148"/>
      <c r="K920" s="148"/>
      <c r="L920" s="148"/>
      <c r="M920" s="147"/>
      <c r="N920" s="146"/>
      <c r="O920" s="147"/>
      <c r="P920" s="147"/>
      <c r="Q920" s="147"/>
      <c r="R920" s="146"/>
      <c r="S920" s="146"/>
      <c r="T920" s="146"/>
      <c r="U920" s="146"/>
      <c r="V920" s="147"/>
      <c r="W920" s="146"/>
    </row>
    <row r="921">
      <c r="A921" s="146"/>
      <c r="B921" s="146"/>
      <c r="C921" s="146"/>
      <c r="D921" s="147"/>
      <c r="E921" s="146"/>
      <c r="F921" s="146"/>
      <c r="G921" s="146"/>
      <c r="H921" s="147"/>
      <c r="I921" s="146"/>
      <c r="J921" s="148"/>
      <c r="K921" s="148"/>
      <c r="L921" s="148"/>
      <c r="M921" s="147"/>
      <c r="N921" s="146"/>
      <c r="O921" s="147"/>
      <c r="P921" s="147"/>
      <c r="Q921" s="147"/>
      <c r="R921" s="146"/>
      <c r="S921" s="146"/>
      <c r="T921" s="146"/>
      <c r="U921" s="146"/>
      <c r="V921" s="147"/>
      <c r="W921" s="146"/>
    </row>
    <row r="922">
      <c r="A922" s="146"/>
      <c r="B922" s="146"/>
      <c r="C922" s="146"/>
      <c r="D922" s="147"/>
      <c r="E922" s="146"/>
      <c r="F922" s="146"/>
      <c r="G922" s="146"/>
      <c r="H922" s="147"/>
      <c r="I922" s="146"/>
      <c r="J922" s="148"/>
      <c r="K922" s="148"/>
      <c r="L922" s="148"/>
      <c r="M922" s="147"/>
      <c r="N922" s="146"/>
      <c r="O922" s="147"/>
      <c r="P922" s="147"/>
      <c r="Q922" s="147"/>
      <c r="R922" s="146"/>
      <c r="S922" s="146"/>
      <c r="T922" s="146"/>
      <c r="U922" s="146"/>
      <c r="V922" s="147"/>
      <c r="W922" s="146"/>
    </row>
    <row r="923">
      <c r="A923" s="146"/>
      <c r="B923" s="146"/>
      <c r="C923" s="146"/>
      <c r="D923" s="147"/>
      <c r="E923" s="146"/>
      <c r="F923" s="146"/>
      <c r="G923" s="146"/>
      <c r="H923" s="147"/>
      <c r="I923" s="146"/>
      <c r="J923" s="148"/>
      <c r="K923" s="148"/>
      <c r="L923" s="148"/>
      <c r="M923" s="147"/>
      <c r="N923" s="146"/>
      <c r="O923" s="147"/>
      <c r="P923" s="147"/>
      <c r="Q923" s="147"/>
      <c r="R923" s="146"/>
      <c r="S923" s="146"/>
      <c r="T923" s="146"/>
      <c r="U923" s="146"/>
      <c r="V923" s="147"/>
      <c r="W923" s="146"/>
    </row>
    <row r="924">
      <c r="A924" s="146"/>
      <c r="B924" s="146"/>
      <c r="C924" s="146"/>
      <c r="D924" s="147"/>
      <c r="E924" s="146"/>
      <c r="F924" s="146"/>
      <c r="G924" s="146"/>
      <c r="H924" s="147"/>
      <c r="I924" s="146"/>
      <c r="J924" s="148"/>
      <c r="K924" s="148"/>
      <c r="L924" s="148"/>
      <c r="M924" s="147"/>
      <c r="N924" s="146"/>
      <c r="O924" s="147"/>
      <c r="P924" s="147"/>
      <c r="Q924" s="147"/>
      <c r="R924" s="146"/>
      <c r="S924" s="146"/>
      <c r="T924" s="146"/>
      <c r="U924" s="146"/>
      <c r="V924" s="147"/>
      <c r="W924" s="146"/>
    </row>
    <row r="925">
      <c r="A925" s="146"/>
      <c r="B925" s="146"/>
      <c r="C925" s="146"/>
      <c r="D925" s="147"/>
      <c r="E925" s="146"/>
      <c r="F925" s="146"/>
      <c r="G925" s="146"/>
      <c r="H925" s="147"/>
      <c r="I925" s="146"/>
      <c r="J925" s="148"/>
      <c r="K925" s="148"/>
      <c r="L925" s="148"/>
      <c r="M925" s="147"/>
      <c r="N925" s="146"/>
      <c r="O925" s="147"/>
      <c r="P925" s="147"/>
      <c r="Q925" s="147"/>
      <c r="R925" s="146"/>
      <c r="S925" s="146"/>
      <c r="T925" s="146"/>
      <c r="U925" s="146"/>
      <c r="V925" s="147"/>
      <c r="W925" s="146"/>
    </row>
    <row r="926">
      <c r="A926" s="146"/>
      <c r="B926" s="146"/>
      <c r="C926" s="146"/>
      <c r="D926" s="147"/>
      <c r="E926" s="146"/>
      <c r="F926" s="146"/>
      <c r="G926" s="146"/>
      <c r="H926" s="147"/>
      <c r="I926" s="146"/>
      <c r="J926" s="148"/>
      <c r="K926" s="148"/>
      <c r="L926" s="148"/>
      <c r="M926" s="147"/>
      <c r="N926" s="146"/>
      <c r="O926" s="147"/>
      <c r="P926" s="147"/>
      <c r="Q926" s="147"/>
      <c r="R926" s="146"/>
      <c r="S926" s="146"/>
      <c r="T926" s="146"/>
      <c r="U926" s="146"/>
      <c r="V926" s="147"/>
      <c r="W926" s="146"/>
    </row>
    <row r="927">
      <c r="A927" s="146"/>
      <c r="B927" s="146"/>
      <c r="C927" s="146"/>
      <c r="D927" s="147"/>
      <c r="E927" s="146"/>
      <c r="F927" s="146"/>
      <c r="G927" s="146"/>
      <c r="H927" s="147"/>
      <c r="I927" s="146"/>
      <c r="J927" s="148"/>
      <c r="K927" s="148"/>
      <c r="L927" s="148"/>
      <c r="M927" s="147"/>
      <c r="N927" s="146"/>
      <c r="O927" s="147"/>
      <c r="P927" s="147"/>
      <c r="Q927" s="147"/>
      <c r="R927" s="146"/>
      <c r="S927" s="146"/>
      <c r="T927" s="146"/>
      <c r="U927" s="146"/>
      <c r="V927" s="147"/>
      <c r="W927" s="146"/>
    </row>
    <row r="928">
      <c r="A928" s="146"/>
      <c r="B928" s="146"/>
      <c r="C928" s="146"/>
      <c r="D928" s="147"/>
      <c r="E928" s="146"/>
      <c r="F928" s="146"/>
      <c r="G928" s="146"/>
      <c r="H928" s="147"/>
      <c r="I928" s="146"/>
      <c r="J928" s="148"/>
      <c r="K928" s="148"/>
      <c r="L928" s="148"/>
      <c r="M928" s="147"/>
      <c r="N928" s="146"/>
      <c r="O928" s="147"/>
      <c r="P928" s="147"/>
      <c r="Q928" s="147"/>
      <c r="R928" s="146"/>
      <c r="S928" s="146"/>
      <c r="T928" s="146"/>
      <c r="U928" s="146"/>
      <c r="V928" s="147"/>
      <c r="W928" s="146"/>
    </row>
    <row r="929">
      <c r="A929" s="146"/>
      <c r="B929" s="146"/>
      <c r="C929" s="146"/>
      <c r="D929" s="147"/>
      <c r="E929" s="146"/>
      <c r="F929" s="146"/>
      <c r="G929" s="146"/>
      <c r="H929" s="147"/>
      <c r="I929" s="146"/>
      <c r="J929" s="148"/>
      <c r="K929" s="148"/>
      <c r="L929" s="148"/>
      <c r="M929" s="147"/>
      <c r="N929" s="146"/>
      <c r="O929" s="147"/>
      <c r="P929" s="147"/>
      <c r="Q929" s="147"/>
      <c r="R929" s="146"/>
      <c r="S929" s="146"/>
      <c r="T929" s="146"/>
      <c r="U929" s="146"/>
      <c r="V929" s="147"/>
      <c r="W929" s="146"/>
    </row>
    <row r="930">
      <c r="A930" s="146"/>
      <c r="B930" s="146"/>
      <c r="C930" s="146"/>
      <c r="D930" s="147"/>
      <c r="E930" s="146"/>
      <c r="F930" s="146"/>
      <c r="G930" s="146"/>
      <c r="H930" s="147"/>
      <c r="I930" s="146"/>
      <c r="J930" s="148"/>
      <c r="K930" s="148"/>
      <c r="L930" s="148"/>
      <c r="M930" s="147"/>
      <c r="N930" s="146"/>
      <c r="O930" s="147"/>
      <c r="P930" s="147"/>
      <c r="Q930" s="147"/>
      <c r="R930" s="146"/>
      <c r="S930" s="146"/>
      <c r="T930" s="146"/>
      <c r="U930" s="146"/>
      <c r="V930" s="147"/>
      <c r="W930" s="146"/>
    </row>
    <row r="931">
      <c r="A931" s="146"/>
      <c r="B931" s="146"/>
      <c r="C931" s="146"/>
      <c r="D931" s="147"/>
      <c r="E931" s="146"/>
      <c r="F931" s="146"/>
      <c r="G931" s="146"/>
      <c r="H931" s="147"/>
      <c r="I931" s="146"/>
      <c r="J931" s="148"/>
      <c r="K931" s="148"/>
      <c r="L931" s="148"/>
      <c r="M931" s="147"/>
      <c r="N931" s="146"/>
      <c r="O931" s="147"/>
      <c r="P931" s="147"/>
      <c r="Q931" s="147"/>
      <c r="R931" s="146"/>
      <c r="S931" s="146"/>
      <c r="T931" s="146"/>
      <c r="U931" s="146"/>
      <c r="V931" s="147"/>
      <c r="W931" s="146"/>
    </row>
    <row r="932">
      <c r="A932" s="146"/>
      <c r="B932" s="146"/>
      <c r="C932" s="146"/>
      <c r="D932" s="147"/>
      <c r="E932" s="146"/>
      <c r="F932" s="146"/>
      <c r="G932" s="146"/>
      <c r="H932" s="147"/>
      <c r="I932" s="146"/>
      <c r="J932" s="148"/>
      <c r="K932" s="148"/>
      <c r="L932" s="148"/>
      <c r="M932" s="147"/>
      <c r="N932" s="146"/>
      <c r="O932" s="147"/>
      <c r="P932" s="147"/>
      <c r="Q932" s="147"/>
      <c r="R932" s="146"/>
      <c r="S932" s="146"/>
      <c r="T932" s="146"/>
      <c r="U932" s="146"/>
      <c r="V932" s="147"/>
      <c r="W932" s="146"/>
    </row>
    <row r="933">
      <c r="A933" s="146"/>
      <c r="B933" s="146"/>
      <c r="C933" s="146"/>
      <c r="D933" s="147"/>
      <c r="E933" s="146"/>
      <c r="F933" s="146"/>
      <c r="G933" s="146"/>
      <c r="H933" s="147"/>
      <c r="I933" s="146"/>
      <c r="J933" s="148"/>
      <c r="K933" s="148"/>
      <c r="L933" s="148"/>
      <c r="M933" s="147"/>
      <c r="N933" s="146"/>
      <c r="O933" s="147"/>
      <c r="P933" s="147"/>
      <c r="Q933" s="147"/>
      <c r="R933" s="146"/>
      <c r="S933" s="146"/>
      <c r="T933" s="146"/>
      <c r="U933" s="146"/>
      <c r="V933" s="147"/>
      <c r="W933" s="146"/>
    </row>
    <row r="934">
      <c r="A934" s="146"/>
      <c r="B934" s="146"/>
      <c r="C934" s="146"/>
      <c r="D934" s="147"/>
      <c r="E934" s="146"/>
      <c r="F934" s="146"/>
      <c r="G934" s="146"/>
      <c r="H934" s="147"/>
      <c r="I934" s="146"/>
      <c r="J934" s="148"/>
      <c r="K934" s="148"/>
      <c r="L934" s="148"/>
      <c r="M934" s="147"/>
      <c r="N934" s="146"/>
      <c r="O934" s="147"/>
      <c r="P934" s="147"/>
      <c r="Q934" s="147"/>
      <c r="R934" s="146"/>
      <c r="S934" s="146"/>
      <c r="T934" s="146"/>
      <c r="U934" s="146"/>
      <c r="V934" s="147"/>
      <c r="W934" s="146"/>
    </row>
    <row r="935">
      <c r="A935" s="146"/>
      <c r="B935" s="146"/>
      <c r="C935" s="146"/>
      <c r="D935" s="147"/>
      <c r="E935" s="146"/>
      <c r="F935" s="146"/>
      <c r="G935" s="146"/>
      <c r="H935" s="147"/>
      <c r="I935" s="146"/>
      <c r="J935" s="148"/>
      <c r="K935" s="148"/>
      <c r="L935" s="148"/>
      <c r="M935" s="147"/>
      <c r="N935" s="146"/>
      <c r="O935" s="147"/>
      <c r="P935" s="147"/>
      <c r="Q935" s="147"/>
      <c r="R935" s="146"/>
      <c r="S935" s="146"/>
      <c r="T935" s="146"/>
      <c r="U935" s="146"/>
      <c r="V935" s="147"/>
      <c r="W935" s="146"/>
    </row>
    <row r="936">
      <c r="A936" s="146"/>
      <c r="B936" s="146"/>
      <c r="C936" s="146"/>
      <c r="D936" s="147"/>
      <c r="E936" s="146"/>
      <c r="F936" s="146"/>
      <c r="G936" s="146"/>
      <c r="H936" s="147"/>
      <c r="I936" s="146"/>
      <c r="J936" s="148"/>
      <c r="K936" s="148"/>
      <c r="L936" s="148"/>
      <c r="M936" s="147"/>
      <c r="N936" s="146"/>
      <c r="O936" s="147"/>
      <c r="P936" s="147"/>
      <c r="Q936" s="147"/>
      <c r="R936" s="146"/>
      <c r="S936" s="146"/>
      <c r="T936" s="146"/>
      <c r="U936" s="146"/>
      <c r="V936" s="147"/>
      <c r="W936" s="146"/>
    </row>
    <row r="937">
      <c r="A937" s="146"/>
      <c r="B937" s="146"/>
      <c r="C937" s="146"/>
      <c r="D937" s="147"/>
      <c r="E937" s="146"/>
      <c r="F937" s="146"/>
      <c r="G937" s="146"/>
      <c r="H937" s="147"/>
      <c r="I937" s="146"/>
      <c r="J937" s="148"/>
      <c r="K937" s="148"/>
      <c r="L937" s="148"/>
      <c r="M937" s="147"/>
      <c r="N937" s="146"/>
      <c r="O937" s="147"/>
      <c r="P937" s="147"/>
      <c r="Q937" s="147"/>
      <c r="R937" s="146"/>
      <c r="S937" s="146"/>
      <c r="T937" s="146"/>
      <c r="U937" s="146"/>
      <c r="V937" s="147"/>
      <c r="W937" s="146"/>
    </row>
    <row r="938">
      <c r="A938" s="146"/>
      <c r="B938" s="146"/>
      <c r="C938" s="146"/>
      <c r="D938" s="147"/>
      <c r="E938" s="146"/>
      <c r="F938" s="146"/>
      <c r="G938" s="146"/>
      <c r="H938" s="147"/>
      <c r="I938" s="146"/>
      <c r="J938" s="148"/>
      <c r="K938" s="148"/>
      <c r="L938" s="148"/>
      <c r="M938" s="147"/>
      <c r="N938" s="146"/>
      <c r="O938" s="147"/>
      <c r="P938" s="147"/>
      <c r="Q938" s="147"/>
      <c r="R938" s="146"/>
      <c r="S938" s="146"/>
      <c r="T938" s="146"/>
      <c r="U938" s="146"/>
      <c r="V938" s="147"/>
      <c r="W938" s="146"/>
    </row>
    <row r="939">
      <c r="A939" s="146"/>
      <c r="B939" s="146"/>
      <c r="C939" s="146"/>
      <c r="D939" s="147"/>
      <c r="E939" s="146"/>
      <c r="F939" s="146"/>
      <c r="G939" s="146"/>
      <c r="H939" s="147"/>
      <c r="I939" s="146"/>
      <c r="J939" s="148"/>
      <c r="K939" s="148"/>
      <c r="L939" s="148"/>
      <c r="M939" s="147"/>
      <c r="N939" s="146"/>
      <c r="O939" s="147"/>
      <c r="P939" s="147"/>
      <c r="Q939" s="147"/>
      <c r="R939" s="146"/>
      <c r="S939" s="146"/>
      <c r="T939" s="146"/>
      <c r="U939" s="146"/>
      <c r="V939" s="147"/>
      <c r="W939" s="146"/>
    </row>
    <row r="940">
      <c r="A940" s="146"/>
      <c r="B940" s="146"/>
      <c r="C940" s="146"/>
      <c r="D940" s="147"/>
      <c r="E940" s="146"/>
      <c r="F940" s="146"/>
      <c r="G940" s="146"/>
      <c r="H940" s="147"/>
      <c r="I940" s="146"/>
      <c r="J940" s="148"/>
      <c r="K940" s="148"/>
      <c r="L940" s="148"/>
      <c r="M940" s="147"/>
      <c r="N940" s="146"/>
      <c r="O940" s="147"/>
      <c r="P940" s="147"/>
      <c r="Q940" s="147"/>
      <c r="R940" s="146"/>
      <c r="S940" s="146"/>
      <c r="T940" s="146"/>
      <c r="U940" s="146"/>
      <c r="V940" s="147"/>
      <c r="W940" s="146"/>
    </row>
    <row r="941">
      <c r="A941" s="146"/>
      <c r="B941" s="146"/>
      <c r="C941" s="146"/>
      <c r="D941" s="147"/>
      <c r="E941" s="146"/>
      <c r="F941" s="146"/>
      <c r="G941" s="146"/>
      <c r="H941" s="147"/>
      <c r="I941" s="146"/>
      <c r="J941" s="148"/>
      <c r="K941" s="148"/>
      <c r="L941" s="148"/>
      <c r="M941" s="147"/>
      <c r="N941" s="146"/>
      <c r="O941" s="147"/>
      <c r="P941" s="147"/>
      <c r="Q941" s="147"/>
      <c r="R941" s="146"/>
      <c r="S941" s="146"/>
      <c r="T941" s="146"/>
      <c r="U941" s="146"/>
      <c r="V941" s="147"/>
      <c r="W941" s="146"/>
    </row>
    <row r="942">
      <c r="A942" s="146"/>
      <c r="B942" s="146"/>
      <c r="C942" s="146"/>
      <c r="D942" s="147"/>
      <c r="E942" s="146"/>
      <c r="F942" s="146"/>
      <c r="G942" s="146"/>
      <c r="H942" s="147"/>
      <c r="I942" s="146"/>
      <c r="J942" s="148"/>
      <c r="K942" s="148"/>
      <c r="L942" s="148"/>
      <c r="M942" s="147"/>
      <c r="N942" s="146"/>
      <c r="O942" s="147"/>
      <c r="P942" s="147"/>
      <c r="Q942" s="147"/>
      <c r="R942" s="146"/>
      <c r="S942" s="146"/>
      <c r="T942" s="146"/>
      <c r="U942" s="146"/>
      <c r="V942" s="147"/>
      <c r="W942" s="146"/>
    </row>
    <row r="943">
      <c r="A943" s="146"/>
      <c r="B943" s="146"/>
      <c r="C943" s="146"/>
      <c r="D943" s="147"/>
      <c r="E943" s="146"/>
      <c r="F943" s="146"/>
      <c r="G943" s="146"/>
      <c r="H943" s="147"/>
      <c r="I943" s="146"/>
      <c r="J943" s="148"/>
      <c r="K943" s="148"/>
      <c r="L943" s="148"/>
      <c r="M943" s="147"/>
      <c r="N943" s="146"/>
      <c r="O943" s="147"/>
      <c r="P943" s="147"/>
      <c r="Q943" s="147"/>
      <c r="R943" s="146"/>
      <c r="S943" s="146"/>
      <c r="T943" s="146"/>
      <c r="U943" s="146"/>
      <c r="V943" s="147"/>
      <c r="W943" s="146"/>
    </row>
    <row r="944">
      <c r="A944" s="146"/>
      <c r="B944" s="146"/>
      <c r="C944" s="146"/>
      <c r="D944" s="147"/>
      <c r="E944" s="146"/>
      <c r="F944" s="146"/>
      <c r="G944" s="146"/>
      <c r="H944" s="147"/>
      <c r="I944" s="146"/>
      <c r="J944" s="148"/>
      <c r="K944" s="148"/>
      <c r="L944" s="148"/>
      <c r="M944" s="147"/>
      <c r="N944" s="146"/>
      <c r="O944" s="147"/>
      <c r="P944" s="147"/>
      <c r="Q944" s="147"/>
      <c r="R944" s="146"/>
      <c r="S944" s="146"/>
      <c r="T944" s="146"/>
      <c r="U944" s="146"/>
      <c r="V944" s="147"/>
      <c r="W944" s="146"/>
    </row>
    <row r="945">
      <c r="A945" s="146"/>
      <c r="B945" s="146"/>
      <c r="C945" s="146"/>
      <c r="D945" s="147"/>
      <c r="E945" s="146"/>
      <c r="F945" s="146"/>
      <c r="G945" s="146"/>
      <c r="H945" s="147"/>
      <c r="I945" s="146"/>
      <c r="J945" s="148"/>
      <c r="K945" s="148"/>
      <c r="L945" s="148"/>
      <c r="M945" s="147"/>
      <c r="N945" s="146"/>
      <c r="O945" s="147"/>
      <c r="P945" s="147"/>
      <c r="Q945" s="147"/>
      <c r="R945" s="146"/>
      <c r="S945" s="146"/>
      <c r="T945" s="146"/>
      <c r="U945" s="146"/>
      <c r="V945" s="147"/>
      <c r="W945" s="146"/>
    </row>
    <row r="946">
      <c r="A946" s="146"/>
      <c r="B946" s="146"/>
      <c r="C946" s="146"/>
      <c r="D946" s="147"/>
      <c r="E946" s="146"/>
      <c r="F946" s="146"/>
      <c r="G946" s="146"/>
      <c r="H946" s="147"/>
      <c r="I946" s="146"/>
      <c r="J946" s="148"/>
      <c r="K946" s="148"/>
      <c r="L946" s="148"/>
      <c r="M946" s="147"/>
      <c r="N946" s="146"/>
      <c r="O946" s="147"/>
      <c r="P946" s="147"/>
      <c r="Q946" s="147"/>
      <c r="R946" s="146"/>
      <c r="S946" s="146"/>
      <c r="T946" s="146"/>
      <c r="U946" s="146"/>
      <c r="V946" s="147"/>
      <c r="W946" s="146"/>
    </row>
    <row r="947">
      <c r="A947" s="146"/>
      <c r="B947" s="146"/>
      <c r="C947" s="146"/>
      <c r="D947" s="147"/>
      <c r="E947" s="146"/>
      <c r="F947" s="146"/>
      <c r="G947" s="146"/>
      <c r="H947" s="147"/>
      <c r="I947" s="146"/>
      <c r="J947" s="148"/>
      <c r="K947" s="148"/>
      <c r="L947" s="148"/>
      <c r="M947" s="147"/>
      <c r="N947" s="146"/>
      <c r="O947" s="147"/>
      <c r="P947" s="147"/>
      <c r="Q947" s="147"/>
      <c r="R947" s="146"/>
      <c r="S947" s="146"/>
      <c r="T947" s="146"/>
      <c r="U947" s="146"/>
      <c r="V947" s="147"/>
      <c r="W947" s="146"/>
    </row>
    <row r="948">
      <c r="A948" s="146"/>
      <c r="B948" s="146"/>
      <c r="C948" s="146"/>
      <c r="D948" s="147"/>
      <c r="E948" s="146"/>
      <c r="F948" s="146"/>
      <c r="G948" s="146"/>
      <c r="H948" s="147"/>
      <c r="I948" s="146"/>
      <c r="J948" s="148"/>
      <c r="K948" s="148"/>
      <c r="L948" s="148"/>
      <c r="M948" s="147"/>
      <c r="N948" s="146"/>
      <c r="O948" s="147"/>
      <c r="P948" s="147"/>
      <c r="Q948" s="147"/>
      <c r="R948" s="146"/>
      <c r="S948" s="146"/>
      <c r="T948" s="146"/>
      <c r="U948" s="146"/>
      <c r="V948" s="147"/>
      <c r="W948" s="146"/>
    </row>
    <row r="949">
      <c r="A949" s="146"/>
      <c r="B949" s="146"/>
      <c r="C949" s="146"/>
      <c r="D949" s="147"/>
      <c r="E949" s="146"/>
      <c r="F949" s="146"/>
      <c r="G949" s="146"/>
      <c r="H949" s="147"/>
      <c r="I949" s="146"/>
      <c r="J949" s="148"/>
      <c r="K949" s="148"/>
      <c r="L949" s="148"/>
      <c r="M949" s="147"/>
      <c r="N949" s="146"/>
      <c r="O949" s="147"/>
      <c r="P949" s="147"/>
      <c r="Q949" s="147"/>
      <c r="R949" s="146"/>
      <c r="S949" s="146"/>
      <c r="T949" s="146"/>
      <c r="U949" s="146"/>
      <c r="V949" s="147"/>
      <c r="W949" s="146"/>
    </row>
    <row r="950">
      <c r="A950" s="146"/>
      <c r="B950" s="146"/>
      <c r="C950" s="146"/>
      <c r="D950" s="147"/>
      <c r="E950" s="146"/>
      <c r="F950" s="146"/>
      <c r="G950" s="146"/>
      <c r="H950" s="147"/>
      <c r="I950" s="146"/>
      <c r="J950" s="148"/>
      <c r="K950" s="148"/>
      <c r="L950" s="148"/>
      <c r="M950" s="147"/>
      <c r="N950" s="146"/>
      <c r="O950" s="147"/>
      <c r="P950" s="147"/>
      <c r="Q950" s="147"/>
      <c r="R950" s="146"/>
      <c r="S950" s="146"/>
      <c r="T950" s="146"/>
      <c r="U950" s="146"/>
      <c r="V950" s="147"/>
      <c r="W950" s="146"/>
    </row>
    <row r="951">
      <c r="A951" s="146"/>
      <c r="B951" s="146"/>
      <c r="C951" s="146"/>
      <c r="D951" s="147"/>
      <c r="E951" s="146"/>
      <c r="F951" s="146"/>
      <c r="G951" s="146"/>
      <c r="H951" s="147"/>
      <c r="I951" s="146"/>
      <c r="J951" s="148"/>
      <c r="K951" s="148"/>
      <c r="L951" s="148"/>
      <c r="M951" s="147"/>
      <c r="N951" s="146"/>
      <c r="O951" s="147"/>
      <c r="P951" s="147"/>
      <c r="Q951" s="147"/>
      <c r="R951" s="146"/>
      <c r="S951" s="146"/>
      <c r="T951" s="146"/>
      <c r="U951" s="146"/>
      <c r="V951" s="147"/>
      <c r="W951" s="146"/>
    </row>
    <row r="952">
      <c r="A952" s="146"/>
      <c r="B952" s="146"/>
      <c r="C952" s="146"/>
      <c r="D952" s="147"/>
      <c r="E952" s="146"/>
      <c r="F952" s="146"/>
      <c r="G952" s="146"/>
      <c r="H952" s="147"/>
      <c r="I952" s="146"/>
      <c r="J952" s="148"/>
      <c r="K952" s="148"/>
      <c r="L952" s="148"/>
      <c r="M952" s="147"/>
      <c r="N952" s="146"/>
      <c r="O952" s="147"/>
      <c r="P952" s="147"/>
      <c r="Q952" s="147"/>
      <c r="R952" s="146"/>
      <c r="S952" s="146"/>
      <c r="T952" s="146"/>
      <c r="U952" s="146"/>
      <c r="V952" s="147"/>
      <c r="W952" s="146"/>
    </row>
    <row r="953">
      <c r="A953" s="146"/>
      <c r="B953" s="146"/>
      <c r="C953" s="146"/>
      <c r="D953" s="147"/>
      <c r="E953" s="146"/>
      <c r="F953" s="146"/>
      <c r="G953" s="146"/>
      <c r="H953" s="147"/>
      <c r="I953" s="146"/>
      <c r="J953" s="148"/>
      <c r="K953" s="148"/>
      <c r="L953" s="148"/>
      <c r="M953" s="147"/>
      <c r="N953" s="146"/>
      <c r="O953" s="147"/>
      <c r="P953" s="147"/>
      <c r="Q953" s="147"/>
      <c r="R953" s="146"/>
      <c r="S953" s="146"/>
      <c r="T953" s="146"/>
      <c r="U953" s="146"/>
      <c r="V953" s="147"/>
      <c r="W953" s="146"/>
    </row>
    <row r="954">
      <c r="A954" s="146"/>
      <c r="B954" s="146"/>
      <c r="C954" s="146"/>
      <c r="D954" s="147"/>
      <c r="E954" s="146"/>
      <c r="F954" s="146"/>
      <c r="G954" s="146"/>
      <c r="H954" s="147"/>
      <c r="I954" s="146"/>
      <c r="J954" s="148"/>
      <c r="K954" s="148"/>
      <c r="L954" s="148"/>
      <c r="M954" s="147"/>
      <c r="N954" s="146"/>
      <c r="O954" s="147"/>
      <c r="P954" s="147"/>
      <c r="Q954" s="147"/>
      <c r="R954" s="146"/>
      <c r="S954" s="146"/>
      <c r="T954" s="146"/>
      <c r="U954" s="146"/>
      <c r="V954" s="147"/>
      <c r="W954" s="146"/>
    </row>
    <row r="955">
      <c r="A955" s="146"/>
      <c r="B955" s="146"/>
      <c r="C955" s="146"/>
      <c r="D955" s="147"/>
      <c r="E955" s="146"/>
      <c r="F955" s="146"/>
      <c r="G955" s="146"/>
      <c r="H955" s="147"/>
      <c r="I955" s="146"/>
      <c r="J955" s="148"/>
      <c r="K955" s="148"/>
      <c r="L955" s="148"/>
      <c r="M955" s="147"/>
      <c r="N955" s="146"/>
      <c r="O955" s="147"/>
      <c r="P955" s="147"/>
      <c r="Q955" s="147"/>
      <c r="R955" s="146"/>
      <c r="S955" s="146"/>
      <c r="T955" s="146"/>
      <c r="U955" s="146"/>
      <c r="V955" s="147"/>
      <c r="W955" s="146"/>
    </row>
    <row r="956">
      <c r="A956" s="146"/>
      <c r="B956" s="146"/>
      <c r="C956" s="146"/>
      <c r="D956" s="147"/>
      <c r="E956" s="146"/>
      <c r="F956" s="146"/>
      <c r="G956" s="146"/>
      <c r="H956" s="147"/>
      <c r="I956" s="146"/>
      <c r="J956" s="148"/>
      <c r="K956" s="148"/>
      <c r="L956" s="148"/>
      <c r="M956" s="147"/>
      <c r="N956" s="146"/>
      <c r="O956" s="147"/>
      <c r="P956" s="147"/>
      <c r="Q956" s="147"/>
      <c r="R956" s="146"/>
      <c r="S956" s="146"/>
      <c r="T956" s="146"/>
      <c r="U956" s="146"/>
      <c r="V956" s="147"/>
      <c r="W956" s="146"/>
    </row>
    <row r="957">
      <c r="A957" s="146"/>
      <c r="B957" s="146"/>
      <c r="C957" s="146"/>
      <c r="D957" s="147"/>
      <c r="E957" s="146"/>
      <c r="F957" s="146"/>
      <c r="G957" s="146"/>
      <c r="H957" s="147"/>
      <c r="I957" s="146"/>
      <c r="J957" s="148"/>
      <c r="K957" s="148"/>
      <c r="L957" s="148"/>
      <c r="M957" s="147"/>
      <c r="N957" s="146"/>
      <c r="O957" s="147"/>
      <c r="P957" s="147"/>
      <c r="Q957" s="147"/>
      <c r="R957" s="146"/>
      <c r="S957" s="146"/>
      <c r="T957" s="146"/>
      <c r="U957" s="146"/>
      <c r="V957" s="147"/>
      <c r="W957" s="146"/>
    </row>
    <row r="958">
      <c r="A958" s="146"/>
      <c r="B958" s="146"/>
      <c r="C958" s="146"/>
      <c r="D958" s="147"/>
      <c r="E958" s="146"/>
      <c r="F958" s="146"/>
      <c r="G958" s="146"/>
      <c r="H958" s="147"/>
      <c r="I958" s="146"/>
      <c r="J958" s="148"/>
      <c r="K958" s="148"/>
      <c r="L958" s="148"/>
      <c r="M958" s="147"/>
      <c r="N958" s="146"/>
      <c r="O958" s="147"/>
      <c r="P958" s="147"/>
      <c r="Q958" s="147"/>
      <c r="R958" s="146"/>
      <c r="S958" s="146"/>
      <c r="T958" s="146"/>
      <c r="U958" s="146"/>
      <c r="V958" s="147"/>
      <c r="W958" s="146"/>
    </row>
    <row r="959">
      <c r="A959" s="146"/>
      <c r="B959" s="146"/>
      <c r="C959" s="146"/>
      <c r="D959" s="147"/>
      <c r="E959" s="146"/>
      <c r="F959" s="146"/>
      <c r="G959" s="146"/>
      <c r="H959" s="147"/>
      <c r="I959" s="146"/>
      <c r="J959" s="148"/>
      <c r="K959" s="148"/>
      <c r="L959" s="148"/>
      <c r="M959" s="147"/>
      <c r="N959" s="146"/>
      <c r="O959" s="147"/>
      <c r="P959" s="147"/>
      <c r="Q959" s="147"/>
      <c r="R959" s="146"/>
      <c r="S959" s="146"/>
      <c r="T959" s="146"/>
      <c r="U959" s="146"/>
      <c r="V959" s="147"/>
      <c r="W959" s="146"/>
    </row>
    <row r="960">
      <c r="A960" s="146"/>
      <c r="B960" s="146"/>
      <c r="C960" s="146"/>
      <c r="D960" s="147"/>
      <c r="E960" s="146"/>
      <c r="F960" s="146"/>
      <c r="G960" s="146"/>
      <c r="H960" s="147"/>
      <c r="I960" s="146"/>
      <c r="J960" s="148"/>
      <c r="K960" s="148"/>
      <c r="L960" s="148"/>
      <c r="M960" s="147"/>
      <c r="N960" s="146"/>
      <c r="O960" s="147"/>
      <c r="P960" s="147"/>
      <c r="Q960" s="147"/>
      <c r="R960" s="146"/>
      <c r="S960" s="146"/>
      <c r="T960" s="146"/>
      <c r="U960" s="146"/>
      <c r="V960" s="147"/>
      <c r="W960" s="146"/>
    </row>
    <row r="961">
      <c r="A961" s="146"/>
      <c r="B961" s="146"/>
      <c r="C961" s="146"/>
      <c r="D961" s="147"/>
      <c r="E961" s="146"/>
      <c r="F961" s="146"/>
      <c r="G961" s="146"/>
      <c r="H961" s="147"/>
      <c r="I961" s="146"/>
      <c r="J961" s="148"/>
      <c r="K961" s="148"/>
      <c r="L961" s="148"/>
      <c r="M961" s="147"/>
      <c r="N961" s="146"/>
      <c r="O961" s="147"/>
      <c r="P961" s="147"/>
      <c r="Q961" s="147"/>
      <c r="R961" s="146"/>
      <c r="S961" s="146"/>
      <c r="T961" s="146"/>
      <c r="U961" s="146"/>
      <c r="V961" s="147"/>
      <c r="W961" s="146"/>
    </row>
    <row r="962">
      <c r="A962" s="146"/>
      <c r="B962" s="146"/>
      <c r="C962" s="146"/>
      <c r="D962" s="147"/>
      <c r="E962" s="146"/>
      <c r="F962" s="146"/>
      <c r="G962" s="146"/>
      <c r="H962" s="147"/>
      <c r="I962" s="146"/>
      <c r="J962" s="148"/>
      <c r="K962" s="148"/>
      <c r="L962" s="148"/>
      <c r="M962" s="147"/>
      <c r="N962" s="146"/>
      <c r="O962" s="147"/>
      <c r="P962" s="147"/>
      <c r="Q962" s="147"/>
      <c r="R962" s="146"/>
      <c r="S962" s="146"/>
      <c r="T962" s="146"/>
      <c r="U962" s="146"/>
      <c r="V962" s="147"/>
      <c r="W962" s="146"/>
    </row>
    <row r="963">
      <c r="A963" s="146"/>
      <c r="B963" s="146"/>
      <c r="C963" s="146"/>
      <c r="D963" s="147"/>
      <c r="E963" s="146"/>
      <c r="F963" s="146"/>
      <c r="G963" s="146"/>
      <c r="H963" s="147"/>
      <c r="I963" s="146"/>
      <c r="J963" s="148"/>
      <c r="K963" s="148"/>
      <c r="L963" s="148"/>
      <c r="M963" s="147"/>
      <c r="N963" s="146"/>
      <c r="O963" s="147"/>
      <c r="P963" s="147"/>
      <c r="Q963" s="147"/>
      <c r="R963" s="146"/>
      <c r="S963" s="146"/>
      <c r="T963" s="146"/>
      <c r="U963" s="146"/>
      <c r="V963" s="147"/>
      <c r="W963" s="146"/>
    </row>
    <row r="964">
      <c r="A964" s="146"/>
      <c r="B964" s="146"/>
      <c r="C964" s="146"/>
      <c r="D964" s="147"/>
      <c r="E964" s="146"/>
      <c r="F964" s="146"/>
      <c r="G964" s="146"/>
      <c r="H964" s="147"/>
      <c r="I964" s="146"/>
      <c r="J964" s="148"/>
      <c r="K964" s="148"/>
      <c r="L964" s="148"/>
      <c r="M964" s="147"/>
      <c r="N964" s="146"/>
      <c r="O964" s="147"/>
      <c r="P964" s="147"/>
      <c r="Q964" s="147"/>
      <c r="R964" s="146"/>
      <c r="S964" s="146"/>
      <c r="T964" s="146"/>
      <c r="U964" s="146"/>
      <c r="V964" s="147"/>
      <c r="W964" s="146"/>
    </row>
    <row r="965">
      <c r="A965" s="146"/>
      <c r="B965" s="146"/>
      <c r="C965" s="146"/>
      <c r="D965" s="147"/>
      <c r="E965" s="146"/>
      <c r="F965" s="146"/>
      <c r="G965" s="146"/>
      <c r="H965" s="147"/>
      <c r="I965" s="146"/>
      <c r="J965" s="148"/>
      <c r="K965" s="148"/>
      <c r="L965" s="148"/>
      <c r="M965" s="147"/>
      <c r="N965" s="146"/>
      <c r="O965" s="147"/>
      <c r="P965" s="147"/>
      <c r="Q965" s="147"/>
      <c r="R965" s="146"/>
      <c r="S965" s="146"/>
      <c r="T965" s="146"/>
      <c r="U965" s="146"/>
      <c r="V965" s="147"/>
      <c r="W965" s="146"/>
    </row>
    <row r="966">
      <c r="A966" s="146"/>
      <c r="B966" s="146"/>
      <c r="C966" s="146"/>
      <c r="D966" s="147"/>
      <c r="E966" s="146"/>
      <c r="F966" s="146"/>
      <c r="G966" s="146"/>
      <c r="H966" s="147"/>
      <c r="I966" s="146"/>
      <c r="J966" s="148"/>
      <c r="K966" s="148"/>
      <c r="L966" s="148"/>
      <c r="M966" s="147"/>
      <c r="N966" s="146"/>
      <c r="O966" s="147"/>
      <c r="P966" s="147"/>
      <c r="Q966" s="147"/>
      <c r="R966" s="146"/>
      <c r="S966" s="146"/>
      <c r="T966" s="146"/>
      <c r="U966" s="146"/>
      <c r="V966" s="147"/>
      <c r="W966" s="146"/>
    </row>
    <row r="967">
      <c r="A967" s="146"/>
      <c r="B967" s="146"/>
      <c r="C967" s="146"/>
      <c r="D967" s="147"/>
      <c r="E967" s="146"/>
      <c r="F967" s="146"/>
      <c r="G967" s="146"/>
      <c r="H967" s="147"/>
      <c r="I967" s="146"/>
      <c r="J967" s="148"/>
      <c r="K967" s="148"/>
      <c r="L967" s="148"/>
      <c r="M967" s="147"/>
      <c r="N967" s="146"/>
      <c r="O967" s="147"/>
      <c r="P967" s="147"/>
      <c r="Q967" s="147"/>
      <c r="R967" s="146"/>
      <c r="S967" s="146"/>
      <c r="T967" s="146"/>
      <c r="U967" s="146"/>
      <c r="V967" s="147"/>
      <c r="W967" s="146"/>
    </row>
    <row r="968">
      <c r="A968" s="146"/>
      <c r="B968" s="146"/>
      <c r="C968" s="146"/>
      <c r="D968" s="147"/>
      <c r="E968" s="146"/>
      <c r="F968" s="146"/>
      <c r="G968" s="146"/>
      <c r="H968" s="147"/>
      <c r="I968" s="146"/>
      <c r="J968" s="148"/>
      <c r="K968" s="148"/>
      <c r="L968" s="148"/>
      <c r="M968" s="147"/>
      <c r="N968" s="146"/>
      <c r="O968" s="147"/>
      <c r="P968" s="147"/>
      <c r="Q968" s="147"/>
      <c r="R968" s="146"/>
      <c r="S968" s="146"/>
      <c r="T968" s="146"/>
      <c r="U968" s="146"/>
      <c r="V968" s="147"/>
      <c r="W968" s="146"/>
    </row>
    <row r="969">
      <c r="A969" s="146"/>
      <c r="B969" s="146"/>
      <c r="C969" s="146"/>
      <c r="D969" s="147"/>
      <c r="E969" s="146"/>
      <c r="F969" s="146"/>
      <c r="G969" s="146"/>
      <c r="H969" s="147"/>
      <c r="I969" s="146"/>
      <c r="J969" s="148"/>
      <c r="K969" s="148"/>
      <c r="L969" s="148"/>
      <c r="M969" s="147"/>
      <c r="N969" s="146"/>
      <c r="O969" s="147"/>
      <c r="P969" s="147"/>
      <c r="Q969" s="147"/>
      <c r="R969" s="146"/>
      <c r="S969" s="146"/>
      <c r="T969" s="146"/>
      <c r="U969" s="146"/>
      <c r="V969" s="147"/>
      <c r="W969" s="146"/>
    </row>
    <row r="970">
      <c r="A970" s="146"/>
      <c r="B970" s="146"/>
      <c r="C970" s="146"/>
      <c r="D970" s="147"/>
      <c r="E970" s="146"/>
      <c r="F970" s="146"/>
      <c r="G970" s="146"/>
      <c r="H970" s="147"/>
      <c r="I970" s="146"/>
      <c r="J970" s="148"/>
      <c r="K970" s="148"/>
      <c r="L970" s="148"/>
      <c r="M970" s="147"/>
      <c r="N970" s="146"/>
      <c r="O970" s="147"/>
      <c r="P970" s="147"/>
      <c r="Q970" s="147"/>
      <c r="R970" s="146"/>
      <c r="S970" s="146"/>
      <c r="T970" s="146"/>
      <c r="U970" s="146"/>
      <c r="V970" s="147"/>
      <c r="W970" s="146"/>
    </row>
    <row r="971">
      <c r="A971" s="146"/>
      <c r="B971" s="146"/>
      <c r="C971" s="146"/>
      <c r="D971" s="147"/>
      <c r="E971" s="146"/>
      <c r="F971" s="146"/>
      <c r="G971" s="146"/>
      <c r="H971" s="147"/>
      <c r="I971" s="146"/>
      <c r="J971" s="148"/>
      <c r="K971" s="148"/>
      <c r="L971" s="148"/>
      <c r="M971" s="147"/>
      <c r="N971" s="146"/>
      <c r="O971" s="147"/>
      <c r="P971" s="147"/>
      <c r="Q971" s="147"/>
      <c r="R971" s="146"/>
      <c r="S971" s="146"/>
      <c r="T971" s="146"/>
      <c r="U971" s="146"/>
      <c r="V971" s="147"/>
      <c r="W971" s="146"/>
    </row>
    <row r="972">
      <c r="A972" s="146"/>
      <c r="B972" s="146"/>
      <c r="C972" s="146"/>
      <c r="D972" s="147"/>
      <c r="E972" s="146"/>
      <c r="F972" s="146"/>
      <c r="G972" s="146"/>
      <c r="H972" s="147"/>
      <c r="I972" s="146"/>
      <c r="J972" s="148"/>
      <c r="K972" s="148"/>
      <c r="L972" s="148"/>
      <c r="M972" s="147"/>
      <c r="N972" s="146"/>
      <c r="O972" s="147"/>
      <c r="P972" s="147"/>
      <c r="Q972" s="147"/>
      <c r="R972" s="146"/>
      <c r="S972" s="146"/>
      <c r="T972" s="146"/>
      <c r="U972" s="146"/>
      <c r="V972" s="147"/>
      <c r="W972" s="146"/>
    </row>
    <row r="973">
      <c r="A973" s="146"/>
      <c r="B973" s="146"/>
      <c r="C973" s="146"/>
      <c r="D973" s="147"/>
      <c r="E973" s="146"/>
      <c r="F973" s="146"/>
      <c r="G973" s="146"/>
      <c r="H973" s="147"/>
      <c r="I973" s="146"/>
      <c r="J973" s="148"/>
      <c r="K973" s="148"/>
      <c r="L973" s="148"/>
      <c r="M973" s="147"/>
      <c r="N973" s="146"/>
      <c r="O973" s="147"/>
      <c r="P973" s="147"/>
      <c r="Q973" s="147"/>
      <c r="R973" s="146"/>
      <c r="S973" s="146"/>
      <c r="T973" s="146"/>
      <c r="U973" s="146"/>
      <c r="V973" s="147"/>
      <c r="W973" s="146"/>
    </row>
    <row r="974">
      <c r="A974" s="146"/>
      <c r="B974" s="146"/>
      <c r="C974" s="146"/>
      <c r="D974" s="147"/>
      <c r="E974" s="146"/>
      <c r="F974" s="146"/>
      <c r="G974" s="146"/>
      <c r="H974" s="147"/>
      <c r="I974" s="146"/>
      <c r="J974" s="148"/>
      <c r="K974" s="148"/>
      <c r="L974" s="148"/>
      <c r="M974" s="147"/>
      <c r="N974" s="146"/>
      <c r="O974" s="147"/>
      <c r="P974" s="147"/>
      <c r="Q974" s="147"/>
      <c r="R974" s="146"/>
      <c r="S974" s="146"/>
      <c r="T974" s="146"/>
      <c r="U974" s="146"/>
      <c r="V974" s="147"/>
      <c r="W974" s="146"/>
    </row>
    <row r="975">
      <c r="A975" s="146"/>
      <c r="B975" s="146"/>
      <c r="C975" s="146"/>
      <c r="D975" s="147"/>
      <c r="E975" s="146"/>
      <c r="F975" s="146"/>
      <c r="G975" s="146"/>
      <c r="H975" s="147"/>
      <c r="I975" s="146"/>
      <c r="J975" s="148"/>
      <c r="K975" s="148"/>
      <c r="L975" s="148"/>
      <c r="M975" s="147"/>
      <c r="N975" s="146"/>
      <c r="O975" s="147"/>
      <c r="P975" s="147"/>
      <c r="Q975" s="147"/>
      <c r="R975" s="146"/>
      <c r="S975" s="146"/>
      <c r="T975" s="146"/>
      <c r="U975" s="146"/>
      <c r="V975" s="147"/>
      <c r="W975" s="146"/>
    </row>
    <row r="976">
      <c r="A976" s="146"/>
      <c r="B976" s="146"/>
      <c r="C976" s="146"/>
      <c r="D976" s="147"/>
      <c r="E976" s="146"/>
      <c r="F976" s="146"/>
      <c r="G976" s="146"/>
      <c r="H976" s="147"/>
      <c r="I976" s="146"/>
      <c r="J976" s="148"/>
      <c r="K976" s="148"/>
      <c r="L976" s="148"/>
      <c r="M976" s="147"/>
      <c r="N976" s="146"/>
      <c r="O976" s="147"/>
      <c r="P976" s="147"/>
      <c r="Q976" s="147"/>
      <c r="R976" s="146"/>
      <c r="S976" s="146"/>
      <c r="T976" s="146"/>
      <c r="U976" s="146"/>
      <c r="V976" s="147"/>
      <c r="W976" s="146"/>
    </row>
    <row r="977">
      <c r="A977" s="146"/>
      <c r="B977" s="146"/>
      <c r="C977" s="146"/>
      <c r="D977" s="147"/>
      <c r="E977" s="146"/>
      <c r="F977" s="146"/>
      <c r="G977" s="146"/>
      <c r="H977" s="147"/>
      <c r="I977" s="146"/>
      <c r="J977" s="148"/>
      <c r="K977" s="148"/>
      <c r="L977" s="148"/>
      <c r="M977" s="147"/>
      <c r="N977" s="146"/>
      <c r="O977" s="147"/>
      <c r="P977" s="147"/>
      <c r="Q977" s="147"/>
      <c r="R977" s="146"/>
      <c r="S977" s="146"/>
      <c r="T977" s="146"/>
      <c r="U977" s="146"/>
      <c r="V977" s="147"/>
      <c r="W977" s="146"/>
    </row>
    <row r="978">
      <c r="A978" s="146"/>
      <c r="B978" s="146"/>
      <c r="C978" s="146"/>
      <c r="D978" s="147"/>
      <c r="E978" s="146"/>
      <c r="F978" s="146"/>
      <c r="G978" s="146"/>
      <c r="H978" s="147"/>
      <c r="I978" s="146"/>
      <c r="J978" s="148"/>
      <c r="K978" s="148"/>
      <c r="L978" s="148"/>
      <c r="M978" s="147"/>
      <c r="N978" s="146"/>
      <c r="O978" s="147"/>
      <c r="P978" s="147"/>
      <c r="Q978" s="147"/>
      <c r="R978" s="146"/>
      <c r="S978" s="146"/>
      <c r="T978" s="146"/>
      <c r="U978" s="146"/>
      <c r="V978" s="147"/>
      <c r="W978" s="146"/>
    </row>
    <row r="979">
      <c r="A979" s="146"/>
      <c r="B979" s="146"/>
      <c r="C979" s="146"/>
      <c r="D979" s="147"/>
      <c r="E979" s="146"/>
      <c r="F979" s="146"/>
      <c r="G979" s="146"/>
      <c r="H979" s="147"/>
      <c r="I979" s="146"/>
      <c r="J979" s="148"/>
      <c r="K979" s="148"/>
      <c r="L979" s="148"/>
      <c r="M979" s="147"/>
      <c r="N979" s="146"/>
      <c r="O979" s="147"/>
      <c r="P979" s="147"/>
      <c r="Q979" s="147"/>
      <c r="R979" s="146"/>
      <c r="S979" s="146"/>
      <c r="T979" s="146"/>
      <c r="U979" s="146"/>
      <c r="V979" s="147"/>
      <c r="W979" s="146"/>
    </row>
    <row r="980">
      <c r="A980" s="146"/>
      <c r="B980" s="146"/>
      <c r="C980" s="146"/>
      <c r="D980" s="147"/>
      <c r="E980" s="146"/>
      <c r="F980" s="146"/>
      <c r="G980" s="146"/>
      <c r="H980" s="147"/>
      <c r="I980" s="146"/>
      <c r="J980" s="148"/>
      <c r="K980" s="148"/>
      <c r="L980" s="148"/>
      <c r="M980" s="147"/>
      <c r="N980" s="146"/>
      <c r="O980" s="147"/>
      <c r="P980" s="147"/>
      <c r="Q980" s="147"/>
      <c r="R980" s="146"/>
      <c r="S980" s="146"/>
      <c r="T980" s="146"/>
      <c r="U980" s="146"/>
      <c r="V980" s="147"/>
      <c r="W980" s="146"/>
    </row>
    <row r="981">
      <c r="A981" s="146"/>
      <c r="B981" s="146"/>
      <c r="C981" s="146"/>
      <c r="D981" s="147"/>
      <c r="E981" s="146"/>
      <c r="F981" s="146"/>
      <c r="G981" s="146"/>
      <c r="H981" s="147"/>
      <c r="I981" s="146"/>
      <c r="J981" s="148"/>
      <c r="K981" s="148"/>
      <c r="L981" s="148"/>
      <c r="M981" s="147"/>
      <c r="N981" s="146"/>
      <c r="O981" s="147"/>
      <c r="P981" s="147"/>
      <c r="Q981" s="147"/>
      <c r="R981" s="146"/>
      <c r="S981" s="146"/>
      <c r="T981" s="146"/>
      <c r="U981" s="146"/>
      <c r="V981" s="147"/>
      <c r="W981" s="146"/>
    </row>
    <row r="982">
      <c r="A982" s="146"/>
      <c r="B982" s="146"/>
      <c r="C982" s="146"/>
      <c r="D982" s="147"/>
      <c r="E982" s="146"/>
      <c r="F982" s="146"/>
      <c r="G982" s="146"/>
      <c r="H982" s="147"/>
      <c r="I982" s="146"/>
      <c r="J982" s="148"/>
      <c r="K982" s="148"/>
      <c r="L982" s="148"/>
      <c r="M982" s="147"/>
      <c r="N982" s="146"/>
      <c r="O982" s="147"/>
      <c r="P982" s="147"/>
      <c r="Q982" s="147"/>
      <c r="R982" s="146"/>
      <c r="S982" s="146"/>
      <c r="T982" s="146"/>
      <c r="U982" s="146"/>
      <c r="V982" s="147"/>
      <c r="W982" s="146"/>
    </row>
    <row r="983">
      <c r="A983" s="146"/>
      <c r="B983" s="146"/>
      <c r="C983" s="146"/>
      <c r="D983" s="147"/>
      <c r="E983" s="146"/>
      <c r="F983" s="146"/>
      <c r="G983" s="146"/>
      <c r="H983" s="147"/>
      <c r="I983" s="146"/>
      <c r="J983" s="148"/>
      <c r="K983" s="148"/>
      <c r="L983" s="148"/>
      <c r="M983" s="147"/>
      <c r="N983" s="146"/>
      <c r="O983" s="147"/>
      <c r="P983" s="147"/>
      <c r="Q983" s="147"/>
      <c r="R983" s="146"/>
      <c r="S983" s="146"/>
      <c r="T983" s="146"/>
      <c r="U983" s="146"/>
      <c r="V983" s="147"/>
      <c r="W983" s="146"/>
    </row>
    <row r="984">
      <c r="A984" s="146"/>
      <c r="B984" s="146"/>
      <c r="C984" s="146"/>
      <c r="D984" s="147"/>
      <c r="E984" s="146"/>
      <c r="F984" s="146"/>
      <c r="G984" s="146"/>
      <c r="H984" s="147"/>
      <c r="I984" s="146"/>
      <c r="J984" s="148"/>
      <c r="K984" s="148"/>
      <c r="L984" s="148"/>
      <c r="M984" s="147"/>
      <c r="N984" s="146"/>
      <c r="O984" s="147"/>
      <c r="P984" s="147"/>
      <c r="Q984" s="147"/>
      <c r="R984" s="146"/>
      <c r="S984" s="146"/>
      <c r="T984" s="146"/>
      <c r="U984" s="146"/>
      <c r="V984" s="147"/>
      <c r="W984" s="146"/>
    </row>
    <row r="985">
      <c r="A985" s="146"/>
      <c r="B985" s="146"/>
      <c r="C985" s="146"/>
      <c r="D985" s="147"/>
      <c r="E985" s="146"/>
      <c r="F985" s="146"/>
      <c r="G985" s="146"/>
      <c r="H985" s="147"/>
      <c r="I985" s="146"/>
      <c r="J985" s="148"/>
      <c r="K985" s="148"/>
      <c r="L985" s="148"/>
      <c r="M985" s="147"/>
      <c r="N985" s="146"/>
      <c r="O985" s="147"/>
      <c r="P985" s="147"/>
      <c r="Q985" s="147"/>
      <c r="R985" s="146"/>
      <c r="S985" s="146"/>
      <c r="T985" s="146"/>
      <c r="U985" s="146"/>
      <c r="V985" s="147"/>
      <c r="W985" s="146"/>
    </row>
    <row r="986">
      <c r="A986" s="146"/>
      <c r="B986" s="146"/>
      <c r="C986" s="146"/>
      <c r="D986" s="147"/>
      <c r="E986" s="146"/>
      <c r="F986" s="146"/>
      <c r="G986" s="146"/>
      <c r="H986" s="147"/>
      <c r="I986" s="146"/>
      <c r="J986" s="148"/>
      <c r="K986" s="148"/>
      <c r="L986" s="148"/>
      <c r="M986" s="147"/>
      <c r="N986" s="146"/>
      <c r="O986" s="147"/>
      <c r="P986" s="147"/>
      <c r="Q986" s="147"/>
      <c r="R986" s="146"/>
      <c r="S986" s="146"/>
      <c r="T986" s="146"/>
      <c r="U986" s="146"/>
      <c r="V986" s="147"/>
      <c r="W986" s="146"/>
    </row>
    <row r="987">
      <c r="A987" s="146"/>
      <c r="B987" s="146"/>
      <c r="C987" s="146"/>
      <c r="D987" s="147"/>
      <c r="E987" s="146"/>
      <c r="F987" s="146"/>
      <c r="G987" s="146"/>
      <c r="H987" s="147"/>
      <c r="I987" s="146"/>
      <c r="J987" s="148"/>
      <c r="K987" s="148"/>
      <c r="L987" s="148"/>
      <c r="M987" s="147"/>
      <c r="N987" s="146"/>
      <c r="O987" s="147"/>
      <c r="P987" s="147"/>
      <c r="Q987" s="147"/>
      <c r="R987" s="146"/>
      <c r="S987" s="146"/>
      <c r="T987" s="146"/>
      <c r="U987" s="146"/>
      <c r="V987" s="147"/>
      <c r="W987" s="146"/>
    </row>
    <row r="988">
      <c r="A988" s="146"/>
      <c r="B988" s="146"/>
      <c r="C988" s="146"/>
      <c r="D988" s="147"/>
      <c r="E988" s="146"/>
      <c r="F988" s="146"/>
      <c r="G988" s="146"/>
      <c r="H988" s="147"/>
      <c r="I988" s="146"/>
      <c r="J988" s="148"/>
      <c r="K988" s="148"/>
      <c r="L988" s="148"/>
      <c r="M988" s="147"/>
      <c r="N988" s="146"/>
      <c r="O988" s="147"/>
      <c r="P988" s="147"/>
      <c r="Q988" s="147"/>
      <c r="R988" s="146"/>
      <c r="S988" s="146"/>
      <c r="T988" s="146"/>
      <c r="U988" s="146"/>
      <c r="V988" s="147"/>
      <c r="W988" s="146"/>
    </row>
    <row r="989">
      <c r="A989" s="146"/>
      <c r="B989" s="146"/>
      <c r="C989" s="146"/>
      <c r="D989" s="147"/>
      <c r="E989" s="146"/>
      <c r="F989" s="146"/>
      <c r="G989" s="146"/>
      <c r="H989" s="147"/>
      <c r="I989" s="146"/>
      <c r="J989" s="148"/>
      <c r="K989" s="148"/>
      <c r="L989" s="148"/>
      <c r="M989" s="147"/>
      <c r="N989" s="146"/>
      <c r="O989" s="147"/>
      <c r="P989" s="147"/>
      <c r="Q989" s="147"/>
      <c r="R989" s="146"/>
      <c r="S989" s="146"/>
      <c r="T989" s="146"/>
      <c r="U989" s="146"/>
      <c r="V989" s="147"/>
      <c r="W989" s="146"/>
    </row>
    <row r="990">
      <c r="A990" s="146"/>
      <c r="B990" s="146"/>
      <c r="C990" s="146"/>
      <c r="D990" s="147"/>
      <c r="E990" s="146"/>
      <c r="F990" s="146"/>
      <c r="G990" s="146"/>
      <c r="H990" s="147"/>
      <c r="I990" s="146"/>
      <c r="J990" s="148"/>
      <c r="K990" s="148"/>
      <c r="L990" s="148"/>
      <c r="M990" s="147"/>
      <c r="N990" s="146"/>
      <c r="O990" s="147"/>
      <c r="P990" s="147"/>
      <c r="Q990" s="147"/>
      <c r="R990" s="146"/>
      <c r="S990" s="146"/>
      <c r="T990" s="146"/>
      <c r="U990" s="146"/>
      <c r="V990" s="147"/>
      <c r="W990" s="146"/>
    </row>
    <row r="991">
      <c r="A991" s="146"/>
      <c r="B991" s="146"/>
      <c r="C991" s="146"/>
      <c r="D991" s="147"/>
      <c r="E991" s="146"/>
      <c r="F991" s="146"/>
      <c r="G991" s="146"/>
      <c r="H991" s="147"/>
      <c r="I991" s="146"/>
      <c r="J991" s="148"/>
      <c r="K991" s="148"/>
      <c r="L991" s="148"/>
      <c r="M991" s="147"/>
      <c r="N991" s="146"/>
      <c r="O991" s="147"/>
      <c r="P991" s="147"/>
      <c r="Q991" s="147"/>
      <c r="R991" s="146"/>
      <c r="S991" s="146"/>
      <c r="T991" s="146"/>
      <c r="U991" s="146"/>
      <c r="V991" s="147"/>
      <c r="W991" s="146"/>
    </row>
    <row r="992">
      <c r="A992" s="146"/>
      <c r="B992" s="146"/>
      <c r="C992" s="146"/>
      <c r="D992" s="147"/>
      <c r="E992" s="146"/>
      <c r="F992" s="146"/>
      <c r="G992" s="146"/>
      <c r="H992" s="147"/>
      <c r="I992" s="146"/>
      <c r="J992" s="148"/>
      <c r="K992" s="148"/>
      <c r="L992" s="148"/>
      <c r="M992" s="147"/>
      <c r="N992" s="146"/>
      <c r="O992" s="147"/>
      <c r="P992" s="147"/>
      <c r="Q992" s="147"/>
      <c r="R992" s="146"/>
      <c r="S992" s="146"/>
      <c r="T992" s="146"/>
      <c r="U992" s="146"/>
      <c r="V992" s="147"/>
      <c r="W992" s="146"/>
    </row>
    <row r="993">
      <c r="A993" s="146"/>
      <c r="B993" s="146"/>
      <c r="C993" s="146"/>
      <c r="D993" s="147"/>
      <c r="E993" s="146"/>
      <c r="F993" s="146"/>
      <c r="G993" s="146"/>
      <c r="H993" s="147"/>
      <c r="I993" s="146"/>
      <c r="J993" s="148"/>
      <c r="K993" s="148"/>
      <c r="L993" s="148"/>
      <c r="M993" s="147"/>
      <c r="N993" s="146"/>
      <c r="O993" s="147"/>
      <c r="P993" s="147"/>
      <c r="Q993" s="147"/>
      <c r="R993" s="146"/>
      <c r="S993" s="146"/>
      <c r="T993" s="146"/>
      <c r="U993" s="146"/>
      <c r="V993" s="147"/>
      <c r="W993" s="146"/>
    </row>
    <row r="994">
      <c r="A994" s="146"/>
      <c r="B994" s="146"/>
      <c r="C994" s="146"/>
      <c r="D994" s="147"/>
      <c r="E994" s="146"/>
      <c r="F994" s="146"/>
      <c r="G994" s="146"/>
      <c r="H994" s="147"/>
      <c r="I994" s="146"/>
      <c r="J994" s="148"/>
      <c r="K994" s="148"/>
      <c r="L994" s="148"/>
      <c r="M994" s="147"/>
      <c r="N994" s="146"/>
      <c r="O994" s="147"/>
      <c r="P994" s="147"/>
      <c r="Q994" s="147"/>
      <c r="R994" s="146"/>
      <c r="S994" s="146"/>
      <c r="T994" s="146"/>
      <c r="U994" s="146"/>
      <c r="V994" s="147"/>
      <c r="W994" s="146"/>
    </row>
    <row r="995">
      <c r="A995" s="146"/>
      <c r="B995" s="146"/>
      <c r="C995" s="146"/>
      <c r="D995" s="147"/>
      <c r="E995" s="146"/>
      <c r="F995" s="146"/>
      <c r="G995" s="146"/>
      <c r="H995" s="147"/>
      <c r="I995" s="146"/>
      <c r="J995" s="148"/>
      <c r="K995" s="148"/>
      <c r="L995" s="148"/>
      <c r="M995" s="147"/>
      <c r="N995" s="146"/>
      <c r="O995" s="147"/>
      <c r="P995" s="147"/>
      <c r="Q995" s="147"/>
      <c r="R995" s="146"/>
      <c r="S995" s="146"/>
      <c r="T995" s="146"/>
      <c r="U995" s="146"/>
      <c r="V995" s="147"/>
      <c r="W995" s="146"/>
    </row>
    <row r="996">
      <c r="A996" s="146"/>
      <c r="B996" s="146"/>
      <c r="C996" s="146"/>
      <c r="D996" s="147"/>
      <c r="E996" s="146"/>
      <c r="F996" s="146"/>
      <c r="G996" s="146"/>
      <c r="H996" s="147"/>
      <c r="I996" s="146"/>
      <c r="J996" s="148"/>
      <c r="K996" s="148"/>
      <c r="L996" s="148"/>
      <c r="M996" s="147"/>
      <c r="N996" s="146"/>
      <c r="O996" s="147"/>
      <c r="P996" s="147"/>
      <c r="Q996" s="147"/>
      <c r="R996" s="146"/>
      <c r="S996" s="146"/>
      <c r="T996" s="146"/>
      <c r="U996" s="146"/>
      <c r="V996" s="147"/>
      <c r="W996" s="146"/>
    </row>
    <row r="997">
      <c r="A997" s="146"/>
      <c r="B997" s="146"/>
      <c r="C997" s="146"/>
      <c r="D997" s="147"/>
      <c r="E997" s="146"/>
      <c r="F997" s="146"/>
      <c r="G997" s="146"/>
      <c r="H997" s="147"/>
      <c r="I997" s="146"/>
      <c r="J997" s="148"/>
      <c r="K997" s="148"/>
      <c r="L997" s="148"/>
      <c r="M997" s="147"/>
      <c r="N997" s="146"/>
      <c r="O997" s="147"/>
      <c r="P997" s="147"/>
      <c r="Q997" s="147"/>
      <c r="R997" s="146"/>
      <c r="S997" s="146"/>
      <c r="T997" s="146"/>
      <c r="U997" s="146"/>
      <c r="V997" s="147"/>
      <c r="W997" s="146"/>
    </row>
    <row r="998">
      <c r="A998" s="146"/>
      <c r="B998" s="146"/>
      <c r="C998" s="146"/>
      <c r="D998" s="147"/>
      <c r="E998" s="146"/>
      <c r="F998" s="146"/>
      <c r="G998" s="146"/>
      <c r="H998" s="147"/>
      <c r="I998" s="146"/>
      <c r="J998" s="148"/>
      <c r="K998" s="148"/>
      <c r="L998" s="148"/>
      <c r="M998" s="147"/>
      <c r="N998" s="146"/>
      <c r="O998" s="147"/>
      <c r="P998" s="147"/>
      <c r="Q998" s="147"/>
      <c r="R998" s="146"/>
      <c r="S998" s="146"/>
      <c r="T998" s="146"/>
      <c r="U998" s="146"/>
      <c r="V998" s="147"/>
      <c r="W998" s="146"/>
    </row>
    <row r="999">
      <c r="A999" s="146"/>
      <c r="B999" s="146"/>
      <c r="C999" s="146"/>
      <c r="D999" s="147"/>
      <c r="E999" s="146"/>
      <c r="F999" s="146"/>
      <c r="G999" s="146"/>
      <c r="H999" s="147"/>
      <c r="I999" s="146"/>
      <c r="J999" s="148"/>
      <c r="K999" s="148"/>
      <c r="L999" s="148"/>
      <c r="M999" s="147"/>
      <c r="N999" s="146"/>
      <c r="O999" s="147"/>
      <c r="P999" s="147"/>
      <c r="Q999" s="147"/>
      <c r="R999" s="146"/>
      <c r="S999" s="146"/>
      <c r="T999" s="146"/>
      <c r="U999" s="146"/>
      <c r="V999" s="147"/>
      <c r="W999" s="146"/>
    </row>
    <row r="1000">
      <c r="A1000" s="146"/>
      <c r="B1000" s="146"/>
      <c r="C1000" s="146"/>
      <c r="D1000" s="147"/>
      <c r="E1000" s="146"/>
      <c r="F1000" s="146"/>
      <c r="G1000" s="146"/>
      <c r="H1000" s="147"/>
      <c r="I1000" s="146"/>
      <c r="J1000" s="148"/>
      <c r="K1000" s="148"/>
      <c r="L1000" s="148"/>
      <c r="M1000" s="147"/>
      <c r="N1000" s="146"/>
      <c r="O1000" s="147"/>
      <c r="P1000" s="147"/>
      <c r="Q1000" s="147"/>
      <c r="R1000" s="146"/>
      <c r="S1000" s="146"/>
      <c r="T1000" s="146"/>
      <c r="U1000" s="146"/>
      <c r="V1000" s="147"/>
      <c r="W1000" s="146"/>
    </row>
  </sheetData>
  <dataValidations>
    <dataValidation type="list" allowBlank="1" sqref="D1:D1000">
      <formula1>INFORMACION!$A$2:$A1000</formula1>
    </dataValidation>
  </dataValidation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3" width="12.57"/>
    <col customWidth="1" min="4" max="4" width="59.57"/>
    <col customWidth="1" min="5" max="5" width="71.29"/>
    <col customWidth="1" min="6" max="6" width="56.0"/>
    <col customWidth="1" min="7" max="7" width="48.14"/>
    <col customWidth="1" min="8" max="8" width="13.14"/>
    <col customWidth="1" min="9" max="9" width="13.71"/>
    <col customWidth="1" min="10" max="10" width="15.0"/>
    <col customWidth="1" min="11" max="11" width="18.57"/>
    <col customWidth="1" min="12" max="12" width="13.86"/>
    <col customWidth="1" min="13" max="13" width="10.0"/>
    <col customWidth="1" min="14" max="14" width="10.29"/>
    <col customWidth="1" min="15" max="15" width="9.29"/>
    <col customWidth="1" min="16" max="16" width="9.0"/>
    <col customWidth="1" min="17" max="17" width="10.0"/>
    <col customWidth="1" min="18" max="18" width="16.0"/>
    <col customWidth="1" min="19" max="19" width="12.57"/>
    <col customWidth="1" min="20" max="21" width="34.57"/>
    <col customWidth="1" min="22" max="22" width="12.43"/>
    <col customWidth="1" min="23" max="23" width="13.14"/>
    <col customWidth="1" min="24" max="24" width="48.14"/>
    <col customWidth="1" min="25" max="25" width="45.29"/>
    <col customWidth="1" min="26" max="26" width="31.86"/>
    <col customWidth="1" min="27" max="28" width="12.14"/>
    <col customWidth="1" min="29" max="29" width="6.43"/>
    <col customWidth="1" min="30" max="30" width="18.71"/>
    <col customWidth="1" min="31" max="31" width="31.29"/>
    <col customWidth="1" min="32" max="32" width="71.29"/>
    <col customWidth="1" min="33" max="33" width="26.43"/>
    <col customWidth="1" min="34" max="34" width="32.86"/>
    <col customWidth="1" min="35" max="35" width="25.86"/>
    <col customWidth="1" min="36" max="37" width="10.29"/>
    <col customWidth="1" min="38" max="39" width="8.0"/>
  </cols>
  <sheetData>
    <row r="1" ht="63.75" customHeight="1">
      <c r="A1" s="28" t="s">
        <v>1542</v>
      </c>
      <c r="B1" s="150" t="s">
        <v>1543</v>
      </c>
      <c r="C1" s="150" t="s">
        <v>1544</v>
      </c>
      <c r="D1" s="151" t="s">
        <v>1545</v>
      </c>
      <c r="E1" s="151" t="s">
        <v>1546</v>
      </c>
      <c r="F1" s="150" t="s">
        <v>1547</v>
      </c>
      <c r="G1" s="150" t="s">
        <v>1548</v>
      </c>
      <c r="H1" s="151" t="s">
        <v>1549</v>
      </c>
      <c r="I1" s="151" t="s">
        <v>1550</v>
      </c>
      <c r="J1" s="151" t="s">
        <v>1551</v>
      </c>
      <c r="K1" s="151" t="s">
        <v>1552</v>
      </c>
      <c r="L1" s="151" t="s">
        <v>1553</v>
      </c>
      <c r="M1" s="151" t="s">
        <v>1554</v>
      </c>
      <c r="N1" s="151" t="s">
        <v>1555</v>
      </c>
      <c r="O1" s="152" t="s">
        <v>1556</v>
      </c>
      <c r="P1" s="152" t="s">
        <v>1557</v>
      </c>
      <c r="Q1" s="152" t="s">
        <v>1558</v>
      </c>
      <c r="R1" s="153" t="s">
        <v>1559</v>
      </c>
      <c r="S1" s="154" t="s">
        <v>1560</v>
      </c>
      <c r="T1" s="155" t="s">
        <v>1561</v>
      </c>
      <c r="U1" s="155" t="s">
        <v>1562</v>
      </c>
      <c r="V1" s="28" t="s">
        <v>2060</v>
      </c>
      <c r="W1" s="151" t="s">
        <v>1563</v>
      </c>
      <c r="X1" s="151" t="s">
        <v>1564</v>
      </c>
      <c r="Y1" s="151" t="s">
        <v>1565</v>
      </c>
      <c r="Z1" s="151" t="s">
        <v>1566</v>
      </c>
      <c r="AA1" s="151" t="s">
        <v>1567</v>
      </c>
      <c r="AB1" s="151" t="s">
        <v>1568</v>
      </c>
      <c r="AC1" s="151" t="s">
        <v>1569</v>
      </c>
      <c r="AD1" s="151" t="s">
        <v>1570</v>
      </c>
      <c r="AE1" s="151" t="s">
        <v>1571</v>
      </c>
      <c r="AF1" s="153" t="s">
        <v>1572</v>
      </c>
      <c r="AG1" s="151" t="s">
        <v>1573</v>
      </c>
      <c r="AH1" s="151" t="s">
        <v>1574</v>
      </c>
      <c r="AI1" s="151" t="s">
        <v>1575</v>
      </c>
      <c r="AJ1" s="156" t="s">
        <v>1576</v>
      </c>
      <c r="AK1" s="151" t="s">
        <v>1577</v>
      </c>
      <c r="AL1" s="157" t="s">
        <v>1578</v>
      </c>
      <c r="AM1" s="44" t="s">
        <v>1579</v>
      </c>
    </row>
    <row r="2">
      <c r="A2" s="158">
        <f t="shared" ref="A2:A162" si="1">IFERROR(LEFT(V2,LEN(V2)-2)*1,"")</f>
        <v>15723000</v>
      </c>
      <c r="B2" s="159">
        <v>0.0</v>
      </c>
      <c r="C2" s="159"/>
      <c r="D2" s="160" t="s">
        <v>1965</v>
      </c>
      <c r="E2" s="160" t="s">
        <v>1965</v>
      </c>
      <c r="F2" s="159" t="s">
        <v>2061</v>
      </c>
      <c r="G2" s="161" t="s">
        <v>2062</v>
      </c>
      <c r="H2" s="162">
        <v>17.0</v>
      </c>
      <c r="I2" s="160"/>
      <c r="J2" s="159" t="s">
        <v>112</v>
      </c>
      <c r="K2" s="159" t="s">
        <v>120</v>
      </c>
      <c r="L2" s="160"/>
      <c r="M2" s="160"/>
      <c r="N2" s="160"/>
      <c r="O2" s="160"/>
      <c r="P2" s="160"/>
      <c r="Q2" s="160"/>
      <c r="R2" s="163" t="s">
        <v>121</v>
      </c>
      <c r="S2" s="164">
        <v>41791.0</v>
      </c>
      <c r="T2" s="165"/>
      <c r="U2" s="166" t="s">
        <v>2063</v>
      </c>
      <c r="V2" s="159" t="s">
        <v>2064</v>
      </c>
      <c r="W2" s="160"/>
      <c r="X2" s="160"/>
      <c r="Y2" s="160"/>
      <c r="Z2" s="160"/>
      <c r="AA2" s="167"/>
      <c r="AB2" s="167"/>
      <c r="AC2" s="160"/>
      <c r="AD2" s="160"/>
      <c r="AE2" s="160"/>
      <c r="AF2" s="165"/>
      <c r="AG2" s="160"/>
      <c r="AH2" s="168" t="s">
        <v>2065</v>
      </c>
      <c r="AI2" s="169"/>
      <c r="AJ2" s="160"/>
      <c r="AK2" s="160"/>
      <c r="AL2" s="170"/>
      <c r="AM2" s="171">
        <v>2014.0</v>
      </c>
    </row>
    <row r="3">
      <c r="A3" s="158">
        <f t="shared" si="1"/>
        <v>5891825</v>
      </c>
      <c r="B3" s="160">
        <f>ROW(B1)</f>
        <v>1</v>
      </c>
      <c r="C3" s="160"/>
      <c r="D3" s="160" t="s">
        <v>1965</v>
      </c>
      <c r="E3" s="160" t="s">
        <v>2066</v>
      </c>
      <c r="F3" s="159" t="s">
        <v>2067</v>
      </c>
      <c r="G3" s="160" t="s">
        <v>2068</v>
      </c>
      <c r="H3" s="172">
        <v>10.0</v>
      </c>
      <c r="I3" s="160"/>
      <c r="J3" s="160" t="s">
        <v>112</v>
      </c>
      <c r="K3" s="160" t="s">
        <v>114</v>
      </c>
      <c r="L3" s="160"/>
      <c r="M3" s="160"/>
      <c r="N3" s="160"/>
      <c r="O3" s="160"/>
      <c r="P3" s="160">
        <v>1.0</v>
      </c>
      <c r="Q3" s="160"/>
      <c r="R3" s="165" t="s">
        <v>115</v>
      </c>
      <c r="S3" s="173">
        <v>41821.0</v>
      </c>
      <c r="T3" s="165"/>
      <c r="U3" s="174" t="s">
        <v>2069</v>
      </c>
      <c r="V3" s="160" t="s">
        <v>2070</v>
      </c>
      <c r="W3" s="160" t="s">
        <v>123</v>
      </c>
      <c r="X3" s="160"/>
      <c r="Y3" s="160"/>
      <c r="Z3" s="160"/>
      <c r="AA3" s="167"/>
      <c r="AB3" s="167">
        <v>41786.0</v>
      </c>
      <c r="AC3" s="160"/>
      <c r="AD3" s="160"/>
      <c r="AE3" s="160"/>
      <c r="AF3" s="165"/>
      <c r="AG3" s="160"/>
      <c r="AH3" s="168" t="s">
        <v>2071</v>
      </c>
      <c r="AI3" s="169" t="s">
        <v>2072</v>
      </c>
      <c r="AJ3" s="160"/>
      <c r="AK3" s="160"/>
      <c r="AL3" s="170">
        <f t="shared" ref="AL3:AL5" si="2">IF(AB3="","",IF(AND(NETWORKDAYS(AB3,S3)&gt;1000,NETWORKDAYS(AB3,S3)&lt;1),"",(NETWORKDAYS(AB3,S3))))</f>
        <v>26</v>
      </c>
      <c r="AM3" s="171">
        <v>2014.0</v>
      </c>
    </row>
    <row r="4">
      <c r="A4" s="158">
        <f t="shared" si="1"/>
        <v>16558294</v>
      </c>
      <c r="B4" s="160">
        <v>66.0</v>
      </c>
      <c r="C4" s="160"/>
      <c r="D4" s="160" t="s">
        <v>1940</v>
      </c>
      <c r="E4" s="160" t="s">
        <v>2015</v>
      </c>
      <c r="F4" s="159" t="s">
        <v>2016</v>
      </c>
      <c r="G4" s="160" t="s">
        <v>2073</v>
      </c>
      <c r="H4" s="172"/>
      <c r="I4" s="160"/>
      <c r="J4" s="160" t="s">
        <v>113</v>
      </c>
      <c r="K4" s="160" t="s">
        <v>114</v>
      </c>
      <c r="L4" s="160"/>
      <c r="M4" s="160"/>
      <c r="N4" s="160"/>
      <c r="O4" s="160"/>
      <c r="P4" s="160"/>
      <c r="Q4" s="160"/>
      <c r="R4" s="165" t="s">
        <v>121</v>
      </c>
      <c r="S4" s="173">
        <v>41852.0</v>
      </c>
      <c r="T4" s="165"/>
      <c r="U4" s="165" t="s">
        <v>2074</v>
      </c>
      <c r="V4" s="160" t="s">
        <v>2075</v>
      </c>
      <c r="W4" s="160"/>
      <c r="X4" s="160"/>
      <c r="Y4" s="160"/>
      <c r="Z4" s="160"/>
      <c r="AA4" s="167"/>
      <c r="AB4" s="167"/>
      <c r="AC4" s="160"/>
      <c r="AD4" s="160"/>
      <c r="AE4" s="160"/>
      <c r="AF4" s="165"/>
      <c r="AG4" s="160"/>
      <c r="AH4" s="169" t="s">
        <v>2065</v>
      </c>
      <c r="AI4" s="169"/>
      <c r="AJ4" s="160"/>
      <c r="AK4" s="160" t="s">
        <v>1612</v>
      </c>
      <c r="AL4" s="170" t="str">
        <f t="shared" si="2"/>
        <v/>
      </c>
      <c r="AM4" s="171">
        <v>2014.0</v>
      </c>
    </row>
    <row r="5">
      <c r="A5" s="158">
        <f t="shared" si="1"/>
        <v>8880762</v>
      </c>
      <c r="B5" s="160">
        <v>67.0</v>
      </c>
      <c r="C5" s="160"/>
      <c r="D5" s="160" t="s">
        <v>1627</v>
      </c>
      <c r="E5" s="160" t="s">
        <v>2076</v>
      </c>
      <c r="F5" s="159" t="s">
        <v>2077</v>
      </c>
      <c r="G5" s="160" t="s">
        <v>2078</v>
      </c>
      <c r="H5" s="172">
        <v>8.0</v>
      </c>
      <c r="I5" s="160"/>
      <c r="J5" s="160" t="s">
        <v>112</v>
      </c>
      <c r="K5" s="160" t="s">
        <v>114</v>
      </c>
      <c r="L5" s="160"/>
      <c r="M5" s="160"/>
      <c r="N5" s="160"/>
      <c r="O5" s="160"/>
      <c r="P5" s="160"/>
      <c r="Q5" s="160"/>
      <c r="R5" s="165" t="s">
        <v>115</v>
      </c>
      <c r="S5" s="175">
        <v>41806.0</v>
      </c>
      <c r="T5" s="165"/>
      <c r="U5" s="165" t="s">
        <v>2079</v>
      </c>
      <c r="V5" s="160" t="s">
        <v>2080</v>
      </c>
      <c r="W5" s="160"/>
      <c r="X5" s="160"/>
      <c r="Y5" s="160"/>
      <c r="Z5" s="160"/>
      <c r="AA5" s="167"/>
      <c r="AB5" s="167"/>
      <c r="AC5" s="160"/>
      <c r="AD5" s="160"/>
      <c r="AE5" s="160"/>
      <c r="AF5" s="165"/>
      <c r="AG5" s="160"/>
      <c r="AH5" s="169" t="s">
        <v>2065</v>
      </c>
      <c r="AI5" s="169"/>
      <c r="AJ5" s="160"/>
      <c r="AK5" s="160" t="s">
        <v>1612</v>
      </c>
      <c r="AL5" s="170" t="str">
        <f t="shared" si="2"/>
        <v/>
      </c>
      <c r="AM5" s="171">
        <v>2014.0</v>
      </c>
    </row>
    <row r="6">
      <c r="A6" s="158">
        <f t="shared" si="1"/>
        <v>6649381</v>
      </c>
      <c r="B6" s="160"/>
      <c r="C6" s="160"/>
      <c r="D6" s="160" t="s">
        <v>1627</v>
      </c>
      <c r="E6" s="160" t="s">
        <v>2076</v>
      </c>
      <c r="F6" s="159" t="s">
        <v>2077</v>
      </c>
      <c r="G6" s="160" t="s">
        <v>2078</v>
      </c>
      <c r="H6" s="172">
        <v>8.0</v>
      </c>
      <c r="I6" s="160"/>
      <c r="J6" s="160" t="s">
        <v>112</v>
      </c>
      <c r="K6" s="160" t="s">
        <v>114</v>
      </c>
      <c r="L6" s="160"/>
      <c r="M6" s="160"/>
      <c r="N6" s="160"/>
      <c r="O6" s="160"/>
      <c r="P6" s="160"/>
      <c r="Q6" s="160"/>
      <c r="R6" s="165" t="s">
        <v>115</v>
      </c>
      <c r="S6" s="175"/>
      <c r="T6" s="165"/>
      <c r="U6" s="165" t="s">
        <v>2081</v>
      </c>
      <c r="V6" s="160" t="s">
        <v>2082</v>
      </c>
      <c r="W6" s="160"/>
      <c r="X6" s="160"/>
      <c r="Y6" s="160"/>
      <c r="Z6" s="160"/>
      <c r="AA6" s="167"/>
      <c r="AB6" s="167"/>
      <c r="AC6" s="160"/>
      <c r="AD6" s="160"/>
      <c r="AE6" s="160"/>
      <c r="AF6" s="165"/>
      <c r="AG6" s="160"/>
      <c r="AH6" s="169" t="s">
        <v>2065</v>
      </c>
      <c r="AI6" s="169"/>
      <c r="AJ6" s="159"/>
      <c r="AK6" s="159" t="s">
        <v>1612</v>
      </c>
      <c r="AL6" s="170"/>
      <c r="AM6" s="171">
        <v>2014.0</v>
      </c>
    </row>
    <row r="7">
      <c r="A7" s="158">
        <f t="shared" si="1"/>
        <v>15566567</v>
      </c>
      <c r="B7" s="160">
        <v>72.0</v>
      </c>
      <c r="C7" s="160"/>
      <c r="D7" s="160" t="s">
        <v>2083</v>
      </c>
      <c r="E7" s="176" t="s">
        <v>2084</v>
      </c>
      <c r="F7" s="159" t="s">
        <v>1959</v>
      </c>
      <c r="G7" s="160" t="s">
        <v>2085</v>
      </c>
      <c r="H7" s="172">
        <v>13.0</v>
      </c>
      <c r="I7" s="160"/>
      <c r="J7" s="160" t="s">
        <v>112</v>
      </c>
      <c r="K7" s="160" t="s">
        <v>114</v>
      </c>
      <c r="L7" s="160"/>
      <c r="M7" s="160"/>
      <c r="N7" s="160"/>
      <c r="O7" s="160"/>
      <c r="P7" s="160">
        <v>1.0</v>
      </c>
      <c r="Q7" s="160"/>
      <c r="R7" s="165" t="s">
        <v>115</v>
      </c>
      <c r="S7" s="173">
        <v>41852.0</v>
      </c>
      <c r="T7" s="165"/>
      <c r="U7" s="165" t="s">
        <v>2086</v>
      </c>
      <c r="V7" s="160" t="s">
        <v>2087</v>
      </c>
      <c r="W7" s="160"/>
      <c r="X7" s="160"/>
      <c r="Y7" s="160"/>
      <c r="Z7" s="160"/>
      <c r="AA7" s="167"/>
      <c r="AB7" s="167"/>
      <c r="AC7" s="160"/>
      <c r="AD7" s="160"/>
      <c r="AE7" s="160"/>
      <c r="AF7" s="165"/>
      <c r="AG7" s="160"/>
      <c r="AH7" s="169" t="s">
        <v>2065</v>
      </c>
      <c r="AI7" s="169"/>
      <c r="AJ7" s="160"/>
      <c r="AK7" s="160" t="s">
        <v>1612</v>
      </c>
      <c r="AL7" s="170" t="str">
        <f t="shared" ref="AL7:AL162" si="3">IF(AB7="","",IF(AND(NETWORKDAYS(AB7,S7)&gt;1000,NETWORKDAYS(AB7,S7)&lt;1),"",(NETWORKDAYS(AB7,S7))))</f>
        <v/>
      </c>
      <c r="AM7" s="171">
        <v>2014.0</v>
      </c>
    </row>
    <row r="8">
      <c r="A8" s="158">
        <f t="shared" si="1"/>
        <v>16743291</v>
      </c>
      <c r="B8" s="160">
        <v>77.0</v>
      </c>
      <c r="C8" s="160"/>
      <c r="D8" s="160" t="s">
        <v>1892</v>
      </c>
      <c r="E8" s="160" t="s">
        <v>1979</v>
      </c>
      <c r="F8" s="159" t="s">
        <v>1937</v>
      </c>
      <c r="G8" s="160" t="s">
        <v>2088</v>
      </c>
      <c r="H8" s="172">
        <v>13.0</v>
      </c>
      <c r="I8" s="160"/>
      <c r="J8" s="160" t="s">
        <v>112</v>
      </c>
      <c r="K8" s="160" t="s">
        <v>114</v>
      </c>
      <c r="L8" s="160"/>
      <c r="M8" s="160"/>
      <c r="N8" s="160"/>
      <c r="O8" s="160"/>
      <c r="P8" s="160"/>
      <c r="Q8" s="160"/>
      <c r="R8" s="165" t="s">
        <v>115</v>
      </c>
      <c r="S8" s="173">
        <v>41821.0</v>
      </c>
      <c r="T8" s="165"/>
      <c r="U8" s="165" t="s">
        <v>2089</v>
      </c>
      <c r="V8" s="160" t="s">
        <v>2090</v>
      </c>
      <c r="W8" s="160"/>
      <c r="X8" s="160"/>
      <c r="Y8" s="160"/>
      <c r="Z8" s="160"/>
      <c r="AA8" s="167"/>
      <c r="AB8" s="167"/>
      <c r="AC8" s="160"/>
      <c r="AD8" s="160"/>
      <c r="AE8" s="160"/>
      <c r="AF8" s="165"/>
      <c r="AG8" s="160"/>
      <c r="AH8" s="169" t="s">
        <v>2065</v>
      </c>
      <c r="AI8" s="169"/>
      <c r="AJ8" s="160"/>
      <c r="AK8" s="160" t="s">
        <v>1612</v>
      </c>
      <c r="AL8" s="170" t="str">
        <f t="shared" si="3"/>
        <v/>
      </c>
      <c r="AM8" s="171">
        <v>2014.0</v>
      </c>
    </row>
    <row r="9">
      <c r="A9" s="158">
        <f t="shared" si="1"/>
        <v>16302498</v>
      </c>
      <c r="B9" s="160">
        <f t="shared" ref="B9:B14" si="4">ROW(B8)</f>
        <v>8</v>
      </c>
      <c r="C9" s="160"/>
      <c r="D9" s="160" t="s">
        <v>1642</v>
      </c>
      <c r="E9" s="160" t="s">
        <v>2091</v>
      </c>
      <c r="F9" s="159" t="s">
        <v>2031</v>
      </c>
      <c r="G9" s="160" t="s">
        <v>2032</v>
      </c>
      <c r="H9" s="172">
        <v>12.0</v>
      </c>
      <c r="I9" s="160"/>
      <c r="J9" s="160" t="s">
        <v>112</v>
      </c>
      <c r="K9" s="160" t="s">
        <v>114</v>
      </c>
      <c r="L9" s="160"/>
      <c r="M9" s="160"/>
      <c r="N9" s="160"/>
      <c r="O9" s="160"/>
      <c r="P9" s="160">
        <v>1.0</v>
      </c>
      <c r="Q9" s="160"/>
      <c r="R9" s="165" t="s">
        <v>115</v>
      </c>
      <c r="S9" s="173">
        <v>41701.0</v>
      </c>
      <c r="T9" s="165"/>
      <c r="U9" s="174" t="s">
        <v>2092</v>
      </c>
      <c r="V9" s="160" t="s">
        <v>2093</v>
      </c>
      <c r="W9" s="160" t="s">
        <v>123</v>
      </c>
      <c r="X9" s="160"/>
      <c r="Y9" s="160"/>
      <c r="Z9" s="160"/>
      <c r="AA9" s="167"/>
      <c r="AB9" s="167"/>
      <c r="AC9" s="160"/>
      <c r="AD9" s="160"/>
      <c r="AE9" s="160"/>
      <c r="AF9" s="165"/>
      <c r="AG9" s="160"/>
      <c r="AH9" s="169" t="s">
        <v>2065</v>
      </c>
      <c r="AI9" s="169"/>
      <c r="AJ9" s="160"/>
      <c r="AK9" s="160"/>
      <c r="AL9" s="170" t="str">
        <f t="shared" si="3"/>
        <v/>
      </c>
      <c r="AM9" s="171">
        <v>2014.0</v>
      </c>
    </row>
    <row r="10">
      <c r="A10" s="158">
        <f t="shared" si="1"/>
        <v>13935899</v>
      </c>
      <c r="B10" s="160">
        <f t="shared" si="4"/>
        <v>9</v>
      </c>
      <c r="C10" s="160"/>
      <c r="D10" s="160" t="s">
        <v>1642</v>
      </c>
      <c r="E10" s="160" t="s">
        <v>2091</v>
      </c>
      <c r="F10" s="159" t="s">
        <v>2094</v>
      </c>
      <c r="G10" s="160" t="s">
        <v>2095</v>
      </c>
      <c r="H10" s="172">
        <v>8.0</v>
      </c>
      <c r="I10" s="160"/>
      <c r="J10" s="160" t="s">
        <v>112</v>
      </c>
      <c r="K10" s="160" t="s">
        <v>114</v>
      </c>
      <c r="L10" s="160"/>
      <c r="M10" s="160"/>
      <c r="N10" s="160"/>
      <c r="O10" s="160"/>
      <c r="P10" s="160">
        <v>1.0</v>
      </c>
      <c r="Q10" s="160"/>
      <c r="R10" s="165" t="s">
        <v>121</v>
      </c>
      <c r="S10" s="173">
        <v>41701.0</v>
      </c>
      <c r="T10" s="165"/>
      <c r="U10" s="174" t="s">
        <v>2096</v>
      </c>
      <c r="V10" s="160" t="s">
        <v>2097</v>
      </c>
      <c r="W10" s="160" t="s">
        <v>123</v>
      </c>
      <c r="X10" s="160"/>
      <c r="Y10" s="160"/>
      <c r="Z10" s="160"/>
      <c r="AA10" s="167"/>
      <c r="AB10" s="167"/>
      <c r="AC10" s="160"/>
      <c r="AD10" s="160"/>
      <c r="AE10" s="160"/>
      <c r="AF10" s="165"/>
      <c r="AG10" s="160"/>
      <c r="AH10" s="169" t="s">
        <v>2065</v>
      </c>
      <c r="AI10" s="169"/>
      <c r="AJ10" s="160"/>
      <c r="AK10" s="160"/>
      <c r="AL10" s="170" t="str">
        <f t="shared" si="3"/>
        <v/>
      </c>
      <c r="AM10" s="171">
        <v>2014.0</v>
      </c>
    </row>
    <row r="11">
      <c r="A11" s="158">
        <f t="shared" si="1"/>
        <v>12374267</v>
      </c>
      <c r="B11" s="160">
        <f t="shared" si="4"/>
        <v>10</v>
      </c>
      <c r="C11" s="160"/>
      <c r="D11" s="160" t="s">
        <v>1642</v>
      </c>
      <c r="E11" s="160" t="s">
        <v>2091</v>
      </c>
      <c r="F11" s="159" t="s">
        <v>2098</v>
      </c>
      <c r="G11" s="160" t="s">
        <v>2099</v>
      </c>
      <c r="H11" s="172">
        <v>6.0</v>
      </c>
      <c r="I11" s="160"/>
      <c r="J11" s="160" t="s">
        <v>112</v>
      </c>
      <c r="K11" s="160" t="s">
        <v>114</v>
      </c>
      <c r="L11" s="160"/>
      <c r="M11" s="160"/>
      <c r="N11" s="160"/>
      <c r="O11" s="160"/>
      <c r="P11" s="160">
        <v>1.0</v>
      </c>
      <c r="Q11" s="160"/>
      <c r="R11" s="165" t="s">
        <v>115</v>
      </c>
      <c r="S11" s="173">
        <v>41781.0</v>
      </c>
      <c r="T11" s="165"/>
      <c r="U11" s="174" t="s">
        <v>2100</v>
      </c>
      <c r="V11" s="160" t="s">
        <v>2101</v>
      </c>
      <c r="W11" s="160" t="s">
        <v>118</v>
      </c>
      <c r="X11" s="160" t="s">
        <v>2102</v>
      </c>
      <c r="Y11" s="160"/>
      <c r="Z11" s="160"/>
      <c r="AA11" s="167"/>
      <c r="AB11" s="167"/>
      <c r="AC11" s="160"/>
      <c r="AD11" s="160"/>
      <c r="AE11" s="160"/>
      <c r="AF11" s="165"/>
      <c r="AG11" s="160"/>
      <c r="AH11" s="169" t="s">
        <v>2065</v>
      </c>
      <c r="AI11" s="169"/>
      <c r="AJ11" s="160"/>
      <c r="AK11" s="160"/>
      <c r="AL11" s="170" t="str">
        <f t="shared" si="3"/>
        <v/>
      </c>
      <c r="AM11" s="171">
        <v>2014.0</v>
      </c>
    </row>
    <row r="12">
      <c r="A12" s="158">
        <f t="shared" si="1"/>
        <v>16877266</v>
      </c>
      <c r="B12" s="160">
        <f t="shared" si="4"/>
        <v>11</v>
      </c>
      <c r="C12" s="160"/>
      <c r="D12" s="160" t="s">
        <v>1642</v>
      </c>
      <c r="E12" s="160" t="s">
        <v>2091</v>
      </c>
      <c r="F12" s="159" t="s">
        <v>2031</v>
      </c>
      <c r="G12" s="160" t="s">
        <v>2032</v>
      </c>
      <c r="H12" s="172">
        <v>12.0</v>
      </c>
      <c r="I12" s="160"/>
      <c r="J12" s="160" t="s">
        <v>112</v>
      </c>
      <c r="K12" s="160" t="s">
        <v>114</v>
      </c>
      <c r="L12" s="160"/>
      <c r="M12" s="160"/>
      <c r="N12" s="160"/>
      <c r="O12" s="160"/>
      <c r="P12" s="160">
        <v>1.0</v>
      </c>
      <c r="Q12" s="160"/>
      <c r="R12" s="165" t="s">
        <v>121</v>
      </c>
      <c r="S12" s="173">
        <v>41745.0</v>
      </c>
      <c r="T12" s="165"/>
      <c r="U12" s="174" t="s">
        <v>2103</v>
      </c>
      <c r="V12" s="160" t="s">
        <v>2104</v>
      </c>
      <c r="W12" s="160" t="s">
        <v>123</v>
      </c>
      <c r="X12" s="160"/>
      <c r="Y12" s="160"/>
      <c r="Z12" s="160"/>
      <c r="AA12" s="167"/>
      <c r="AB12" s="167"/>
      <c r="AC12" s="160"/>
      <c r="AD12" s="160"/>
      <c r="AE12" s="160"/>
      <c r="AF12" s="165"/>
      <c r="AG12" s="160"/>
      <c r="AH12" s="169" t="s">
        <v>2065</v>
      </c>
      <c r="AI12" s="169"/>
      <c r="AJ12" s="160"/>
      <c r="AK12" s="160"/>
      <c r="AL12" s="170" t="str">
        <f t="shared" si="3"/>
        <v/>
      </c>
      <c r="AM12" s="171">
        <v>2014.0</v>
      </c>
    </row>
    <row r="13">
      <c r="A13" s="158">
        <f t="shared" si="1"/>
        <v>13721127</v>
      </c>
      <c r="B13" s="160">
        <f t="shared" si="4"/>
        <v>12</v>
      </c>
      <c r="C13" s="160"/>
      <c r="D13" s="160" t="s">
        <v>1965</v>
      </c>
      <c r="E13" s="160" t="s">
        <v>2105</v>
      </c>
      <c r="F13" s="159" t="s">
        <v>2009</v>
      </c>
      <c r="G13" s="160" t="s">
        <v>1862</v>
      </c>
      <c r="H13" s="172">
        <v>17.0</v>
      </c>
      <c r="I13" s="160"/>
      <c r="J13" s="160" t="s">
        <v>112</v>
      </c>
      <c r="K13" s="160" t="s">
        <v>125</v>
      </c>
      <c r="L13" s="160"/>
      <c r="M13" s="160"/>
      <c r="N13" s="160"/>
      <c r="O13" s="160"/>
      <c r="P13" s="160">
        <v>1.0</v>
      </c>
      <c r="Q13" s="160"/>
      <c r="R13" s="165" t="s">
        <v>121</v>
      </c>
      <c r="S13" s="173">
        <v>41640.0</v>
      </c>
      <c r="T13" s="165"/>
      <c r="U13" s="174" t="s">
        <v>2106</v>
      </c>
      <c r="V13" s="160" t="s">
        <v>2107</v>
      </c>
      <c r="W13" s="160" t="s">
        <v>118</v>
      </c>
      <c r="X13" s="159" t="s">
        <v>154</v>
      </c>
      <c r="Y13" s="160"/>
      <c r="Z13" s="160"/>
      <c r="AA13" s="167"/>
      <c r="AB13" s="167"/>
      <c r="AC13" s="160"/>
      <c r="AD13" s="160"/>
      <c r="AE13" s="160"/>
      <c r="AF13" s="165"/>
      <c r="AG13" s="160"/>
      <c r="AH13" s="169" t="s">
        <v>2065</v>
      </c>
      <c r="AI13" s="169"/>
      <c r="AJ13" s="160"/>
      <c r="AK13" s="160"/>
      <c r="AL13" s="170" t="str">
        <f t="shared" si="3"/>
        <v/>
      </c>
      <c r="AM13" s="171">
        <v>2014.0</v>
      </c>
    </row>
    <row r="14">
      <c r="A14" s="158">
        <f t="shared" si="1"/>
        <v>16067135</v>
      </c>
      <c r="B14" s="160">
        <f t="shared" si="4"/>
        <v>13</v>
      </c>
      <c r="C14" s="160"/>
      <c r="D14" s="160" t="s">
        <v>1965</v>
      </c>
      <c r="E14" s="160"/>
      <c r="F14" s="159" t="s">
        <v>2108</v>
      </c>
      <c r="G14" s="160" t="s">
        <v>2109</v>
      </c>
      <c r="H14" s="172">
        <v>16.0</v>
      </c>
      <c r="I14" s="160"/>
      <c r="J14" s="160" t="s">
        <v>112</v>
      </c>
      <c r="K14" s="160" t="s">
        <v>120</v>
      </c>
      <c r="L14" s="160"/>
      <c r="M14" s="160"/>
      <c r="N14" s="160"/>
      <c r="O14" s="160"/>
      <c r="P14" s="160"/>
      <c r="Q14" s="160"/>
      <c r="R14" s="165" t="s">
        <v>121</v>
      </c>
      <c r="S14" s="173">
        <v>41913.0</v>
      </c>
      <c r="T14" s="165"/>
      <c r="U14" s="174" t="s">
        <v>2110</v>
      </c>
      <c r="V14" s="160" t="s">
        <v>2111</v>
      </c>
      <c r="W14" s="160"/>
      <c r="X14" s="160"/>
      <c r="Y14" s="160"/>
      <c r="Z14" s="160"/>
      <c r="AA14" s="167"/>
      <c r="AB14" s="167"/>
      <c r="AC14" s="160"/>
      <c r="AD14" s="160"/>
      <c r="AE14" s="160"/>
      <c r="AF14" s="165"/>
      <c r="AG14" s="160"/>
      <c r="AH14" s="169" t="s">
        <v>2065</v>
      </c>
      <c r="AI14" s="169"/>
      <c r="AJ14" s="160"/>
      <c r="AK14" s="160"/>
      <c r="AL14" s="170" t="str">
        <f t="shared" si="3"/>
        <v/>
      </c>
      <c r="AM14" s="171">
        <v>2014.0</v>
      </c>
    </row>
    <row r="15">
      <c r="A15" s="158">
        <f t="shared" si="1"/>
        <v>13199480</v>
      </c>
      <c r="B15" s="160">
        <f>ROW(B13)</f>
        <v>13</v>
      </c>
      <c r="C15" s="160"/>
      <c r="D15" s="160" t="s">
        <v>1940</v>
      </c>
      <c r="E15" s="160" t="s">
        <v>2112</v>
      </c>
      <c r="F15" s="159" t="s">
        <v>2113</v>
      </c>
      <c r="G15" s="160" t="s">
        <v>2114</v>
      </c>
      <c r="H15" s="172">
        <v>14.0</v>
      </c>
      <c r="I15" s="160"/>
      <c r="J15" s="160" t="s">
        <v>112</v>
      </c>
      <c r="K15" s="160" t="s">
        <v>114</v>
      </c>
      <c r="L15" s="160"/>
      <c r="M15" s="160"/>
      <c r="N15" s="160"/>
      <c r="O15" s="160"/>
      <c r="P15" s="160">
        <v>1.0</v>
      </c>
      <c r="Q15" s="160"/>
      <c r="R15" s="165" t="s">
        <v>121</v>
      </c>
      <c r="S15" s="173">
        <v>41640.0</v>
      </c>
      <c r="T15" s="165"/>
      <c r="U15" s="174" t="s">
        <v>2115</v>
      </c>
      <c r="V15" s="160" t="s">
        <v>2116</v>
      </c>
      <c r="W15" s="160" t="s">
        <v>118</v>
      </c>
      <c r="X15" s="159" t="s">
        <v>138</v>
      </c>
      <c r="Y15" s="160"/>
      <c r="Z15" s="160"/>
      <c r="AA15" s="167"/>
      <c r="AB15" s="167"/>
      <c r="AC15" s="160"/>
      <c r="AD15" s="160"/>
      <c r="AE15" s="160"/>
      <c r="AF15" s="165"/>
      <c r="AG15" s="160"/>
      <c r="AH15" s="169" t="s">
        <v>2065</v>
      </c>
      <c r="AI15" s="169"/>
      <c r="AJ15" s="160"/>
      <c r="AK15" s="160"/>
      <c r="AL15" s="170" t="str">
        <f t="shared" si="3"/>
        <v/>
      </c>
      <c r="AM15" s="171">
        <v>2014.0</v>
      </c>
    </row>
    <row r="16">
      <c r="A16" s="158">
        <f t="shared" si="1"/>
        <v>10608447</v>
      </c>
      <c r="B16" s="160">
        <f t="shared" ref="B16:B19" si="5">ROW(B15)</f>
        <v>15</v>
      </c>
      <c r="C16" s="160"/>
      <c r="D16" s="160" t="s">
        <v>1623</v>
      </c>
      <c r="E16" s="160" t="s">
        <v>1623</v>
      </c>
      <c r="F16" s="159" t="s">
        <v>2117</v>
      </c>
      <c r="G16" s="160" t="s">
        <v>2118</v>
      </c>
      <c r="H16" s="172">
        <v>11.0</v>
      </c>
      <c r="I16" s="160"/>
      <c r="J16" s="160" t="s">
        <v>112</v>
      </c>
      <c r="K16" s="160" t="s">
        <v>114</v>
      </c>
      <c r="L16" s="160"/>
      <c r="M16" s="160"/>
      <c r="N16" s="160"/>
      <c r="O16" s="160"/>
      <c r="P16" s="160">
        <v>1.0</v>
      </c>
      <c r="Q16" s="160"/>
      <c r="R16" s="165" t="s">
        <v>115</v>
      </c>
      <c r="S16" s="173">
        <v>41640.0</v>
      </c>
      <c r="T16" s="165"/>
      <c r="U16" s="174" t="s">
        <v>2119</v>
      </c>
      <c r="V16" s="160" t="s">
        <v>2120</v>
      </c>
      <c r="W16" s="160" t="s">
        <v>118</v>
      </c>
      <c r="X16" s="160" t="s">
        <v>2102</v>
      </c>
      <c r="Y16" s="160"/>
      <c r="Z16" s="160"/>
      <c r="AA16" s="167"/>
      <c r="AB16" s="167"/>
      <c r="AC16" s="160"/>
      <c r="AD16" s="160"/>
      <c r="AE16" s="160"/>
      <c r="AF16" s="165"/>
      <c r="AG16" s="160"/>
      <c r="AH16" s="169" t="s">
        <v>2065</v>
      </c>
      <c r="AI16" s="169"/>
      <c r="AJ16" s="160"/>
      <c r="AK16" s="160"/>
      <c r="AL16" s="170" t="str">
        <f t="shared" si="3"/>
        <v/>
      </c>
      <c r="AM16" s="171">
        <v>2014.0</v>
      </c>
    </row>
    <row r="17">
      <c r="A17" s="158">
        <f t="shared" si="1"/>
        <v>16749110</v>
      </c>
      <c r="B17" s="160">
        <f t="shared" si="5"/>
        <v>16</v>
      </c>
      <c r="C17" s="160"/>
      <c r="D17" s="160" t="s">
        <v>2121</v>
      </c>
      <c r="E17" s="160" t="s">
        <v>2121</v>
      </c>
      <c r="F17" s="159" t="s">
        <v>2094</v>
      </c>
      <c r="G17" s="160" t="s">
        <v>2095</v>
      </c>
      <c r="H17" s="172">
        <v>8.0</v>
      </c>
      <c r="I17" s="160"/>
      <c r="J17" s="160" t="s">
        <v>112</v>
      </c>
      <c r="K17" s="160" t="s">
        <v>114</v>
      </c>
      <c r="L17" s="160"/>
      <c r="M17" s="160"/>
      <c r="N17" s="160"/>
      <c r="O17" s="160"/>
      <c r="P17" s="160">
        <v>1.0</v>
      </c>
      <c r="Q17" s="160"/>
      <c r="R17" s="165" t="s">
        <v>115</v>
      </c>
      <c r="S17" s="173">
        <v>41641.0</v>
      </c>
      <c r="T17" s="165"/>
      <c r="U17" s="174" t="s">
        <v>2122</v>
      </c>
      <c r="V17" s="160" t="s">
        <v>2123</v>
      </c>
      <c r="W17" s="160" t="s">
        <v>123</v>
      </c>
      <c r="X17" s="160"/>
      <c r="Y17" s="160"/>
      <c r="Z17" s="160"/>
      <c r="AA17" s="167"/>
      <c r="AB17" s="167"/>
      <c r="AC17" s="160"/>
      <c r="AD17" s="160"/>
      <c r="AE17" s="160"/>
      <c r="AF17" s="165"/>
      <c r="AG17" s="160"/>
      <c r="AH17" s="169" t="s">
        <v>2065</v>
      </c>
      <c r="AI17" s="169"/>
      <c r="AJ17" s="160"/>
      <c r="AK17" s="160"/>
      <c r="AL17" s="170" t="str">
        <f t="shared" si="3"/>
        <v/>
      </c>
      <c r="AM17" s="171">
        <v>2014.0</v>
      </c>
    </row>
    <row r="18">
      <c r="A18" s="158">
        <f t="shared" si="1"/>
        <v>8316934</v>
      </c>
      <c r="B18" s="160">
        <f t="shared" si="5"/>
        <v>17</v>
      </c>
      <c r="C18" s="160"/>
      <c r="D18" s="160" t="s">
        <v>1637</v>
      </c>
      <c r="E18" s="160" t="s">
        <v>1637</v>
      </c>
      <c r="F18" s="159" t="s">
        <v>1968</v>
      </c>
      <c r="G18" s="160" t="s">
        <v>1816</v>
      </c>
      <c r="H18" s="172">
        <v>20.0</v>
      </c>
      <c r="I18" s="160"/>
      <c r="J18" s="160" t="s">
        <v>112</v>
      </c>
      <c r="K18" s="160" t="s">
        <v>120</v>
      </c>
      <c r="L18" s="160"/>
      <c r="M18" s="160"/>
      <c r="N18" s="160"/>
      <c r="O18" s="160"/>
      <c r="P18" s="160">
        <v>1.0</v>
      </c>
      <c r="Q18" s="160"/>
      <c r="R18" s="165" t="s">
        <v>121</v>
      </c>
      <c r="S18" s="173">
        <v>41699.0</v>
      </c>
      <c r="T18" s="165"/>
      <c r="U18" s="174" t="s">
        <v>2124</v>
      </c>
      <c r="V18" s="160" t="s">
        <v>2125</v>
      </c>
      <c r="W18" s="160"/>
      <c r="X18" s="160"/>
      <c r="Y18" s="160"/>
      <c r="Z18" s="160"/>
      <c r="AA18" s="167"/>
      <c r="AB18" s="167"/>
      <c r="AC18" s="160"/>
      <c r="AD18" s="160"/>
      <c r="AE18" s="160"/>
      <c r="AF18" s="165"/>
      <c r="AG18" s="160"/>
      <c r="AH18" s="169" t="s">
        <v>2065</v>
      </c>
      <c r="AI18" s="169"/>
      <c r="AJ18" s="160"/>
      <c r="AK18" s="160"/>
      <c r="AL18" s="170" t="str">
        <f t="shared" si="3"/>
        <v/>
      </c>
      <c r="AM18" s="171">
        <v>2014.0</v>
      </c>
    </row>
    <row r="19">
      <c r="A19" s="158">
        <f t="shared" si="1"/>
        <v>12024427</v>
      </c>
      <c r="B19" s="160">
        <f t="shared" si="5"/>
        <v>18</v>
      </c>
      <c r="C19" s="160"/>
      <c r="D19" s="160" t="s">
        <v>1642</v>
      </c>
      <c r="E19" s="160" t="s">
        <v>2126</v>
      </c>
      <c r="F19" s="168" t="s">
        <v>1910</v>
      </c>
      <c r="G19" s="169"/>
      <c r="H19" s="172">
        <v>17.0</v>
      </c>
      <c r="I19" s="160"/>
      <c r="J19" s="160" t="s">
        <v>112</v>
      </c>
      <c r="K19" s="160" t="s">
        <v>120</v>
      </c>
      <c r="L19" s="160"/>
      <c r="M19" s="160"/>
      <c r="N19" s="160"/>
      <c r="O19" s="160"/>
      <c r="P19" s="160"/>
      <c r="Q19" s="160"/>
      <c r="R19" s="165" t="s">
        <v>121</v>
      </c>
      <c r="S19" s="173">
        <v>42005.0</v>
      </c>
      <c r="T19" s="165"/>
      <c r="U19" s="174" t="s">
        <v>2127</v>
      </c>
      <c r="V19" s="160" t="s">
        <v>2128</v>
      </c>
      <c r="W19" s="160"/>
      <c r="X19" s="160"/>
      <c r="Y19" s="160"/>
      <c r="Z19" s="160"/>
      <c r="AA19" s="167"/>
      <c r="AB19" s="167"/>
      <c r="AC19" s="160"/>
      <c r="AD19" s="160"/>
      <c r="AE19" s="160"/>
      <c r="AF19" s="165"/>
      <c r="AG19" s="160"/>
      <c r="AH19" s="169" t="s">
        <v>2065</v>
      </c>
      <c r="AI19" s="169"/>
      <c r="AJ19" s="160"/>
      <c r="AK19" s="160"/>
      <c r="AL19" s="170" t="str">
        <f t="shared" si="3"/>
        <v/>
      </c>
      <c r="AM19" s="171">
        <v>2014.0</v>
      </c>
    </row>
    <row r="20">
      <c r="A20" s="158">
        <f t="shared" si="1"/>
        <v>13432795</v>
      </c>
      <c r="B20" s="160">
        <v>152.0</v>
      </c>
      <c r="C20" s="160"/>
      <c r="D20" s="160" t="s">
        <v>1892</v>
      </c>
      <c r="E20" s="160" t="s">
        <v>1979</v>
      </c>
      <c r="F20" s="159" t="s">
        <v>1937</v>
      </c>
      <c r="G20" s="160" t="s">
        <v>1711</v>
      </c>
      <c r="H20" s="172">
        <v>13.0</v>
      </c>
      <c r="I20" s="160"/>
      <c r="J20" s="160" t="s">
        <v>112</v>
      </c>
      <c r="K20" s="160" t="s">
        <v>114</v>
      </c>
      <c r="L20" s="160" t="s">
        <v>122</v>
      </c>
      <c r="M20" s="160"/>
      <c r="N20" s="160" t="s">
        <v>122</v>
      </c>
      <c r="O20" s="160">
        <v>1.0</v>
      </c>
      <c r="P20" s="160">
        <v>1.0</v>
      </c>
      <c r="Q20" s="160"/>
      <c r="R20" s="165" t="s">
        <v>121</v>
      </c>
      <c r="S20" s="173">
        <v>42005.0</v>
      </c>
      <c r="T20" s="165"/>
      <c r="U20" s="165" t="s">
        <v>2129</v>
      </c>
      <c r="V20" s="160" t="s">
        <v>2130</v>
      </c>
      <c r="W20" s="160" t="s">
        <v>118</v>
      </c>
      <c r="X20" s="160"/>
      <c r="Y20" s="160"/>
      <c r="Z20" s="160"/>
      <c r="AA20" s="167"/>
      <c r="AB20" s="167"/>
      <c r="AC20" s="160"/>
      <c r="AD20" s="160"/>
      <c r="AE20" s="160"/>
      <c r="AF20" s="165"/>
      <c r="AG20" s="160"/>
      <c r="AH20" s="169" t="s">
        <v>2065</v>
      </c>
      <c r="AI20" s="169"/>
      <c r="AJ20" s="160"/>
      <c r="AK20" s="160"/>
      <c r="AL20" s="170" t="str">
        <f t="shared" si="3"/>
        <v/>
      </c>
      <c r="AM20" s="171">
        <v>2014.0</v>
      </c>
    </row>
    <row r="21">
      <c r="A21" s="158">
        <f t="shared" si="1"/>
        <v>15797499</v>
      </c>
      <c r="B21" s="160">
        <v>153.0</v>
      </c>
      <c r="C21" s="160"/>
      <c r="D21" s="160" t="s">
        <v>1892</v>
      </c>
      <c r="E21" s="160" t="s">
        <v>1979</v>
      </c>
      <c r="F21" s="159" t="s">
        <v>2131</v>
      </c>
      <c r="G21" s="160" t="s">
        <v>2132</v>
      </c>
      <c r="H21" s="172">
        <v>13.0</v>
      </c>
      <c r="I21" s="160"/>
      <c r="J21" s="160" t="s">
        <v>112</v>
      </c>
      <c r="K21" s="160" t="s">
        <v>114</v>
      </c>
      <c r="L21" s="160" t="s">
        <v>122</v>
      </c>
      <c r="M21" s="160"/>
      <c r="N21" s="160" t="s">
        <v>122</v>
      </c>
      <c r="O21" s="160">
        <v>1.0</v>
      </c>
      <c r="P21" s="160">
        <v>1.0</v>
      </c>
      <c r="Q21" s="160"/>
      <c r="R21" s="165" t="s">
        <v>121</v>
      </c>
      <c r="S21" s="173">
        <v>42005.0</v>
      </c>
      <c r="T21" s="165"/>
      <c r="U21" s="165" t="s">
        <v>2133</v>
      </c>
      <c r="V21" s="160" t="s">
        <v>2134</v>
      </c>
      <c r="W21" s="160" t="s">
        <v>118</v>
      </c>
      <c r="X21" s="160"/>
      <c r="Y21" s="160"/>
      <c r="Z21" s="160"/>
      <c r="AA21" s="167"/>
      <c r="AB21" s="167"/>
      <c r="AC21" s="160"/>
      <c r="AD21" s="160"/>
      <c r="AE21" s="160"/>
      <c r="AF21" s="165"/>
      <c r="AG21" s="160"/>
      <c r="AH21" s="169" t="s">
        <v>2065</v>
      </c>
      <c r="AI21" s="169"/>
      <c r="AJ21" s="160"/>
      <c r="AK21" s="160"/>
      <c r="AL21" s="170" t="str">
        <f t="shared" si="3"/>
        <v/>
      </c>
      <c r="AM21" s="171">
        <v>2014.0</v>
      </c>
    </row>
    <row r="22">
      <c r="A22" s="158">
        <f t="shared" si="1"/>
        <v>11834899</v>
      </c>
      <c r="B22" s="160">
        <v>154.0</v>
      </c>
      <c r="C22" s="160"/>
      <c r="D22" s="160" t="s">
        <v>1594</v>
      </c>
      <c r="E22" s="160" t="s">
        <v>2135</v>
      </c>
      <c r="F22" s="159" t="s">
        <v>1954</v>
      </c>
      <c r="G22" s="160" t="s">
        <v>1591</v>
      </c>
      <c r="H22" s="172">
        <v>20.0</v>
      </c>
      <c r="I22" s="160"/>
      <c r="J22" s="160" t="s">
        <v>112</v>
      </c>
      <c r="K22" s="160" t="s">
        <v>120</v>
      </c>
      <c r="L22" s="160"/>
      <c r="M22" s="160"/>
      <c r="N22" s="160"/>
      <c r="O22" s="160"/>
      <c r="P22" s="160"/>
      <c r="Q22" s="160">
        <v>1.0</v>
      </c>
      <c r="R22" s="165" t="s">
        <v>121</v>
      </c>
      <c r="S22" s="173">
        <v>42005.0</v>
      </c>
      <c r="T22" s="165"/>
      <c r="U22" s="165" t="s">
        <v>2136</v>
      </c>
      <c r="V22" s="160" t="s">
        <v>2137</v>
      </c>
      <c r="W22" s="160"/>
      <c r="X22" s="160"/>
      <c r="Y22" s="160"/>
      <c r="Z22" s="160"/>
      <c r="AA22" s="167"/>
      <c r="AB22" s="167"/>
      <c r="AC22" s="160"/>
      <c r="AD22" s="160"/>
      <c r="AE22" s="160"/>
      <c r="AF22" s="165"/>
      <c r="AG22" s="160"/>
      <c r="AH22" s="169" t="s">
        <v>2065</v>
      </c>
      <c r="AI22" s="169"/>
      <c r="AJ22" s="160"/>
      <c r="AK22" s="160"/>
      <c r="AL22" s="170" t="str">
        <f t="shared" si="3"/>
        <v/>
      </c>
      <c r="AM22" s="171">
        <v>2014.0</v>
      </c>
    </row>
    <row r="23">
      <c r="A23" s="158">
        <f t="shared" si="1"/>
        <v>8542182</v>
      </c>
      <c r="B23" s="160">
        <f>ROW(B22)</f>
        <v>22</v>
      </c>
      <c r="C23" s="160"/>
      <c r="D23" s="160" t="s">
        <v>1618</v>
      </c>
      <c r="E23" s="160" t="s">
        <v>1618</v>
      </c>
      <c r="F23" s="159" t="s">
        <v>2098</v>
      </c>
      <c r="G23" s="160" t="s">
        <v>2099</v>
      </c>
      <c r="H23" s="172">
        <v>8.0</v>
      </c>
      <c r="I23" s="160"/>
      <c r="J23" s="160" t="s">
        <v>112</v>
      </c>
      <c r="K23" s="160" t="s">
        <v>114</v>
      </c>
      <c r="L23" s="160"/>
      <c r="M23" s="160"/>
      <c r="N23" s="160"/>
      <c r="O23" s="160"/>
      <c r="P23" s="160">
        <v>1.0</v>
      </c>
      <c r="Q23" s="160"/>
      <c r="R23" s="165" t="s">
        <v>121</v>
      </c>
      <c r="S23" s="173">
        <v>41701.0</v>
      </c>
      <c r="T23" s="165"/>
      <c r="U23" s="165" t="s">
        <v>2138</v>
      </c>
      <c r="V23" s="160" t="s">
        <v>2139</v>
      </c>
      <c r="W23" s="160" t="s">
        <v>118</v>
      </c>
      <c r="X23" s="160" t="s">
        <v>2140</v>
      </c>
      <c r="Y23" s="160" t="s">
        <v>2141</v>
      </c>
      <c r="Z23" s="160" t="s">
        <v>2142</v>
      </c>
      <c r="AA23" s="167"/>
      <c r="AB23" s="167">
        <v>41725.0</v>
      </c>
      <c r="AC23" s="160"/>
      <c r="AD23" s="160"/>
      <c r="AE23" s="160"/>
      <c r="AF23" s="165"/>
      <c r="AG23" s="160"/>
      <c r="AH23" s="169" t="s">
        <v>2143</v>
      </c>
      <c r="AI23" s="169"/>
      <c r="AJ23" s="160"/>
      <c r="AK23" s="160"/>
      <c r="AL23" s="170">
        <f t="shared" si="3"/>
        <v>-19</v>
      </c>
      <c r="AM23" s="171">
        <v>2014.0</v>
      </c>
    </row>
    <row r="24">
      <c r="A24" s="158">
        <f t="shared" si="1"/>
        <v>6090242</v>
      </c>
      <c r="B24" s="160">
        <v>135.0</v>
      </c>
      <c r="C24" s="160"/>
      <c r="D24" s="160" t="s">
        <v>1627</v>
      </c>
      <c r="E24" s="160" t="s">
        <v>2076</v>
      </c>
      <c r="F24" s="159" t="s">
        <v>2077</v>
      </c>
      <c r="G24" s="160" t="s">
        <v>2078</v>
      </c>
      <c r="H24" s="172">
        <v>8.0</v>
      </c>
      <c r="I24" s="160"/>
      <c r="J24" s="160" t="s">
        <v>112</v>
      </c>
      <c r="K24" s="160" t="s">
        <v>114</v>
      </c>
      <c r="L24" s="160"/>
      <c r="M24" s="160"/>
      <c r="N24" s="160"/>
      <c r="O24" s="160"/>
      <c r="P24" s="160">
        <v>1.0</v>
      </c>
      <c r="Q24" s="160">
        <v>0.0</v>
      </c>
      <c r="R24" s="165" t="s">
        <v>115</v>
      </c>
      <c r="S24" s="173">
        <v>41871.0</v>
      </c>
      <c r="T24" s="165"/>
      <c r="U24" s="165" t="s">
        <v>2144</v>
      </c>
      <c r="V24" s="160" t="s">
        <v>2145</v>
      </c>
      <c r="W24" s="160" t="s">
        <v>123</v>
      </c>
      <c r="X24" s="160"/>
      <c r="Y24" s="160"/>
      <c r="Z24" s="160"/>
      <c r="AA24" s="167"/>
      <c r="AB24" s="167">
        <v>41905.0</v>
      </c>
      <c r="AC24" s="160"/>
      <c r="AD24" s="160"/>
      <c r="AE24" s="160"/>
      <c r="AF24" s="165"/>
      <c r="AG24" s="160"/>
      <c r="AH24" s="169" t="s">
        <v>2143</v>
      </c>
      <c r="AI24" s="169"/>
      <c r="AJ24" s="160"/>
      <c r="AK24" s="160"/>
      <c r="AL24" s="170">
        <f t="shared" si="3"/>
        <v>-25</v>
      </c>
      <c r="AM24" s="171">
        <v>2014.0</v>
      </c>
    </row>
    <row r="25">
      <c r="A25" s="158">
        <f t="shared" si="1"/>
        <v>11479909</v>
      </c>
      <c r="B25" s="160">
        <f t="shared" ref="B25:B27" si="6">ROW(B24)</f>
        <v>24</v>
      </c>
      <c r="C25" s="160"/>
      <c r="D25" s="160" t="s">
        <v>1637</v>
      </c>
      <c r="E25" s="160" t="s">
        <v>2146</v>
      </c>
      <c r="F25" s="159" t="s">
        <v>2147</v>
      </c>
      <c r="G25" s="160" t="s">
        <v>2148</v>
      </c>
      <c r="H25" s="172">
        <v>6.0</v>
      </c>
      <c r="I25" s="160"/>
      <c r="J25" s="160" t="s">
        <v>112</v>
      </c>
      <c r="K25" s="160" t="s">
        <v>114</v>
      </c>
      <c r="L25" s="160"/>
      <c r="M25" s="160"/>
      <c r="N25" s="160"/>
      <c r="O25" s="160"/>
      <c r="P25" s="160">
        <v>1.0</v>
      </c>
      <c r="Q25" s="160"/>
      <c r="R25" s="165" t="s">
        <v>115</v>
      </c>
      <c r="S25" s="173">
        <v>41791.0</v>
      </c>
      <c r="T25" s="165"/>
      <c r="U25" s="165" t="s">
        <v>2149</v>
      </c>
      <c r="V25" s="160" t="s">
        <v>2150</v>
      </c>
      <c r="W25" s="160" t="s">
        <v>123</v>
      </c>
      <c r="X25" s="160"/>
      <c r="Y25" s="160"/>
      <c r="Z25" s="160"/>
      <c r="AA25" s="167"/>
      <c r="AB25" s="167"/>
      <c r="AC25" s="160"/>
      <c r="AD25" s="160"/>
      <c r="AE25" s="160"/>
      <c r="AF25" s="165"/>
      <c r="AG25" s="160"/>
      <c r="AH25" s="169" t="s">
        <v>2143</v>
      </c>
      <c r="AI25" s="169"/>
      <c r="AJ25" s="160"/>
      <c r="AK25" s="160"/>
      <c r="AL25" s="170" t="str">
        <f t="shared" si="3"/>
        <v/>
      </c>
      <c r="AM25" s="171">
        <v>2014.0</v>
      </c>
    </row>
    <row r="26">
      <c r="A26" s="158">
        <f t="shared" si="1"/>
        <v>16016388</v>
      </c>
      <c r="B26" s="160">
        <f t="shared" si="6"/>
        <v>25</v>
      </c>
      <c r="C26" s="160"/>
      <c r="D26" s="160" t="s">
        <v>1637</v>
      </c>
      <c r="E26" s="160" t="s">
        <v>2146</v>
      </c>
      <c r="F26" s="159" t="s">
        <v>2147</v>
      </c>
      <c r="G26" s="160" t="s">
        <v>2148</v>
      </c>
      <c r="H26" s="172">
        <v>6.0</v>
      </c>
      <c r="I26" s="160"/>
      <c r="J26" s="160" t="s">
        <v>112</v>
      </c>
      <c r="K26" s="160" t="s">
        <v>114</v>
      </c>
      <c r="L26" s="160"/>
      <c r="M26" s="160"/>
      <c r="N26" s="160"/>
      <c r="O26" s="160"/>
      <c r="P26" s="160">
        <v>1.0</v>
      </c>
      <c r="Q26" s="160"/>
      <c r="R26" s="165" t="s">
        <v>115</v>
      </c>
      <c r="S26" s="173">
        <v>41764.0</v>
      </c>
      <c r="T26" s="165"/>
      <c r="U26" s="165" t="s">
        <v>2151</v>
      </c>
      <c r="V26" s="160" t="s">
        <v>2152</v>
      </c>
      <c r="W26" s="160" t="s">
        <v>123</v>
      </c>
      <c r="X26" s="160"/>
      <c r="Y26" s="160"/>
      <c r="Z26" s="160"/>
      <c r="AA26" s="167"/>
      <c r="AB26" s="167"/>
      <c r="AC26" s="160"/>
      <c r="AD26" s="160"/>
      <c r="AE26" s="160"/>
      <c r="AF26" s="165"/>
      <c r="AG26" s="160"/>
      <c r="AH26" s="169" t="s">
        <v>2143</v>
      </c>
      <c r="AI26" s="169"/>
      <c r="AJ26" s="160"/>
      <c r="AK26" s="160"/>
      <c r="AL26" s="170" t="str">
        <f t="shared" si="3"/>
        <v/>
      </c>
      <c r="AM26" s="171">
        <v>2014.0</v>
      </c>
    </row>
    <row r="27">
      <c r="A27" s="158">
        <f t="shared" si="1"/>
        <v>11850214</v>
      </c>
      <c r="B27" s="160">
        <f t="shared" si="6"/>
        <v>26</v>
      </c>
      <c r="C27" s="160"/>
      <c r="D27" s="160" t="s">
        <v>1637</v>
      </c>
      <c r="E27" s="160" t="s">
        <v>2146</v>
      </c>
      <c r="F27" s="159" t="s">
        <v>2147</v>
      </c>
      <c r="G27" s="160" t="s">
        <v>2148</v>
      </c>
      <c r="H27" s="172">
        <v>6.0</v>
      </c>
      <c r="I27" s="160"/>
      <c r="J27" s="160" t="s">
        <v>112</v>
      </c>
      <c r="K27" s="160" t="s">
        <v>114</v>
      </c>
      <c r="L27" s="160"/>
      <c r="M27" s="160"/>
      <c r="N27" s="160"/>
      <c r="O27" s="160"/>
      <c r="P27" s="160">
        <v>1.0</v>
      </c>
      <c r="Q27" s="160"/>
      <c r="R27" s="165" t="s">
        <v>121</v>
      </c>
      <c r="S27" s="173">
        <v>41771.0</v>
      </c>
      <c r="T27" s="165"/>
      <c r="U27" s="165" t="s">
        <v>2153</v>
      </c>
      <c r="V27" s="160" t="s">
        <v>2154</v>
      </c>
      <c r="W27" s="160" t="s">
        <v>123</v>
      </c>
      <c r="X27" s="160"/>
      <c r="Y27" s="160"/>
      <c r="Z27" s="160"/>
      <c r="AA27" s="167"/>
      <c r="AB27" s="167"/>
      <c r="AC27" s="160"/>
      <c r="AD27" s="160"/>
      <c r="AE27" s="160"/>
      <c r="AF27" s="165"/>
      <c r="AG27" s="160"/>
      <c r="AH27" s="169" t="s">
        <v>2143</v>
      </c>
      <c r="AI27" s="169"/>
      <c r="AJ27" s="160"/>
      <c r="AK27" s="160"/>
      <c r="AL27" s="170" t="str">
        <f t="shared" si="3"/>
        <v/>
      </c>
      <c r="AM27" s="171">
        <v>2014.0</v>
      </c>
    </row>
    <row r="28">
      <c r="A28" s="158">
        <f t="shared" si="1"/>
        <v>11649015</v>
      </c>
      <c r="B28" s="160">
        <v>9.0</v>
      </c>
      <c r="C28" s="160"/>
      <c r="D28" s="160" t="s">
        <v>1637</v>
      </c>
      <c r="E28" s="160" t="s">
        <v>1637</v>
      </c>
      <c r="F28" s="159" t="s">
        <v>1968</v>
      </c>
      <c r="G28" s="160" t="s">
        <v>1816</v>
      </c>
      <c r="H28" s="172">
        <v>20.0</v>
      </c>
      <c r="I28" s="160"/>
      <c r="J28" s="160" t="s">
        <v>112</v>
      </c>
      <c r="K28" s="160" t="s">
        <v>120</v>
      </c>
      <c r="L28" s="160" t="s">
        <v>117</v>
      </c>
      <c r="M28" s="160">
        <v>2.0</v>
      </c>
      <c r="N28" s="160" t="s">
        <v>116</v>
      </c>
      <c r="O28" s="160">
        <v>5.0</v>
      </c>
      <c r="P28" s="160"/>
      <c r="Q28" s="160"/>
      <c r="R28" s="165" t="s">
        <v>121</v>
      </c>
      <c r="S28" s="173">
        <v>41641.0</v>
      </c>
      <c r="T28" s="165"/>
      <c r="U28" s="165" t="s">
        <v>2155</v>
      </c>
      <c r="V28" s="160" t="s">
        <v>2156</v>
      </c>
      <c r="W28" s="160"/>
      <c r="X28" s="160"/>
      <c r="Y28" s="160"/>
      <c r="Z28" s="160"/>
      <c r="AA28" s="167">
        <v>41549.0</v>
      </c>
      <c r="AB28" s="167">
        <v>41563.0</v>
      </c>
      <c r="AC28" s="160"/>
      <c r="AD28" s="160"/>
      <c r="AE28" s="160"/>
      <c r="AF28" s="165"/>
      <c r="AG28" s="160"/>
      <c r="AH28" s="169" t="s">
        <v>2071</v>
      </c>
      <c r="AI28" s="169"/>
      <c r="AJ28" s="160"/>
      <c r="AK28" s="160" t="s">
        <v>2157</v>
      </c>
      <c r="AL28" s="170">
        <f t="shared" si="3"/>
        <v>57</v>
      </c>
      <c r="AM28" s="171">
        <v>2014.0</v>
      </c>
    </row>
    <row r="29">
      <c r="A29" s="158">
        <f t="shared" si="1"/>
        <v>17873394</v>
      </c>
      <c r="B29" s="160">
        <v>13.0</v>
      </c>
      <c r="C29" s="160"/>
      <c r="D29" s="160" t="s">
        <v>1627</v>
      </c>
      <c r="E29" s="160" t="s">
        <v>2003</v>
      </c>
      <c r="F29" s="159" t="s">
        <v>2004</v>
      </c>
      <c r="G29" s="160" t="s">
        <v>2005</v>
      </c>
      <c r="H29" s="172">
        <v>17.0</v>
      </c>
      <c r="I29" s="160"/>
      <c r="J29" s="160" t="s">
        <v>112</v>
      </c>
      <c r="K29" s="160" t="s">
        <v>125</v>
      </c>
      <c r="L29" s="160" t="s">
        <v>117</v>
      </c>
      <c r="M29" s="160">
        <v>0.0</v>
      </c>
      <c r="N29" s="160" t="s">
        <v>116</v>
      </c>
      <c r="O29" s="160">
        <v>6.0</v>
      </c>
      <c r="P29" s="160"/>
      <c r="Q29" s="160"/>
      <c r="R29" s="165" t="s">
        <v>115</v>
      </c>
      <c r="S29" s="173">
        <v>41641.0</v>
      </c>
      <c r="T29" s="165"/>
      <c r="U29" s="165" t="s">
        <v>2158</v>
      </c>
      <c r="V29" s="160" t="s">
        <v>2159</v>
      </c>
      <c r="W29" s="160"/>
      <c r="X29" s="160"/>
      <c r="Y29" s="160"/>
      <c r="Z29" s="160"/>
      <c r="AA29" s="167">
        <v>41557.0</v>
      </c>
      <c r="AB29" s="167">
        <v>41565.0</v>
      </c>
      <c r="AC29" s="160"/>
      <c r="AD29" s="160"/>
      <c r="AE29" s="160"/>
      <c r="AF29" s="165"/>
      <c r="AG29" s="160"/>
      <c r="AH29" s="169" t="s">
        <v>2071</v>
      </c>
      <c r="AI29" s="169"/>
      <c r="AJ29" s="160"/>
      <c r="AK29" s="160" t="s">
        <v>2157</v>
      </c>
      <c r="AL29" s="170">
        <f t="shared" si="3"/>
        <v>55</v>
      </c>
      <c r="AM29" s="171">
        <v>2014.0</v>
      </c>
    </row>
    <row r="30">
      <c r="A30" s="158">
        <f t="shared" si="1"/>
        <v>17738116</v>
      </c>
      <c r="B30" s="160">
        <v>26.0</v>
      </c>
      <c r="C30" s="160"/>
      <c r="D30" s="160" t="s">
        <v>1892</v>
      </c>
      <c r="E30" s="160" t="s">
        <v>2160</v>
      </c>
      <c r="F30" s="159" t="s">
        <v>1954</v>
      </c>
      <c r="G30" s="160" t="s">
        <v>1591</v>
      </c>
      <c r="H30" s="172">
        <v>20.0</v>
      </c>
      <c r="I30" s="160"/>
      <c r="J30" s="160" t="s">
        <v>112</v>
      </c>
      <c r="K30" s="160" t="s">
        <v>120</v>
      </c>
      <c r="L30" s="160" t="s">
        <v>117</v>
      </c>
      <c r="M30" s="160">
        <v>0.0</v>
      </c>
      <c r="N30" s="160" t="s">
        <v>116</v>
      </c>
      <c r="O30" s="160">
        <v>13.0</v>
      </c>
      <c r="P30" s="160"/>
      <c r="Q30" s="160"/>
      <c r="R30" s="165" t="s">
        <v>121</v>
      </c>
      <c r="S30" s="173">
        <v>41743.0</v>
      </c>
      <c r="T30" s="165"/>
      <c r="U30" s="165" t="s">
        <v>2161</v>
      </c>
      <c r="V30" s="160" t="s">
        <v>2162</v>
      </c>
      <c r="W30" s="160"/>
      <c r="X30" s="160"/>
      <c r="Y30" s="160"/>
      <c r="Z30" s="160"/>
      <c r="AA30" s="167">
        <v>41575.0</v>
      </c>
      <c r="AB30" s="167">
        <v>41583.0</v>
      </c>
      <c r="AC30" s="160"/>
      <c r="AD30" s="160"/>
      <c r="AE30" s="160"/>
      <c r="AF30" s="165"/>
      <c r="AG30" s="160"/>
      <c r="AH30" s="169" t="s">
        <v>2071</v>
      </c>
      <c r="AI30" s="169"/>
      <c r="AJ30" s="160"/>
      <c r="AK30" s="160" t="s">
        <v>2163</v>
      </c>
      <c r="AL30" s="170">
        <f t="shared" si="3"/>
        <v>115</v>
      </c>
      <c r="AM30" s="171">
        <v>2014.0</v>
      </c>
    </row>
    <row r="31">
      <c r="A31" s="158">
        <f t="shared" si="1"/>
        <v>9767915</v>
      </c>
      <c r="B31" s="160">
        <v>3.0</v>
      </c>
      <c r="C31" s="160"/>
      <c r="D31" s="160" t="s">
        <v>1623</v>
      </c>
      <c r="E31" s="160" t="s">
        <v>1623</v>
      </c>
      <c r="F31" s="159" t="s">
        <v>1955</v>
      </c>
      <c r="G31" s="160" t="s">
        <v>1741</v>
      </c>
      <c r="H31" s="172">
        <v>21.0</v>
      </c>
      <c r="I31" s="160"/>
      <c r="J31" s="160" t="s">
        <v>112</v>
      </c>
      <c r="K31" s="160" t="s">
        <v>127</v>
      </c>
      <c r="L31" s="160" t="s">
        <v>117</v>
      </c>
      <c r="M31" s="160">
        <v>0.0</v>
      </c>
      <c r="N31" s="160" t="s">
        <v>116</v>
      </c>
      <c r="O31" s="160">
        <v>4.0</v>
      </c>
      <c r="P31" s="160"/>
      <c r="Q31" s="160"/>
      <c r="R31" s="165" t="s">
        <v>121</v>
      </c>
      <c r="S31" s="173">
        <v>41699.0</v>
      </c>
      <c r="T31" s="165"/>
      <c r="U31" s="165" t="s">
        <v>2164</v>
      </c>
      <c r="V31" s="160" t="s">
        <v>2165</v>
      </c>
      <c r="W31" s="160"/>
      <c r="X31" s="160"/>
      <c r="Y31" s="160"/>
      <c r="Z31" s="160"/>
      <c r="AA31" s="167">
        <v>41576.0</v>
      </c>
      <c r="AB31" s="167">
        <v>41584.0</v>
      </c>
      <c r="AC31" s="160"/>
      <c r="AD31" s="160"/>
      <c r="AE31" s="160"/>
      <c r="AF31" s="165"/>
      <c r="AG31" s="160"/>
      <c r="AH31" s="169" t="s">
        <v>2071</v>
      </c>
      <c r="AI31" s="169"/>
      <c r="AJ31" s="160"/>
      <c r="AK31" s="160" t="s">
        <v>1612</v>
      </c>
      <c r="AL31" s="170">
        <f t="shared" si="3"/>
        <v>83</v>
      </c>
      <c r="AM31" s="171">
        <v>2014.0</v>
      </c>
    </row>
    <row r="32">
      <c r="A32" s="158">
        <f t="shared" si="1"/>
        <v>7818802</v>
      </c>
      <c r="B32" s="160">
        <v>8.0</v>
      </c>
      <c r="C32" s="160"/>
      <c r="D32" s="160" t="s">
        <v>1627</v>
      </c>
      <c r="E32" s="160" t="s">
        <v>1928</v>
      </c>
      <c r="F32" s="159" t="s">
        <v>1968</v>
      </c>
      <c r="G32" s="160" t="s">
        <v>1816</v>
      </c>
      <c r="H32" s="177">
        <v>21.0</v>
      </c>
      <c r="I32" s="178"/>
      <c r="J32" s="178" t="s">
        <v>112</v>
      </c>
      <c r="K32" s="178" t="s">
        <v>120</v>
      </c>
      <c r="L32" s="178" t="s">
        <v>117</v>
      </c>
      <c r="M32" s="178">
        <v>1.0</v>
      </c>
      <c r="N32" s="178" t="s">
        <v>116</v>
      </c>
      <c r="O32" s="178">
        <v>11.0</v>
      </c>
      <c r="P32" s="160"/>
      <c r="Q32" s="160"/>
      <c r="R32" s="165" t="s">
        <v>121</v>
      </c>
      <c r="S32" s="173">
        <v>41701.0</v>
      </c>
      <c r="T32" s="165"/>
      <c r="U32" s="165" t="s">
        <v>2166</v>
      </c>
      <c r="V32" s="160" t="s">
        <v>2167</v>
      </c>
      <c r="W32" s="160"/>
      <c r="X32" s="160"/>
      <c r="Y32" s="160"/>
      <c r="Z32" s="160"/>
      <c r="AA32" s="167">
        <v>41576.0</v>
      </c>
      <c r="AB32" s="167">
        <v>41585.0</v>
      </c>
      <c r="AC32" s="160"/>
      <c r="AD32" s="160"/>
      <c r="AE32" s="160"/>
      <c r="AF32" s="165"/>
      <c r="AG32" s="160"/>
      <c r="AH32" s="169" t="s">
        <v>2071</v>
      </c>
      <c r="AI32" s="169"/>
      <c r="AJ32" s="160"/>
      <c r="AK32" s="160" t="s">
        <v>2163</v>
      </c>
      <c r="AL32" s="170">
        <f t="shared" si="3"/>
        <v>83</v>
      </c>
      <c r="AM32" s="171">
        <v>2014.0</v>
      </c>
    </row>
    <row r="33">
      <c r="A33" s="158">
        <f t="shared" si="1"/>
        <v>7549490</v>
      </c>
      <c r="B33" s="160">
        <v>4.0</v>
      </c>
      <c r="C33" s="160"/>
      <c r="D33" s="160" t="s">
        <v>2168</v>
      </c>
      <c r="E33" s="160" t="s">
        <v>2168</v>
      </c>
      <c r="F33" s="159" t="s">
        <v>2169</v>
      </c>
      <c r="G33" s="160" t="s">
        <v>2170</v>
      </c>
      <c r="H33" s="172">
        <v>11.0</v>
      </c>
      <c r="I33" s="160"/>
      <c r="J33" s="160" t="s">
        <v>112</v>
      </c>
      <c r="K33" s="160" t="s">
        <v>114</v>
      </c>
      <c r="L33" s="160" t="s">
        <v>117</v>
      </c>
      <c r="M33" s="160">
        <v>0.0</v>
      </c>
      <c r="N33" s="160" t="s">
        <v>116</v>
      </c>
      <c r="O33" s="160">
        <v>2.0</v>
      </c>
      <c r="P33" s="160"/>
      <c r="Q33" s="160"/>
      <c r="R33" s="165" t="s">
        <v>115</v>
      </c>
      <c r="S33" s="173">
        <v>41699.0</v>
      </c>
      <c r="T33" s="165"/>
      <c r="U33" s="165" t="s">
        <v>2171</v>
      </c>
      <c r="V33" s="160" t="s">
        <v>2172</v>
      </c>
      <c r="W33" s="160"/>
      <c r="X33" s="160"/>
      <c r="Y33" s="160"/>
      <c r="Z33" s="160"/>
      <c r="AA33" s="167">
        <v>41575.0</v>
      </c>
      <c r="AB33" s="167">
        <v>41589.0</v>
      </c>
      <c r="AC33" s="160"/>
      <c r="AD33" s="160"/>
      <c r="AE33" s="160"/>
      <c r="AF33" s="165"/>
      <c r="AG33" s="160"/>
      <c r="AH33" s="169" t="s">
        <v>2071</v>
      </c>
      <c r="AI33" s="169"/>
      <c r="AJ33" s="160"/>
      <c r="AK33" s="160" t="s">
        <v>1612</v>
      </c>
      <c r="AL33" s="170">
        <f t="shared" si="3"/>
        <v>80</v>
      </c>
      <c r="AM33" s="171">
        <v>2014.0</v>
      </c>
    </row>
    <row r="34">
      <c r="A34" s="158">
        <f t="shared" si="1"/>
        <v>13284976</v>
      </c>
      <c r="B34" s="160">
        <v>18.0</v>
      </c>
      <c r="C34" s="160"/>
      <c r="D34" s="160" t="s">
        <v>1618</v>
      </c>
      <c r="E34" s="160" t="s">
        <v>1618</v>
      </c>
      <c r="F34" s="159" t="s">
        <v>1915</v>
      </c>
      <c r="G34" s="160" t="s">
        <v>1916</v>
      </c>
      <c r="H34" s="172">
        <v>20.0</v>
      </c>
      <c r="I34" s="160"/>
      <c r="J34" s="160" t="s">
        <v>112</v>
      </c>
      <c r="K34" s="160" t="s">
        <v>125</v>
      </c>
      <c r="L34" s="160" t="s">
        <v>117</v>
      </c>
      <c r="M34" s="160">
        <v>0.0</v>
      </c>
      <c r="N34" s="160" t="s">
        <v>116</v>
      </c>
      <c r="O34" s="160">
        <v>1.0</v>
      </c>
      <c r="P34" s="160"/>
      <c r="Q34" s="160"/>
      <c r="R34" s="165" t="s">
        <v>121</v>
      </c>
      <c r="S34" s="173">
        <v>41704.0</v>
      </c>
      <c r="T34" s="165"/>
      <c r="U34" s="165" t="s">
        <v>2173</v>
      </c>
      <c r="V34" s="160" t="s">
        <v>2174</v>
      </c>
      <c r="W34" s="160"/>
      <c r="X34" s="160"/>
      <c r="Y34" s="160"/>
      <c r="Z34" s="160"/>
      <c r="AA34" s="167">
        <v>41590.0</v>
      </c>
      <c r="AB34" s="167">
        <v>41597.0</v>
      </c>
      <c r="AC34" s="160"/>
      <c r="AD34" s="160"/>
      <c r="AE34" s="160"/>
      <c r="AF34" s="165"/>
      <c r="AG34" s="160"/>
      <c r="AH34" s="169" t="s">
        <v>2071</v>
      </c>
      <c r="AI34" s="169"/>
      <c r="AJ34" s="160"/>
      <c r="AK34" s="160" t="s">
        <v>2157</v>
      </c>
      <c r="AL34" s="170">
        <f t="shared" si="3"/>
        <v>78</v>
      </c>
      <c r="AM34" s="171">
        <v>2014.0</v>
      </c>
    </row>
    <row r="35">
      <c r="A35" s="158">
        <f t="shared" si="1"/>
        <v>16568171</v>
      </c>
      <c r="B35" s="160">
        <v>1.0</v>
      </c>
      <c r="C35" s="160"/>
      <c r="D35" s="160" t="s">
        <v>1699</v>
      </c>
      <c r="E35" s="160" t="s">
        <v>1699</v>
      </c>
      <c r="F35" s="159" t="s">
        <v>2175</v>
      </c>
      <c r="G35" s="160" t="s">
        <v>2176</v>
      </c>
      <c r="H35" s="172">
        <v>12.0</v>
      </c>
      <c r="I35" s="160"/>
      <c r="J35" s="160" t="s">
        <v>112</v>
      </c>
      <c r="K35" s="160" t="s">
        <v>114</v>
      </c>
      <c r="L35" s="160" t="s">
        <v>117</v>
      </c>
      <c r="M35" s="160">
        <v>4.0</v>
      </c>
      <c r="N35" s="160" t="s">
        <v>116</v>
      </c>
      <c r="O35" s="160">
        <v>7.0</v>
      </c>
      <c r="P35" s="160"/>
      <c r="Q35" s="160"/>
      <c r="R35" s="165" t="s">
        <v>115</v>
      </c>
      <c r="S35" s="173">
        <v>41640.0</v>
      </c>
      <c r="T35" s="165"/>
      <c r="U35" s="165" t="s">
        <v>2177</v>
      </c>
      <c r="V35" s="159" t="s">
        <v>2178</v>
      </c>
      <c r="W35" s="160"/>
      <c r="X35" s="160"/>
      <c r="Y35" s="160"/>
      <c r="Z35" s="160"/>
      <c r="AA35" s="167">
        <v>41572.0</v>
      </c>
      <c r="AB35" s="167">
        <v>41600.0</v>
      </c>
      <c r="AC35" s="160"/>
      <c r="AD35" s="160"/>
      <c r="AE35" s="160"/>
      <c r="AF35" s="165"/>
      <c r="AG35" s="160"/>
      <c r="AH35" s="169" t="s">
        <v>2071</v>
      </c>
      <c r="AI35" s="169"/>
      <c r="AJ35" s="160"/>
      <c r="AK35" s="160" t="s">
        <v>2163</v>
      </c>
      <c r="AL35" s="170">
        <f t="shared" si="3"/>
        <v>29</v>
      </c>
      <c r="AM35" s="171">
        <v>2014.0</v>
      </c>
    </row>
    <row r="36">
      <c r="A36" s="158">
        <f t="shared" si="1"/>
        <v>7811741</v>
      </c>
      <c r="B36" s="160">
        <v>5.0</v>
      </c>
      <c r="C36" s="160"/>
      <c r="D36" s="160" t="s">
        <v>1740</v>
      </c>
      <c r="E36" s="160" t="s">
        <v>1740</v>
      </c>
      <c r="F36" s="159" t="s">
        <v>1902</v>
      </c>
      <c r="G36" s="160" t="s">
        <v>1608</v>
      </c>
      <c r="H36" s="172">
        <v>10.0</v>
      </c>
      <c r="I36" s="160"/>
      <c r="J36" s="160" t="s">
        <v>112</v>
      </c>
      <c r="K36" s="160" t="s">
        <v>120</v>
      </c>
      <c r="L36" s="160" t="s">
        <v>117</v>
      </c>
      <c r="M36" s="160">
        <v>4.0</v>
      </c>
      <c r="N36" s="160" t="s">
        <v>122</v>
      </c>
      <c r="O36" s="160"/>
      <c r="P36" s="160"/>
      <c r="Q36" s="160"/>
      <c r="R36" s="165" t="s">
        <v>121</v>
      </c>
      <c r="S36" s="173">
        <v>41652.0</v>
      </c>
      <c r="T36" s="165" t="s">
        <v>2179</v>
      </c>
      <c r="U36" s="165"/>
      <c r="V36" s="160" t="s">
        <v>2180</v>
      </c>
      <c r="W36" s="160"/>
      <c r="X36" s="160"/>
      <c r="Y36" s="160"/>
      <c r="Z36" s="160"/>
      <c r="AA36" s="167">
        <v>41600.0</v>
      </c>
      <c r="AB36" s="167">
        <v>41607.0</v>
      </c>
      <c r="AC36" s="160">
        <v>16.0</v>
      </c>
      <c r="AD36" s="160" t="s">
        <v>120</v>
      </c>
      <c r="AE36" s="160"/>
      <c r="AF36" s="165" t="s">
        <v>1979</v>
      </c>
      <c r="AG36" s="160"/>
      <c r="AH36" s="169" t="s">
        <v>2071</v>
      </c>
      <c r="AI36" s="169"/>
      <c r="AJ36" s="160"/>
      <c r="AK36" s="160" t="s">
        <v>1612</v>
      </c>
      <c r="AL36" s="170">
        <f t="shared" si="3"/>
        <v>32</v>
      </c>
      <c r="AM36" s="171">
        <v>2014.0</v>
      </c>
    </row>
    <row r="37">
      <c r="A37" s="158">
        <f t="shared" si="1"/>
        <v>13750019</v>
      </c>
      <c r="B37" s="160">
        <v>14.0</v>
      </c>
      <c r="C37" s="160"/>
      <c r="D37" s="160" t="s">
        <v>1627</v>
      </c>
      <c r="E37" s="160" t="s">
        <v>2181</v>
      </c>
      <c r="F37" s="159" t="s">
        <v>2009</v>
      </c>
      <c r="G37" s="160" t="s">
        <v>2182</v>
      </c>
      <c r="H37" s="172">
        <v>17.0</v>
      </c>
      <c r="I37" s="160"/>
      <c r="J37" s="160" t="s">
        <v>112</v>
      </c>
      <c r="K37" s="160" t="s">
        <v>125</v>
      </c>
      <c r="L37" s="160" t="s">
        <v>117</v>
      </c>
      <c r="M37" s="179">
        <v>0.0</v>
      </c>
      <c r="N37" s="160" t="s">
        <v>116</v>
      </c>
      <c r="O37" s="180">
        <v>3.0</v>
      </c>
      <c r="P37" s="180"/>
      <c r="Q37" s="180"/>
      <c r="R37" s="165" t="s">
        <v>121</v>
      </c>
      <c r="S37" s="173">
        <v>41641.0</v>
      </c>
      <c r="T37" s="165"/>
      <c r="U37" s="165" t="s">
        <v>2183</v>
      </c>
      <c r="V37" s="160" t="s">
        <v>2184</v>
      </c>
      <c r="W37" s="160"/>
      <c r="X37" s="160"/>
      <c r="Y37" s="160"/>
      <c r="Z37" s="160"/>
      <c r="AA37" s="167">
        <v>41617.0</v>
      </c>
      <c r="AB37" s="167">
        <v>41621.0</v>
      </c>
      <c r="AC37" s="160"/>
      <c r="AD37" s="160"/>
      <c r="AE37" s="160"/>
      <c r="AF37" s="165"/>
      <c r="AG37" s="160"/>
      <c r="AH37" s="169" t="s">
        <v>2071</v>
      </c>
      <c r="AI37" s="169"/>
      <c r="AJ37" s="160"/>
      <c r="AK37" s="160" t="s">
        <v>1612</v>
      </c>
      <c r="AL37" s="170">
        <f t="shared" si="3"/>
        <v>15</v>
      </c>
      <c r="AM37" s="171">
        <v>2014.0</v>
      </c>
    </row>
    <row r="38">
      <c r="A38" s="158">
        <f t="shared" si="1"/>
        <v>15374900</v>
      </c>
      <c r="B38" s="160">
        <v>15.0</v>
      </c>
      <c r="C38" s="160"/>
      <c r="D38" s="160" t="s">
        <v>1642</v>
      </c>
      <c r="E38" s="160" t="s">
        <v>1643</v>
      </c>
      <c r="F38" s="159" t="s">
        <v>1959</v>
      </c>
      <c r="G38" s="160" t="s">
        <v>2185</v>
      </c>
      <c r="H38" s="172">
        <v>13.0</v>
      </c>
      <c r="I38" s="160"/>
      <c r="J38" s="160" t="s">
        <v>112</v>
      </c>
      <c r="K38" s="160" t="s">
        <v>114</v>
      </c>
      <c r="L38" s="160" t="s">
        <v>117</v>
      </c>
      <c r="M38" s="160">
        <v>2.0</v>
      </c>
      <c r="N38" s="160" t="s">
        <v>122</v>
      </c>
      <c r="O38" s="160"/>
      <c r="P38" s="160"/>
      <c r="Q38" s="160"/>
      <c r="R38" s="165" t="s">
        <v>115</v>
      </c>
      <c r="S38" s="173">
        <v>41701.0</v>
      </c>
      <c r="T38" s="165" t="s">
        <v>2186</v>
      </c>
      <c r="U38" s="165"/>
      <c r="V38" s="160" t="s">
        <v>2187</v>
      </c>
      <c r="W38" s="160"/>
      <c r="X38" s="160"/>
      <c r="Y38" s="160"/>
      <c r="Z38" s="160"/>
      <c r="AA38" s="167">
        <v>41625.0</v>
      </c>
      <c r="AB38" s="167">
        <v>41634.0</v>
      </c>
      <c r="AC38" s="160"/>
      <c r="AD38" s="160"/>
      <c r="AE38" s="160"/>
      <c r="AF38" s="165"/>
      <c r="AG38" s="160"/>
      <c r="AH38" s="169" t="s">
        <v>2071</v>
      </c>
      <c r="AI38" s="169"/>
      <c r="AJ38" s="160"/>
      <c r="AK38" s="160"/>
      <c r="AL38" s="170">
        <f t="shared" si="3"/>
        <v>48</v>
      </c>
      <c r="AM38" s="171">
        <v>2014.0</v>
      </c>
    </row>
    <row r="39">
      <c r="A39" s="158">
        <f t="shared" si="1"/>
        <v>13069424</v>
      </c>
      <c r="B39" s="160">
        <v>2.0</v>
      </c>
      <c r="C39" s="160"/>
      <c r="D39" s="160" t="s">
        <v>1627</v>
      </c>
      <c r="E39" s="160" t="s">
        <v>1627</v>
      </c>
      <c r="F39" s="159" t="s">
        <v>2094</v>
      </c>
      <c r="G39" s="160" t="s">
        <v>1799</v>
      </c>
      <c r="H39" s="172">
        <v>10.0</v>
      </c>
      <c r="I39" s="160"/>
      <c r="J39" s="160" t="s">
        <v>112</v>
      </c>
      <c r="K39" s="160" t="s">
        <v>114</v>
      </c>
      <c r="L39" s="160" t="s">
        <v>117</v>
      </c>
      <c r="M39" s="160">
        <v>2.0</v>
      </c>
      <c r="N39" s="160" t="s">
        <v>122</v>
      </c>
      <c r="O39" s="160"/>
      <c r="P39" s="160"/>
      <c r="Q39" s="160"/>
      <c r="R39" s="165" t="s">
        <v>121</v>
      </c>
      <c r="S39" s="173">
        <v>41641.0</v>
      </c>
      <c r="T39" s="165" t="s">
        <v>2188</v>
      </c>
      <c r="U39" s="165"/>
      <c r="V39" s="160" t="s">
        <v>2189</v>
      </c>
      <c r="W39" s="160"/>
      <c r="X39" s="160"/>
      <c r="Y39" s="160"/>
      <c r="Z39" s="160"/>
      <c r="AA39" s="167">
        <v>41628.0</v>
      </c>
      <c r="AB39" s="167">
        <v>41635.0</v>
      </c>
      <c r="AC39" s="160">
        <v>16.0</v>
      </c>
      <c r="AD39" s="160" t="s">
        <v>120</v>
      </c>
      <c r="AE39" s="160"/>
      <c r="AF39" s="165" t="s">
        <v>1615</v>
      </c>
      <c r="AG39" s="160"/>
      <c r="AH39" s="169" t="s">
        <v>2071</v>
      </c>
      <c r="AI39" s="169"/>
      <c r="AJ39" s="160"/>
      <c r="AK39" s="160" t="s">
        <v>2157</v>
      </c>
      <c r="AL39" s="170">
        <f t="shared" si="3"/>
        <v>5</v>
      </c>
      <c r="AM39" s="171">
        <v>2014.0</v>
      </c>
    </row>
    <row r="40">
      <c r="A40" s="158">
        <f t="shared" si="1"/>
        <v>18243390</v>
      </c>
      <c r="B40" s="160">
        <v>6.0</v>
      </c>
      <c r="C40" s="160"/>
      <c r="D40" s="160" t="s">
        <v>1598</v>
      </c>
      <c r="E40" s="160" t="s">
        <v>1598</v>
      </c>
      <c r="F40" s="159" t="s">
        <v>1910</v>
      </c>
      <c r="G40" s="160" t="s">
        <v>2190</v>
      </c>
      <c r="H40" s="172">
        <v>17.0</v>
      </c>
      <c r="I40" s="160"/>
      <c r="J40" s="160" t="s">
        <v>112</v>
      </c>
      <c r="K40" s="160" t="s">
        <v>120</v>
      </c>
      <c r="L40" s="160" t="s">
        <v>117</v>
      </c>
      <c r="M40" s="160">
        <v>1.0</v>
      </c>
      <c r="N40" s="160" t="s">
        <v>122</v>
      </c>
      <c r="O40" s="160"/>
      <c r="P40" s="160"/>
      <c r="Q40" s="160"/>
      <c r="R40" s="165" t="s">
        <v>115</v>
      </c>
      <c r="S40" s="173">
        <v>41701.0</v>
      </c>
      <c r="T40" s="165" t="s">
        <v>2191</v>
      </c>
      <c r="U40" s="165"/>
      <c r="V40" s="160" t="s">
        <v>2192</v>
      </c>
      <c r="W40" s="160"/>
      <c r="X40" s="160"/>
      <c r="Y40" s="160"/>
      <c r="Z40" s="160"/>
      <c r="AA40" s="167">
        <v>41634.0</v>
      </c>
      <c r="AB40" s="167">
        <v>41642.0</v>
      </c>
      <c r="AC40" s="160"/>
      <c r="AD40" s="160"/>
      <c r="AE40" s="160"/>
      <c r="AF40" s="165"/>
      <c r="AG40" s="160"/>
      <c r="AH40" s="169" t="s">
        <v>2071</v>
      </c>
      <c r="AI40" s="169"/>
      <c r="AJ40" s="160"/>
      <c r="AK40" s="160"/>
      <c r="AL40" s="170">
        <f t="shared" si="3"/>
        <v>42</v>
      </c>
      <c r="AM40" s="171">
        <v>2014.0</v>
      </c>
    </row>
    <row r="41">
      <c r="A41" s="158">
        <f t="shared" si="1"/>
        <v>15823407</v>
      </c>
      <c r="B41" s="160">
        <v>7.0</v>
      </c>
      <c r="C41" s="160"/>
      <c r="D41" s="160" t="s">
        <v>1598</v>
      </c>
      <c r="E41" s="160" t="s">
        <v>1871</v>
      </c>
      <c r="F41" s="159" t="s">
        <v>1970</v>
      </c>
      <c r="G41" s="160" t="s">
        <v>1638</v>
      </c>
      <c r="H41" s="172">
        <v>23.0</v>
      </c>
      <c r="I41" s="160"/>
      <c r="J41" s="160" t="s">
        <v>112</v>
      </c>
      <c r="K41" s="160" t="s">
        <v>127</v>
      </c>
      <c r="L41" s="160" t="s">
        <v>117</v>
      </c>
      <c r="M41" s="160">
        <v>0.0</v>
      </c>
      <c r="N41" s="160" t="s">
        <v>116</v>
      </c>
      <c r="O41" s="160">
        <v>12.0</v>
      </c>
      <c r="P41" s="160"/>
      <c r="Q41" s="160"/>
      <c r="R41" s="165" t="s">
        <v>115</v>
      </c>
      <c r="S41" s="173">
        <v>41701.0</v>
      </c>
      <c r="T41" s="165"/>
      <c r="U41" s="165" t="s">
        <v>2193</v>
      </c>
      <c r="V41" s="160" t="s">
        <v>2194</v>
      </c>
      <c r="W41" s="160"/>
      <c r="X41" s="160"/>
      <c r="Y41" s="160"/>
      <c r="Z41" s="160"/>
      <c r="AA41" s="167">
        <v>41642.0</v>
      </c>
      <c r="AB41" s="167">
        <v>41647.0</v>
      </c>
      <c r="AC41" s="160"/>
      <c r="AD41" s="160"/>
      <c r="AE41" s="160"/>
      <c r="AF41" s="165"/>
      <c r="AG41" s="160"/>
      <c r="AH41" s="169" t="s">
        <v>2071</v>
      </c>
      <c r="AI41" s="169"/>
      <c r="AJ41" s="160"/>
      <c r="AK41" s="160"/>
      <c r="AL41" s="170">
        <f t="shared" si="3"/>
        <v>39</v>
      </c>
      <c r="AM41" s="171">
        <v>2014.0</v>
      </c>
    </row>
    <row r="42">
      <c r="A42" s="158">
        <f t="shared" si="1"/>
        <v>15504352</v>
      </c>
      <c r="B42" s="160">
        <v>12.0</v>
      </c>
      <c r="C42" s="160"/>
      <c r="D42" s="160" t="s">
        <v>1642</v>
      </c>
      <c r="E42" s="160" t="s">
        <v>2195</v>
      </c>
      <c r="F42" s="159" t="s">
        <v>2196</v>
      </c>
      <c r="G42" s="160" t="s">
        <v>2197</v>
      </c>
      <c r="H42" s="172">
        <v>17.0</v>
      </c>
      <c r="I42" s="160"/>
      <c r="J42" s="160" t="s">
        <v>112</v>
      </c>
      <c r="K42" s="160" t="s">
        <v>120</v>
      </c>
      <c r="L42" s="160" t="s">
        <v>117</v>
      </c>
      <c r="M42" s="160">
        <v>3.0</v>
      </c>
      <c r="N42" s="160" t="s">
        <v>122</v>
      </c>
      <c r="O42" s="160"/>
      <c r="P42" s="160"/>
      <c r="Q42" s="160"/>
      <c r="R42" s="165" t="s">
        <v>121</v>
      </c>
      <c r="S42" s="173">
        <v>41704.0</v>
      </c>
      <c r="T42" s="165" t="s">
        <v>2198</v>
      </c>
      <c r="U42" s="165"/>
      <c r="V42" s="160" t="s">
        <v>2199</v>
      </c>
      <c r="W42" s="160"/>
      <c r="X42" s="160"/>
      <c r="Y42" s="160"/>
      <c r="Z42" s="160"/>
      <c r="AA42" s="167">
        <v>41642.0</v>
      </c>
      <c r="AB42" s="167">
        <v>41647.0</v>
      </c>
      <c r="AC42" s="160">
        <v>19.0</v>
      </c>
      <c r="AD42" s="160" t="s">
        <v>120</v>
      </c>
      <c r="AE42" s="160"/>
      <c r="AF42" s="165" t="s">
        <v>2200</v>
      </c>
      <c r="AG42" s="160"/>
      <c r="AH42" s="169" t="s">
        <v>2071</v>
      </c>
      <c r="AI42" s="169"/>
      <c r="AJ42" s="160"/>
      <c r="AK42" s="160" t="s">
        <v>1612</v>
      </c>
      <c r="AL42" s="170">
        <f t="shared" si="3"/>
        <v>42</v>
      </c>
      <c r="AM42" s="171">
        <v>2014.0</v>
      </c>
    </row>
    <row r="43">
      <c r="A43" s="158">
        <f t="shared" si="1"/>
        <v>14484032</v>
      </c>
      <c r="B43" s="160">
        <v>17.0</v>
      </c>
      <c r="C43" s="160"/>
      <c r="D43" s="160" t="s">
        <v>1892</v>
      </c>
      <c r="E43" s="160" t="s">
        <v>2201</v>
      </c>
      <c r="F43" s="159" t="s">
        <v>1968</v>
      </c>
      <c r="G43" s="160" t="s">
        <v>1816</v>
      </c>
      <c r="H43" s="172">
        <v>20.0</v>
      </c>
      <c r="I43" s="160"/>
      <c r="J43" s="160" t="s">
        <v>112</v>
      </c>
      <c r="K43" s="160" t="s">
        <v>120</v>
      </c>
      <c r="L43" s="160" t="s">
        <v>117</v>
      </c>
      <c r="M43" s="160">
        <v>1.0</v>
      </c>
      <c r="N43" s="160" t="s">
        <v>116</v>
      </c>
      <c r="O43" s="160">
        <v>6.0</v>
      </c>
      <c r="P43" s="160"/>
      <c r="Q43" s="160"/>
      <c r="R43" s="165" t="s">
        <v>115</v>
      </c>
      <c r="S43" s="173">
        <v>41701.0</v>
      </c>
      <c r="T43" s="165"/>
      <c r="U43" s="165" t="s">
        <v>2202</v>
      </c>
      <c r="V43" s="160" t="s">
        <v>2203</v>
      </c>
      <c r="W43" s="160"/>
      <c r="X43" s="160"/>
      <c r="Y43" s="160"/>
      <c r="Z43" s="160"/>
      <c r="AA43" s="167">
        <v>41642.0</v>
      </c>
      <c r="AB43" s="167">
        <v>41647.0</v>
      </c>
      <c r="AC43" s="160"/>
      <c r="AD43" s="160"/>
      <c r="AE43" s="160"/>
      <c r="AF43" s="165"/>
      <c r="AG43" s="160"/>
      <c r="AH43" s="169" t="s">
        <v>2071</v>
      </c>
      <c r="AI43" s="169"/>
      <c r="AJ43" s="160"/>
      <c r="AK43" s="160"/>
      <c r="AL43" s="170">
        <f t="shared" si="3"/>
        <v>39</v>
      </c>
      <c r="AM43" s="171">
        <v>2014.0</v>
      </c>
    </row>
    <row r="44">
      <c r="A44" s="158">
        <f t="shared" si="1"/>
        <v>16151050</v>
      </c>
      <c r="B44" s="160">
        <v>19.0</v>
      </c>
      <c r="C44" s="160"/>
      <c r="D44" s="160" t="s">
        <v>1940</v>
      </c>
      <c r="E44" s="160" t="s">
        <v>2204</v>
      </c>
      <c r="F44" s="159" t="s">
        <v>1910</v>
      </c>
      <c r="G44" s="160" t="s">
        <v>1913</v>
      </c>
      <c r="H44" s="172">
        <v>17.0</v>
      </c>
      <c r="I44" s="160"/>
      <c r="J44" s="160" t="s">
        <v>112</v>
      </c>
      <c r="K44" s="160" t="s">
        <v>120</v>
      </c>
      <c r="L44" s="160" t="s">
        <v>117</v>
      </c>
      <c r="M44" s="160">
        <v>1.0</v>
      </c>
      <c r="N44" s="160" t="s">
        <v>116</v>
      </c>
      <c r="O44" s="160">
        <v>8.0</v>
      </c>
      <c r="P44" s="160"/>
      <c r="Q44" s="160"/>
      <c r="R44" s="165" t="s">
        <v>121</v>
      </c>
      <c r="S44" s="173">
        <v>41715.0</v>
      </c>
      <c r="T44" s="165"/>
      <c r="U44" s="165" t="s">
        <v>2205</v>
      </c>
      <c r="V44" s="160" t="s">
        <v>2206</v>
      </c>
      <c r="W44" s="160"/>
      <c r="X44" s="160"/>
      <c r="Y44" s="160"/>
      <c r="Z44" s="160"/>
      <c r="AA44" s="167">
        <v>41642.0</v>
      </c>
      <c r="AB44" s="167">
        <v>41647.0</v>
      </c>
      <c r="AC44" s="160"/>
      <c r="AD44" s="160"/>
      <c r="AE44" s="160"/>
      <c r="AF44" s="165"/>
      <c r="AG44" s="160"/>
      <c r="AH44" s="169" t="s">
        <v>2071</v>
      </c>
      <c r="AI44" s="169"/>
      <c r="AJ44" s="160"/>
      <c r="AK44" s="160"/>
      <c r="AL44" s="170">
        <f t="shared" si="3"/>
        <v>49</v>
      </c>
      <c r="AM44" s="171">
        <v>2014.0</v>
      </c>
    </row>
    <row r="45">
      <c r="A45" s="158">
        <f t="shared" si="1"/>
        <v>10596564</v>
      </c>
      <c r="B45" s="160">
        <v>11.0</v>
      </c>
      <c r="C45" s="160"/>
      <c r="D45" s="160" t="s">
        <v>1602</v>
      </c>
      <c r="E45" s="160" t="s">
        <v>2049</v>
      </c>
      <c r="F45" s="159" t="s">
        <v>1970</v>
      </c>
      <c r="G45" s="160" t="s">
        <v>1638</v>
      </c>
      <c r="H45" s="172">
        <v>23.0</v>
      </c>
      <c r="I45" s="160"/>
      <c r="J45" s="160" t="s">
        <v>112</v>
      </c>
      <c r="K45" s="160" t="s">
        <v>127</v>
      </c>
      <c r="L45" s="160" t="s">
        <v>117</v>
      </c>
      <c r="M45" s="160">
        <v>0.0</v>
      </c>
      <c r="N45" s="160" t="s">
        <v>116</v>
      </c>
      <c r="O45" s="160">
        <v>17.0</v>
      </c>
      <c r="P45" s="160"/>
      <c r="Q45" s="160"/>
      <c r="R45" s="165" t="s">
        <v>115</v>
      </c>
      <c r="S45" s="173">
        <v>41701.0</v>
      </c>
      <c r="T45" s="165"/>
      <c r="U45" s="165" t="s">
        <v>2207</v>
      </c>
      <c r="V45" s="160" t="s">
        <v>2208</v>
      </c>
      <c r="W45" s="160"/>
      <c r="X45" s="160"/>
      <c r="Y45" s="160"/>
      <c r="Z45" s="160"/>
      <c r="AA45" s="167">
        <v>41645.0</v>
      </c>
      <c r="AB45" s="167">
        <v>41648.0</v>
      </c>
      <c r="AC45" s="160"/>
      <c r="AD45" s="160"/>
      <c r="AE45" s="160"/>
      <c r="AF45" s="165"/>
      <c r="AG45" s="160"/>
      <c r="AH45" s="169" t="s">
        <v>2071</v>
      </c>
      <c r="AI45" s="169"/>
      <c r="AJ45" s="160"/>
      <c r="AK45" s="160" t="s">
        <v>2157</v>
      </c>
      <c r="AL45" s="170">
        <f t="shared" si="3"/>
        <v>38</v>
      </c>
      <c r="AM45" s="171">
        <v>2014.0</v>
      </c>
    </row>
    <row r="46">
      <c r="A46" s="158">
        <f t="shared" si="1"/>
        <v>13137647</v>
      </c>
      <c r="B46" s="160">
        <v>21.0</v>
      </c>
      <c r="C46" s="160"/>
      <c r="D46" s="160" t="s">
        <v>1615</v>
      </c>
      <c r="E46" s="160" t="s">
        <v>2209</v>
      </c>
      <c r="F46" s="159" t="s">
        <v>1970</v>
      </c>
      <c r="G46" s="160" t="s">
        <v>1638</v>
      </c>
      <c r="H46" s="172">
        <v>23.0</v>
      </c>
      <c r="I46" s="160"/>
      <c r="J46" s="160" t="s">
        <v>112</v>
      </c>
      <c r="K46" s="160" t="s">
        <v>127</v>
      </c>
      <c r="L46" s="160" t="s">
        <v>117</v>
      </c>
      <c r="M46" s="160">
        <v>1.0</v>
      </c>
      <c r="N46" s="160" t="s">
        <v>122</v>
      </c>
      <c r="O46" s="160"/>
      <c r="P46" s="160"/>
      <c r="Q46" s="160"/>
      <c r="R46" s="165" t="s">
        <v>115</v>
      </c>
      <c r="S46" s="173">
        <v>41701.0</v>
      </c>
      <c r="T46" s="165" t="s">
        <v>2210</v>
      </c>
      <c r="U46" s="165"/>
      <c r="V46" s="181" t="s">
        <v>2211</v>
      </c>
      <c r="W46" s="181"/>
      <c r="X46" s="181"/>
      <c r="Y46" s="181"/>
      <c r="Z46" s="181"/>
      <c r="AA46" s="167">
        <v>41645.0</v>
      </c>
      <c r="AB46" s="167">
        <v>41648.0</v>
      </c>
      <c r="AC46" s="160">
        <v>19.0</v>
      </c>
      <c r="AD46" s="160" t="s">
        <v>125</v>
      </c>
      <c r="AE46" s="160"/>
      <c r="AF46" s="165" t="s">
        <v>2212</v>
      </c>
      <c r="AG46" s="160"/>
      <c r="AH46" s="169" t="s">
        <v>2071</v>
      </c>
      <c r="AI46" s="169"/>
      <c r="AJ46" s="160"/>
      <c r="AK46" s="160"/>
      <c r="AL46" s="170">
        <f t="shared" si="3"/>
        <v>38</v>
      </c>
      <c r="AM46" s="171">
        <v>2014.0</v>
      </c>
    </row>
    <row r="47">
      <c r="A47" s="158">
        <f t="shared" si="1"/>
        <v>16076753</v>
      </c>
      <c r="B47" s="160">
        <v>16.0</v>
      </c>
      <c r="C47" s="160"/>
      <c r="D47" s="160" t="s">
        <v>1642</v>
      </c>
      <c r="E47" s="160" t="s">
        <v>2213</v>
      </c>
      <c r="F47" s="159" t="s">
        <v>2034</v>
      </c>
      <c r="G47" s="160" t="s">
        <v>1625</v>
      </c>
      <c r="H47" s="172">
        <v>17.0</v>
      </c>
      <c r="I47" s="160"/>
      <c r="J47" s="160" t="s">
        <v>112</v>
      </c>
      <c r="K47" s="160" t="s">
        <v>125</v>
      </c>
      <c r="L47" s="160" t="s">
        <v>117</v>
      </c>
      <c r="M47" s="160">
        <v>1.0</v>
      </c>
      <c r="N47" s="160" t="s">
        <v>122</v>
      </c>
      <c r="O47" s="160"/>
      <c r="P47" s="160"/>
      <c r="Q47" s="160"/>
      <c r="R47" s="165" t="s">
        <v>115</v>
      </c>
      <c r="S47" s="173">
        <v>41708.0</v>
      </c>
      <c r="T47" s="165" t="s">
        <v>2214</v>
      </c>
      <c r="U47" s="165"/>
      <c r="V47" s="160" t="s">
        <v>2215</v>
      </c>
      <c r="W47" s="160"/>
      <c r="X47" s="160"/>
      <c r="Y47" s="160"/>
      <c r="Z47" s="160"/>
      <c r="AA47" s="167">
        <v>41647.0</v>
      </c>
      <c r="AB47" s="167">
        <v>41652.0</v>
      </c>
      <c r="AC47" s="160"/>
      <c r="AD47" s="160"/>
      <c r="AE47" s="160"/>
      <c r="AF47" s="165"/>
      <c r="AG47" s="160"/>
      <c r="AH47" s="169" t="s">
        <v>2071</v>
      </c>
      <c r="AI47" s="169"/>
      <c r="AJ47" s="160"/>
      <c r="AK47" s="160"/>
      <c r="AL47" s="170">
        <f t="shared" si="3"/>
        <v>41</v>
      </c>
      <c r="AM47" s="171">
        <v>2014.0</v>
      </c>
    </row>
    <row r="48">
      <c r="A48" s="158">
        <f t="shared" si="1"/>
        <v>12359929</v>
      </c>
      <c r="B48" s="160">
        <v>10.0</v>
      </c>
      <c r="C48" s="160"/>
      <c r="D48" s="160" t="s">
        <v>1940</v>
      </c>
      <c r="E48" s="160" t="s">
        <v>1940</v>
      </c>
      <c r="F48" s="159" t="s">
        <v>2216</v>
      </c>
      <c r="G48" s="160" t="s">
        <v>1808</v>
      </c>
      <c r="H48" s="172">
        <v>13.0</v>
      </c>
      <c r="I48" s="160"/>
      <c r="J48" s="160" t="s">
        <v>112</v>
      </c>
      <c r="K48" s="160" t="s">
        <v>120</v>
      </c>
      <c r="L48" s="160" t="s">
        <v>117</v>
      </c>
      <c r="M48" s="160">
        <v>2.0</v>
      </c>
      <c r="N48" s="160" t="s">
        <v>122</v>
      </c>
      <c r="O48" s="160">
        <v>13.0</v>
      </c>
      <c r="P48" s="160"/>
      <c r="Q48" s="160"/>
      <c r="R48" s="165" t="s">
        <v>121</v>
      </c>
      <c r="S48" s="173">
        <v>41704.0</v>
      </c>
      <c r="T48" s="165" t="s">
        <v>2217</v>
      </c>
      <c r="U48" s="165"/>
      <c r="V48" s="160" t="s">
        <v>2218</v>
      </c>
      <c r="W48" s="160"/>
      <c r="X48" s="160"/>
      <c r="Y48" s="160"/>
      <c r="Z48" s="160"/>
      <c r="AA48" s="167">
        <v>41649.0</v>
      </c>
      <c r="AB48" s="167">
        <v>41655.0</v>
      </c>
      <c r="AC48" s="160">
        <v>15.0</v>
      </c>
      <c r="AD48" s="160" t="s">
        <v>120</v>
      </c>
      <c r="AE48" s="160"/>
      <c r="AF48" s="165" t="s">
        <v>2219</v>
      </c>
      <c r="AG48" s="160"/>
      <c r="AH48" s="169" t="s">
        <v>2071</v>
      </c>
      <c r="AI48" s="169"/>
      <c r="AJ48" s="160"/>
      <c r="AK48" s="160" t="s">
        <v>1612</v>
      </c>
      <c r="AL48" s="170">
        <f t="shared" si="3"/>
        <v>36</v>
      </c>
      <c r="AM48" s="171">
        <v>2014.0</v>
      </c>
    </row>
    <row r="49">
      <c r="A49" s="158">
        <f t="shared" si="1"/>
        <v>16418228</v>
      </c>
      <c r="B49" s="160">
        <v>22.0</v>
      </c>
      <c r="C49" s="160"/>
      <c r="D49" s="160" t="s">
        <v>1602</v>
      </c>
      <c r="E49" s="160" t="s">
        <v>2220</v>
      </c>
      <c r="F49" s="159" t="s">
        <v>1970</v>
      </c>
      <c r="G49" s="160" t="s">
        <v>1638</v>
      </c>
      <c r="H49" s="172">
        <v>23.0</v>
      </c>
      <c r="I49" s="160"/>
      <c r="J49" s="160" t="s">
        <v>112</v>
      </c>
      <c r="K49" s="160" t="s">
        <v>127</v>
      </c>
      <c r="L49" s="160" t="s">
        <v>117</v>
      </c>
      <c r="M49" s="160">
        <v>0.0</v>
      </c>
      <c r="N49" s="160" t="s">
        <v>116</v>
      </c>
      <c r="O49" s="160">
        <v>6.0</v>
      </c>
      <c r="P49" s="160"/>
      <c r="Q49" s="160"/>
      <c r="R49" s="165" t="s">
        <v>115</v>
      </c>
      <c r="S49" s="173">
        <v>41722.0</v>
      </c>
      <c r="T49" s="165"/>
      <c r="U49" s="165" t="s">
        <v>2221</v>
      </c>
      <c r="V49" s="160" t="s">
        <v>2222</v>
      </c>
      <c r="W49" s="160"/>
      <c r="X49" s="160"/>
      <c r="Y49" s="160"/>
      <c r="Z49" s="160"/>
      <c r="AA49" s="167">
        <v>41652.0</v>
      </c>
      <c r="AB49" s="167">
        <v>41655.0</v>
      </c>
      <c r="AC49" s="160"/>
      <c r="AD49" s="160"/>
      <c r="AE49" s="160"/>
      <c r="AF49" s="165"/>
      <c r="AG49" s="160"/>
      <c r="AH49" s="169" t="s">
        <v>2071</v>
      </c>
      <c r="AI49" s="169"/>
      <c r="AJ49" s="160"/>
      <c r="AK49" s="160"/>
      <c r="AL49" s="170">
        <f t="shared" si="3"/>
        <v>48</v>
      </c>
      <c r="AM49" s="171">
        <v>2014.0</v>
      </c>
    </row>
    <row r="50">
      <c r="A50" s="158">
        <f t="shared" si="1"/>
        <v>12100640</v>
      </c>
      <c r="B50" s="160">
        <v>63.0</v>
      </c>
      <c r="C50" s="160"/>
      <c r="D50" s="160" t="s">
        <v>1892</v>
      </c>
      <c r="E50" s="160" t="s">
        <v>2160</v>
      </c>
      <c r="F50" s="159" t="s">
        <v>2094</v>
      </c>
      <c r="G50" s="160" t="s">
        <v>1799</v>
      </c>
      <c r="H50" s="172">
        <v>8.0</v>
      </c>
      <c r="I50" s="160"/>
      <c r="J50" s="160" t="s">
        <v>112</v>
      </c>
      <c r="K50" s="160" t="s">
        <v>114</v>
      </c>
      <c r="L50" s="160" t="s">
        <v>117</v>
      </c>
      <c r="M50" s="160">
        <v>2.0</v>
      </c>
      <c r="N50" s="160" t="s">
        <v>116</v>
      </c>
      <c r="O50" s="160">
        <v>37.0</v>
      </c>
      <c r="P50" s="160">
        <v>4.0</v>
      </c>
      <c r="Q50" s="160">
        <v>1.0</v>
      </c>
      <c r="R50" s="165" t="s">
        <v>121</v>
      </c>
      <c r="S50" s="173">
        <v>41757.0</v>
      </c>
      <c r="T50" s="165"/>
      <c r="U50" s="165" t="s">
        <v>2223</v>
      </c>
      <c r="V50" s="160" t="s">
        <v>2224</v>
      </c>
      <c r="W50" s="160"/>
      <c r="X50" s="160"/>
      <c r="Y50" s="160"/>
      <c r="Z50" s="160"/>
      <c r="AA50" s="167">
        <v>41648.0</v>
      </c>
      <c r="AB50" s="167">
        <v>41655.0</v>
      </c>
      <c r="AC50" s="160"/>
      <c r="AD50" s="160"/>
      <c r="AE50" s="160"/>
      <c r="AF50" s="165"/>
      <c r="AG50" s="160"/>
      <c r="AH50" s="169" t="s">
        <v>2071</v>
      </c>
      <c r="AI50" s="169"/>
      <c r="AJ50" s="160"/>
      <c r="AK50" s="160" t="s">
        <v>2163</v>
      </c>
      <c r="AL50" s="170">
        <f t="shared" si="3"/>
        <v>73</v>
      </c>
      <c r="AM50" s="171">
        <v>2014.0</v>
      </c>
    </row>
    <row r="51">
      <c r="A51" s="158">
        <f t="shared" si="1"/>
        <v>18698458</v>
      </c>
      <c r="B51" s="160">
        <v>109.0</v>
      </c>
      <c r="C51" s="160"/>
      <c r="D51" s="160" t="s">
        <v>1627</v>
      </c>
      <c r="E51" s="160" t="s">
        <v>1831</v>
      </c>
      <c r="F51" s="159" t="s">
        <v>1968</v>
      </c>
      <c r="G51" s="160" t="s">
        <v>1816</v>
      </c>
      <c r="H51" s="172">
        <v>20.0</v>
      </c>
      <c r="I51" s="160"/>
      <c r="J51" s="160" t="s">
        <v>112</v>
      </c>
      <c r="K51" s="160" t="s">
        <v>120</v>
      </c>
      <c r="L51" s="160" t="s">
        <v>117</v>
      </c>
      <c r="M51" s="160">
        <v>2.0</v>
      </c>
      <c r="N51" s="160" t="s">
        <v>116</v>
      </c>
      <c r="O51" s="160">
        <v>13.0</v>
      </c>
      <c r="P51" s="160">
        <v>2.0</v>
      </c>
      <c r="Q51" s="160">
        <v>1.0</v>
      </c>
      <c r="R51" s="165" t="s">
        <v>121</v>
      </c>
      <c r="S51" s="173">
        <v>41711.0</v>
      </c>
      <c r="T51" s="165"/>
      <c r="U51" s="165" t="s">
        <v>2225</v>
      </c>
      <c r="V51" s="160" t="s">
        <v>2226</v>
      </c>
      <c r="W51" s="160" t="s">
        <v>123</v>
      </c>
      <c r="X51" s="160"/>
      <c r="Y51" s="160"/>
      <c r="Z51" s="160"/>
      <c r="AA51" s="167">
        <v>41659.0</v>
      </c>
      <c r="AB51" s="167">
        <v>41662.0</v>
      </c>
      <c r="AC51" s="160"/>
      <c r="AD51" s="160"/>
      <c r="AE51" s="160"/>
      <c r="AF51" s="165"/>
      <c r="AG51" s="160"/>
      <c r="AH51" s="169" t="s">
        <v>2071</v>
      </c>
      <c r="AI51" s="169"/>
      <c r="AJ51" s="160"/>
      <c r="AK51" s="160" t="s">
        <v>2157</v>
      </c>
      <c r="AL51" s="170">
        <f t="shared" si="3"/>
        <v>36</v>
      </c>
      <c r="AM51" s="171">
        <v>2014.0</v>
      </c>
    </row>
    <row r="52">
      <c r="A52" s="158">
        <f t="shared" si="1"/>
        <v>17391370</v>
      </c>
      <c r="B52" s="160">
        <v>53.0</v>
      </c>
      <c r="C52" s="160"/>
      <c r="D52" s="160" t="s">
        <v>1940</v>
      </c>
      <c r="E52" s="160" t="s">
        <v>2204</v>
      </c>
      <c r="F52" s="159" t="s">
        <v>1954</v>
      </c>
      <c r="G52" s="160" t="s">
        <v>1591</v>
      </c>
      <c r="H52" s="172">
        <v>20.0</v>
      </c>
      <c r="I52" s="160"/>
      <c r="J52" s="160" t="s">
        <v>112</v>
      </c>
      <c r="K52" s="160" t="s">
        <v>120</v>
      </c>
      <c r="L52" s="160" t="s">
        <v>117</v>
      </c>
      <c r="M52" s="160">
        <v>0.0</v>
      </c>
      <c r="N52" s="160" t="s">
        <v>116</v>
      </c>
      <c r="O52" s="160">
        <v>11.0</v>
      </c>
      <c r="P52" s="160"/>
      <c r="Q52" s="160"/>
      <c r="R52" s="165" t="s">
        <v>121</v>
      </c>
      <c r="S52" s="173">
        <v>41841.0</v>
      </c>
      <c r="T52" s="165"/>
      <c r="U52" s="165" t="s">
        <v>2227</v>
      </c>
      <c r="V52" s="160" t="s">
        <v>2228</v>
      </c>
      <c r="W52" s="160"/>
      <c r="X52" s="160"/>
      <c r="Y52" s="160"/>
      <c r="Z52" s="160"/>
      <c r="AA52" s="167">
        <v>41658.0</v>
      </c>
      <c r="AB52" s="167">
        <v>41665.0</v>
      </c>
      <c r="AC52" s="160"/>
      <c r="AD52" s="160"/>
      <c r="AE52" s="160"/>
      <c r="AF52" s="165"/>
      <c r="AG52" s="160"/>
      <c r="AH52" s="169" t="s">
        <v>2071</v>
      </c>
      <c r="AI52" s="169"/>
      <c r="AJ52" s="160"/>
      <c r="AK52" s="160" t="s">
        <v>1612</v>
      </c>
      <c r="AL52" s="170">
        <f t="shared" si="3"/>
        <v>126</v>
      </c>
      <c r="AM52" s="171">
        <v>2014.0</v>
      </c>
    </row>
    <row r="53">
      <c r="A53" s="158">
        <f t="shared" si="1"/>
        <v>13292352</v>
      </c>
      <c r="B53" s="160">
        <v>24.0</v>
      </c>
      <c r="C53" s="160"/>
      <c r="D53" s="160" t="s">
        <v>1627</v>
      </c>
      <c r="E53" s="160" t="s">
        <v>2229</v>
      </c>
      <c r="F53" s="159" t="s">
        <v>2230</v>
      </c>
      <c r="G53" s="160" t="s">
        <v>2231</v>
      </c>
      <c r="H53" s="172">
        <v>10.0</v>
      </c>
      <c r="I53" s="160"/>
      <c r="J53" s="160" t="s">
        <v>112</v>
      </c>
      <c r="K53" s="160" t="s">
        <v>114</v>
      </c>
      <c r="L53" s="160" t="s">
        <v>117</v>
      </c>
      <c r="M53" s="160">
        <v>9.0</v>
      </c>
      <c r="N53" s="160" t="s">
        <v>116</v>
      </c>
      <c r="O53" s="160">
        <v>42.0</v>
      </c>
      <c r="P53" s="160"/>
      <c r="Q53" s="160"/>
      <c r="R53" s="165" t="s">
        <v>115</v>
      </c>
      <c r="S53" s="173">
        <v>41738.0</v>
      </c>
      <c r="T53" s="165"/>
      <c r="U53" s="165" t="s">
        <v>2232</v>
      </c>
      <c r="V53" s="160" t="s">
        <v>2233</v>
      </c>
      <c r="W53" s="160"/>
      <c r="X53" s="160"/>
      <c r="Y53" s="160"/>
      <c r="Z53" s="160"/>
      <c r="AA53" s="167">
        <v>41703.0</v>
      </c>
      <c r="AB53" s="167">
        <v>41710.0</v>
      </c>
      <c r="AC53" s="160"/>
      <c r="AD53" s="160"/>
      <c r="AE53" s="160"/>
      <c r="AF53" s="165"/>
      <c r="AG53" s="160"/>
      <c r="AH53" s="169" t="s">
        <v>2071</v>
      </c>
      <c r="AI53" s="169"/>
      <c r="AJ53" s="160"/>
      <c r="AK53" s="160" t="s">
        <v>2163</v>
      </c>
      <c r="AL53" s="170">
        <f t="shared" si="3"/>
        <v>21</v>
      </c>
      <c r="AM53" s="171">
        <v>2014.0</v>
      </c>
    </row>
    <row r="54">
      <c r="A54" s="158">
        <f t="shared" si="1"/>
        <v>16006926</v>
      </c>
      <c r="B54" s="160">
        <v>25.0</v>
      </c>
      <c r="C54" s="160"/>
      <c r="D54" s="160" t="s">
        <v>1627</v>
      </c>
      <c r="E54" s="160" t="s">
        <v>2229</v>
      </c>
      <c r="F54" s="159" t="s">
        <v>2230</v>
      </c>
      <c r="G54" s="160" t="s">
        <v>2231</v>
      </c>
      <c r="H54" s="172">
        <v>10.0</v>
      </c>
      <c r="I54" s="160"/>
      <c r="J54" s="160" t="s">
        <v>112</v>
      </c>
      <c r="K54" s="160" t="s">
        <v>114</v>
      </c>
      <c r="L54" s="160" t="s">
        <v>117</v>
      </c>
      <c r="M54" s="160">
        <v>9.0</v>
      </c>
      <c r="N54" s="160" t="s">
        <v>116</v>
      </c>
      <c r="O54" s="160">
        <v>42.0</v>
      </c>
      <c r="P54" s="160"/>
      <c r="Q54" s="160"/>
      <c r="R54" s="165" t="s">
        <v>115</v>
      </c>
      <c r="S54" s="173">
        <v>41738.0</v>
      </c>
      <c r="T54" s="165"/>
      <c r="U54" s="165" t="s">
        <v>2234</v>
      </c>
      <c r="V54" s="160" t="s">
        <v>2235</v>
      </c>
      <c r="W54" s="160"/>
      <c r="X54" s="160"/>
      <c r="Y54" s="160"/>
      <c r="Z54" s="160"/>
      <c r="AA54" s="167">
        <v>41703.0</v>
      </c>
      <c r="AB54" s="167">
        <v>41710.0</v>
      </c>
      <c r="AC54" s="160"/>
      <c r="AD54" s="160"/>
      <c r="AE54" s="160"/>
      <c r="AF54" s="165"/>
      <c r="AG54" s="160"/>
      <c r="AH54" s="169" t="s">
        <v>2071</v>
      </c>
      <c r="AI54" s="169"/>
      <c r="AJ54" s="160"/>
      <c r="AK54" s="160" t="s">
        <v>2163</v>
      </c>
      <c r="AL54" s="170">
        <f t="shared" si="3"/>
        <v>21</v>
      </c>
      <c r="AM54" s="171">
        <v>2014.0</v>
      </c>
    </row>
    <row r="55">
      <c r="A55" s="158">
        <f t="shared" si="1"/>
        <v>13656668</v>
      </c>
      <c r="B55" s="160">
        <v>46.0</v>
      </c>
      <c r="C55" s="160"/>
      <c r="D55" s="160" t="s">
        <v>1740</v>
      </c>
      <c r="E55" s="160" t="s">
        <v>2236</v>
      </c>
      <c r="F55" s="159" t="s">
        <v>1947</v>
      </c>
      <c r="G55" s="160" t="s">
        <v>1687</v>
      </c>
      <c r="H55" s="172">
        <v>24.0</v>
      </c>
      <c r="I55" s="160"/>
      <c r="J55" s="160" t="s">
        <v>112</v>
      </c>
      <c r="K55" s="160" t="s">
        <v>127</v>
      </c>
      <c r="L55" s="160" t="s">
        <v>117</v>
      </c>
      <c r="M55" s="160">
        <v>0.0</v>
      </c>
      <c r="N55" s="160" t="s">
        <v>116</v>
      </c>
      <c r="O55" s="160">
        <v>12.0</v>
      </c>
      <c r="P55" s="160"/>
      <c r="Q55" s="160"/>
      <c r="R55" s="165" t="s">
        <v>121</v>
      </c>
      <c r="S55" s="173">
        <v>41750.0</v>
      </c>
      <c r="T55" s="165"/>
      <c r="U55" s="165" t="s">
        <v>2237</v>
      </c>
      <c r="V55" s="160" t="s">
        <v>2238</v>
      </c>
      <c r="W55" s="160"/>
      <c r="X55" s="160"/>
      <c r="Y55" s="160"/>
      <c r="Z55" s="160"/>
      <c r="AA55" s="167">
        <v>41703.0</v>
      </c>
      <c r="AB55" s="167">
        <v>41710.0</v>
      </c>
      <c r="AC55" s="160"/>
      <c r="AD55" s="160"/>
      <c r="AE55" s="160"/>
      <c r="AF55" s="165"/>
      <c r="AG55" s="160"/>
      <c r="AH55" s="169" t="s">
        <v>2071</v>
      </c>
      <c r="AI55" s="169"/>
      <c r="AJ55" s="160"/>
      <c r="AK55" s="160" t="s">
        <v>2157</v>
      </c>
      <c r="AL55" s="170">
        <f t="shared" si="3"/>
        <v>29</v>
      </c>
      <c r="AM55" s="171">
        <v>2014.0</v>
      </c>
    </row>
    <row r="56">
      <c r="A56" s="158">
        <f t="shared" si="1"/>
        <v>13437512</v>
      </c>
      <c r="B56" s="160">
        <v>20.0</v>
      </c>
      <c r="C56" s="160"/>
      <c r="D56" s="160" t="s">
        <v>1892</v>
      </c>
      <c r="E56" s="160" t="s">
        <v>1979</v>
      </c>
      <c r="F56" s="159" t="s">
        <v>1925</v>
      </c>
      <c r="G56" s="160" t="s">
        <v>2239</v>
      </c>
      <c r="H56" s="172">
        <v>12.0</v>
      </c>
      <c r="I56" s="160"/>
      <c r="J56" s="160" t="s">
        <v>112</v>
      </c>
      <c r="K56" s="160" t="s">
        <v>120</v>
      </c>
      <c r="L56" s="160" t="s">
        <v>117</v>
      </c>
      <c r="M56" s="160">
        <v>5.0</v>
      </c>
      <c r="N56" s="160" t="s">
        <v>122</v>
      </c>
      <c r="O56" s="160"/>
      <c r="P56" s="160"/>
      <c r="Q56" s="160"/>
      <c r="R56" s="165" t="s">
        <v>121</v>
      </c>
      <c r="S56" s="173">
        <v>41737.0</v>
      </c>
      <c r="T56" s="165" t="s">
        <v>2240</v>
      </c>
      <c r="U56" s="165"/>
      <c r="V56" s="160" t="s">
        <v>2241</v>
      </c>
      <c r="W56" s="160"/>
      <c r="X56" s="160"/>
      <c r="Y56" s="160"/>
      <c r="Z56" s="160"/>
      <c r="AA56" s="167">
        <v>41704.0</v>
      </c>
      <c r="AB56" s="167">
        <v>41711.0</v>
      </c>
      <c r="AC56" s="160">
        <v>15.0</v>
      </c>
      <c r="AD56" s="160" t="s">
        <v>120</v>
      </c>
      <c r="AE56" s="160"/>
      <c r="AF56" s="165" t="s">
        <v>2160</v>
      </c>
      <c r="AG56" s="160"/>
      <c r="AH56" s="169" t="s">
        <v>2071</v>
      </c>
      <c r="AI56" s="169"/>
      <c r="AJ56" s="160"/>
      <c r="AK56" s="160" t="s">
        <v>2157</v>
      </c>
      <c r="AL56" s="170">
        <f t="shared" si="3"/>
        <v>19</v>
      </c>
      <c r="AM56" s="171">
        <v>2014.0</v>
      </c>
    </row>
    <row r="57">
      <c r="A57" s="158">
        <f t="shared" si="1"/>
        <v>8815409</v>
      </c>
      <c r="B57" s="160">
        <v>36.0</v>
      </c>
      <c r="C57" s="160"/>
      <c r="D57" s="160" t="s">
        <v>1627</v>
      </c>
      <c r="E57" s="160" t="s">
        <v>1834</v>
      </c>
      <c r="F57" s="159" t="s">
        <v>2094</v>
      </c>
      <c r="G57" s="160" t="s">
        <v>2095</v>
      </c>
      <c r="H57" s="172">
        <v>10.0</v>
      </c>
      <c r="I57" s="160"/>
      <c r="J57" s="160" t="s">
        <v>112</v>
      </c>
      <c r="K57" s="160" t="s">
        <v>114</v>
      </c>
      <c r="L57" s="160" t="s">
        <v>117</v>
      </c>
      <c r="M57" s="160">
        <v>0.0</v>
      </c>
      <c r="N57" s="160" t="s">
        <v>116</v>
      </c>
      <c r="O57" s="160">
        <v>6.0</v>
      </c>
      <c r="P57" s="160"/>
      <c r="Q57" s="160"/>
      <c r="R57" s="165" t="s">
        <v>115</v>
      </c>
      <c r="S57" s="173">
        <v>41730.0</v>
      </c>
      <c r="T57" s="165"/>
      <c r="U57" s="165" t="s">
        <v>2242</v>
      </c>
      <c r="V57" s="160" t="s">
        <v>2243</v>
      </c>
      <c r="W57" s="160"/>
      <c r="X57" s="160"/>
      <c r="Y57" s="160"/>
      <c r="Z57" s="160"/>
      <c r="AA57" s="167">
        <v>41704.0</v>
      </c>
      <c r="AB57" s="167">
        <v>41711.0</v>
      </c>
      <c r="AC57" s="160"/>
      <c r="AD57" s="160"/>
      <c r="AE57" s="160"/>
      <c r="AF57" s="165"/>
      <c r="AG57" s="160"/>
      <c r="AH57" s="169" t="s">
        <v>2071</v>
      </c>
      <c r="AI57" s="169"/>
      <c r="AJ57" s="160"/>
      <c r="AK57" s="160" t="s">
        <v>1612</v>
      </c>
      <c r="AL57" s="170">
        <f t="shared" si="3"/>
        <v>14</v>
      </c>
      <c r="AM57" s="171">
        <v>2014.0</v>
      </c>
    </row>
    <row r="58">
      <c r="A58" s="158">
        <f t="shared" si="1"/>
        <v>14160744</v>
      </c>
      <c r="B58" s="160">
        <v>31.0</v>
      </c>
      <c r="C58" s="160"/>
      <c r="D58" s="160" t="s">
        <v>1602</v>
      </c>
      <c r="E58" s="160" t="s">
        <v>2049</v>
      </c>
      <c r="F58" s="159" t="s">
        <v>1910</v>
      </c>
      <c r="G58" s="160" t="s">
        <v>2244</v>
      </c>
      <c r="H58" s="172">
        <v>17.0</v>
      </c>
      <c r="I58" s="160"/>
      <c r="J58" s="160" t="s">
        <v>112</v>
      </c>
      <c r="K58" s="160" t="s">
        <v>120</v>
      </c>
      <c r="L58" s="160" t="s">
        <v>117</v>
      </c>
      <c r="M58" s="160">
        <v>1.0</v>
      </c>
      <c r="N58" s="160" t="s">
        <v>116</v>
      </c>
      <c r="O58" s="160">
        <v>8.0</v>
      </c>
      <c r="P58" s="160"/>
      <c r="Q58" s="160"/>
      <c r="R58" s="165" t="s">
        <v>121</v>
      </c>
      <c r="S58" s="173">
        <v>41744.0</v>
      </c>
      <c r="T58" s="165"/>
      <c r="U58" s="165" t="s">
        <v>2245</v>
      </c>
      <c r="V58" s="160" t="s">
        <v>2246</v>
      </c>
      <c r="W58" s="160"/>
      <c r="X58" s="160"/>
      <c r="Y58" s="160"/>
      <c r="Z58" s="160"/>
      <c r="AA58" s="167">
        <v>41705.0</v>
      </c>
      <c r="AB58" s="167">
        <v>41712.0</v>
      </c>
      <c r="AC58" s="160"/>
      <c r="AD58" s="160"/>
      <c r="AE58" s="160"/>
      <c r="AF58" s="165"/>
      <c r="AG58" s="160"/>
      <c r="AH58" s="169" t="s">
        <v>2071</v>
      </c>
      <c r="AI58" s="169"/>
      <c r="AJ58" s="160"/>
      <c r="AK58" s="160"/>
      <c r="AL58" s="170">
        <f t="shared" si="3"/>
        <v>23</v>
      </c>
      <c r="AM58" s="171">
        <v>2014.0</v>
      </c>
    </row>
    <row r="59">
      <c r="A59" s="158">
        <f t="shared" si="1"/>
        <v>11193867</v>
      </c>
      <c r="B59" s="160">
        <v>39.0</v>
      </c>
      <c r="C59" s="160"/>
      <c r="D59" s="160" t="s">
        <v>1940</v>
      </c>
      <c r="E59" s="160" t="s">
        <v>2015</v>
      </c>
      <c r="F59" s="159" t="s">
        <v>2247</v>
      </c>
      <c r="G59" s="160" t="s">
        <v>2248</v>
      </c>
      <c r="H59" s="172">
        <v>17.0</v>
      </c>
      <c r="I59" s="160"/>
      <c r="J59" s="160" t="s">
        <v>112</v>
      </c>
      <c r="K59" s="160" t="s">
        <v>125</v>
      </c>
      <c r="L59" s="160" t="s">
        <v>117</v>
      </c>
      <c r="M59" s="182"/>
      <c r="N59" s="160" t="s">
        <v>116</v>
      </c>
      <c r="O59" s="160">
        <v>13.0</v>
      </c>
      <c r="P59" s="160"/>
      <c r="Q59" s="160"/>
      <c r="R59" s="165" t="s">
        <v>121</v>
      </c>
      <c r="S59" s="173">
        <v>41792.0</v>
      </c>
      <c r="T59" s="165"/>
      <c r="U59" s="165" t="s">
        <v>2249</v>
      </c>
      <c r="V59" s="160" t="s">
        <v>2250</v>
      </c>
      <c r="W59" s="160"/>
      <c r="X59" s="160"/>
      <c r="Y59" s="160"/>
      <c r="Z59" s="160"/>
      <c r="AA59" s="167">
        <v>41705.0</v>
      </c>
      <c r="AB59" s="167">
        <v>41712.0</v>
      </c>
      <c r="AC59" s="160"/>
      <c r="AD59" s="160"/>
      <c r="AE59" s="160"/>
      <c r="AF59" s="165"/>
      <c r="AG59" s="160"/>
      <c r="AH59" s="169" t="s">
        <v>2071</v>
      </c>
      <c r="AI59" s="169"/>
      <c r="AJ59" s="160"/>
      <c r="AK59" s="160" t="s">
        <v>2163</v>
      </c>
      <c r="AL59" s="170">
        <f t="shared" si="3"/>
        <v>57</v>
      </c>
      <c r="AM59" s="171">
        <v>2014.0</v>
      </c>
    </row>
    <row r="60">
      <c r="A60" s="158">
        <f t="shared" si="1"/>
        <v>15415839</v>
      </c>
      <c r="B60" s="160">
        <v>30.0</v>
      </c>
      <c r="C60" s="160"/>
      <c r="D60" s="160" t="s">
        <v>1642</v>
      </c>
      <c r="E60" s="160" t="s">
        <v>1975</v>
      </c>
      <c r="F60" s="159" t="s">
        <v>2045</v>
      </c>
      <c r="G60" s="160" t="s">
        <v>2046</v>
      </c>
      <c r="H60" s="172">
        <v>21.0</v>
      </c>
      <c r="I60" s="160"/>
      <c r="J60" s="160" t="s">
        <v>112</v>
      </c>
      <c r="K60" s="160" t="s">
        <v>127</v>
      </c>
      <c r="L60" s="160" t="s">
        <v>117</v>
      </c>
      <c r="M60" s="160">
        <v>0.0</v>
      </c>
      <c r="N60" s="160" t="s">
        <v>116</v>
      </c>
      <c r="O60" s="160">
        <v>3.0</v>
      </c>
      <c r="P60" s="160"/>
      <c r="Q60" s="160"/>
      <c r="R60" s="165" t="s">
        <v>121</v>
      </c>
      <c r="S60" s="173">
        <v>41764.0</v>
      </c>
      <c r="T60" s="165"/>
      <c r="U60" s="165" t="s">
        <v>2251</v>
      </c>
      <c r="V60" s="160" t="s">
        <v>2252</v>
      </c>
      <c r="W60" s="160"/>
      <c r="X60" s="160"/>
      <c r="Y60" s="160"/>
      <c r="Z60" s="160"/>
      <c r="AA60" s="167">
        <v>41708.0</v>
      </c>
      <c r="AB60" s="167">
        <v>41715.0</v>
      </c>
      <c r="AC60" s="160"/>
      <c r="AD60" s="160"/>
      <c r="AE60" s="160"/>
      <c r="AF60" s="165"/>
      <c r="AG60" s="160"/>
      <c r="AH60" s="169" t="s">
        <v>2071</v>
      </c>
      <c r="AI60" s="169"/>
      <c r="AJ60" s="160"/>
      <c r="AK60" s="160" t="s">
        <v>1612</v>
      </c>
      <c r="AL60" s="170">
        <f t="shared" si="3"/>
        <v>36</v>
      </c>
      <c r="AM60" s="171">
        <v>2014.0</v>
      </c>
    </row>
    <row r="61">
      <c r="A61" s="158">
        <f t="shared" si="1"/>
        <v>16252531</v>
      </c>
      <c r="B61" s="160">
        <v>29.0</v>
      </c>
      <c r="C61" s="160"/>
      <c r="D61" s="160" t="s">
        <v>1642</v>
      </c>
      <c r="E61" s="160" t="s">
        <v>1975</v>
      </c>
      <c r="F61" s="159" t="s">
        <v>2253</v>
      </c>
      <c r="G61" s="160" t="s">
        <v>1821</v>
      </c>
      <c r="H61" s="172">
        <v>18.0</v>
      </c>
      <c r="I61" s="160"/>
      <c r="J61" s="160" t="s">
        <v>112</v>
      </c>
      <c r="K61" s="160" t="s">
        <v>125</v>
      </c>
      <c r="L61" s="160" t="s">
        <v>117</v>
      </c>
      <c r="M61" s="160">
        <v>4.0</v>
      </c>
      <c r="N61" s="160" t="s">
        <v>116</v>
      </c>
      <c r="O61" s="160"/>
      <c r="P61" s="160"/>
      <c r="Q61" s="160"/>
      <c r="R61" s="165" t="s">
        <v>121</v>
      </c>
      <c r="S61" s="173">
        <v>41764.0</v>
      </c>
      <c r="T61" s="165"/>
      <c r="U61" s="165" t="s">
        <v>2254</v>
      </c>
      <c r="V61" s="160" t="s">
        <v>2255</v>
      </c>
      <c r="W61" s="160"/>
      <c r="X61" s="160"/>
      <c r="Y61" s="160"/>
      <c r="Z61" s="160"/>
      <c r="AA61" s="167">
        <v>41710.0</v>
      </c>
      <c r="AB61" s="167">
        <v>41717.0</v>
      </c>
      <c r="AC61" s="160"/>
      <c r="AD61" s="160"/>
      <c r="AE61" s="160"/>
      <c r="AF61" s="165"/>
      <c r="AG61" s="160"/>
      <c r="AH61" s="169" t="s">
        <v>2071</v>
      </c>
      <c r="AI61" s="169" t="s">
        <v>2256</v>
      </c>
      <c r="AJ61" s="160"/>
      <c r="AK61" s="160" t="s">
        <v>2157</v>
      </c>
      <c r="AL61" s="170">
        <f t="shared" si="3"/>
        <v>34</v>
      </c>
      <c r="AM61" s="171">
        <v>2014.0</v>
      </c>
    </row>
    <row r="62">
      <c r="A62" s="158">
        <f t="shared" si="1"/>
        <v>17315900</v>
      </c>
      <c r="B62" s="160">
        <v>37.0</v>
      </c>
      <c r="C62" s="160"/>
      <c r="D62" s="160" t="s">
        <v>1699</v>
      </c>
      <c r="E62" s="160" t="s">
        <v>1699</v>
      </c>
      <c r="F62" s="183"/>
      <c r="G62" s="160" t="s">
        <v>2257</v>
      </c>
      <c r="H62" s="172">
        <v>12.0</v>
      </c>
      <c r="I62" s="160"/>
      <c r="J62" s="160" t="s">
        <v>112</v>
      </c>
      <c r="K62" s="160" t="s">
        <v>114</v>
      </c>
      <c r="L62" s="160" t="s">
        <v>117</v>
      </c>
      <c r="M62" s="160">
        <v>0.0</v>
      </c>
      <c r="N62" s="160" t="s">
        <v>116</v>
      </c>
      <c r="O62" s="160">
        <v>7.0</v>
      </c>
      <c r="P62" s="160"/>
      <c r="Q62" s="160"/>
      <c r="R62" s="165" t="s">
        <v>115</v>
      </c>
      <c r="S62" s="173">
        <v>41771.0</v>
      </c>
      <c r="T62" s="165"/>
      <c r="U62" s="165" t="s">
        <v>2258</v>
      </c>
      <c r="V62" s="160" t="s">
        <v>2259</v>
      </c>
      <c r="W62" s="160"/>
      <c r="X62" s="160"/>
      <c r="Y62" s="160"/>
      <c r="Z62" s="160"/>
      <c r="AA62" s="167">
        <v>41710.0</v>
      </c>
      <c r="AB62" s="167">
        <v>41717.0</v>
      </c>
      <c r="AC62" s="160"/>
      <c r="AD62" s="160"/>
      <c r="AE62" s="160"/>
      <c r="AF62" s="165"/>
      <c r="AG62" s="160"/>
      <c r="AH62" s="169" t="s">
        <v>2071</v>
      </c>
      <c r="AI62" s="169"/>
      <c r="AJ62" s="160"/>
      <c r="AK62" s="160" t="s">
        <v>2163</v>
      </c>
      <c r="AL62" s="170">
        <f t="shared" si="3"/>
        <v>39</v>
      </c>
      <c r="AM62" s="171">
        <v>2014.0</v>
      </c>
    </row>
    <row r="63">
      <c r="A63" s="158">
        <f t="shared" si="1"/>
        <v>15450488</v>
      </c>
      <c r="B63" s="160">
        <v>27.0</v>
      </c>
      <c r="C63" s="160"/>
      <c r="D63" s="160" t="s">
        <v>1594</v>
      </c>
      <c r="E63" s="160" t="s">
        <v>2260</v>
      </c>
      <c r="F63" s="159" t="s">
        <v>1897</v>
      </c>
      <c r="G63" s="160" t="s">
        <v>1898</v>
      </c>
      <c r="H63" s="172">
        <v>17.0</v>
      </c>
      <c r="I63" s="160"/>
      <c r="J63" s="160" t="s">
        <v>112</v>
      </c>
      <c r="K63" s="160" t="s">
        <v>120</v>
      </c>
      <c r="L63" s="160" t="s">
        <v>117</v>
      </c>
      <c r="M63" s="160">
        <v>0.0</v>
      </c>
      <c r="N63" s="160" t="s">
        <v>116</v>
      </c>
      <c r="O63" s="160">
        <v>4.0</v>
      </c>
      <c r="P63" s="160"/>
      <c r="Q63" s="160"/>
      <c r="R63" s="165" t="s">
        <v>115</v>
      </c>
      <c r="S63" s="173">
        <v>41771.0</v>
      </c>
      <c r="T63" s="165"/>
      <c r="U63" s="165" t="s">
        <v>2261</v>
      </c>
      <c r="V63" s="160" t="s">
        <v>2262</v>
      </c>
      <c r="W63" s="160"/>
      <c r="X63" s="160"/>
      <c r="Y63" s="160"/>
      <c r="Z63" s="160"/>
      <c r="AA63" s="167">
        <v>41716.0</v>
      </c>
      <c r="AB63" s="167">
        <v>41723.0</v>
      </c>
      <c r="AC63" s="160"/>
      <c r="AD63" s="160"/>
      <c r="AE63" s="160"/>
      <c r="AF63" s="165"/>
      <c r="AG63" s="160"/>
      <c r="AH63" s="169" t="s">
        <v>2071</v>
      </c>
      <c r="AI63" s="169"/>
      <c r="AJ63" s="160"/>
      <c r="AK63" s="160"/>
      <c r="AL63" s="170">
        <f t="shared" si="3"/>
        <v>35</v>
      </c>
      <c r="AM63" s="171">
        <v>2014.0</v>
      </c>
    </row>
    <row r="64">
      <c r="A64" s="158">
        <f t="shared" si="1"/>
        <v>13756635</v>
      </c>
      <c r="B64" s="160">
        <v>34.0</v>
      </c>
      <c r="C64" s="160"/>
      <c r="D64" s="160" t="s">
        <v>1594</v>
      </c>
      <c r="E64" s="160" t="s">
        <v>1594</v>
      </c>
      <c r="F64" s="159" t="s">
        <v>1968</v>
      </c>
      <c r="G64" s="160" t="s">
        <v>1816</v>
      </c>
      <c r="H64" s="172">
        <v>20.0</v>
      </c>
      <c r="I64" s="160"/>
      <c r="J64" s="160" t="s">
        <v>112</v>
      </c>
      <c r="K64" s="160" t="s">
        <v>120</v>
      </c>
      <c r="L64" s="160" t="s">
        <v>117</v>
      </c>
      <c r="M64" s="182"/>
      <c r="N64" s="160" t="s">
        <v>116</v>
      </c>
      <c r="O64" s="160">
        <v>7.0</v>
      </c>
      <c r="P64" s="160"/>
      <c r="Q64" s="160"/>
      <c r="R64" s="165" t="s">
        <v>115</v>
      </c>
      <c r="S64" s="173">
        <v>41781.0</v>
      </c>
      <c r="T64" s="165"/>
      <c r="U64" s="165" t="s">
        <v>2263</v>
      </c>
      <c r="V64" s="160" t="s">
        <v>2264</v>
      </c>
      <c r="W64" s="160"/>
      <c r="X64" s="160"/>
      <c r="Y64" s="160"/>
      <c r="Z64" s="160"/>
      <c r="AA64" s="167">
        <v>41716.0</v>
      </c>
      <c r="AB64" s="167">
        <v>41723.0</v>
      </c>
      <c r="AC64" s="160"/>
      <c r="AD64" s="160"/>
      <c r="AE64" s="160"/>
      <c r="AF64" s="165"/>
      <c r="AG64" s="160"/>
      <c r="AH64" s="169" t="s">
        <v>2071</v>
      </c>
      <c r="AI64" s="169"/>
      <c r="AJ64" s="160"/>
      <c r="AK64" s="160" t="s">
        <v>2163</v>
      </c>
      <c r="AL64" s="170">
        <f t="shared" si="3"/>
        <v>43</v>
      </c>
      <c r="AM64" s="171">
        <v>2014.0</v>
      </c>
    </row>
    <row r="65">
      <c r="A65" s="158">
        <f t="shared" si="1"/>
        <v>13062616</v>
      </c>
      <c r="B65" s="160">
        <v>44.0</v>
      </c>
      <c r="C65" s="160"/>
      <c r="D65" s="160" t="s">
        <v>1594</v>
      </c>
      <c r="E65" s="160" t="s">
        <v>2265</v>
      </c>
      <c r="F65" s="159" t="s">
        <v>1897</v>
      </c>
      <c r="G65" s="160" t="s">
        <v>1898</v>
      </c>
      <c r="H65" s="172">
        <v>17.0</v>
      </c>
      <c r="I65" s="160"/>
      <c r="J65" s="160" t="s">
        <v>112</v>
      </c>
      <c r="K65" s="160" t="s">
        <v>120</v>
      </c>
      <c r="L65" s="160" t="s">
        <v>117</v>
      </c>
      <c r="M65" s="160">
        <v>0.0</v>
      </c>
      <c r="N65" s="160" t="s">
        <v>116</v>
      </c>
      <c r="O65" s="160">
        <v>3.0</v>
      </c>
      <c r="P65" s="160"/>
      <c r="Q65" s="160"/>
      <c r="R65" s="165" t="s">
        <v>121</v>
      </c>
      <c r="S65" s="173">
        <v>41806.0</v>
      </c>
      <c r="T65" s="165"/>
      <c r="U65" s="165" t="s">
        <v>2266</v>
      </c>
      <c r="V65" s="160" t="s">
        <v>2267</v>
      </c>
      <c r="W65" s="160"/>
      <c r="X65" s="160"/>
      <c r="Y65" s="160"/>
      <c r="Z65" s="160"/>
      <c r="AA65" s="167">
        <v>41716.0</v>
      </c>
      <c r="AB65" s="167">
        <v>41723.0</v>
      </c>
      <c r="AC65" s="160"/>
      <c r="AD65" s="160"/>
      <c r="AE65" s="160"/>
      <c r="AF65" s="165"/>
      <c r="AG65" s="160"/>
      <c r="AH65" s="169" t="s">
        <v>2071</v>
      </c>
      <c r="AI65" s="169"/>
      <c r="AJ65" s="160"/>
      <c r="AK65" s="160" t="s">
        <v>2157</v>
      </c>
      <c r="AL65" s="170">
        <f t="shared" si="3"/>
        <v>60</v>
      </c>
      <c r="AM65" s="171">
        <v>2014.0</v>
      </c>
    </row>
    <row r="66">
      <c r="A66" s="158">
        <f t="shared" si="1"/>
        <v>15794628</v>
      </c>
      <c r="B66" s="160">
        <v>64.0</v>
      </c>
      <c r="C66" s="160"/>
      <c r="D66" s="160" t="s">
        <v>1627</v>
      </c>
      <c r="E66" s="160" t="s">
        <v>2268</v>
      </c>
      <c r="F66" s="159" t="s">
        <v>1910</v>
      </c>
      <c r="G66" s="160" t="s">
        <v>1913</v>
      </c>
      <c r="H66" s="172">
        <v>17.0</v>
      </c>
      <c r="I66" s="160"/>
      <c r="J66" s="160" t="s">
        <v>112</v>
      </c>
      <c r="K66" s="160" t="s">
        <v>120</v>
      </c>
      <c r="L66" s="160" t="s">
        <v>117</v>
      </c>
      <c r="M66" s="160">
        <v>0.0</v>
      </c>
      <c r="N66" s="160" t="s">
        <v>116</v>
      </c>
      <c r="O66" s="160">
        <v>4.0</v>
      </c>
      <c r="P66" s="160">
        <v>4.0</v>
      </c>
      <c r="Q66" s="160">
        <v>1.0</v>
      </c>
      <c r="R66" s="165" t="s">
        <v>121</v>
      </c>
      <c r="S66" s="173">
        <v>41764.0</v>
      </c>
      <c r="T66" s="165"/>
      <c r="U66" s="165" t="s">
        <v>2269</v>
      </c>
      <c r="V66" s="160" t="s">
        <v>2270</v>
      </c>
      <c r="W66" s="160"/>
      <c r="X66" s="160"/>
      <c r="Y66" s="160"/>
      <c r="Z66" s="160"/>
      <c r="AA66" s="167">
        <v>41716.0</v>
      </c>
      <c r="AB66" s="167">
        <v>41723.0</v>
      </c>
      <c r="AC66" s="160"/>
      <c r="AD66" s="160"/>
      <c r="AE66" s="160"/>
      <c r="AF66" s="165"/>
      <c r="AG66" s="160"/>
      <c r="AH66" s="169" t="s">
        <v>2071</v>
      </c>
      <c r="AI66" s="169"/>
      <c r="AJ66" s="160"/>
      <c r="AK66" s="160" t="s">
        <v>2157</v>
      </c>
      <c r="AL66" s="170">
        <f t="shared" si="3"/>
        <v>30</v>
      </c>
      <c r="AM66" s="171">
        <v>2014.0</v>
      </c>
    </row>
    <row r="67">
      <c r="A67" s="158">
        <f t="shared" si="1"/>
        <v>8403087</v>
      </c>
      <c r="B67" s="160">
        <v>23.0</v>
      </c>
      <c r="C67" s="160"/>
      <c r="D67" s="160" t="s">
        <v>1940</v>
      </c>
      <c r="E67" s="160" t="s">
        <v>1941</v>
      </c>
      <c r="F67" s="159" t="s">
        <v>1942</v>
      </c>
      <c r="G67" s="160" t="s">
        <v>2271</v>
      </c>
      <c r="H67" s="172">
        <v>14.0</v>
      </c>
      <c r="I67" s="160"/>
      <c r="J67" s="160" t="s">
        <v>112</v>
      </c>
      <c r="K67" s="160" t="s">
        <v>114</v>
      </c>
      <c r="L67" s="160" t="s">
        <v>117</v>
      </c>
      <c r="M67" s="182"/>
      <c r="N67" s="160" t="s">
        <v>116</v>
      </c>
      <c r="O67" s="160">
        <v>2.0</v>
      </c>
      <c r="P67" s="160"/>
      <c r="Q67" s="160"/>
      <c r="R67" s="165" t="s">
        <v>121</v>
      </c>
      <c r="S67" s="173">
        <v>41738.0</v>
      </c>
      <c r="T67" s="165"/>
      <c r="U67" s="165" t="s">
        <v>2272</v>
      </c>
      <c r="V67" s="160" t="s">
        <v>2273</v>
      </c>
      <c r="W67" s="160"/>
      <c r="X67" s="160"/>
      <c r="Y67" s="160"/>
      <c r="Z67" s="160"/>
      <c r="AA67" s="167">
        <v>41722.0</v>
      </c>
      <c r="AB67" s="167">
        <v>41724.0</v>
      </c>
      <c r="AC67" s="160"/>
      <c r="AD67" s="160"/>
      <c r="AE67" s="160"/>
      <c r="AF67" s="165"/>
      <c r="AG67" s="160"/>
      <c r="AH67" s="169" t="s">
        <v>2071</v>
      </c>
      <c r="AI67" s="169"/>
      <c r="AJ67" s="160"/>
      <c r="AK67" s="160"/>
      <c r="AL67" s="170">
        <f t="shared" si="3"/>
        <v>11</v>
      </c>
      <c r="AM67" s="171">
        <v>2014.0</v>
      </c>
    </row>
    <row r="68">
      <c r="A68" s="158">
        <f t="shared" si="1"/>
        <v>14154969</v>
      </c>
      <c r="B68" s="160">
        <v>28.0</v>
      </c>
      <c r="C68" s="160"/>
      <c r="D68" s="160" t="s">
        <v>1642</v>
      </c>
      <c r="E68" s="160" t="s">
        <v>1975</v>
      </c>
      <c r="F68" s="159" t="s">
        <v>2253</v>
      </c>
      <c r="G68" s="160" t="s">
        <v>1821</v>
      </c>
      <c r="H68" s="172">
        <v>18.0</v>
      </c>
      <c r="I68" s="160"/>
      <c r="J68" s="160" t="s">
        <v>112</v>
      </c>
      <c r="K68" s="160" t="s">
        <v>125</v>
      </c>
      <c r="L68" s="160" t="s">
        <v>117</v>
      </c>
      <c r="M68" s="160">
        <v>1.0</v>
      </c>
      <c r="N68" s="160" t="s">
        <v>122</v>
      </c>
      <c r="O68" s="160"/>
      <c r="P68" s="160"/>
      <c r="Q68" s="160"/>
      <c r="R68" s="165" t="s">
        <v>115</v>
      </c>
      <c r="S68" s="173">
        <v>41764.0</v>
      </c>
      <c r="T68" s="165" t="s">
        <v>2274</v>
      </c>
      <c r="U68" s="165"/>
      <c r="V68" s="160" t="s">
        <v>2275</v>
      </c>
      <c r="W68" s="160"/>
      <c r="X68" s="160"/>
      <c r="Y68" s="160"/>
      <c r="Z68" s="160"/>
      <c r="AA68" s="167">
        <v>41725.0</v>
      </c>
      <c r="AB68" s="167">
        <v>41731.0</v>
      </c>
      <c r="AC68" s="160">
        <v>21.0</v>
      </c>
      <c r="AD68" s="160" t="s">
        <v>120</v>
      </c>
      <c r="AE68" s="160"/>
      <c r="AF68" s="165" t="s">
        <v>1824</v>
      </c>
      <c r="AG68" s="160"/>
      <c r="AH68" s="169" t="s">
        <v>2071</v>
      </c>
      <c r="AI68" s="169" t="s">
        <v>2276</v>
      </c>
      <c r="AJ68" s="160"/>
      <c r="AK68" s="160" t="s">
        <v>1612</v>
      </c>
      <c r="AL68" s="170">
        <f t="shared" si="3"/>
        <v>24</v>
      </c>
      <c r="AM68" s="171">
        <v>2014.0</v>
      </c>
    </row>
    <row r="69">
      <c r="A69" s="158">
        <f t="shared" si="1"/>
        <v>9961713</v>
      </c>
      <c r="B69" s="160">
        <v>32.0</v>
      </c>
      <c r="C69" s="160"/>
      <c r="D69" s="160" t="s">
        <v>1740</v>
      </c>
      <c r="E69" s="160" t="s">
        <v>2277</v>
      </c>
      <c r="F69" s="159" t="s">
        <v>1897</v>
      </c>
      <c r="G69" s="160" t="s">
        <v>1898</v>
      </c>
      <c r="H69" s="172">
        <v>17.0</v>
      </c>
      <c r="I69" s="160"/>
      <c r="J69" s="160" t="s">
        <v>112</v>
      </c>
      <c r="K69" s="160" t="s">
        <v>120</v>
      </c>
      <c r="L69" s="160" t="s">
        <v>117</v>
      </c>
      <c r="M69" s="160">
        <v>1.0</v>
      </c>
      <c r="N69" s="160" t="s">
        <v>122</v>
      </c>
      <c r="O69" s="160"/>
      <c r="P69" s="160"/>
      <c r="Q69" s="160"/>
      <c r="R69" s="165" t="s">
        <v>121</v>
      </c>
      <c r="S69" s="173">
        <v>41764.0</v>
      </c>
      <c r="T69" s="165" t="s">
        <v>2278</v>
      </c>
      <c r="U69" s="165"/>
      <c r="V69" s="160" t="s">
        <v>2279</v>
      </c>
      <c r="W69" s="160"/>
      <c r="X69" s="160"/>
      <c r="Y69" s="160"/>
      <c r="Z69" s="160"/>
      <c r="AA69" s="167">
        <v>41729.0</v>
      </c>
      <c r="AB69" s="167">
        <v>41736.0</v>
      </c>
      <c r="AC69" s="160">
        <v>21.0</v>
      </c>
      <c r="AD69" s="160" t="s">
        <v>120</v>
      </c>
      <c r="AE69" s="160"/>
      <c r="AF69" s="165" t="s">
        <v>1869</v>
      </c>
      <c r="AG69" s="160"/>
      <c r="AH69" s="169" t="s">
        <v>2071</v>
      </c>
      <c r="AI69" s="169"/>
      <c r="AJ69" s="160"/>
      <c r="AK69" s="160" t="s">
        <v>1612</v>
      </c>
      <c r="AL69" s="170">
        <f t="shared" si="3"/>
        <v>21</v>
      </c>
      <c r="AM69" s="171">
        <v>2014.0</v>
      </c>
    </row>
    <row r="70">
      <c r="A70" s="158">
        <f t="shared" si="1"/>
        <v>16567441</v>
      </c>
      <c r="B70" s="160">
        <v>41.0</v>
      </c>
      <c r="C70" s="160"/>
      <c r="D70" s="160" t="s">
        <v>1642</v>
      </c>
      <c r="E70" s="160" t="s">
        <v>2280</v>
      </c>
      <c r="F70" s="159" t="s">
        <v>2031</v>
      </c>
      <c r="G70" s="160" t="s">
        <v>2032</v>
      </c>
      <c r="H70" s="172">
        <v>12.0</v>
      </c>
      <c r="I70" s="160"/>
      <c r="J70" s="160" t="s">
        <v>112</v>
      </c>
      <c r="K70" s="160" t="s">
        <v>114</v>
      </c>
      <c r="L70" s="160" t="s">
        <v>117</v>
      </c>
      <c r="M70" s="160">
        <v>4.0</v>
      </c>
      <c r="N70" s="160" t="s">
        <v>116</v>
      </c>
      <c r="O70" s="160">
        <v>9.0</v>
      </c>
      <c r="P70" s="160"/>
      <c r="Q70" s="160"/>
      <c r="R70" s="165" t="s">
        <v>121</v>
      </c>
      <c r="S70" s="173">
        <v>41792.0</v>
      </c>
      <c r="T70" s="165"/>
      <c r="U70" s="165" t="s">
        <v>2281</v>
      </c>
      <c r="V70" s="160" t="s">
        <v>2282</v>
      </c>
      <c r="W70" s="160"/>
      <c r="X70" s="160"/>
      <c r="Y70" s="160"/>
      <c r="Z70" s="160"/>
      <c r="AA70" s="167">
        <v>41740.0</v>
      </c>
      <c r="AB70" s="167">
        <v>41747.0</v>
      </c>
      <c r="AC70" s="160"/>
      <c r="AD70" s="160"/>
      <c r="AE70" s="160"/>
      <c r="AF70" s="165"/>
      <c r="AG70" s="160"/>
      <c r="AH70" s="169" t="s">
        <v>2071</v>
      </c>
      <c r="AI70" s="169"/>
      <c r="AJ70" s="160"/>
      <c r="AK70" s="160" t="s">
        <v>1612</v>
      </c>
      <c r="AL70" s="170">
        <f t="shared" si="3"/>
        <v>32</v>
      </c>
      <c r="AM70" s="171">
        <v>2014.0</v>
      </c>
    </row>
    <row r="71">
      <c r="A71" s="158">
        <f t="shared" si="1"/>
        <v>17254484</v>
      </c>
      <c r="B71" s="160">
        <v>58.0</v>
      </c>
      <c r="C71" s="160"/>
      <c r="D71" s="160" t="s">
        <v>1594</v>
      </c>
      <c r="E71" s="160" t="s">
        <v>1594</v>
      </c>
      <c r="F71" s="159" t="s">
        <v>2020</v>
      </c>
      <c r="G71" s="160" t="s">
        <v>2021</v>
      </c>
      <c r="H71" s="172">
        <v>10.0</v>
      </c>
      <c r="I71" s="160"/>
      <c r="J71" s="160" t="s">
        <v>112</v>
      </c>
      <c r="K71" s="160" t="s">
        <v>120</v>
      </c>
      <c r="L71" s="160" t="s">
        <v>117</v>
      </c>
      <c r="M71" s="160">
        <v>9.0</v>
      </c>
      <c r="N71" s="160" t="s">
        <v>116</v>
      </c>
      <c r="O71" s="160">
        <v>6.0</v>
      </c>
      <c r="P71" s="160">
        <v>1.0</v>
      </c>
      <c r="Q71" s="160">
        <v>2.0</v>
      </c>
      <c r="R71" s="165" t="s">
        <v>121</v>
      </c>
      <c r="S71" s="173">
        <v>41820.0</v>
      </c>
      <c r="T71" s="165"/>
      <c r="U71" s="165" t="s">
        <v>2283</v>
      </c>
      <c r="V71" s="160" t="s">
        <v>2284</v>
      </c>
      <c r="W71" s="160"/>
      <c r="X71" s="160"/>
      <c r="Y71" s="160"/>
      <c r="Z71" s="160"/>
      <c r="AA71" s="167">
        <v>41745.0</v>
      </c>
      <c r="AB71" s="167">
        <v>41752.0</v>
      </c>
      <c r="AC71" s="160"/>
      <c r="AD71" s="160"/>
      <c r="AE71" s="160"/>
      <c r="AF71" s="165"/>
      <c r="AG71" s="160"/>
      <c r="AH71" s="169" t="s">
        <v>2071</v>
      </c>
      <c r="AI71" s="169"/>
      <c r="AJ71" s="160"/>
      <c r="AK71" s="160" t="s">
        <v>2163</v>
      </c>
      <c r="AL71" s="170">
        <f t="shared" si="3"/>
        <v>49</v>
      </c>
      <c r="AM71" s="171">
        <v>2014.0</v>
      </c>
    </row>
    <row r="72">
      <c r="A72" s="158">
        <f t="shared" si="1"/>
        <v>12477339</v>
      </c>
      <c r="B72" s="160">
        <v>42.0</v>
      </c>
      <c r="C72" s="160"/>
      <c r="D72" s="160" t="s">
        <v>1740</v>
      </c>
      <c r="E72" s="160" t="s">
        <v>2277</v>
      </c>
      <c r="F72" s="159" t="s">
        <v>1947</v>
      </c>
      <c r="G72" s="160" t="s">
        <v>1687</v>
      </c>
      <c r="H72" s="172">
        <v>23.0</v>
      </c>
      <c r="I72" s="160"/>
      <c r="J72" s="160" t="s">
        <v>112</v>
      </c>
      <c r="K72" s="160" t="s">
        <v>127</v>
      </c>
      <c r="L72" s="160" t="s">
        <v>117</v>
      </c>
      <c r="M72" s="160">
        <v>0.0</v>
      </c>
      <c r="N72" s="160" t="s">
        <v>116</v>
      </c>
      <c r="O72" s="160">
        <v>14.0</v>
      </c>
      <c r="P72" s="160"/>
      <c r="Q72" s="160"/>
      <c r="R72" s="165" t="s">
        <v>115</v>
      </c>
      <c r="S72" s="173">
        <v>41799.0</v>
      </c>
      <c r="T72" s="165"/>
      <c r="U72" s="165" t="s">
        <v>2285</v>
      </c>
      <c r="V72" s="160" t="s">
        <v>2286</v>
      </c>
      <c r="W72" s="160"/>
      <c r="X72" s="160"/>
      <c r="Y72" s="160"/>
      <c r="Z72" s="160"/>
      <c r="AA72" s="167">
        <v>41750.0</v>
      </c>
      <c r="AB72" s="167">
        <v>41757.0</v>
      </c>
      <c r="AC72" s="160"/>
      <c r="AD72" s="160"/>
      <c r="AE72" s="160"/>
      <c r="AF72" s="165"/>
      <c r="AG72" s="160"/>
      <c r="AH72" s="169" t="s">
        <v>2071</v>
      </c>
      <c r="AI72" s="169"/>
      <c r="AJ72" s="160"/>
      <c r="AK72" s="160"/>
      <c r="AL72" s="170">
        <f t="shared" si="3"/>
        <v>31</v>
      </c>
      <c r="AM72" s="171">
        <v>2014.0</v>
      </c>
    </row>
    <row r="73">
      <c r="A73" s="158">
        <f t="shared" si="1"/>
        <v>12264463</v>
      </c>
      <c r="B73" s="160">
        <v>40.0</v>
      </c>
      <c r="C73" s="160"/>
      <c r="D73" s="160" t="s">
        <v>1602</v>
      </c>
      <c r="E73" s="160" t="s">
        <v>2049</v>
      </c>
      <c r="F73" s="159" t="s">
        <v>2067</v>
      </c>
      <c r="G73" s="160" t="s">
        <v>2287</v>
      </c>
      <c r="H73" s="172">
        <v>10.0</v>
      </c>
      <c r="I73" s="160"/>
      <c r="J73" s="160" t="s">
        <v>112</v>
      </c>
      <c r="K73" s="160" t="s">
        <v>114</v>
      </c>
      <c r="L73" s="160" t="s">
        <v>117</v>
      </c>
      <c r="M73" s="160">
        <v>7.0</v>
      </c>
      <c r="N73" s="160" t="s">
        <v>122</v>
      </c>
      <c r="O73" s="160"/>
      <c r="P73" s="160"/>
      <c r="Q73" s="160"/>
      <c r="R73" s="165" t="s">
        <v>121</v>
      </c>
      <c r="S73" s="173">
        <v>41799.0</v>
      </c>
      <c r="T73" s="165" t="s">
        <v>2288</v>
      </c>
      <c r="U73" s="165"/>
      <c r="V73" s="160" t="s">
        <v>2289</v>
      </c>
      <c r="W73" s="160"/>
      <c r="X73" s="160"/>
      <c r="Y73" s="160"/>
      <c r="Z73" s="160"/>
      <c r="AA73" s="167">
        <v>41751.0</v>
      </c>
      <c r="AB73" s="167">
        <v>41758.0</v>
      </c>
      <c r="AC73" s="160">
        <v>14.0</v>
      </c>
      <c r="AD73" s="160" t="s">
        <v>114</v>
      </c>
      <c r="AE73" s="160"/>
      <c r="AF73" s="165" t="s">
        <v>2290</v>
      </c>
      <c r="AG73" s="160"/>
      <c r="AH73" s="169" t="s">
        <v>2071</v>
      </c>
      <c r="AI73" s="169"/>
      <c r="AJ73" s="160"/>
      <c r="AK73" s="160" t="s">
        <v>1612</v>
      </c>
      <c r="AL73" s="170">
        <f t="shared" si="3"/>
        <v>30</v>
      </c>
      <c r="AM73" s="171">
        <v>2014.0</v>
      </c>
    </row>
    <row r="74">
      <c r="A74" s="158">
        <f t="shared" si="1"/>
        <v>12748537</v>
      </c>
      <c r="B74" s="160">
        <v>33.0</v>
      </c>
      <c r="C74" s="160"/>
      <c r="D74" s="160" t="s">
        <v>1940</v>
      </c>
      <c r="E74" s="160" t="s">
        <v>1941</v>
      </c>
      <c r="F74" s="159" t="s">
        <v>2067</v>
      </c>
      <c r="G74" s="160" t="s">
        <v>2291</v>
      </c>
      <c r="H74" s="172">
        <v>10.0</v>
      </c>
      <c r="I74" s="160"/>
      <c r="J74" s="160" t="s">
        <v>112</v>
      </c>
      <c r="K74" s="160" t="s">
        <v>114</v>
      </c>
      <c r="L74" s="160" t="s">
        <v>117</v>
      </c>
      <c r="M74" s="160">
        <v>2.0</v>
      </c>
      <c r="N74" s="160" t="s">
        <v>122</v>
      </c>
      <c r="O74" s="160"/>
      <c r="P74" s="160"/>
      <c r="Q74" s="160"/>
      <c r="R74" s="165" t="s">
        <v>115</v>
      </c>
      <c r="S74" s="173">
        <v>41785.0</v>
      </c>
      <c r="T74" s="165" t="s">
        <v>2292</v>
      </c>
      <c r="U74" s="165"/>
      <c r="V74" s="160" t="s">
        <v>2293</v>
      </c>
      <c r="W74" s="160"/>
      <c r="X74" s="160"/>
      <c r="Y74" s="160"/>
      <c r="Z74" s="160"/>
      <c r="AA74" s="167">
        <v>41754.0</v>
      </c>
      <c r="AB74" s="167">
        <v>41761.0</v>
      </c>
      <c r="AC74" s="160">
        <v>12.0</v>
      </c>
      <c r="AD74" s="160" t="s">
        <v>114</v>
      </c>
      <c r="AE74" s="160"/>
      <c r="AF74" s="165" t="s">
        <v>2294</v>
      </c>
      <c r="AG74" s="160"/>
      <c r="AH74" s="169" t="s">
        <v>2071</v>
      </c>
      <c r="AI74" s="169"/>
      <c r="AJ74" s="160"/>
      <c r="AK74" s="160" t="s">
        <v>1612</v>
      </c>
      <c r="AL74" s="170">
        <f t="shared" si="3"/>
        <v>17</v>
      </c>
      <c r="AM74" s="171">
        <v>2014.0</v>
      </c>
    </row>
    <row r="75">
      <c r="A75" s="158">
        <f t="shared" si="1"/>
        <v>13063123</v>
      </c>
      <c r="B75" s="160">
        <v>35.0</v>
      </c>
      <c r="C75" s="160"/>
      <c r="D75" s="160" t="s">
        <v>1598</v>
      </c>
      <c r="E75" s="160" t="s">
        <v>1598</v>
      </c>
      <c r="F75" s="159" t="s">
        <v>1902</v>
      </c>
      <c r="G75" s="160" t="s">
        <v>1608</v>
      </c>
      <c r="H75" s="172">
        <v>10.0</v>
      </c>
      <c r="I75" s="160"/>
      <c r="J75" s="160" t="s">
        <v>112</v>
      </c>
      <c r="K75" s="160" t="s">
        <v>120</v>
      </c>
      <c r="L75" s="160" t="s">
        <v>117</v>
      </c>
      <c r="M75" s="160">
        <v>8.0</v>
      </c>
      <c r="N75" s="160" t="s">
        <v>122</v>
      </c>
      <c r="O75" s="160"/>
      <c r="P75" s="160"/>
      <c r="Q75" s="160"/>
      <c r="R75" s="165" t="s">
        <v>115</v>
      </c>
      <c r="S75" s="173">
        <v>41785.0</v>
      </c>
      <c r="T75" s="165" t="s">
        <v>2295</v>
      </c>
      <c r="U75" s="165"/>
      <c r="V75" s="160" t="s">
        <v>2296</v>
      </c>
      <c r="W75" s="160"/>
      <c r="X75" s="160"/>
      <c r="Y75" s="160"/>
      <c r="Z75" s="160"/>
      <c r="AA75" s="167">
        <v>41785.0</v>
      </c>
      <c r="AB75" s="167">
        <v>41761.0</v>
      </c>
      <c r="AC75" s="160">
        <v>15.0</v>
      </c>
      <c r="AD75" s="160" t="s">
        <v>120</v>
      </c>
      <c r="AE75" s="160"/>
      <c r="AF75" s="165" t="s">
        <v>1928</v>
      </c>
      <c r="AG75" s="160"/>
      <c r="AH75" s="169" t="s">
        <v>2071</v>
      </c>
      <c r="AI75" s="169"/>
      <c r="AJ75" s="160"/>
      <c r="AK75" s="160" t="s">
        <v>2157</v>
      </c>
      <c r="AL75" s="170">
        <f t="shared" si="3"/>
        <v>17</v>
      </c>
      <c r="AM75" s="171">
        <v>2014.0</v>
      </c>
    </row>
    <row r="76">
      <c r="A76" s="158">
        <f t="shared" si="1"/>
        <v>12900867</v>
      </c>
      <c r="B76" s="160">
        <v>38.0</v>
      </c>
      <c r="C76" s="160"/>
      <c r="D76" s="160" t="s">
        <v>1940</v>
      </c>
      <c r="E76" s="160" t="s">
        <v>1961</v>
      </c>
      <c r="F76" s="159" t="s">
        <v>1947</v>
      </c>
      <c r="G76" s="160" t="s">
        <v>1687</v>
      </c>
      <c r="H76" s="172">
        <v>23.0</v>
      </c>
      <c r="I76" s="160"/>
      <c r="J76" s="160" t="s">
        <v>112</v>
      </c>
      <c r="K76" s="160" t="s">
        <v>127</v>
      </c>
      <c r="L76" s="160" t="s">
        <v>117</v>
      </c>
      <c r="M76" s="160">
        <v>0.0</v>
      </c>
      <c r="N76" s="160" t="s">
        <v>116</v>
      </c>
      <c r="O76" s="160">
        <v>4.0</v>
      </c>
      <c r="P76" s="160"/>
      <c r="Q76" s="160"/>
      <c r="R76" s="165" t="s">
        <v>121</v>
      </c>
      <c r="S76" s="173">
        <v>41799.0</v>
      </c>
      <c r="T76" s="165"/>
      <c r="U76" s="165" t="s">
        <v>2297</v>
      </c>
      <c r="V76" s="160" t="s">
        <v>2298</v>
      </c>
      <c r="W76" s="160"/>
      <c r="X76" s="160"/>
      <c r="Y76" s="160"/>
      <c r="Z76" s="160"/>
      <c r="AA76" s="167">
        <v>41757.0</v>
      </c>
      <c r="AB76" s="167">
        <v>41764.0</v>
      </c>
      <c r="AC76" s="160"/>
      <c r="AD76" s="160"/>
      <c r="AE76" s="160"/>
      <c r="AF76" s="165"/>
      <c r="AG76" s="160"/>
      <c r="AH76" s="169" t="s">
        <v>2071</v>
      </c>
      <c r="AI76" s="169"/>
      <c r="AJ76" s="160"/>
      <c r="AK76" s="160" t="s">
        <v>2163</v>
      </c>
      <c r="AL76" s="170">
        <f t="shared" si="3"/>
        <v>26</v>
      </c>
      <c r="AM76" s="171">
        <v>2014.0</v>
      </c>
    </row>
    <row r="77">
      <c r="A77" s="158">
        <f t="shared" si="1"/>
        <v>16615699</v>
      </c>
      <c r="B77" s="160">
        <v>62.0</v>
      </c>
      <c r="C77" s="160"/>
      <c r="D77" s="160" t="s">
        <v>1627</v>
      </c>
      <c r="E77" s="160" t="s">
        <v>1928</v>
      </c>
      <c r="F77" s="159" t="s">
        <v>2299</v>
      </c>
      <c r="G77" s="160" t="s">
        <v>1657</v>
      </c>
      <c r="H77" s="172">
        <v>13.0</v>
      </c>
      <c r="I77" s="160"/>
      <c r="J77" s="160" t="s">
        <v>112</v>
      </c>
      <c r="K77" s="160" t="s">
        <v>114</v>
      </c>
      <c r="L77" s="160" t="s">
        <v>117</v>
      </c>
      <c r="M77" s="160">
        <v>4.0</v>
      </c>
      <c r="N77" s="160" t="s">
        <v>122</v>
      </c>
      <c r="O77" s="160"/>
      <c r="P77" s="160">
        <v>3.0</v>
      </c>
      <c r="Q77" s="160">
        <v>0.0</v>
      </c>
      <c r="R77" s="165" t="s">
        <v>121</v>
      </c>
      <c r="S77" s="173">
        <v>41792.0</v>
      </c>
      <c r="T77" s="165" t="s">
        <v>2300</v>
      </c>
      <c r="U77" s="165"/>
      <c r="V77" s="160" t="s">
        <v>2301</v>
      </c>
      <c r="W77" s="160"/>
      <c r="X77" s="160"/>
      <c r="Y77" s="160"/>
      <c r="Z77" s="160"/>
      <c r="AA77" s="167">
        <v>41757.0</v>
      </c>
      <c r="AB77" s="167">
        <v>41764.0</v>
      </c>
      <c r="AC77" s="160">
        <v>17.0</v>
      </c>
      <c r="AD77" s="160" t="s">
        <v>120</v>
      </c>
      <c r="AE77" s="160"/>
      <c r="AF77" s="165" t="s">
        <v>2302</v>
      </c>
      <c r="AG77" s="160"/>
      <c r="AH77" s="169" t="s">
        <v>2071</v>
      </c>
      <c r="AI77" s="169"/>
      <c r="AJ77" s="160"/>
      <c r="AK77" s="160" t="s">
        <v>2157</v>
      </c>
      <c r="AL77" s="170">
        <f t="shared" si="3"/>
        <v>21</v>
      </c>
      <c r="AM77" s="171">
        <v>2014.0</v>
      </c>
    </row>
    <row r="78">
      <c r="A78" s="158">
        <f t="shared" si="1"/>
        <v>13453913</v>
      </c>
      <c r="B78" s="160">
        <v>70.0</v>
      </c>
      <c r="C78" s="160"/>
      <c r="D78" s="160" t="s">
        <v>1627</v>
      </c>
      <c r="E78" s="160" t="s">
        <v>1928</v>
      </c>
      <c r="F78" s="159" t="s">
        <v>2303</v>
      </c>
      <c r="G78" s="160" t="s">
        <v>2304</v>
      </c>
      <c r="H78" s="172">
        <v>14.0</v>
      </c>
      <c r="I78" s="160"/>
      <c r="J78" s="160" t="s">
        <v>112</v>
      </c>
      <c r="K78" s="160" t="s">
        <v>125</v>
      </c>
      <c r="L78" s="160" t="s">
        <v>117</v>
      </c>
      <c r="M78" s="160">
        <v>0.0</v>
      </c>
      <c r="N78" s="160" t="s">
        <v>122</v>
      </c>
      <c r="O78" s="160"/>
      <c r="P78" s="160">
        <v>1.0</v>
      </c>
      <c r="Q78" s="160">
        <v>0.0</v>
      </c>
      <c r="R78" s="165" t="s">
        <v>115</v>
      </c>
      <c r="S78" s="173">
        <v>41792.0</v>
      </c>
      <c r="T78" s="165" t="s">
        <v>2305</v>
      </c>
      <c r="U78" s="165"/>
      <c r="V78" s="160" t="s">
        <v>2306</v>
      </c>
      <c r="W78" s="160"/>
      <c r="X78" s="160"/>
      <c r="Y78" s="160"/>
      <c r="Z78" s="160"/>
      <c r="AA78" s="167">
        <v>41758.0</v>
      </c>
      <c r="AB78" s="167">
        <v>41765.0</v>
      </c>
      <c r="AC78" s="160">
        <v>18.0</v>
      </c>
      <c r="AD78" s="160" t="s">
        <v>125</v>
      </c>
      <c r="AE78" s="160"/>
      <c r="AF78" s="165" t="s">
        <v>2307</v>
      </c>
      <c r="AG78" s="160"/>
      <c r="AH78" s="169" t="s">
        <v>2071</v>
      </c>
      <c r="AI78" s="169"/>
      <c r="AJ78" s="160"/>
      <c r="AK78" s="160" t="s">
        <v>1612</v>
      </c>
      <c r="AL78" s="170">
        <f t="shared" si="3"/>
        <v>20</v>
      </c>
      <c r="AM78" s="171">
        <v>2014.0</v>
      </c>
    </row>
    <row r="79">
      <c r="A79" s="158">
        <f t="shared" si="1"/>
        <v>8771005</v>
      </c>
      <c r="B79" s="160">
        <v>50.0</v>
      </c>
      <c r="C79" s="160"/>
      <c r="D79" s="160" t="s">
        <v>1598</v>
      </c>
      <c r="E79" s="160" t="s">
        <v>1871</v>
      </c>
      <c r="F79" s="159" t="s">
        <v>2034</v>
      </c>
      <c r="G79" s="160" t="s">
        <v>2308</v>
      </c>
      <c r="H79" s="172">
        <v>17.0</v>
      </c>
      <c r="I79" s="160"/>
      <c r="J79" s="160" t="s">
        <v>112</v>
      </c>
      <c r="K79" s="160" t="s">
        <v>125</v>
      </c>
      <c r="L79" s="160" t="s">
        <v>117</v>
      </c>
      <c r="M79" s="160">
        <v>0.0</v>
      </c>
      <c r="N79" s="160" t="s">
        <v>116</v>
      </c>
      <c r="O79" s="160">
        <v>5.0</v>
      </c>
      <c r="P79" s="160"/>
      <c r="Q79" s="160"/>
      <c r="R79" s="165" t="s">
        <v>115</v>
      </c>
      <c r="S79" s="173">
        <v>41807.0</v>
      </c>
      <c r="T79" s="165"/>
      <c r="U79" s="165" t="s">
        <v>2309</v>
      </c>
      <c r="V79" s="160" t="s">
        <v>2310</v>
      </c>
      <c r="W79" s="160"/>
      <c r="X79" s="160"/>
      <c r="Y79" s="160"/>
      <c r="Z79" s="160"/>
      <c r="AA79" s="167">
        <v>41765.0</v>
      </c>
      <c r="AB79" s="167">
        <v>41772.0</v>
      </c>
      <c r="AC79" s="160"/>
      <c r="AD79" s="160"/>
      <c r="AE79" s="160"/>
      <c r="AF79" s="165"/>
      <c r="AG79" s="160"/>
      <c r="AH79" s="169" t="s">
        <v>2071</v>
      </c>
      <c r="AI79" s="169"/>
      <c r="AJ79" s="160"/>
      <c r="AK79" s="160" t="s">
        <v>2163</v>
      </c>
      <c r="AL79" s="170">
        <f t="shared" si="3"/>
        <v>26</v>
      </c>
      <c r="AM79" s="171">
        <v>2014.0</v>
      </c>
    </row>
    <row r="80">
      <c r="A80" s="158">
        <f t="shared" si="1"/>
        <v>17089843</v>
      </c>
      <c r="B80" s="160">
        <v>110.0</v>
      </c>
      <c r="C80" s="160"/>
      <c r="D80" s="160" t="s">
        <v>1627</v>
      </c>
      <c r="E80" s="160" t="s">
        <v>1831</v>
      </c>
      <c r="F80" s="159" t="s">
        <v>2094</v>
      </c>
      <c r="G80" s="160" t="s">
        <v>2095</v>
      </c>
      <c r="H80" s="172">
        <v>10.0</v>
      </c>
      <c r="I80" s="160"/>
      <c r="J80" s="160" t="s">
        <v>112</v>
      </c>
      <c r="K80" s="160" t="s">
        <v>114</v>
      </c>
      <c r="L80" s="160" t="s">
        <v>117</v>
      </c>
      <c r="M80" s="160">
        <v>3.0</v>
      </c>
      <c r="N80" s="160" t="s">
        <v>116</v>
      </c>
      <c r="O80" s="160">
        <v>7.0</v>
      </c>
      <c r="P80" s="160">
        <v>1.0</v>
      </c>
      <c r="Q80" s="160">
        <v>1.0</v>
      </c>
      <c r="R80" s="165" t="s">
        <v>115</v>
      </c>
      <c r="S80" s="173">
        <v>41791.0</v>
      </c>
      <c r="T80" s="165"/>
      <c r="U80" s="165" t="s">
        <v>2311</v>
      </c>
      <c r="V80" s="160" t="s">
        <v>2312</v>
      </c>
      <c r="W80" s="160" t="s">
        <v>123</v>
      </c>
      <c r="X80" s="160"/>
      <c r="Y80" s="160"/>
      <c r="Z80" s="160"/>
      <c r="AA80" s="167">
        <v>41773.0</v>
      </c>
      <c r="AB80" s="167">
        <v>41775.0</v>
      </c>
      <c r="AC80" s="160"/>
      <c r="AD80" s="160"/>
      <c r="AE80" s="160"/>
      <c r="AF80" s="165"/>
      <c r="AG80" s="160"/>
      <c r="AH80" s="169" t="s">
        <v>2071</v>
      </c>
      <c r="AI80" s="169"/>
      <c r="AJ80" s="160"/>
      <c r="AK80" s="160" t="s">
        <v>1612</v>
      </c>
      <c r="AL80" s="170">
        <f t="shared" si="3"/>
        <v>11</v>
      </c>
      <c r="AM80" s="171">
        <v>2014.0</v>
      </c>
    </row>
    <row r="81">
      <c r="A81" s="158">
        <f t="shared" si="1"/>
        <v>8038677</v>
      </c>
      <c r="B81" s="160">
        <v>49.0</v>
      </c>
      <c r="C81" s="160"/>
      <c r="D81" s="160" t="s">
        <v>1892</v>
      </c>
      <c r="E81" s="160" t="s">
        <v>1924</v>
      </c>
      <c r="F81" s="159" t="s">
        <v>1925</v>
      </c>
      <c r="G81" s="160" t="s">
        <v>1926</v>
      </c>
      <c r="H81" s="172">
        <v>10.0</v>
      </c>
      <c r="I81" s="160"/>
      <c r="J81" s="160" t="s">
        <v>112</v>
      </c>
      <c r="K81" s="160" t="s">
        <v>120</v>
      </c>
      <c r="L81" s="160" t="s">
        <v>117</v>
      </c>
      <c r="M81" s="160">
        <v>3.0</v>
      </c>
      <c r="N81" s="160" t="s">
        <v>116</v>
      </c>
      <c r="O81" s="160"/>
      <c r="P81" s="160"/>
      <c r="Q81" s="160"/>
      <c r="R81" s="165" t="s">
        <v>121</v>
      </c>
      <c r="S81" s="173">
        <v>41827.0</v>
      </c>
      <c r="T81" s="165"/>
      <c r="U81" s="165" t="s">
        <v>2313</v>
      </c>
      <c r="V81" s="160" t="s">
        <v>2314</v>
      </c>
      <c r="W81" s="160"/>
      <c r="X81" s="160"/>
      <c r="Y81" s="160"/>
      <c r="Z81" s="160"/>
      <c r="AA81" s="167">
        <v>41772.0</v>
      </c>
      <c r="AB81" s="167">
        <v>41779.0</v>
      </c>
      <c r="AC81" s="160"/>
      <c r="AD81" s="160"/>
      <c r="AE81" s="160"/>
      <c r="AF81" s="165"/>
      <c r="AG81" s="160"/>
      <c r="AH81" s="169" t="s">
        <v>2071</v>
      </c>
      <c r="AI81" s="169"/>
      <c r="AJ81" s="160"/>
      <c r="AK81" s="160" t="s">
        <v>1612</v>
      </c>
      <c r="AL81" s="170">
        <f t="shared" si="3"/>
        <v>35</v>
      </c>
      <c r="AM81" s="171">
        <v>2014.0</v>
      </c>
    </row>
    <row r="82">
      <c r="A82" s="158">
        <f t="shared" si="1"/>
        <v>14284438</v>
      </c>
      <c r="B82" s="160">
        <v>54.0</v>
      </c>
      <c r="C82" s="160"/>
      <c r="D82" s="160" t="s">
        <v>1642</v>
      </c>
      <c r="E82" s="160" t="s">
        <v>2091</v>
      </c>
      <c r="F82" s="159" t="s">
        <v>1955</v>
      </c>
      <c r="G82" s="160" t="s">
        <v>1741</v>
      </c>
      <c r="H82" s="172">
        <v>21.0</v>
      </c>
      <c r="I82" s="160"/>
      <c r="J82" s="160" t="s">
        <v>112</v>
      </c>
      <c r="K82" s="160" t="s">
        <v>127</v>
      </c>
      <c r="L82" s="160" t="s">
        <v>117</v>
      </c>
      <c r="M82" s="160">
        <v>0.0</v>
      </c>
      <c r="N82" s="160" t="s">
        <v>116</v>
      </c>
      <c r="O82" s="160">
        <v>11.0</v>
      </c>
      <c r="P82" s="160"/>
      <c r="Q82" s="160"/>
      <c r="R82" s="165" t="s">
        <v>115</v>
      </c>
      <c r="S82" s="173">
        <v>41834.0</v>
      </c>
      <c r="T82" s="165"/>
      <c r="U82" s="165" t="s">
        <v>2315</v>
      </c>
      <c r="V82" s="160" t="s">
        <v>2316</v>
      </c>
      <c r="W82" s="160"/>
      <c r="X82" s="160"/>
      <c r="Y82" s="160"/>
      <c r="Z82" s="160"/>
      <c r="AA82" s="167">
        <v>41772.0</v>
      </c>
      <c r="AB82" s="167">
        <v>41779.0</v>
      </c>
      <c r="AC82" s="160"/>
      <c r="AD82" s="160"/>
      <c r="AE82" s="160"/>
      <c r="AF82" s="165"/>
      <c r="AG82" s="160"/>
      <c r="AH82" s="169" t="s">
        <v>2071</v>
      </c>
      <c r="AI82" s="169"/>
      <c r="AJ82" s="160"/>
      <c r="AK82" s="160" t="s">
        <v>2163</v>
      </c>
      <c r="AL82" s="170">
        <f t="shared" si="3"/>
        <v>40</v>
      </c>
      <c r="AM82" s="171">
        <v>2014.0</v>
      </c>
    </row>
    <row r="83">
      <c r="A83" s="158">
        <f t="shared" si="1"/>
        <v>14349291</v>
      </c>
      <c r="B83" s="160">
        <v>56.0</v>
      </c>
      <c r="C83" s="160"/>
      <c r="D83" s="160" t="s">
        <v>1615</v>
      </c>
      <c r="E83" s="160" t="s">
        <v>2209</v>
      </c>
      <c r="F83" s="159" t="s">
        <v>2034</v>
      </c>
      <c r="G83" s="160" t="s">
        <v>1625</v>
      </c>
      <c r="H83" s="172">
        <v>17.0</v>
      </c>
      <c r="I83" s="160"/>
      <c r="J83" s="160" t="s">
        <v>112</v>
      </c>
      <c r="K83" s="160" t="s">
        <v>125</v>
      </c>
      <c r="L83" s="160" t="s">
        <v>117</v>
      </c>
      <c r="M83" s="160">
        <v>2.0</v>
      </c>
      <c r="N83" s="160" t="s">
        <v>116</v>
      </c>
      <c r="O83" s="160">
        <v>3.0</v>
      </c>
      <c r="P83" s="160">
        <v>1.0</v>
      </c>
      <c r="Q83" s="160">
        <v>1.0</v>
      </c>
      <c r="R83" s="165" t="s">
        <v>115</v>
      </c>
      <c r="S83" s="173">
        <v>41852.0</v>
      </c>
      <c r="T83" s="165"/>
      <c r="U83" s="165" t="s">
        <v>2317</v>
      </c>
      <c r="V83" s="160" t="s">
        <v>2318</v>
      </c>
      <c r="W83" s="160"/>
      <c r="X83" s="160"/>
      <c r="Y83" s="160"/>
      <c r="Z83" s="160"/>
      <c r="AA83" s="167">
        <v>41778.0</v>
      </c>
      <c r="AB83" s="167">
        <v>41785.0</v>
      </c>
      <c r="AC83" s="160"/>
      <c r="AD83" s="160"/>
      <c r="AE83" s="160"/>
      <c r="AF83" s="165"/>
      <c r="AG83" s="160"/>
      <c r="AH83" s="169" t="s">
        <v>2071</v>
      </c>
      <c r="AI83" s="169"/>
      <c r="AJ83" s="160"/>
      <c r="AK83" s="160" t="s">
        <v>1612</v>
      </c>
      <c r="AL83" s="170">
        <f t="shared" si="3"/>
        <v>50</v>
      </c>
      <c r="AM83" s="171">
        <v>2014.0</v>
      </c>
    </row>
    <row r="84">
      <c r="A84" s="158">
        <f t="shared" si="1"/>
        <v>16861876</v>
      </c>
      <c r="B84" s="160">
        <v>47.0</v>
      </c>
      <c r="C84" s="160"/>
      <c r="D84" s="160" t="s">
        <v>1940</v>
      </c>
      <c r="E84" s="160" t="s">
        <v>1941</v>
      </c>
      <c r="F84" s="159" t="s">
        <v>1947</v>
      </c>
      <c r="G84" s="160" t="s">
        <v>1687</v>
      </c>
      <c r="H84" s="172">
        <v>23.0</v>
      </c>
      <c r="I84" s="160"/>
      <c r="J84" s="160" t="s">
        <v>112</v>
      </c>
      <c r="K84" s="160" t="s">
        <v>127</v>
      </c>
      <c r="L84" s="160" t="s">
        <v>117</v>
      </c>
      <c r="M84" s="160">
        <v>0.0</v>
      </c>
      <c r="N84" s="160" t="s">
        <v>116</v>
      </c>
      <c r="O84" s="160">
        <v>11.0</v>
      </c>
      <c r="P84" s="160"/>
      <c r="Q84" s="160"/>
      <c r="R84" s="165" t="s">
        <v>115</v>
      </c>
      <c r="S84" s="173">
        <v>41827.0</v>
      </c>
      <c r="T84" s="165"/>
      <c r="U84" s="165" t="s">
        <v>2319</v>
      </c>
      <c r="V84" s="160" t="s">
        <v>2320</v>
      </c>
      <c r="W84" s="160"/>
      <c r="X84" s="160"/>
      <c r="Y84" s="160"/>
      <c r="Z84" s="160"/>
      <c r="AA84" s="167">
        <v>41788.0</v>
      </c>
      <c r="AB84" s="167">
        <v>41792.0</v>
      </c>
      <c r="AC84" s="160"/>
      <c r="AD84" s="160"/>
      <c r="AE84" s="160"/>
      <c r="AF84" s="165"/>
      <c r="AG84" s="160"/>
      <c r="AH84" s="169" t="s">
        <v>2071</v>
      </c>
      <c r="AI84" s="169"/>
      <c r="AJ84" s="160"/>
      <c r="AK84" s="160" t="s">
        <v>2163</v>
      </c>
      <c r="AL84" s="170">
        <f t="shared" si="3"/>
        <v>26</v>
      </c>
      <c r="AM84" s="171">
        <v>2014.0</v>
      </c>
    </row>
    <row r="85">
      <c r="A85" s="158">
        <f t="shared" si="1"/>
        <v>14404679</v>
      </c>
      <c r="B85" s="160">
        <v>52.0</v>
      </c>
      <c r="C85" s="160"/>
      <c r="D85" s="160" t="s">
        <v>1740</v>
      </c>
      <c r="E85" s="160" t="s">
        <v>1740</v>
      </c>
      <c r="F85" s="159" t="s">
        <v>1955</v>
      </c>
      <c r="G85" s="160" t="s">
        <v>1741</v>
      </c>
      <c r="H85" s="172">
        <v>21.0</v>
      </c>
      <c r="I85" s="160"/>
      <c r="J85" s="160" t="s">
        <v>112</v>
      </c>
      <c r="K85" s="160" t="s">
        <v>127</v>
      </c>
      <c r="L85" s="160" t="s">
        <v>117</v>
      </c>
      <c r="M85" s="160">
        <v>0.0</v>
      </c>
      <c r="N85" s="160" t="s">
        <v>116</v>
      </c>
      <c r="O85" s="160">
        <v>13.0</v>
      </c>
      <c r="P85" s="160"/>
      <c r="Q85" s="160"/>
      <c r="R85" s="165" t="s">
        <v>115</v>
      </c>
      <c r="S85" s="173">
        <v>41834.0</v>
      </c>
      <c r="T85" s="165"/>
      <c r="U85" s="165" t="s">
        <v>2321</v>
      </c>
      <c r="V85" s="160" t="s">
        <v>2322</v>
      </c>
      <c r="W85" s="160"/>
      <c r="X85" s="160"/>
      <c r="Y85" s="160"/>
      <c r="Z85" s="160"/>
      <c r="AA85" s="167">
        <v>41785.0</v>
      </c>
      <c r="AB85" s="167">
        <v>41792.0</v>
      </c>
      <c r="AC85" s="160"/>
      <c r="AD85" s="160"/>
      <c r="AE85" s="160"/>
      <c r="AF85" s="165"/>
      <c r="AG85" s="160"/>
      <c r="AH85" s="169" t="s">
        <v>2071</v>
      </c>
      <c r="AI85" s="169"/>
      <c r="AJ85" s="160"/>
      <c r="AK85" s="160"/>
      <c r="AL85" s="170">
        <f t="shared" si="3"/>
        <v>31</v>
      </c>
      <c r="AM85" s="171">
        <v>2014.0</v>
      </c>
    </row>
    <row r="86">
      <c r="A86" s="158">
        <f t="shared" si="1"/>
        <v>13451143</v>
      </c>
      <c r="B86" s="160">
        <v>45.0</v>
      </c>
      <c r="C86" s="160"/>
      <c r="D86" s="160" t="s">
        <v>1642</v>
      </c>
      <c r="E86" s="160" t="s">
        <v>2195</v>
      </c>
      <c r="F86" s="159" t="s">
        <v>2196</v>
      </c>
      <c r="G86" s="160" t="s">
        <v>2197</v>
      </c>
      <c r="H86" s="172">
        <v>17.0</v>
      </c>
      <c r="I86" s="160"/>
      <c r="J86" s="160" t="s">
        <v>112</v>
      </c>
      <c r="K86" s="160" t="s">
        <v>120</v>
      </c>
      <c r="L86" s="160" t="s">
        <v>117</v>
      </c>
      <c r="M86" s="160">
        <v>2.0</v>
      </c>
      <c r="N86" s="160" t="s">
        <v>122</v>
      </c>
      <c r="O86" s="160"/>
      <c r="P86" s="160"/>
      <c r="Q86" s="160"/>
      <c r="R86" s="165" t="s">
        <v>115</v>
      </c>
      <c r="S86" s="173">
        <v>41821.0</v>
      </c>
      <c r="T86" s="165" t="s">
        <v>2323</v>
      </c>
      <c r="U86" s="165"/>
      <c r="V86" s="160" t="s">
        <v>2324</v>
      </c>
      <c r="W86" s="160"/>
      <c r="X86" s="160"/>
      <c r="Y86" s="160"/>
      <c r="Z86" s="160"/>
      <c r="AA86" s="167">
        <v>41787.0</v>
      </c>
      <c r="AB86" s="167">
        <v>41794.0</v>
      </c>
      <c r="AC86" s="160">
        <v>21.0</v>
      </c>
      <c r="AD86" s="160" t="s">
        <v>120</v>
      </c>
      <c r="AE86" s="160"/>
      <c r="AF86" s="165" t="s">
        <v>2325</v>
      </c>
      <c r="AG86" s="160"/>
      <c r="AH86" s="169" t="s">
        <v>2071</v>
      </c>
      <c r="AI86" s="169"/>
      <c r="AJ86" s="160"/>
      <c r="AK86" s="160" t="s">
        <v>1612</v>
      </c>
      <c r="AL86" s="170">
        <f t="shared" si="3"/>
        <v>20</v>
      </c>
      <c r="AM86" s="171">
        <v>2014.0</v>
      </c>
    </row>
    <row r="87">
      <c r="A87" s="158">
        <f t="shared" si="1"/>
        <v>17767326</v>
      </c>
      <c r="B87" s="160">
        <v>48.0</v>
      </c>
      <c r="C87" s="160"/>
      <c r="D87" s="160" t="s">
        <v>1602</v>
      </c>
      <c r="E87" s="160" t="s">
        <v>2049</v>
      </c>
      <c r="F87" s="159" t="s">
        <v>1897</v>
      </c>
      <c r="G87" s="160" t="s">
        <v>1898</v>
      </c>
      <c r="H87" s="172">
        <v>17.0</v>
      </c>
      <c r="I87" s="160"/>
      <c r="J87" s="160" t="s">
        <v>112</v>
      </c>
      <c r="K87" s="160" t="s">
        <v>120</v>
      </c>
      <c r="L87" s="160" t="s">
        <v>117</v>
      </c>
      <c r="M87" s="160">
        <v>0.0</v>
      </c>
      <c r="N87" s="160" t="s">
        <v>116</v>
      </c>
      <c r="O87" s="160">
        <v>7.0</v>
      </c>
      <c r="P87" s="160"/>
      <c r="Q87" s="160"/>
      <c r="R87" s="165" t="s">
        <v>121</v>
      </c>
      <c r="S87" s="173">
        <v>41821.0</v>
      </c>
      <c r="T87" s="165"/>
      <c r="U87" s="165" t="s">
        <v>2326</v>
      </c>
      <c r="V87" s="160" t="s">
        <v>2327</v>
      </c>
      <c r="W87" s="160"/>
      <c r="X87" s="160"/>
      <c r="Y87" s="160"/>
      <c r="Z87" s="160"/>
      <c r="AA87" s="167">
        <v>41792.0</v>
      </c>
      <c r="AB87" s="167">
        <v>41794.0</v>
      </c>
      <c r="AC87" s="160"/>
      <c r="AD87" s="160"/>
      <c r="AE87" s="160"/>
      <c r="AF87" s="165"/>
      <c r="AG87" s="160"/>
      <c r="AH87" s="169" t="s">
        <v>2071</v>
      </c>
      <c r="AI87" s="169"/>
      <c r="AJ87" s="160"/>
      <c r="AK87" s="160" t="s">
        <v>1612</v>
      </c>
      <c r="AL87" s="170">
        <f t="shared" si="3"/>
        <v>20</v>
      </c>
      <c r="AM87" s="171">
        <v>2014.0</v>
      </c>
    </row>
    <row r="88">
      <c r="A88" s="158">
        <f t="shared" si="1"/>
        <v>13454355</v>
      </c>
      <c r="B88" s="160">
        <v>69.0</v>
      </c>
      <c r="C88" s="160"/>
      <c r="D88" s="160" t="s">
        <v>1627</v>
      </c>
      <c r="E88" s="160" t="s">
        <v>1928</v>
      </c>
      <c r="F88" s="159" t="s">
        <v>1968</v>
      </c>
      <c r="G88" s="160" t="s">
        <v>1816</v>
      </c>
      <c r="H88" s="172">
        <v>20.0</v>
      </c>
      <c r="I88" s="160"/>
      <c r="J88" s="160" t="s">
        <v>112</v>
      </c>
      <c r="K88" s="160" t="s">
        <v>120</v>
      </c>
      <c r="L88" s="160" t="s">
        <v>117</v>
      </c>
      <c r="M88" s="160">
        <v>0.0</v>
      </c>
      <c r="N88" s="160" t="s">
        <v>116</v>
      </c>
      <c r="O88" s="160">
        <v>6.0</v>
      </c>
      <c r="P88" s="160">
        <v>1.0</v>
      </c>
      <c r="Q88" s="160">
        <v>1.0</v>
      </c>
      <c r="R88" s="165" t="s">
        <v>115</v>
      </c>
      <c r="S88" s="173">
        <v>41841.0</v>
      </c>
      <c r="T88" s="165"/>
      <c r="U88" s="165" t="s">
        <v>2328</v>
      </c>
      <c r="V88" s="160" t="s">
        <v>2329</v>
      </c>
      <c r="W88" s="160"/>
      <c r="X88" s="160"/>
      <c r="Y88" s="160"/>
      <c r="Z88" s="160"/>
      <c r="AA88" s="167">
        <v>41788.0</v>
      </c>
      <c r="AB88" s="167">
        <v>41795.0</v>
      </c>
      <c r="AC88" s="160"/>
      <c r="AD88" s="160"/>
      <c r="AE88" s="160"/>
      <c r="AF88" s="165"/>
      <c r="AG88" s="160"/>
      <c r="AH88" s="169" t="s">
        <v>2071</v>
      </c>
      <c r="AI88" s="169"/>
      <c r="AJ88" s="160"/>
      <c r="AK88" s="160" t="s">
        <v>2157</v>
      </c>
      <c r="AL88" s="170">
        <f t="shared" si="3"/>
        <v>33</v>
      </c>
      <c r="AM88" s="171">
        <v>2014.0</v>
      </c>
    </row>
    <row r="89">
      <c r="A89" s="158">
        <f t="shared" si="1"/>
        <v>15774828</v>
      </c>
      <c r="B89" s="160">
        <v>51.0</v>
      </c>
      <c r="C89" s="160"/>
      <c r="D89" s="160" t="s">
        <v>1642</v>
      </c>
      <c r="E89" s="160" t="s">
        <v>1975</v>
      </c>
      <c r="F89" s="159" t="s">
        <v>2043</v>
      </c>
      <c r="G89" s="160" t="s">
        <v>1824</v>
      </c>
      <c r="H89" s="172">
        <v>20.0</v>
      </c>
      <c r="I89" s="160"/>
      <c r="J89" s="160" t="s">
        <v>112</v>
      </c>
      <c r="K89" s="160" t="s">
        <v>120</v>
      </c>
      <c r="L89" s="160" t="s">
        <v>117</v>
      </c>
      <c r="M89" s="160">
        <v>0.0</v>
      </c>
      <c r="N89" s="160" t="s">
        <v>116</v>
      </c>
      <c r="O89" s="160">
        <v>5.0</v>
      </c>
      <c r="P89" s="160"/>
      <c r="Q89" s="160"/>
      <c r="R89" s="165" t="s">
        <v>115</v>
      </c>
      <c r="S89" s="173">
        <v>41841.0</v>
      </c>
      <c r="T89" s="165"/>
      <c r="U89" s="165" t="s">
        <v>2330</v>
      </c>
      <c r="V89" s="160" t="s">
        <v>2331</v>
      </c>
      <c r="W89" s="160"/>
      <c r="X89" s="160"/>
      <c r="Y89" s="160"/>
      <c r="Z89" s="160"/>
      <c r="AA89" s="167">
        <v>41793.0</v>
      </c>
      <c r="AB89" s="167">
        <v>41800.0</v>
      </c>
      <c r="AC89" s="160"/>
      <c r="AD89" s="160"/>
      <c r="AE89" s="160"/>
      <c r="AF89" s="165"/>
      <c r="AG89" s="160"/>
      <c r="AH89" s="169" t="s">
        <v>2071</v>
      </c>
      <c r="AI89" s="169"/>
      <c r="AJ89" s="160"/>
      <c r="AK89" s="160" t="s">
        <v>2157</v>
      </c>
      <c r="AL89" s="170">
        <f t="shared" si="3"/>
        <v>30</v>
      </c>
      <c r="AM89" s="171">
        <v>2014.0</v>
      </c>
    </row>
    <row r="90">
      <c r="A90" s="158">
        <f t="shared" si="1"/>
        <v>17741571</v>
      </c>
      <c r="B90" s="160">
        <v>68.0</v>
      </c>
      <c r="C90" s="160"/>
      <c r="D90" s="160" t="s">
        <v>1627</v>
      </c>
      <c r="E90" s="160" t="s">
        <v>1928</v>
      </c>
      <c r="F90" s="159" t="s">
        <v>2332</v>
      </c>
      <c r="G90" s="160" t="s">
        <v>2333</v>
      </c>
      <c r="H90" s="172">
        <v>17.0</v>
      </c>
      <c r="I90" s="160"/>
      <c r="J90" s="160" t="s">
        <v>112</v>
      </c>
      <c r="K90" s="160" t="s">
        <v>120</v>
      </c>
      <c r="L90" s="160" t="s">
        <v>117</v>
      </c>
      <c r="M90" s="160">
        <v>0.0</v>
      </c>
      <c r="N90" s="160" t="s">
        <v>116</v>
      </c>
      <c r="O90" s="160">
        <v>6.0</v>
      </c>
      <c r="P90" s="160">
        <v>1.0</v>
      </c>
      <c r="Q90" s="160">
        <v>1.0</v>
      </c>
      <c r="R90" s="165" t="s">
        <v>115</v>
      </c>
      <c r="S90" s="173">
        <v>41821.0</v>
      </c>
      <c r="T90" s="165"/>
      <c r="U90" s="165" t="s">
        <v>2334</v>
      </c>
      <c r="V90" s="160" t="s">
        <v>2335</v>
      </c>
      <c r="W90" s="160"/>
      <c r="X90" s="160"/>
      <c r="Y90" s="160"/>
      <c r="Z90" s="160"/>
      <c r="AA90" s="167">
        <v>41796.0</v>
      </c>
      <c r="AB90" s="167">
        <v>41800.0</v>
      </c>
      <c r="AC90" s="160"/>
      <c r="AD90" s="160"/>
      <c r="AE90" s="160"/>
      <c r="AF90" s="165"/>
      <c r="AG90" s="160"/>
      <c r="AH90" s="169" t="s">
        <v>2071</v>
      </c>
      <c r="AI90" s="169" t="s">
        <v>2295</v>
      </c>
      <c r="AJ90" s="160"/>
      <c r="AK90" s="160" t="s">
        <v>2157</v>
      </c>
      <c r="AL90" s="170">
        <f t="shared" si="3"/>
        <v>16</v>
      </c>
      <c r="AM90" s="171">
        <v>2014.0</v>
      </c>
    </row>
    <row r="91">
      <c r="A91" s="158">
        <f t="shared" si="1"/>
        <v>13640380</v>
      </c>
      <c r="B91" s="160">
        <v>43.0</v>
      </c>
      <c r="C91" s="160"/>
      <c r="D91" s="160" t="s">
        <v>1940</v>
      </c>
      <c r="E91" s="160" t="s">
        <v>2015</v>
      </c>
      <c r="F91" s="159" t="s">
        <v>2016</v>
      </c>
      <c r="G91" s="160" t="s">
        <v>1815</v>
      </c>
      <c r="H91" s="172"/>
      <c r="I91" s="160"/>
      <c r="J91" s="160" t="s">
        <v>119</v>
      </c>
      <c r="K91" s="160" t="s">
        <v>114</v>
      </c>
      <c r="L91" s="160" t="s">
        <v>117</v>
      </c>
      <c r="M91" s="160">
        <v>0.0</v>
      </c>
      <c r="N91" s="160" t="s">
        <v>116</v>
      </c>
      <c r="O91" s="160">
        <v>1.0</v>
      </c>
      <c r="P91" s="160"/>
      <c r="Q91" s="160"/>
      <c r="R91" s="165" t="s">
        <v>115</v>
      </c>
      <c r="S91" s="173">
        <v>41813.0</v>
      </c>
      <c r="T91" s="165"/>
      <c r="U91" s="165" t="s">
        <v>2336</v>
      </c>
      <c r="V91" s="160" t="s">
        <v>2337</v>
      </c>
      <c r="W91" s="160"/>
      <c r="X91" s="160"/>
      <c r="Y91" s="160"/>
      <c r="Z91" s="160"/>
      <c r="AA91" s="167">
        <v>41774.0</v>
      </c>
      <c r="AB91" s="167">
        <v>41802.0</v>
      </c>
      <c r="AC91" s="160"/>
      <c r="AD91" s="160"/>
      <c r="AE91" s="160"/>
      <c r="AF91" s="165"/>
      <c r="AG91" s="160"/>
      <c r="AH91" s="169" t="s">
        <v>2071</v>
      </c>
      <c r="AI91" s="169"/>
      <c r="AJ91" s="160"/>
      <c r="AK91" s="160" t="s">
        <v>2163</v>
      </c>
      <c r="AL91" s="170">
        <f t="shared" si="3"/>
        <v>8</v>
      </c>
      <c r="AM91" s="171">
        <v>2014.0</v>
      </c>
    </row>
    <row r="92">
      <c r="A92" s="158">
        <f t="shared" si="1"/>
        <v>13067959</v>
      </c>
      <c r="B92" s="160">
        <v>106.0</v>
      </c>
      <c r="C92" s="160"/>
      <c r="D92" s="160" t="s">
        <v>1623</v>
      </c>
      <c r="E92" s="160" t="s">
        <v>1623</v>
      </c>
      <c r="F92" s="159" t="s">
        <v>2338</v>
      </c>
      <c r="G92" s="160" t="s">
        <v>1657</v>
      </c>
      <c r="H92" s="172">
        <v>13.0</v>
      </c>
      <c r="I92" s="160"/>
      <c r="J92" s="160" t="s">
        <v>112</v>
      </c>
      <c r="K92" s="160" t="s">
        <v>114</v>
      </c>
      <c r="L92" s="160" t="s">
        <v>117</v>
      </c>
      <c r="M92" s="160">
        <v>5.0</v>
      </c>
      <c r="N92" s="160" t="s">
        <v>122</v>
      </c>
      <c r="O92" s="160"/>
      <c r="P92" s="160">
        <v>1.0</v>
      </c>
      <c r="Q92" s="160"/>
      <c r="R92" s="165" t="s">
        <v>121</v>
      </c>
      <c r="S92" s="173">
        <v>41852.0</v>
      </c>
      <c r="T92" s="165" t="s">
        <v>2339</v>
      </c>
      <c r="U92" s="165"/>
      <c r="V92" s="160" t="s">
        <v>2340</v>
      </c>
      <c r="W92" s="160" t="s">
        <v>118</v>
      </c>
      <c r="X92" s="160" t="s">
        <v>2341</v>
      </c>
      <c r="Y92" s="160" t="s">
        <v>2102</v>
      </c>
      <c r="Z92" s="160"/>
      <c r="AA92" s="167">
        <v>41795.0</v>
      </c>
      <c r="AB92" s="167">
        <v>41802.0</v>
      </c>
      <c r="AC92" s="160">
        <v>13.0</v>
      </c>
      <c r="AD92" s="160" t="s">
        <v>114</v>
      </c>
      <c r="AE92" s="160"/>
      <c r="AF92" s="165" t="s">
        <v>1623</v>
      </c>
      <c r="AG92" s="160"/>
      <c r="AH92" s="169" t="s">
        <v>2071</v>
      </c>
      <c r="AI92" s="169"/>
      <c r="AJ92" s="160"/>
      <c r="AK92" s="160" t="s">
        <v>2157</v>
      </c>
      <c r="AL92" s="170">
        <f t="shared" si="3"/>
        <v>37</v>
      </c>
      <c r="AM92" s="171">
        <v>2014.0</v>
      </c>
    </row>
    <row r="93">
      <c r="A93" s="158">
        <f t="shared" si="1"/>
        <v>15794147</v>
      </c>
      <c r="B93" s="160">
        <v>57.0</v>
      </c>
      <c r="C93" s="160"/>
      <c r="D93" s="160" t="s">
        <v>1940</v>
      </c>
      <c r="E93" s="160" t="s">
        <v>1941</v>
      </c>
      <c r="F93" s="159" t="s">
        <v>1942</v>
      </c>
      <c r="G93" s="160" t="s">
        <v>2342</v>
      </c>
      <c r="H93" s="172">
        <v>13.0</v>
      </c>
      <c r="I93" s="160"/>
      <c r="J93" s="160" t="s">
        <v>112</v>
      </c>
      <c r="K93" s="160" t="s">
        <v>114</v>
      </c>
      <c r="L93" s="160" t="s">
        <v>117</v>
      </c>
      <c r="M93" s="160">
        <v>1.0</v>
      </c>
      <c r="N93" s="160" t="s">
        <v>122</v>
      </c>
      <c r="O93" s="160"/>
      <c r="P93" s="160">
        <v>1.0</v>
      </c>
      <c r="Q93" s="160">
        <v>0.0</v>
      </c>
      <c r="R93" s="165" t="s">
        <v>121</v>
      </c>
      <c r="S93" s="173">
        <v>41852.0</v>
      </c>
      <c r="T93" s="165" t="s">
        <v>2343</v>
      </c>
      <c r="U93" s="165"/>
      <c r="V93" s="160" t="s">
        <v>2344</v>
      </c>
      <c r="W93" s="160"/>
      <c r="X93" s="160"/>
      <c r="Y93" s="160"/>
      <c r="Z93" s="160"/>
      <c r="AA93" s="167">
        <v>41817.0</v>
      </c>
      <c r="AB93" s="167">
        <v>41823.0</v>
      </c>
      <c r="AC93" s="160"/>
      <c r="AD93" s="160"/>
      <c r="AE93" s="160"/>
      <c r="AF93" s="165" t="s">
        <v>2294</v>
      </c>
      <c r="AG93" s="160" t="s">
        <v>2345</v>
      </c>
      <c r="AH93" s="169" t="s">
        <v>2071</v>
      </c>
      <c r="AI93" s="169"/>
      <c r="AJ93" s="160"/>
      <c r="AK93" s="160" t="s">
        <v>1612</v>
      </c>
      <c r="AL93" s="170">
        <f t="shared" si="3"/>
        <v>22</v>
      </c>
      <c r="AM93" s="171">
        <v>2014.0</v>
      </c>
    </row>
    <row r="94">
      <c r="A94" s="158">
        <f t="shared" si="1"/>
        <v>13465223</v>
      </c>
      <c r="B94" s="160">
        <v>55.0</v>
      </c>
      <c r="C94" s="160"/>
      <c r="D94" s="160" t="s">
        <v>1615</v>
      </c>
      <c r="E94" s="160" t="s">
        <v>2209</v>
      </c>
      <c r="F94" s="159" t="s">
        <v>1897</v>
      </c>
      <c r="G94" s="160" t="s">
        <v>1898</v>
      </c>
      <c r="H94" s="172">
        <v>17.0</v>
      </c>
      <c r="I94" s="160"/>
      <c r="J94" s="160" t="s">
        <v>112</v>
      </c>
      <c r="K94" s="160" t="s">
        <v>120</v>
      </c>
      <c r="L94" s="160" t="s">
        <v>117</v>
      </c>
      <c r="M94" s="160">
        <v>1.0</v>
      </c>
      <c r="N94" s="160" t="s">
        <v>122</v>
      </c>
      <c r="O94" s="160"/>
      <c r="P94" s="160"/>
      <c r="Q94" s="160"/>
      <c r="R94" s="165" t="s">
        <v>121</v>
      </c>
      <c r="S94" s="173">
        <v>41852.0</v>
      </c>
      <c r="T94" s="165" t="s">
        <v>2019</v>
      </c>
      <c r="U94" s="165"/>
      <c r="V94" s="160" t="s">
        <v>2346</v>
      </c>
      <c r="W94" s="160"/>
      <c r="X94" s="160"/>
      <c r="Y94" s="160"/>
      <c r="Z94" s="160"/>
      <c r="AA94" s="167">
        <v>41820.0</v>
      </c>
      <c r="AB94" s="167">
        <v>41827.0</v>
      </c>
      <c r="AC94" s="160">
        <v>19.0</v>
      </c>
      <c r="AD94" s="160" t="s">
        <v>120</v>
      </c>
      <c r="AE94" s="160"/>
      <c r="AF94" s="165" t="s">
        <v>1871</v>
      </c>
      <c r="AG94" s="160"/>
      <c r="AH94" s="169" t="s">
        <v>2071</v>
      </c>
      <c r="AI94" s="169"/>
      <c r="AJ94" s="160"/>
      <c r="AK94" s="160" t="s">
        <v>1612</v>
      </c>
      <c r="AL94" s="170">
        <f t="shared" si="3"/>
        <v>20</v>
      </c>
      <c r="AM94" s="171">
        <v>2014.0</v>
      </c>
    </row>
    <row r="95">
      <c r="A95" s="158">
        <f t="shared" si="1"/>
        <v>15348018</v>
      </c>
      <c r="B95" s="160">
        <v>65.0</v>
      </c>
      <c r="C95" s="160"/>
      <c r="D95" s="160" t="s">
        <v>1627</v>
      </c>
      <c r="E95" s="160" t="s">
        <v>2307</v>
      </c>
      <c r="F95" s="159" t="s">
        <v>2009</v>
      </c>
      <c r="G95" s="160" t="s">
        <v>1862</v>
      </c>
      <c r="H95" s="172">
        <v>17.0</v>
      </c>
      <c r="I95" s="160"/>
      <c r="J95" s="160" t="s">
        <v>112</v>
      </c>
      <c r="K95" s="160" t="s">
        <v>125</v>
      </c>
      <c r="L95" s="160" t="s">
        <v>117</v>
      </c>
      <c r="M95" s="160">
        <v>0.0</v>
      </c>
      <c r="N95" s="160" t="s">
        <v>116</v>
      </c>
      <c r="O95" s="160">
        <v>8.0</v>
      </c>
      <c r="P95" s="160">
        <v>1.0</v>
      </c>
      <c r="Q95" s="160">
        <v>1.0</v>
      </c>
      <c r="R95" s="165" t="s">
        <v>115</v>
      </c>
      <c r="S95" s="173">
        <v>41869.0</v>
      </c>
      <c r="T95" s="165"/>
      <c r="U95" s="165" t="s">
        <v>2347</v>
      </c>
      <c r="V95" s="160" t="s">
        <v>2348</v>
      </c>
      <c r="W95" s="160"/>
      <c r="X95" s="160"/>
      <c r="Y95" s="160"/>
      <c r="Z95" s="160"/>
      <c r="AA95" s="167">
        <v>41823.0</v>
      </c>
      <c r="AB95" s="167">
        <v>41830.0</v>
      </c>
      <c r="AC95" s="160"/>
      <c r="AD95" s="160"/>
      <c r="AE95" s="160"/>
      <c r="AF95" s="165"/>
      <c r="AG95" s="160"/>
      <c r="AH95" s="169" t="s">
        <v>2071</v>
      </c>
      <c r="AI95" s="169"/>
      <c r="AJ95" s="160"/>
      <c r="AK95" s="160" t="s">
        <v>2157</v>
      </c>
      <c r="AL95" s="170">
        <f t="shared" si="3"/>
        <v>28</v>
      </c>
      <c r="AM95" s="171">
        <v>2014.0</v>
      </c>
    </row>
    <row r="96">
      <c r="A96" s="158">
        <f t="shared" si="1"/>
        <v>16122030</v>
      </c>
      <c r="B96" s="160">
        <v>73.0</v>
      </c>
      <c r="C96" s="160"/>
      <c r="D96" s="160" t="s">
        <v>1615</v>
      </c>
      <c r="E96" s="160" t="s">
        <v>2349</v>
      </c>
      <c r="F96" s="159" t="s">
        <v>1970</v>
      </c>
      <c r="G96" s="160" t="s">
        <v>1638</v>
      </c>
      <c r="H96" s="172">
        <v>23.0</v>
      </c>
      <c r="I96" s="160"/>
      <c r="J96" s="160" t="s">
        <v>112</v>
      </c>
      <c r="K96" s="160" t="s">
        <v>127</v>
      </c>
      <c r="L96" s="160" t="s">
        <v>117</v>
      </c>
      <c r="M96" s="160">
        <v>0.0</v>
      </c>
      <c r="N96" s="160" t="s">
        <v>116</v>
      </c>
      <c r="O96" s="160">
        <v>4.0</v>
      </c>
      <c r="P96" s="160">
        <v>1.0</v>
      </c>
      <c r="Q96" s="160">
        <v>1.0</v>
      </c>
      <c r="R96" s="165" t="s">
        <v>115</v>
      </c>
      <c r="S96" s="173">
        <v>41883.0</v>
      </c>
      <c r="T96" s="165"/>
      <c r="U96" s="165" t="s">
        <v>2350</v>
      </c>
      <c r="V96" s="160" t="s">
        <v>2351</v>
      </c>
      <c r="W96" s="160"/>
      <c r="X96" s="160"/>
      <c r="Y96" s="160"/>
      <c r="Z96" s="160"/>
      <c r="AA96" s="167">
        <v>41828.0</v>
      </c>
      <c r="AB96" s="167">
        <v>41835.0</v>
      </c>
      <c r="AC96" s="160"/>
      <c r="AD96" s="160"/>
      <c r="AE96" s="160"/>
      <c r="AF96" s="165"/>
      <c r="AG96" s="160"/>
      <c r="AH96" s="169" t="s">
        <v>2071</v>
      </c>
      <c r="AI96" s="169"/>
      <c r="AJ96" s="160"/>
      <c r="AK96" s="160" t="s">
        <v>1612</v>
      </c>
      <c r="AL96" s="170">
        <f t="shared" si="3"/>
        <v>35</v>
      </c>
      <c r="AM96" s="171">
        <v>2014.0</v>
      </c>
    </row>
    <row r="97">
      <c r="A97" s="158">
        <f t="shared" si="1"/>
        <v>15979607</v>
      </c>
      <c r="B97" s="160">
        <v>74.0</v>
      </c>
      <c r="C97" s="160"/>
      <c r="D97" s="160" t="s">
        <v>1627</v>
      </c>
      <c r="E97" s="160" t="s">
        <v>2036</v>
      </c>
      <c r="F97" s="159" t="s">
        <v>2098</v>
      </c>
      <c r="G97" s="160" t="s">
        <v>2352</v>
      </c>
      <c r="H97" s="172">
        <v>6.0</v>
      </c>
      <c r="I97" s="160"/>
      <c r="J97" s="160" t="s">
        <v>112</v>
      </c>
      <c r="K97" s="160" t="s">
        <v>114</v>
      </c>
      <c r="L97" s="160" t="s">
        <v>117</v>
      </c>
      <c r="M97" s="160">
        <v>3.0</v>
      </c>
      <c r="N97" s="160" t="s">
        <v>116</v>
      </c>
      <c r="O97" s="160">
        <v>9.0</v>
      </c>
      <c r="P97" s="160">
        <v>2.0</v>
      </c>
      <c r="Q97" s="160">
        <v>1.0</v>
      </c>
      <c r="R97" s="165" t="s">
        <v>121</v>
      </c>
      <c r="S97" s="173">
        <v>41883.0</v>
      </c>
      <c r="T97" s="165"/>
      <c r="U97" s="165" t="s">
        <v>2353</v>
      </c>
      <c r="V97" s="160" t="s">
        <v>2354</v>
      </c>
      <c r="W97" s="160"/>
      <c r="X97" s="160"/>
      <c r="Y97" s="160"/>
      <c r="Z97" s="160"/>
      <c r="AA97" s="167">
        <v>41829.0</v>
      </c>
      <c r="AB97" s="167">
        <v>41836.0</v>
      </c>
      <c r="AC97" s="160"/>
      <c r="AD97" s="160"/>
      <c r="AE97" s="160"/>
      <c r="AF97" s="165"/>
      <c r="AG97" s="160"/>
      <c r="AH97" s="169" t="s">
        <v>2071</v>
      </c>
      <c r="AI97" s="169"/>
      <c r="AJ97" s="160"/>
      <c r="AK97" s="160" t="s">
        <v>2163</v>
      </c>
      <c r="AL97" s="170">
        <f t="shared" si="3"/>
        <v>34</v>
      </c>
      <c r="AM97" s="171">
        <v>2014.0</v>
      </c>
    </row>
    <row r="98">
      <c r="A98" s="158">
        <f t="shared" si="1"/>
        <v>17986671</v>
      </c>
      <c r="B98" s="160">
        <v>75.0</v>
      </c>
      <c r="C98" s="160"/>
      <c r="D98" s="160" t="s">
        <v>1892</v>
      </c>
      <c r="E98" s="160" t="s">
        <v>1979</v>
      </c>
      <c r="F98" s="159" t="s">
        <v>2355</v>
      </c>
      <c r="G98" s="160" t="s">
        <v>2356</v>
      </c>
      <c r="H98" s="172">
        <v>17.0</v>
      </c>
      <c r="I98" s="160"/>
      <c r="J98" s="160" t="s">
        <v>112</v>
      </c>
      <c r="K98" s="160" t="s">
        <v>125</v>
      </c>
      <c r="L98" s="160" t="s">
        <v>117</v>
      </c>
      <c r="M98" s="160">
        <v>0.0</v>
      </c>
      <c r="N98" s="160" t="s">
        <v>116</v>
      </c>
      <c r="O98" s="160">
        <v>5.0</v>
      </c>
      <c r="P98" s="160">
        <v>2.0</v>
      </c>
      <c r="Q98" s="160">
        <v>1.0</v>
      </c>
      <c r="R98" s="165" t="s">
        <v>115</v>
      </c>
      <c r="S98" s="173">
        <v>41883.0</v>
      </c>
      <c r="T98" s="165"/>
      <c r="U98" s="165" t="s">
        <v>2357</v>
      </c>
      <c r="V98" s="160" t="s">
        <v>2358</v>
      </c>
      <c r="W98" s="160"/>
      <c r="X98" s="160"/>
      <c r="Y98" s="160"/>
      <c r="Z98" s="160"/>
      <c r="AA98" s="167">
        <v>41831.0</v>
      </c>
      <c r="AB98" s="167">
        <v>41838.0</v>
      </c>
      <c r="AC98" s="160"/>
      <c r="AD98" s="160"/>
      <c r="AE98" s="160"/>
      <c r="AF98" s="165"/>
      <c r="AG98" s="160"/>
      <c r="AH98" s="169" t="s">
        <v>2071</v>
      </c>
      <c r="AI98" s="169"/>
      <c r="AJ98" s="160"/>
      <c r="AK98" s="160" t="s">
        <v>1612</v>
      </c>
      <c r="AL98" s="170">
        <f t="shared" si="3"/>
        <v>32</v>
      </c>
      <c r="AM98" s="171">
        <v>2014.0</v>
      </c>
    </row>
    <row r="99">
      <c r="A99" s="158">
        <f t="shared" si="1"/>
        <v>17007590</v>
      </c>
      <c r="B99" s="160"/>
      <c r="C99" s="160"/>
      <c r="D99" s="160" t="s">
        <v>1892</v>
      </c>
      <c r="E99" s="160" t="s">
        <v>1979</v>
      </c>
      <c r="F99" s="159" t="s">
        <v>2355</v>
      </c>
      <c r="G99" s="160" t="s">
        <v>2356</v>
      </c>
      <c r="H99" s="162">
        <v>17.0</v>
      </c>
      <c r="I99" s="160"/>
      <c r="J99" s="160" t="s">
        <v>112</v>
      </c>
      <c r="K99" s="160" t="s">
        <v>125</v>
      </c>
      <c r="L99" s="160" t="s">
        <v>117</v>
      </c>
      <c r="M99" s="160">
        <v>0.0</v>
      </c>
      <c r="N99" s="160" t="s">
        <v>116</v>
      </c>
      <c r="O99" s="160">
        <v>5.0</v>
      </c>
      <c r="P99" s="160">
        <v>2.0</v>
      </c>
      <c r="Q99" s="160">
        <v>1.0</v>
      </c>
      <c r="R99" s="165" t="s">
        <v>115</v>
      </c>
      <c r="S99" s="173">
        <v>41883.0</v>
      </c>
      <c r="T99" s="165"/>
      <c r="U99" s="165" t="s">
        <v>2359</v>
      </c>
      <c r="V99" s="160" t="s">
        <v>2360</v>
      </c>
      <c r="W99" s="160"/>
      <c r="X99" s="160"/>
      <c r="Y99" s="160"/>
      <c r="Z99" s="160"/>
      <c r="AA99" s="167">
        <v>41831.0</v>
      </c>
      <c r="AB99" s="167">
        <v>41838.0</v>
      </c>
      <c r="AC99" s="160"/>
      <c r="AD99" s="160"/>
      <c r="AE99" s="160"/>
      <c r="AF99" s="165"/>
      <c r="AG99" s="160"/>
      <c r="AH99" s="169" t="s">
        <v>2071</v>
      </c>
      <c r="AI99" s="169"/>
      <c r="AJ99" s="160"/>
      <c r="AK99" s="160" t="s">
        <v>1612</v>
      </c>
      <c r="AL99" s="170">
        <f t="shared" si="3"/>
        <v>32</v>
      </c>
      <c r="AM99" s="171">
        <v>2014.0</v>
      </c>
    </row>
    <row r="100">
      <c r="A100" s="158">
        <f t="shared" si="1"/>
        <v>17167377</v>
      </c>
      <c r="B100" s="160">
        <v>76.0</v>
      </c>
      <c r="C100" s="160"/>
      <c r="D100" s="160" t="s">
        <v>1892</v>
      </c>
      <c r="E100" s="160" t="s">
        <v>1979</v>
      </c>
      <c r="F100" s="159" t="s">
        <v>2361</v>
      </c>
      <c r="G100" s="160" t="s">
        <v>2362</v>
      </c>
      <c r="H100" s="172">
        <v>13.0</v>
      </c>
      <c r="I100" s="160"/>
      <c r="J100" s="160" t="s">
        <v>112</v>
      </c>
      <c r="K100" s="160" t="s">
        <v>125</v>
      </c>
      <c r="L100" s="160" t="s">
        <v>117</v>
      </c>
      <c r="M100" s="160">
        <v>0.0</v>
      </c>
      <c r="N100" s="160" t="s">
        <v>116</v>
      </c>
      <c r="O100" s="160">
        <v>17.0</v>
      </c>
      <c r="P100" s="160">
        <v>2.0</v>
      </c>
      <c r="Q100" s="160">
        <v>1.0</v>
      </c>
      <c r="R100" s="165" t="s">
        <v>115</v>
      </c>
      <c r="S100" s="173">
        <v>41871.0</v>
      </c>
      <c r="T100" s="165"/>
      <c r="U100" s="165" t="s">
        <v>2363</v>
      </c>
      <c r="V100" s="160" t="s">
        <v>2364</v>
      </c>
      <c r="W100" s="160"/>
      <c r="X100" s="160"/>
      <c r="Y100" s="160"/>
      <c r="Z100" s="160"/>
      <c r="AA100" s="167">
        <v>41831.0</v>
      </c>
      <c r="AB100" s="167">
        <v>41838.0</v>
      </c>
      <c r="AC100" s="160"/>
      <c r="AD100" s="160"/>
      <c r="AE100" s="160"/>
      <c r="AF100" s="165"/>
      <c r="AG100" s="160"/>
      <c r="AH100" s="169" t="s">
        <v>2071</v>
      </c>
      <c r="AI100" s="169"/>
      <c r="AJ100" s="160"/>
      <c r="AK100" s="160" t="s">
        <v>2157</v>
      </c>
      <c r="AL100" s="170">
        <f t="shared" si="3"/>
        <v>24</v>
      </c>
      <c r="AM100" s="171">
        <v>2014.0</v>
      </c>
    </row>
    <row r="101">
      <c r="A101" s="158">
        <f t="shared" si="1"/>
        <v>14147405</v>
      </c>
      <c r="B101" s="160">
        <v>82.0</v>
      </c>
      <c r="C101" s="160"/>
      <c r="D101" s="160" t="s">
        <v>1642</v>
      </c>
      <c r="E101" s="160" t="s">
        <v>1975</v>
      </c>
      <c r="F101" s="159" t="s">
        <v>2067</v>
      </c>
      <c r="G101" s="160" t="s">
        <v>2365</v>
      </c>
      <c r="H101" s="172">
        <v>10.0</v>
      </c>
      <c r="I101" s="160"/>
      <c r="J101" s="160" t="s">
        <v>112</v>
      </c>
      <c r="K101" s="160" t="s">
        <v>114</v>
      </c>
      <c r="L101" s="160" t="s">
        <v>117</v>
      </c>
      <c r="M101" s="160">
        <v>2.0</v>
      </c>
      <c r="N101" s="160" t="s">
        <v>116</v>
      </c>
      <c r="O101" s="160">
        <v>32.0</v>
      </c>
      <c r="P101" s="160">
        <v>4.0</v>
      </c>
      <c r="Q101" s="160">
        <v>1.0</v>
      </c>
      <c r="R101" s="165" t="s">
        <v>115</v>
      </c>
      <c r="S101" s="173">
        <v>41911.0</v>
      </c>
      <c r="T101" s="165"/>
      <c r="U101" s="165" t="s">
        <v>2366</v>
      </c>
      <c r="V101" s="160" t="s">
        <v>2367</v>
      </c>
      <c r="W101" s="160"/>
      <c r="X101" s="160"/>
      <c r="Y101" s="160"/>
      <c r="Z101" s="160"/>
      <c r="AA101" s="167">
        <v>41831.0</v>
      </c>
      <c r="AB101" s="167">
        <v>41838.0</v>
      </c>
      <c r="AC101" s="160"/>
      <c r="AD101" s="160"/>
      <c r="AE101" s="160"/>
      <c r="AF101" s="165"/>
      <c r="AG101" s="160"/>
      <c r="AH101" s="169" t="s">
        <v>2071</v>
      </c>
      <c r="AI101" s="169"/>
      <c r="AJ101" s="160"/>
      <c r="AK101" s="160" t="s">
        <v>2163</v>
      </c>
      <c r="AL101" s="170">
        <f t="shared" si="3"/>
        <v>52</v>
      </c>
      <c r="AM101" s="171">
        <v>2014.0</v>
      </c>
    </row>
    <row r="102">
      <c r="A102" s="158">
        <f t="shared" si="1"/>
        <v>17543051</v>
      </c>
      <c r="B102" s="160">
        <v>108.0</v>
      </c>
      <c r="C102" s="160"/>
      <c r="D102" s="160" t="s">
        <v>1892</v>
      </c>
      <c r="E102" s="160" t="s">
        <v>1892</v>
      </c>
      <c r="F102" s="159" t="s">
        <v>2094</v>
      </c>
      <c r="G102" s="160" t="s">
        <v>1799</v>
      </c>
      <c r="H102" s="172">
        <v>10.0</v>
      </c>
      <c r="I102" s="160"/>
      <c r="J102" s="160" t="s">
        <v>112</v>
      </c>
      <c r="K102" s="160" t="s">
        <v>114</v>
      </c>
      <c r="L102" s="160" t="s">
        <v>117</v>
      </c>
      <c r="M102" s="160">
        <v>1.0</v>
      </c>
      <c r="N102" s="160" t="s">
        <v>116</v>
      </c>
      <c r="O102" s="160">
        <v>24.0</v>
      </c>
      <c r="P102" s="160">
        <v>2.0</v>
      </c>
      <c r="Q102" s="160">
        <v>1.0</v>
      </c>
      <c r="R102" s="165" t="s">
        <v>121</v>
      </c>
      <c r="S102" s="173">
        <v>41863.0</v>
      </c>
      <c r="T102" s="165"/>
      <c r="U102" s="165" t="s">
        <v>2368</v>
      </c>
      <c r="V102" s="160" t="s">
        <v>2369</v>
      </c>
      <c r="W102" s="160" t="s">
        <v>118</v>
      </c>
      <c r="X102" s="160"/>
      <c r="Y102" s="160"/>
      <c r="Z102" s="160"/>
      <c r="AA102" s="167">
        <v>41831.0</v>
      </c>
      <c r="AB102" s="167">
        <v>41838.0</v>
      </c>
      <c r="AC102" s="160"/>
      <c r="AD102" s="160"/>
      <c r="AE102" s="160"/>
      <c r="AF102" s="165"/>
      <c r="AG102" s="160"/>
      <c r="AH102" s="169" t="s">
        <v>2071</v>
      </c>
      <c r="AI102" s="169"/>
      <c r="AJ102" s="160"/>
      <c r="AK102" s="160" t="s">
        <v>1612</v>
      </c>
      <c r="AL102" s="170">
        <f t="shared" si="3"/>
        <v>18</v>
      </c>
      <c r="AM102" s="171">
        <v>2014.0</v>
      </c>
    </row>
    <row r="103">
      <c r="A103" s="158">
        <f t="shared" si="1"/>
        <v>15942362</v>
      </c>
      <c r="B103" s="160">
        <v>59.0</v>
      </c>
      <c r="C103" s="160"/>
      <c r="D103" s="160" t="s">
        <v>1615</v>
      </c>
      <c r="E103" s="160" t="s">
        <v>1615</v>
      </c>
      <c r="F103" s="159" t="s">
        <v>2216</v>
      </c>
      <c r="G103" s="160" t="s">
        <v>2370</v>
      </c>
      <c r="H103" s="172">
        <v>13.0</v>
      </c>
      <c r="I103" s="160"/>
      <c r="J103" s="160" t="s">
        <v>112</v>
      </c>
      <c r="K103" s="160" t="s">
        <v>120</v>
      </c>
      <c r="L103" s="160" t="s">
        <v>117</v>
      </c>
      <c r="M103" s="160">
        <v>4.0</v>
      </c>
      <c r="N103" s="160" t="s">
        <v>116</v>
      </c>
      <c r="O103" s="160">
        <v>26.0</v>
      </c>
      <c r="P103" s="160">
        <v>1.0</v>
      </c>
      <c r="Q103" s="160">
        <v>1.0</v>
      </c>
      <c r="R103" s="165" t="s">
        <v>121</v>
      </c>
      <c r="S103" s="173">
        <v>41852.0</v>
      </c>
      <c r="T103" s="165"/>
      <c r="U103" s="165" t="s">
        <v>2371</v>
      </c>
      <c r="V103" s="160" t="s">
        <v>2372</v>
      </c>
      <c r="W103" s="160"/>
      <c r="X103" s="160"/>
      <c r="Y103" s="160"/>
      <c r="Z103" s="160"/>
      <c r="AA103" s="167">
        <v>41746.0</v>
      </c>
      <c r="AB103" s="167">
        <v>41844.0</v>
      </c>
      <c r="AC103" s="160"/>
      <c r="AD103" s="160"/>
      <c r="AE103" s="160"/>
      <c r="AF103" s="165"/>
      <c r="AG103" s="160"/>
      <c r="AH103" s="169" t="s">
        <v>2071</v>
      </c>
      <c r="AI103" s="169"/>
      <c r="AJ103" s="160"/>
      <c r="AK103" s="160" t="s">
        <v>1612</v>
      </c>
      <c r="AL103" s="170">
        <f t="shared" si="3"/>
        <v>7</v>
      </c>
      <c r="AM103" s="171">
        <v>2014.0</v>
      </c>
    </row>
    <row r="104">
      <c r="A104" s="158">
        <f t="shared" si="1"/>
        <v>17190373</v>
      </c>
      <c r="B104" s="160">
        <v>60.0</v>
      </c>
      <c r="C104" s="160"/>
      <c r="D104" s="160" t="s">
        <v>1615</v>
      </c>
      <c r="E104" s="160" t="s">
        <v>1615</v>
      </c>
      <c r="F104" s="159" t="s">
        <v>1910</v>
      </c>
      <c r="G104" s="160" t="s">
        <v>2373</v>
      </c>
      <c r="H104" s="172">
        <v>17.0</v>
      </c>
      <c r="I104" s="160"/>
      <c r="J104" s="160" t="s">
        <v>112</v>
      </c>
      <c r="K104" s="160" t="s">
        <v>120</v>
      </c>
      <c r="L104" s="160" t="s">
        <v>117</v>
      </c>
      <c r="M104" s="160">
        <v>1.0</v>
      </c>
      <c r="N104" s="160" t="s">
        <v>116</v>
      </c>
      <c r="O104" s="160">
        <v>5.0</v>
      </c>
      <c r="P104" s="160">
        <v>1.0</v>
      </c>
      <c r="Q104" s="160">
        <v>1.0</v>
      </c>
      <c r="R104" s="165" t="s">
        <v>121</v>
      </c>
      <c r="S104" s="173">
        <v>41852.0</v>
      </c>
      <c r="T104" s="165"/>
      <c r="U104" s="165" t="s">
        <v>2374</v>
      </c>
      <c r="V104" s="160" t="s">
        <v>2375</v>
      </c>
      <c r="W104" s="160"/>
      <c r="X104" s="160"/>
      <c r="Y104" s="160"/>
      <c r="Z104" s="160"/>
      <c r="AA104" s="167">
        <v>41745.0</v>
      </c>
      <c r="AB104" s="167">
        <v>41844.0</v>
      </c>
      <c r="AC104" s="160"/>
      <c r="AD104" s="160"/>
      <c r="AE104" s="160"/>
      <c r="AF104" s="165"/>
      <c r="AG104" s="160"/>
      <c r="AH104" s="169" t="s">
        <v>2071</v>
      </c>
      <c r="AI104" s="169"/>
      <c r="AJ104" s="160"/>
      <c r="AK104" s="160" t="s">
        <v>1612</v>
      </c>
      <c r="AL104" s="170">
        <f t="shared" si="3"/>
        <v>7</v>
      </c>
      <c r="AM104" s="171">
        <v>2014.0</v>
      </c>
    </row>
    <row r="105">
      <c r="A105" s="158">
        <f t="shared" si="1"/>
        <v>8754079</v>
      </c>
      <c r="B105" s="4">
        <v>61.0</v>
      </c>
      <c r="C105" s="4"/>
      <c r="D105" s="4" t="s">
        <v>1615</v>
      </c>
      <c r="E105" s="4" t="s">
        <v>1615</v>
      </c>
      <c r="F105" s="184" t="s">
        <v>1910</v>
      </c>
      <c r="G105" s="4" t="s">
        <v>2190</v>
      </c>
      <c r="H105" s="185">
        <v>17.0</v>
      </c>
      <c r="I105" s="4"/>
      <c r="J105" s="4" t="s">
        <v>112</v>
      </c>
      <c r="K105" s="4" t="s">
        <v>120</v>
      </c>
      <c r="L105" s="4" t="s">
        <v>117</v>
      </c>
      <c r="M105" s="4">
        <v>2.0</v>
      </c>
      <c r="N105" s="4" t="s">
        <v>116</v>
      </c>
      <c r="O105" s="4">
        <v>5.0</v>
      </c>
      <c r="P105" s="160">
        <v>1.0</v>
      </c>
      <c r="Q105" s="160">
        <v>1.0</v>
      </c>
      <c r="R105" s="165" t="s">
        <v>121</v>
      </c>
      <c r="S105" s="173">
        <v>41852.0</v>
      </c>
      <c r="T105" s="165"/>
      <c r="U105" s="165" t="s">
        <v>2376</v>
      </c>
      <c r="V105" s="160" t="s">
        <v>2377</v>
      </c>
      <c r="W105" s="160"/>
      <c r="X105" s="160"/>
      <c r="Y105" s="160"/>
      <c r="Z105" s="160"/>
      <c r="AA105" s="167">
        <v>41745.0</v>
      </c>
      <c r="AB105" s="167">
        <v>41844.0</v>
      </c>
      <c r="AC105" s="160"/>
      <c r="AD105" s="160"/>
      <c r="AE105" s="160"/>
      <c r="AF105" s="165"/>
      <c r="AG105" s="160"/>
      <c r="AH105" s="169" t="s">
        <v>2071</v>
      </c>
      <c r="AI105" s="169"/>
      <c r="AJ105" s="160"/>
      <c r="AK105" s="160" t="s">
        <v>1612</v>
      </c>
      <c r="AL105" s="170">
        <f t="shared" si="3"/>
        <v>7</v>
      </c>
      <c r="AM105" s="171">
        <v>2014.0</v>
      </c>
    </row>
    <row r="106">
      <c r="A106" s="158">
        <f t="shared" si="1"/>
        <v>13680355</v>
      </c>
      <c r="B106" s="4">
        <v>78.0</v>
      </c>
      <c r="C106" s="4"/>
      <c r="D106" s="4" t="s">
        <v>1618</v>
      </c>
      <c r="E106" s="4" t="s">
        <v>1622</v>
      </c>
      <c r="F106" s="184" t="s">
        <v>1910</v>
      </c>
      <c r="G106" s="4" t="s">
        <v>1664</v>
      </c>
      <c r="H106" s="185">
        <v>17.0</v>
      </c>
      <c r="I106" s="4"/>
      <c r="J106" s="4" t="s">
        <v>112</v>
      </c>
      <c r="K106" s="4" t="s">
        <v>120</v>
      </c>
      <c r="L106" s="4" t="s">
        <v>117</v>
      </c>
      <c r="M106" s="4">
        <v>0.0</v>
      </c>
      <c r="N106" s="4" t="s">
        <v>116</v>
      </c>
      <c r="O106" s="4">
        <v>6.0</v>
      </c>
      <c r="P106" s="160">
        <v>1.0</v>
      </c>
      <c r="Q106" s="160">
        <v>1.0</v>
      </c>
      <c r="R106" s="165" t="s">
        <v>121</v>
      </c>
      <c r="S106" s="173">
        <v>41883.0</v>
      </c>
      <c r="T106" s="165"/>
      <c r="U106" s="165" t="s">
        <v>2378</v>
      </c>
      <c r="V106" s="160" t="s">
        <v>2379</v>
      </c>
      <c r="W106" s="160" t="s">
        <v>118</v>
      </c>
      <c r="X106" s="160"/>
      <c r="Y106" s="160"/>
      <c r="Z106" s="160"/>
      <c r="AA106" s="167">
        <v>41837.0</v>
      </c>
      <c r="AB106" s="167">
        <v>41844.0</v>
      </c>
      <c r="AC106" s="160"/>
      <c r="AD106" s="160"/>
      <c r="AE106" s="160"/>
      <c r="AF106" s="165"/>
      <c r="AG106" s="160"/>
      <c r="AH106" s="169" t="s">
        <v>2071</v>
      </c>
      <c r="AI106" s="169"/>
      <c r="AJ106" s="160"/>
      <c r="AK106" s="160" t="s">
        <v>1612</v>
      </c>
      <c r="AL106" s="170">
        <f t="shared" si="3"/>
        <v>28</v>
      </c>
      <c r="AM106" s="171">
        <v>2014.0</v>
      </c>
    </row>
    <row r="107">
      <c r="A107" s="158">
        <f t="shared" si="1"/>
        <v>11649015</v>
      </c>
      <c r="B107" s="4">
        <v>107.0</v>
      </c>
      <c r="C107" s="4"/>
      <c r="D107" s="4" t="s">
        <v>1642</v>
      </c>
      <c r="E107" s="4" t="s">
        <v>2380</v>
      </c>
      <c r="F107" s="184" t="s">
        <v>2196</v>
      </c>
      <c r="G107" s="4" t="s">
        <v>2197</v>
      </c>
      <c r="H107" s="185">
        <v>17.0</v>
      </c>
      <c r="I107" s="4"/>
      <c r="J107" s="4" t="s">
        <v>112</v>
      </c>
      <c r="K107" s="4" t="s">
        <v>120</v>
      </c>
      <c r="L107" s="4" t="s">
        <v>117</v>
      </c>
      <c r="M107" s="4">
        <v>3.0</v>
      </c>
      <c r="N107" s="4" t="s">
        <v>122</v>
      </c>
      <c r="O107" s="4"/>
      <c r="P107" s="160">
        <v>2.0</v>
      </c>
      <c r="Q107" s="160"/>
      <c r="R107" s="165" t="s">
        <v>121</v>
      </c>
      <c r="S107" s="173">
        <v>41883.0</v>
      </c>
      <c r="T107" s="165" t="s">
        <v>2155</v>
      </c>
      <c r="U107" s="165"/>
      <c r="V107" s="160" t="s">
        <v>2156</v>
      </c>
      <c r="W107" s="160" t="s">
        <v>118</v>
      </c>
      <c r="X107" s="160" t="s">
        <v>2381</v>
      </c>
      <c r="Y107" s="160"/>
      <c r="Z107" s="160"/>
      <c r="AA107" s="167">
        <v>41837.0</v>
      </c>
      <c r="AB107" s="167">
        <v>41844.0</v>
      </c>
      <c r="AC107" s="160">
        <v>20.0</v>
      </c>
      <c r="AD107" s="160" t="s">
        <v>120</v>
      </c>
      <c r="AE107" s="160"/>
      <c r="AF107" s="165" t="s">
        <v>1637</v>
      </c>
      <c r="AG107" s="160"/>
      <c r="AH107" s="169" t="s">
        <v>2071</v>
      </c>
      <c r="AI107" s="169"/>
      <c r="AJ107" s="160"/>
      <c r="AK107" s="160" t="s">
        <v>2157</v>
      </c>
      <c r="AL107" s="170">
        <f t="shared" si="3"/>
        <v>28</v>
      </c>
      <c r="AM107" s="171">
        <v>2014.0</v>
      </c>
    </row>
    <row r="108">
      <c r="A108" s="158">
        <f t="shared" si="1"/>
        <v>12240420</v>
      </c>
      <c r="B108" s="4">
        <v>79.0</v>
      </c>
      <c r="C108" s="4"/>
      <c r="D108" s="4" t="s">
        <v>1618</v>
      </c>
      <c r="E108" s="4" t="s">
        <v>1618</v>
      </c>
      <c r="F108" s="184" t="s">
        <v>2382</v>
      </c>
      <c r="G108" s="4" t="s">
        <v>2383</v>
      </c>
      <c r="H108" s="185">
        <v>20.0</v>
      </c>
      <c r="I108" s="4"/>
      <c r="J108" s="4" t="s">
        <v>112</v>
      </c>
      <c r="K108" s="4" t="s">
        <v>125</v>
      </c>
      <c r="L108" s="4" t="s">
        <v>117</v>
      </c>
      <c r="M108" s="4">
        <v>0.0</v>
      </c>
      <c r="N108" s="4" t="s">
        <v>116</v>
      </c>
      <c r="O108" s="4">
        <v>2.0</v>
      </c>
      <c r="P108" s="160">
        <v>2.0</v>
      </c>
      <c r="Q108" s="160">
        <v>2.0</v>
      </c>
      <c r="R108" s="165" t="s">
        <v>115</v>
      </c>
      <c r="S108" s="173">
        <v>41883.0</v>
      </c>
      <c r="T108" s="165"/>
      <c r="U108" s="165" t="s">
        <v>2384</v>
      </c>
      <c r="V108" s="160" t="s">
        <v>2385</v>
      </c>
      <c r="W108" s="160" t="s">
        <v>118</v>
      </c>
      <c r="X108" s="160"/>
      <c r="Y108" s="160"/>
      <c r="Z108" s="160"/>
      <c r="AA108" s="167">
        <v>41843.0</v>
      </c>
      <c r="AB108" s="167">
        <v>41850.0</v>
      </c>
      <c r="AC108" s="160"/>
      <c r="AD108" s="160"/>
      <c r="AE108" s="160"/>
      <c r="AF108" s="165"/>
      <c r="AG108" s="160"/>
      <c r="AH108" s="169" t="s">
        <v>2071</v>
      </c>
      <c r="AI108" s="169"/>
      <c r="AJ108" s="160"/>
      <c r="AK108" s="160" t="s">
        <v>2157</v>
      </c>
      <c r="AL108" s="170">
        <f t="shared" si="3"/>
        <v>24</v>
      </c>
      <c r="AM108" s="171">
        <v>2014.0</v>
      </c>
    </row>
    <row r="109">
      <c r="A109" s="158">
        <f t="shared" si="1"/>
        <v>15539457</v>
      </c>
      <c r="B109" s="4"/>
      <c r="C109" s="4"/>
      <c r="D109" s="4" t="s">
        <v>1618</v>
      </c>
      <c r="E109" s="4" t="s">
        <v>1618</v>
      </c>
      <c r="F109" s="184" t="s">
        <v>2382</v>
      </c>
      <c r="G109" s="4" t="s">
        <v>2383</v>
      </c>
      <c r="H109" s="186">
        <v>20.0</v>
      </c>
      <c r="I109" s="4"/>
      <c r="J109" s="4" t="s">
        <v>112</v>
      </c>
      <c r="K109" s="4" t="s">
        <v>125</v>
      </c>
      <c r="L109" s="4" t="s">
        <v>117</v>
      </c>
      <c r="M109" s="4">
        <v>0.0</v>
      </c>
      <c r="N109" s="4" t="s">
        <v>116</v>
      </c>
      <c r="O109" s="4">
        <v>2.0</v>
      </c>
      <c r="P109" s="160">
        <v>2.0</v>
      </c>
      <c r="Q109" s="160">
        <v>2.0</v>
      </c>
      <c r="R109" s="165" t="s">
        <v>115</v>
      </c>
      <c r="S109" s="173">
        <v>41883.0</v>
      </c>
      <c r="T109" s="165"/>
      <c r="U109" s="165" t="s">
        <v>2386</v>
      </c>
      <c r="V109" s="160" t="s">
        <v>2387</v>
      </c>
      <c r="W109" s="160"/>
      <c r="X109" s="160"/>
      <c r="Y109" s="160"/>
      <c r="Z109" s="160"/>
      <c r="AA109" s="167">
        <v>41843.0</v>
      </c>
      <c r="AB109" s="167">
        <v>41850.0</v>
      </c>
      <c r="AC109" s="160"/>
      <c r="AD109" s="160"/>
      <c r="AE109" s="160"/>
      <c r="AF109" s="165"/>
      <c r="AG109" s="160"/>
      <c r="AH109" s="169" t="s">
        <v>2071</v>
      </c>
      <c r="AI109" s="169"/>
      <c r="AJ109" s="160"/>
      <c r="AK109" s="160" t="s">
        <v>2157</v>
      </c>
      <c r="AL109" s="170">
        <f t="shared" si="3"/>
        <v>24</v>
      </c>
      <c r="AM109" s="171">
        <v>2014.0</v>
      </c>
    </row>
    <row r="110">
      <c r="A110" s="158">
        <f t="shared" si="1"/>
        <v>12688602</v>
      </c>
      <c r="B110" s="4">
        <v>71.0</v>
      </c>
      <c r="C110" s="4"/>
      <c r="D110" s="4" t="s">
        <v>1598</v>
      </c>
      <c r="E110" s="4" t="s">
        <v>1871</v>
      </c>
      <c r="F110" s="184" t="s">
        <v>1910</v>
      </c>
      <c r="G110" s="4" t="s">
        <v>2244</v>
      </c>
      <c r="H110" s="185">
        <v>17.0</v>
      </c>
      <c r="I110" s="4"/>
      <c r="J110" s="4" t="s">
        <v>112</v>
      </c>
      <c r="K110" s="4" t="s">
        <v>120</v>
      </c>
      <c r="L110" s="4" t="s">
        <v>117</v>
      </c>
      <c r="M110" s="4">
        <v>1.0</v>
      </c>
      <c r="N110" s="4" t="s">
        <v>122</v>
      </c>
      <c r="O110" s="4"/>
      <c r="P110" s="160">
        <v>1.0</v>
      </c>
      <c r="Q110" s="160"/>
      <c r="R110" s="165" t="s">
        <v>121</v>
      </c>
      <c r="S110" s="173">
        <v>41869.0</v>
      </c>
      <c r="T110" s="165" t="s">
        <v>2388</v>
      </c>
      <c r="U110" s="165"/>
      <c r="V110" s="160" t="s">
        <v>2389</v>
      </c>
      <c r="W110" s="160"/>
      <c r="X110" s="160"/>
      <c r="Y110" s="160"/>
      <c r="Z110" s="160"/>
      <c r="AA110" s="167">
        <v>41848.0</v>
      </c>
      <c r="AB110" s="167">
        <v>41851.0</v>
      </c>
      <c r="AC110" s="160">
        <v>17.0</v>
      </c>
      <c r="AD110" s="160" t="s">
        <v>120</v>
      </c>
      <c r="AE110" s="160"/>
      <c r="AF110" s="165" t="s">
        <v>1643</v>
      </c>
      <c r="AG110" s="160"/>
      <c r="AH110" s="169" t="s">
        <v>2071</v>
      </c>
      <c r="AI110" s="169"/>
      <c r="AJ110" s="160"/>
      <c r="AK110" s="160" t="s">
        <v>1612</v>
      </c>
      <c r="AL110" s="170">
        <f t="shared" si="3"/>
        <v>13</v>
      </c>
      <c r="AM110" s="171">
        <v>2014.0</v>
      </c>
    </row>
    <row r="111">
      <c r="A111" s="158">
        <f t="shared" si="1"/>
        <v>15636029</v>
      </c>
      <c r="B111" s="4">
        <v>88.0</v>
      </c>
      <c r="C111" s="4"/>
      <c r="D111" s="4" t="s">
        <v>1602</v>
      </c>
      <c r="E111" s="4" t="s">
        <v>2220</v>
      </c>
      <c r="F111" s="184" t="s">
        <v>2390</v>
      </c>
      <c r="G111" s="4" t="s">
        <v>2391</v>
      </c>
      <c r="H111" s="185">
        <v>14.0</v>
      </c>
      <c r="I111" s="4"/>
      <c r="J111" s="4" t="s">
        <v>112</v>
      </c>
      <c r="K111" s="4" t="s">
        <v>125</v>
      </c>
      <c r="L111" s="4" t="s">
        <v>117</v>
      </c>
      <c r="M111" s="4">
        <v>2.0</v>
      </c>
      <c r="N111" s="4" t="s">
        <v>116</v>
      </c>
      <c r="O111" s="4">
        <v>5.0</v>
      </c>
      <c r="P111" s="160">
        <v>1.0</v>
      </c>
      <c r="Q111" s="160">
        <v>3.0</v>
      </c>
      <c r="R111" s="165" t="s">
        <v>115</v>
      </c>
      <c r="S111" s="173">
        <v>41927.0</v>
      </c>
      <c r="T111" s="165"/>
      <c r="U111" s="165" t="s">
        <v>2392</v>
      </c>
      <c r="V111" s="160" t="s">
        <v>2393</v>
      </c>
      <c r="W111" s="160"/>
      <c r="X111" s="160"/>
      <c r="Y111" s="160"/>
      <c r="Z111" s="160"/>
      <c r="AA111" s="167">
        <v>41844.0</v>
      </c>
      <c r="AB111" s="167">
        <v>41851.0</v>
      </c>
      <c r="AC111" s="160"/>
      <c r="AD111" s="160"/>
      <c r="AE111" s="160"/>
      <c r="AF111" s="165"/>
      <c r="AG111" s="160"/>
      <c r="AH111" s="169" t="s">
        <v>2071</v>
      </c>
      <c r="AI111" s="169"/>
      <c r="AJ111" s="160"/>
      <c r="AK111" s="160" t="s">
        <v>2157</v>
      </c>
      <c r="AL111" s="170">
        <f t="shared" si="3"/>
        <v>55</v>
      </c>
      <c r="AM111" s="171">
        <v>2014.0</v>
      </c>
    </row>
    <row r="112">
      <c r="A112" s="158">
        <f t="shared" si="1"/>
        <v>19283391</v>
      </c>
      <c r="B112" s="4">
        <v>89.0</v>
      </c>
      <c r="C112" s="4"/>
      <c r="D112" s="4" t="s">
        <v>1637</v>
      </c>
      <c r="E112" s="4" t="s">
        <v>1637</v>
      </c>
      <c r="F112" s="184" t="s">
        <v>1910</v>
      </c>
      <c r="G112" s="4" t="s">
        <v>1913</v>
      </c>
      <c r="H112" s="185">
        <v>17.0</v>
      </c>
      <c r="I112" s="4"/>
      <c r="J112" s="4" t="s">
        <v>112</v>
      </c>
      <c r="K112" s="4" t="s">
        <v>120</v>
      </c>
      <c r="L112" s="4" t="s">
        <v>117</v>
      </c>
      <c r="M112" s="4">
        <v>0.0</v>
      </c>
      <c r="N112" s="4" t="s">
        <v>116</v>
      </c>
      <c r="O112" s="4">
        <v>18.0</v>
      </c>
      <c r="P112" s="160">
        <v>1.0</v>
      </c>
      <c r="Q112" s="160">
        <v>1.0</v>
      </c>
      <c r="R112" s="165" t="s">
        <v>121</v>
      </c>
      <c r="S112" s="173">
        <v>41944.0</v>
      </c>
      <c r="T112" s="165"/>
      <c r="U112" s="165" t="s">
        <v>2394</v>
      </c>
      <c r="V112" s="160" t="s">
        <v>2395</v>
      </c>
      <c r="W112" s="160" t="s">
        <v>118</v>
      </c>
      <c r="X112" s="160"/>
      <c r="Y112" s="160"/>
      <c r="Z112" s="160"/>
      <c r="AA112" s="167">
        <v>41858.0</v>
      </c>
      <c r="AB112" s="167">
        <v>41865.0</v>
      </c>
      <c r="AC112" s="160"/>
      <c r="AD112" s="160"/>
      <c r="AE112" s="160"/>
      <c r="AF112" s="165"/>
      <c r="AG112" s="160"/>
      <c r="AH112" s="169" t="s">
        <v>2071</v>
      </c>
      <c r="AI112" s="169"/>
      <c r="AJ112" s="160"/>
      <c r="AK112" s="160" t="s">
        <v>1612</v>
      </c>
      <c r="AL112" s="170">
        <f t="shared" si="3"/>
        <v>57</v>
      </c>
      <c r="AM112" s="171">
        <v>2014.0</v>
      </c>
    </row>
    <row r="113">
      <c r="A113" s="158">
        <f t="shared" si="1"/>
        <v>18463575</v>
      </c>
      <c r="B113" s="4">
        <v>80.0</v>
      </c>
      <c r="C113" s="4"/>
      <c r="D113" s="4" t="s">
        <v>1598</v>
      </c>
      <c r="E113" s="4" t="s">
        <v>1871</v>
      </c>
      <c r="F113" s="184" t="s">
        <v>1970</v>
      </c>
      <c r="G113" s="4" t="s">
        <v>1638</v>
      </c>
      <c r="H113" s="185">
        <v>23.0</v>
      </c>
      <c r="I113" s="4"/>
      <c r="J113" s="4" t="s">
        <v>112</v>
      </c>
      <c r="K113" s="4" t="s">
        <v>127</v>
      </c>
      <c r="L113" s="4" t="s">
        <v>117</v>
      </c>
      <c r="M113" s="4">
        <v>0.0</v>
      </c>
      <c r="N113" s="4" t="s">
        <v>116</v>
      </c>
      <c r="O113" s="4">
        <v>19.0</v>
      </c>
      <c r="P113" s="160">
        <v>3.0</v>
      </c>
      <c r="Q113" s="160">
        <v>1.0</v>
      </c>
      <c r="R113" s="165" t="s">
        <v>121</v>
      </c>
      <c r="S113" s="173">
        <v>41907.0</v>
      </c>
      <c r="T113" s="165"/>
      <c r="U113" s="165" t="s">
        <v>2396</v>
      </c>
      <c r="V113" s="160" t="s">
        <v>2397</v>
      </c>
      <c r="W113" s="160"/>
      <c r="X113" s="160"/>
      <c r="Y113" s="160"/>
      <c r="Z113" s="160"/>
      <c r="AA113" s="167">
        <v>41862.0</v>
      </c>
      <c r="AB113" s="167">
        <v>41869.0</v>
      </c>
      <c r="AC113" s="160"/>
      <c r="AD113" s="160"/>
      <c r="AE113" s="160"/>
      <c r="AF113" s="165"/>
      <c r="AG113" s="160"/>
      <c r="AH113" s="169" t="s">
        <v>2071</v>
      </c>
      <c r="AI113" s="169"/>
      <c r="AJ113" s="160"/>
      <c r="AK113" s="160" t="s">
        <v>2157</v>
      </c>
      <c r="AL113" s="170">
        <f t="shared" si="3"/>
        <v>29</v>
      </c>
      <c r="AM113" s="171">
        <v>2014.0</v>
      </c>
    </row>
    <row r="114">
      <c r="A114" s="158">
        <f t="shared" si="1"/>
        <v>12249498</v>
      </c>
      <c r="B114" s="4">
        <v>81.0</v>
      </c>
      <c r="C114" s="4"/>
      <c r="D114" s="4" t="s">
        <v>1642</v>
      </c>
      <c r="E114" s="4" t="s">
        <v>2195</v>
      </c>
      <c r="F114" s="184" t="s">
        <v>1968</v>
      </c>
      <c r="G114" s="4" t="s">
        <v>1816</v>
      </c>
      <c r="H114" s="185">
        <v>20.0</v>
      </c>
      <c r="I114" s="4"/>
      <c r="J114" s="4" t="s">
        <v>112</v>
      </c>
      <c r="K114" s="4" t="s">
        <v>120</v>
      </c>
      <c r="L114" s="4" t="s">
        <v>117</v>
      </c>
      <c r="M114" s="4">
        <v>1.0</v>
      </c>
      <c r="N114" s="4" t="s">
        <v>122</v>
      </c>
      <c r="O114" s="4"/>
      <c r="P114" s="160">
        <v>1.0</v>
      </c>
      <c r="Q114" s="160">
        <v>0.0</v>
      </c>
      <c r="R114" s="165" t="s">
        <v>121</v>
      </c>
      <c r="S114" s="173">
        <v>41905.0</v>
      </c>
      <c r="T114" s="165" t="s">
        <v>2398</v>
      </c>
      <c r="U114" s="165"/>
      <c r="V114" s="160" t="s">
        <v>2399</v>
      </c>
      <c r="W114" s="160" t="s">
        <v>118</v>
      </c>
      <c r="X114" s="160"/>
      <c r="Y114" s="160" t="s">
        <v>2102</v>
      </c>
      <c r="Z114" s="160"/>
      <c r="AA114" s="167">
        <v>41864.0</v>
      </c>
      <c r="AB114" s="167">
        <v>41871.0</v>
      </c>
      <c r="AC114" s="160">
        <v>21.0</v>
      </c>
      <c r="AD114" s="160" t="s">
        <v>127</v>
      </c>
      <c r="AE114" s="160"/>
      <c r="AF114" s="165" t="s">
        <v>1642</v>
      </c>
      <c r="AG114" s="160"/>
      <c r="AH114" s="169" t="s">
        <v>2071</v>
      </c>
      <c r="AI114" s="169"/>
      <c r="AJ114" s="160"/>
      <c r="AK114" s="160" t="s">
        <v>1612</v>
      </c>
      <c r="AL114" s="170">
        <f t="shared" si="3"/>
        <v>25</v>
      </c>
      <c r="AM114" s="171">
        <v>2014.0</v>
      </c>
    </row>
    <row r="115">
      <c r="A115" s="158">
        <f t="shared" si="1"/>
        <v>17411947</v>
      </c>
      <c r="B115" s="160">
        <v>111.0</v>
      </c>
      <c r="C115" s="160"/>
      <c r="D115" s="160" t="s">
        <v>1615</v>
      </c>
      <c r="E115" s="160" t="s">
        <v>2349</v>
      </c>
      <c r="F115" s="159" t="s">
        <v>1918</v>
      </c>
      <c r="G115" s="160" t="s">
        <v>2400</v>
      </c>
      <c r="H115" s="172">
        <v>17.0</v>
      </c>
      <c r="I115" s="160"/>
      <c r="J115" s="160" t="s">
        <v>112</v>
      </c>
      <c r="K115" s="160" t="s">
        <v>125</v>
      </c>
      <c r="L115" s="160" t="s">
        <v>117</v>
      </c>
      <c r="M115" s="160">
        <v>1.0</v>
      </c>
      <c r="N115" s="160" t="s">
        <v>116</v>
      </c>
      <c r="O115" s="160">
        <v>4.0</v>
      </c>
      <c r="P115" s="160">
        <v>1.0</v>
      </c>
      <c r="Q115" s="160">
        <v>2.0</v>
      </c>
      <c r="R115" s="165" t="s">
        <v>115</v>
      </c>
      <c r="S115" s="173">
        <v>41915.0</v>
      </c>
      <c r="T115" s="165"/>
      <c r="U115" s="165" t="s">
        <v>2401</v>
      </c>
      <c r="V115" s="160" t="s">
        <v>2402</v>
      </c>
      <c r="W115" s="160" t="s">
        <v>123</v>
      </c>
      <c r="X115" s="160"/>
      <c r="Y115" s="160"/>
      <c r="Z115" s="160"/>
      <c r="AA115" s="167">
        <v>41869.0</v>
      </c>
      <c r="AB115" s="167">
        <v>41876.0</v>
      </c>
      <c r="AC115" s="160"/>
      <c r="AD115" s="160"/>
      <c r="AE115" s="160"/>
      <c r="AF115" s="165"/>
      <c r="AG115" s="160"/>
      <c r="AH115" s="169" t="s">
        <v>2071</v>
      </c>
      <c r="AI115" s="169"/>
      <c r="AJ115" s="160"/>
      <c r="AK115" s="160" t="s">
        <v>2163</v>
      </c>
      <c r="AL115" s="170">
        <f t="shared" si="3"/>
        <v>30</v>
      </c>
      <c r="AM115" s="171">
        <v>2014.0</v>
      </c>
    </row>
    <row r="116">
      <c r="A116" s="158">
        <f t="shared" si="1"/>
        <v>15623010</v>
      </c>
      <c r="B116" s="160">
        <v>85.0</v>
      </c>
      <c r="C116" s="160"/>
      <c r="D116" s="160" t="s">
        <v>1637</v>
      </c>
      <c r="E116" s="160" t="s">
        <v>1637</v>
      </c>
      <c r="F116" s="159" t="s">
        <v>1968</v>
      </c>
      <c r="G116" s="160" t="s">
        <v>1816</v>
      </c>
      <c r="H116" s="172">
        <v>20.0</v>
      </c>
      <c r="I116" s="160"/>
      <c r="J116" s="160" t="s">
        <v>112</v>
      </c>
      <c r="K116" s="160" t="s">
        <v>120</v>
      </c>
      <c r="L116" s="160" t="s">
        <v>117</v>
      </c>
      <c r="M116" s="160">
        <v>0.0</v>
      </c>
      <c r="N116" s="160" t="s">
        <v>116</v>
      </c>
      <c r="O116" s="160">
        <v>29.0</v>
      </c>
      <c r="P116" s="160">
        <v>1.0</v>
      </c>
      <c r="Q116" s="160">
        <v>1.0</v>
      </c>
      <c r="R116" s="165" t="s">
        <v>115</v>
      </c>
      <c r="S116" s="173">
        <v>41953.0</v>
      </c>
      <c r="T116" s="165"/>
      <c r="U116" s="165" t="s">
        <v>2403</v>
      </c>
      <c r="V116" s="160" t="s">
        <v>2404</v>
      </c>
      <c r="W116" s="160" t="s">
        <v>118</v>
      </c>
      <c r="X116" s="160" t="s">
        <v>2405</v>
      </c>
      <c r="Y116" s="160"/>
      <c r="Z116" s="160"/>
      <c r="AA116" s="167">
        <v>41870.0</v>
      </c>
      <c r="AB116" s="167">
        <v>41877.0</v>
      </c>
      <c r="AC116" s="160">
        <v>20.0</v>
      </c>
      <c r="AD116" s="160" t="s">
        <v>120</v>
      </c>
      <c r="AE116" s="160"/>
      <c r="AF116" s="165"/>
      <c r="AG116" s="160"/>
      <c r="AH116" s="169" t="s">
        <v>2071</v>
      </c>
      <c r="AI116" s="169"/>
      <c r="AJ116" s="160"/>
      <c r="AK116" s="160" t="s">
        <v>2163</v>
      </c>
      <c r="AL116" s="170">
        <f t="shared" si="3"/>
        <v>55</v>
      </c>
      <c r="AM116" s="171">
        <v>2014.0</v>
      </c>
    </row>
    <row r="117">
      <c r="A117" s="158">
        <f t="shared" si="1"/>
        <v>13920637</v>
      </c>
      <c r="B117" s="160">
        <v>86.0</v>
      </c>
      <c r="C117" s="160"/>
      <c r="D117" s="160" t="s">
        <v>1627</v>
      </c>
      <c r="E117" s="160" t="s">
        <v>2307</v>
      </c>
      <c r="F117" s="159" t="s">
        <v>2406</v>
      </c>
      <c r="G117" s="160" t="s">
        <v>1805</v>
      </c>
      <c r="H117" s="172">
        <v>21.0</v>
      </c>
      <c r="I117" s="160"/>
      <c r="J117" s="160" t="s">
        <v>112</v>
      </c>
      <c r="K117" s="160" t="s">
        <v>125</v>
      </c>
      <c r="L117" s="160" t="s">
        <v>117</v>
      </c>
      <c r="M117" s="160">
        <v>0.0</v>
      </c>
      <c r="N117" s="160" t="s">
        <v>116</v>
      </c>
      <c r="O117" s="160">
        <v>16.0</v>
      </c>
      <c r="P117" s="160">
        <v>2.0</v>
      </c>
      <c r="Q117" s="160">
        <v>3.0</v>
      </c>
      <c r="R117" s="165" t="s">
        <v>121</v>
      </c>
      <c r="S117" s="173">
        <v>41913.0</v>
      </c>
      <c r="T117" s="165"/>
      <c r="U117" s="165" t="s">
        <v>2407</v>
      </c>
      <c r="V117" s="160" t="s">
        <v>2408</v>
      </c>
      <c r="W117" s="160" t="s">
        <v>118</v>
      </c>
      <c r="X117" s="160" t="s">
        <v>2341</v>
      </c>
      <c r="Y117" s="160"/>
      <c r="Z117" s="160"/>
      <c r="AA117" s="167">
        <v>41870.0</v>
      </c>
      <c r="AB117" s="167">
        <v>41877.0</v>
      </c>
      <c r="AC117" s="160"/>
      <c r="AD117" s="160"/>
      <c r="AE117" s="160"/>
      <c r="AF117" s="165"/>
      <c r="AG117" s="160"/>
      <c r="AH117" s="169" t="s">
        <v>2071</v>
      </c>
      <c r="AI117" s="169"/>
      <c r="AJ117" s="160"/>
      <c r="AK117" s="160" t="s">
        <v>2157</v>
      </c>
      <c r="AL117" s="170">
        <f t="shared" si="3"/>
        <v>27</v>
      </c>
      <c r="AM117" s="171">
        <v>2014.0</v>
      </c>
    </row>
    <row r="118">
      <c r="A118" s="158">
        <f t="shared" si="1"/>
        <v>15585394</v>
      </c>
      <c r="B118" s="160">
        <v>83.0</v>
      </c>
      <c r="C118" s="160"/>
      <c r="D118" s="160" t="s">
        <v>1740</v>
      </c>
      <c r="E118" s="160" t="s">
        <v>1740</v>
      </c>
      <c r="F118" s="159" t="s">
        <v>1946</v>
      </c>
      <c r="G118" s="160" t="s">
        <v>1869</v>
      </c>
      <c r="H118" s="172">
        <v>17.0</v>
      </c>
      <c r="I118" s="160"/>
      <c r="J118" s="160" t="s">
        <v>112</v>
      </c>
      <c r="K118" s="160" t="s">
        <v>120</v>
      </c>
      <c r="L118" s="160" t="s">
        <v>117</v>
      </c>
      <c r="M118" s="160">
        <v>1.0</v>
      </c>
      <c r="N118" s="160" t="s">
        <v>116</v>
      </c>
      <c r="O118" s="160">
        <v>9.0</v>
      </c>
      <c r="P118" s="160">
        <v>1.0</v>
      </c>
      <c r="Q118" s="160">
        <v>1.0</v>
      </c>
      <c r="R118" s="165" t="s">
        <v>121</v>
      </c>
      <c r="S118" s="173">
        <v>41944.0</v>
      </c>
      <c r="T118" s="165"/>
      <c r="U118" s="165" t="s">
        <v>2409</v>
      </c>
      <c r="V118" s="160" t="s">
        <v>2410</v>
      </c>
      <c r="W118" s="160" t="s">
        <v>123</v>
      </c>
      <c r="X118" s="160"/>
      <c r="Y118" s="160"/>
      <c r="Z118" s="160"/>
      <c r="AA118" s="167">
        <v>41876.0</v>
      </c>
      <c r="AB118" s="167">
        <v>41883.0</v>
      </c>
      <c r="AC118" s="160"/>
      <c r="AD118" s="160"/>
      <c r="AE118" s="160"/>
      <c r="AF118" s="165"/>
      <c r="AG118" s="160"/>
      <c r="AH118" s="169" t="s">
        <v>2071</v>
      </c>
      <c r="AI118" s="169"/>
      <c r="AJ118" s="160"/>
      <c r="AK118" s="160" t="s">
        <v>1612</v>
      </c>
      <c r="AL118" s="170">
        <f t="shared" si="3"/>
        <v>45</v>
      </c>
      <c r="AM118" s="171">
        <v>2014.0</v>
      </c>
    </row>
    <row r="119">
      <c r="A119" s="158">
        <f t="shared" si="1"/>
        <v>18756734</v>
      </c>
      <c r="B119" s="160">
        <v>112.0</v>
      </c>
      <c r="C119" s="160"/>
      <c r="D119" s="160" t="s">
        <v>1615</v>
      </c>
      <c r="E119" s="160" t="s">
        <v>1615</v>
      </c>
      <c r="F119" s="159" t="s">
        <v>1954</v>
      </c>
      <c r="G119" s="160" t="s">
        <v>1591</v>
      </c>
      <c r="H119" s="172">
        <v>20.0</v>
      </c>
      <c r="I119" s="160"/>
      <c r="J119" s="160" t="s">
        <v>112</v>
      </c>
      <c r="K119" s="160" t="s">
        <v>120</v>
      </c>
      <c r="L119" s="160" t="s">
        <v>117</v>
      </c>
      <c r="M119" s="160">
        <v>0.0</v>
      </c>
      <c r="N119" s="160" t="s">
        <v>116</v>
      </c>
      <c r="O119" s="160">
        <v>5.0</v>
      </c>
      <c r="P119" s="160">
        <v>1.0</v>
      </c>
      <c r="Q119" s="160">
        <v>2.0</v>
      </c>
      <c r="R119" s="165" t="s">
        <v>121</v>
      </c>
      <c r="S119" s="173">
        <v>41927.0</v>
      </c>
      <c r="T119" s="165"/>
      <c r="U119" s="165" t="s">
        <v>2411</v>
      </c>
      <c r="V119" s="160" t="s">
        <v>2412</v>
      </c>
      <c r="W119" s="160" t="s">
        <v>118</v>
      </c>
      <c r="X119" s="160" t="s">
        <v>2413</v>
      </c>
      <c r="Y119" s="160"/>
      <c r="Z119" s="160"/>
      <c r="AA119" s="167">
        <v>41878.0</v>
      </c>
      <c r="AB119" s="167">
        <v>41885.0</v>
      </c>
      <c r="AC119" s="160"/>
      <c r="AD119" s="160"/>
      <c r="AE119" s="160"/>
      <c r="AF119" s="165"/>
      <c r="AG119" s="160"/>
      <c r="AH119" s="169" t="s">
        <v>2071</v>
      </c>
      <c r="AI119" s="169"/>
      <c r="AJ119" s="160"/>
      <c r="AK119" s="160" t="s">
        <v>1612</v>
      </c>
      <c r="AL119" s="170">
        <f t="shared" si="3"/>
        <v>31</v>
      </c>
      <c r="AM119" s="171">
        <v>2014.0</v>
      </c>
    </row>
    <row r="120">
      <c r="A120" s="158">
        <f t="shared" si="1"/>
        <v>16747183</v>
      </c>
      <c r="B120" s="160">
        <v>125.0</v>
      </c>
      <c r="C120" s="160"/>
      <c r="D120" s="160" t="s">
        <v>1602</v>
      </c>
      <c r="E120" s="160" t="s">
        <v>1602</v>
      </c>
      <c r="F120" s="159" t="s">
        <v>2094</v>
      </c>
      <c r="G120" s="160" t="s">
        <v>1799</v>
      </c>
      <c r="H120" s="160">
        <v>10.0</v>
      </c>
      <c r="I120" s="160"/>
      <c r="J120" s="160" t="s">
        <v>112</v>
      </c>
      <c r="K120" s="160" t="s">
        <v>114</v>
      </c>
      <c r="L120" s="160" t="s">
        <v>117</v>
      </c>
      <c r="M120" s="160">
        <v>11.0</v>
      </c>
      <c r="N120" s="160" t="s">
        <v>122</v>
      </c>
      <c r="O120" s="160"/>
      <c r="P120" s="160">
        <v>3.0</v>
      </c>
      <c r="Q120" s="160">
        <v>0.0</v>
      </c>
      <c r="R120" s="165" t="s">
        <v>115</v>
      </c>
      <c r="S120" s="173">
        <v>41982.0</v>
      </c>
      <c r="T120" s="165" t="s">
        <v>2414</v>
      </c>
      <c r="U120" s="160"/>
      <c r="V120" s="160" t="s">
        <v>2415</v>
      </c>
      <c r="W120" s="160" t="s">
        <v>118</v>
      </c>
      <c r="X120" s="160"/>
      <c r="Y120" s="159" t="s">
        <v>164</v>
      </c>
      <c r="Z120" s="160" t="s">
        <v>2102</v>
      </c>
      <c r="AA120" s="167">
        <v>41879.0</v>
      </c>
      <c r="AB120" s="167">
        <v>41886.0</v>
      </c>
      <c r="AC120" s="160"/>
      <c r="AD120" s="160" t="s">
        <v>2416</v>
      </c>
      <c r="AE120" s="160"/>
      <c r="AF120" s="160"/>
      <c r="AG120" s="160"/>
      <c r="AH120" s="169" t="s">
        <v>2071</v>
      </c>
      <c r="AI120" s="169" t="s">
        <v>2417</v>
      </c>
      <c r="AJ120" s="160"/>
      <c r="AK120" s="160" t="s">
        <v>1612</v>
      </c>
      <c r="AL120" s="170">
        <f t="shared" si="3"/>
        <v>69</v>
      </c>
      <c r="AM120" s="171">
        <v>2014.0</v>
      </c>
    </row>
    <row r="121">
      <c r="A121" s="158">
        <f t="shared" si="1"/>
        <v>13549917</v>
      </c>
      <c r="B121" s="160">
        <f>ROW(B120)</f>
        <v>120</v>
      </c>
      <c r="C121" s="160"/>
      <c r="D121" s="160" t="s">
        <v>1965</v>
      </c>
      <c r="E121" s="160" t="s">
        <v>2066</v>
      </c>
      <c r="F121" s="159" t="s">
        <v>1959</v>
      </c>
      <c r="G121" s="160" t="s">
        <v>2418</v>
      </c>
      <c r="H121" s="172">
        <v>13.0</v>
      </c>
      <c r="I121" s="160"/>
      <c r="J121" s="160" t="s">
        <v>112</v>
      </c>
      <c r="K121" s="160" t="s">
        <v>114</v>
      </c>
      <c r="L121" s="160"/>
      <c r="M121" s="160"/>
      <c r="N121" s="160"/>
      <c r="O121" s="160"/>
      <c r="P121" s="160">
        <v>2.0</v>
      </c>
      <c r="Q121" s="160">
        <v>0.0</v>
      </c>
      <c r="R121" s="165" t="s">
        <v>115</v>
      </c>
      <c r="S121" s="173">
        <v>41918.0</v>
      </c>
      <c r="T121" s="165"/>
      <c r="U121" s="165" t="s">
        <v>2419</v>
      </c>
      <c r="V121" s="160" t="s">
        <v>2420</v>
      </c>
      <c r="W121" s="160" t="s">
        <v>118</v>
      </c>
      <c r="X121" s="159" t="s">
        <v>138</v>
      </c>
      <c r="Y121" s="160" t="s">
        <v>2140</v>
      </c>
      <c r="Z121" s="160"/>
      <c r="AA121" s="167"/>
      <c r="AB121" s="167">
        <v>41890.0</v>
      </c>
      <c r="AC121" s="160"/>
      <c r="AD121" s="160"/>
      <c r="AE121" s="160"/>
      <c r="AF121" s="165"/>
      <c r="AG121" s="160"/>
      <c r="AH121" s="169" t="s">
        <v>2071</v>
      </c>
      <c r="AI121" s="169"/>
      <c r="AJ121" s="160"/>
      <c r="AK121" s="160"/>
      <c r="AL121" s="170">
        <f t="shared" si="3"/>
        <v>21</v>
      </c>
      <c r="AM121" s="171">
        <v>2014.0</v>
      </c>
    </row>
    <row r="122">
      <c r="A122" s="158">
        <f t="shared" si="1"/>
        <v>8666537</v>
      </c>
      <c r="B122" s="160">
        <v>90.0</v>
      </c>
      <c r="C122" s="160"/>
      <c r="D122" s="160" t="s">
        <v>2121</v>
      </c>
      <c r="E122" s="160" t="s">
        <v>2121</v>
      </c>
      <c r="F122" s="159" t="s">
        <v>1955</v>
      </c>
      <c r="G122" s="160" t="s">
        <v>1741</v>
      </c>
      <c r="H122" s="172">
        <v>21.0</v>
      </c>
      <c r="I122" s="160"/>
      <c r="J122" s="160" t="s">
        <v>112</v>
      </c>
      <c r="K122" s="160" t="s">
        <v>127</v>
      </c>
      <c r="L122" s="160" t="s">
        <v>117</v>
      </c>
      <c r="M122" s="160">
        <v>0.0</v>
      </c>
      <c r="N122" s="160" t="s">
        <v>116</v>
      </c>
      <c r="O122" s="160">
        <v>2.0</v>
      </c>
      <c r="P122" s="160">
        <v>1.0</v>
      </c>
      <c r="Q122" s="160">
        <v>2.0</v>
      </c>
      <c r="R122" s="165" t="s">
        <v>115</v>
      </c>
      <c r="S122" s="173">
        <v>41946.0</v>
      </c>
      <c r="T122" s="165"/>
      <c r="U122" s="165" t="s">
        <v>2421</v>
      </c>
      <c r="V122" s="160" t="s">
        <v>2422</v>
      </c>
      <c r="W122" s="160" t="s">
        <v>123</v>
      </c>
      <c r="X122" s="160"/>
      <c r="Y122" s="160"/>
      <c r="Z122" s="160"/>
      <c r="AA122" s="167">
        <v>41885.0</v>
      </c>
      <c r="AB122" s="167">
        <v>41892.0</v>
      </c>
      <c r="AC122" s="160"/>
      <c r="AD122" s="160"/>
      <c r="AE122" s="160"/>
      <c r="AF122" s="165"/>
      <c r="AG122" s="160"/>
      <c r="AH122" s="169" t="s">
        <v>2071</v>
      </c>
      <c r="AI122" s="169"/>
      <c r="AJ122" s="160"/>
      <c r="AK122" s="160" t="s">
        <v>2157</v>
      </c>
      <c r="AL122" s="170">
        <f t="shared" si="3"/>
        <v>39</v>
      </c>
      <c r="AM122" s="171">
        <v>2014.0</v>
      </c>
    </row>
    <row r="123">
      <c r="A123" s="158">
        <f t="shared" si="1"/>
        <v>15654866</v>
      </c>
      <c r="B123" s="160">
        <v>100.0</v>
      </c>
      <c r="C123" s="160"/>
      <c r="D123" s="160" t="s">
        <v>1940</v>
      </c>
      <c r="E123" s="160" t="s">
        <v>2204</v>
      </c>
      <c r="F123" s="159" t="s">
        <v>2031</v>
      </c>
      <c r="G123" s="160" t="s">
        <v>2032</v>
      </c>
      <c r="H123" s="172">
        <v>11.0</v>
      </c>
      <c r="I123" s="160"/>
      <c r="J123" s="160" t="s">
        <v>112</v>
      </c>
      <c r="K123" s="160" t="s">
        <v>114</v>
      </c>
      <c r="L123" s="160" t="s">
        <v>117</v>
      </c>
      <c r="M123" s="160">
        <v>3.0</v>
      </c>
      <c r="N123" s="160" t="s">
        <v>116</v>
      </c>
      <c r="O123" s="160">
        <v>2.0</v>
      </c>
      <c r="P123" s="160">
        <v>2.0</v>
      </c>
      <c r="Q123" s="160"/>
      <c r="R123" s="165" t="s">
        <v>115</v>
      </c>
      <c r="S123" s="173">
        <v>41953.0</v>
      </c>
      <c r="T123" s="165"/>
      <c r="U123" s="165" t="s">
        <v>2423</v>
      </c>
      <c r="V123" s="160" t="s">
        <v>2424</v>
      </c>
      <c r="W123" s="160" t="s">
        <v>118</v>
      </c>
      <c r="X123" s="160" t="s">
        <v>2405</v>
      </c>
      <c r="Y123" s="160"/>
      <c r="Z123" s="160"/>
      <c r="AA123" s="167">
        <v>41885.0</v>
      </c>
      <c r="AB123" s="167">
        <v>41892.0</v>
      </c>
      <c r="AC123" s="160">
        <v>11.0</v>
      </c>
      <c r="AD123" s="160" t="s">
        <v>114</v>
      </c>
      <c r="AE123" s="160"/>
      <c r="AF123" s="165"/>
      <c r="AG123" s="160"/>
      <c r="AH123" s="169" t="s">
        <v>2071</v>
      </c>
      <c r="AI123" s="169"/>
      <c r="AJ123" s="160"/>
      <c r="AK123" s="160" t="s">
        <v>2157</v>
      </c>
      <c r="AL123" s="170">
        <f t="shared" si="3"/>
        <v>44</v>
      </c>
      <c r="AM123" s="171">
        <v>2014.0</v>
      </c>
    </row>
    <row r="124">
      <c r="A124" s="158">
        <f t="shared" si="1"/>
        <v>16639337</v>
      </c>
      <c r="B124" s="160">
        <v>87.0</v>
      </c>
      <c r="C124" s="160"/>
      <c r="D124" s="160" t="s">
        <v>1642</v>
      </c>
      <c r="E124" s="160" t="s">
        <v>2213</v>
      </c>
      <c r="F124" s="159" t="s">
        <v>1946</v>
      </c>
      <c r="G124" s="160" t="s">
        <v>1869</v>
      </c>
      <c r="H124" s="172">
        <v>17.0</v>
      </c>
      <c r="I124" s="160"/>
      <c r="J124" s="160" t="s">
        <v>112</v>
      </c>
      <c r="K124" s="160" t="s">
        <v>120</v>
      </c>
      <c r="L124" s="160" t="s">
        <v>117</v>
      </c>
      <c r="M124" s="160">
        <v>1.0</v>
      </c>
      <c r="N124" s="160" t="s">
        <v>116</v>
      </c>
      <c r="O124" s="160">
        <v>5.0</v>
      </c>
      <c r="P124" s="160">
        <v>1.0</v>
      </c>
      <c r="Q124" s="160">
        <v>2.0</v>
      </c>
      <c r="R124" s="165" t="s">
        <v>115</v>
      </c>
      <c r="S124" s="173">
        <v>41925.0</v>
      </c>
      <c r="T124" s="165"/>
      <c r="U124" s="165" t="s">
        <v>2425</v>
      </c>
      <c r="V124" s="160" t="s">
        <v>2426</v>
      </c>
      <c r="W124" s="160" t="s">
        <v>118</v>
      </c>
      <c r="X124" s="160"/>
      <c r="Y124" s="160"/>
      <c r="Z124" s="160"/>
      <c r="AA124" s="167">
        <v>41893.0</v>
      </c>
      <c r="AB124" s="167">
        <v>41904.0</v>
      </c>
      <c r="AC124" s="160"/>
      <c r="AD124" s="160"/>
      <c r="AE124" s="160"/>
      <c r="AF124" s="165"/>
      <c r="AG124" s="160"/>
      <c r="AH124" s="169" t="s">
        <v>2071</v>
      </c>
      <c r="AI124" s="169"/>
      <c r="AJ124" s="160"/>
      <c r="AK124" s="160" t="s">
        <v>2157</v>
      </c>
      <c r="AL124" s="170">
        <f t="shared" si="3"/>
        <v>16</v>
      </c>
      <c r="AM124" s="171">
        <v>2014.0</v>
      </c>
    </row>
    <row r="125">
      <c r="A125" s="158">
        <f t="shared" si="1"/>
        <v>13688765</v>
      </c>
      <c r="B125" s="160">
        <v>99.0</v>
      </c>
      <c r="C125" s="160"/>
      <c r="D125" s="160" t="s">
        <v>1637</v>
      </c>
      <c r="E125" s="160" t="s">
        <v>1637</v>
      </c>
      <c r="F125" s="159" t="s">
        <v>2031</v>
      </c>
      <c r="G125" s="160" t="s">
        <v>2032</v>
      </c>
      <c r="H125" s="172">
        <v>13.0</v>
      </c>
      <c r="I125" s="160"/>
      <c r="J125" s="160" t="s">
        <v>112</v>
      </c>
      <c r="K125" s="160" t="s">
        <v>114</v>
      </c>
      <c r="L125" s="160" t="s">
        <v>117</v>
      </c>
      <c r="M125" s="160">
        <v>3.0</v>
      </c>
      <c r="N125" s="160" t="s">
        <v>116</v>
      </c>
      <c r="O125" s="160"/>
      <c r="P125" s="160">
        <v>1.0</v>
      </c>
      <c r="Q125" s="160">
        <v>1.0</v>
      </c>
      <c r="R125" s="165" t="s">
        <v>121</v>
      </c>
      <c r="S125" s="173">
        <v>41974.0</v>
      </c>
      <c r="T125" s="165" t="s">
        <v>2427</v>
      </c>
      <c r="U125" s="165"/>
      <c r="V125" s="160" t="s">
        <v>2428</v>
      </c>
      <c r="W125" s="160" t="s">
        <v>118</v>
      </c>
      <c r="X125" s="159" t="s">
        <v>138</v>
      </c>
      <c r="Y125" s="159" t="s">
        <v>136</v>
      </c>
      <c r="Z125" s="160"/>
      <c r="AA125" s="167">
        <v>41893.0</v>
      </c>
      <c r="AB125" s="167">
        <v>41908.0</v>
      </c>
      <c r="AC125" s="160">
        <v>13.0</v>
      </c>
      <c r="AD125" s="160" t="s">
        <v>114</v>
      </c>
      <c r="AE125" s="160"/>
      <c r="AF125" s="165" t="s">
        <v>2429</v>
      </c>
      <c r="AG125" s="160"/>
      <c r="AH125" s="169" t="s">
        <v>2071</v>
      </c>
      <c r="AI125" s="169"/>
      <c r="AJ125" s="160"/>
      <c r="AK125" s="160" t="s">
        <v>2157</v>
      </c>
      <c r="AL125" s="170">
        <f t="shared" si="3"/>
        <v>47</v>
      </c>
      <c r="AM125" s="171">
        <v>2014.0</v>
      </c>
    </row>
    <row r="126">
      <c r="A126" s="158">
        <f t="shared" si="1"/>
        <v>11873105</v>
      </c>
      <c r="B126" s="160">
        <v>101.0</v>
      </c>
      <c r="C126" s="160"/>
      <c r="D126" s="160" t="s">
        <v>1618</v>
      </c>
      <c r="E126" s="160" t="s">
        <v>1618</v>
      </c>
      <c r="F126" s="159" t="s">
        <v>1897</v>
      </c>
      <c r="G126" s="160" t="s">
        <v>1898</v>
      </c>
      <c r="H126" s="172">
        <v>17.0</v>
      </c>
      <c r="I126" s="160"/>
      <c r="J126" s="160" t="s">
        <v>112</v>
      </c>
      <c r="K126" s="160" t="s">
        <v>120</v>
      </c>
      <c r="L126" s="160" t="s">
        <v>117</v>
      </c>
      <c r="M126" s="160">
        <v>0.0</v>
      </c>
      <c r="N126" s="160" t="s">
        <v>116</v>
      </c>
      <c r="O126" s="160">
        <v>4.0</v>
      </c>
      <c r="P126" s="160">
        <v>1.0</v>
      </c>
      <c r="Q126" s="160">
        <v>1.0</v>
      </c>
      <c r="R126" s="165" t="s">
        <v>121</v>
      </c>
      <c r="S126" s="173">
        <v>41950.0</v>
      </c>
      <c r="T126" s="165"/>
      <c r="U126" s="165" t="s">
        <v>2430</v>
      </c>
      <c r="V126" s="160" t="s">
        <v>2431</v>
      </c>
      <c r="W126" s="160" t="s">
        <v>123</v>
      </c>
      <c r="X126" s="160"/>
      <c r="Y126" s="160"/>
      <c r="Z126" s="160"/>
      <c r="AA126" s="167">
        <v>41911.0</v>
      </c>
      <c r="AB126" s="167">
        <v>41919.0</v>
      </c>
      <c r="AC126" s="160"/>
      <c r="AD126" s="160"/>
      <c r="AE126" s="160"/>
      <c r="AF126" s="165"/>
      <c r="AG126" s="160"/>
      <c r="AH126" s="169" t="s">
        <v>2071</v>
      </c>
      <c r="AI126" s="169"/>
      <c r="AJ126" s="160"/>
      <c r="AK126" s="160" t="s">
        <v>1612</v>
      </c>
      <c r="AL126" s="170">
        <f t="shared" si="3"/>
        <v>24</v>
      </c>
      <c r="AM126" s="171">
        <v>2014.0</v>
      </c>
    </row>
    <row r="127">
      <c r="A127" s="158">
        <f t="shared" si="1"/>
        <v>18277610</v>
      </c>
      <c r="B127" s="160">
        <v>102.0</v>
      </c>
      <c r="C127" s="160"/>
      <c r="D127" s="160" t="s">
        <v>1618</v>
      </c>
      <c r="E127" s="160" t="s">
        <v>2432</v>
      </c>
      <c r="F127" s="159" t="s">
        <v>2034</v>
      </c>
      <c r="G127" s="160" t="s">
        <v>1625</v>
      </c>
      <c r="H127" s="172">
        <v>17.0</v>
      </c>
      <c r="I127" s="160"/>
      <c r="J127" s="160" t="s">
        <v>112</v>
      </c>
      <c r="K127" s="160" t="s">
        <v>125</v>
      </c>
      <c r="L127" s="160" t="s">
        <v>117</v>
      </c>
      <c r="M127" s="160">
        <v>0.0</v>
      </c>
      <c r="N127" s="160" t="s">
        <v>116</v>
      </c>
      <c r="O127" s="160">
        <v>7.0</v>
      </c>
      <c r="P127" s="160">
        <v>1.0</v>
      </c>
      <c r="Q127" s="160">
        <v>1.0</v>
      </c>
      <c r="R127" s="165" t="s">
        <v>121</v>
      </c>
      <c r="S127" s="173">
        <v>41950.0</v>
      </c>
      <c r="T127" s="165"/>
      <c r="U127" s="165" t="s">
        <v>2433</v>
      </c>
      <c r="V127" s="160" t="s">
        <v>2434</v>
      </c>
      <c r="W127" s="160" t="s">
        <v>118</v>
      </c>
      <c r="X127" s="159" t="s">
        <v>138</v>
      </c>
      <c r="Y127" s="160" t="s">
        <v>2435</v>
      </c>
      <c r="Z127" s="160"/>
      <c r="AA127" s="167">
        <v>41911.0</v>
      </c>
      <c r="AB127" s="167">
        <v>41919.0</v>
      </c>
      <c r="AC127" s="160"/>
      <c r="AD127" s="160"/>
      <c r="AE127" s="160"/>
      <c r="AF127" s="165"/>
      <c r="AG127" s="160"/>
      <c r="AH127" s="169" t="s">
        <v>2071</v>
      </c>
      <c r="AI127" s="169"/>
      <c r="AJ127" s="160"/>
      <c r="AK127" s="160" t="s">
        <v>1612</v>
      </c>
      <c r="AL127" s="170">
        <f t="shared" si="3"/>
        <v>24</v>
      </c>
      <c r="AM127" s="171">
        <v>2014.0</v>
      </c>
    </row>
    <row r="128">
      <c r="A128" s="158">
        <f t="shared" si="1"/>
        <v>12575053</v>
      </c>
      <c r="B128" s="160">
        <v>104.0</v>
      </c>
      <c r="C128" s="160"/>
      <c r="D128" s="160" t="s">
        <v>1602</v>
      </c>
      <c r="E128" s="160" t="s">
        <v>2220</v>
      </c>
      <c r="F128" s="159" t="s">
        <v>2034</v>
      </c>
      <c r="G128" s="160" t="s">
        <v>1625</v>
      </c>
      <c r="H128" s="172">
        <v>17.0</v>
      </c>
      <c r="I128" s="160"/>
      <c r="J128" s="160" t="s">
        <v>112</v>
      </c>
      <c r="K128" s="160" t="s">
        <v>125</v>
      </c>
      <c r="L128" s="160" t="s">
        <v>117</v>
      </c>
      <c r="M128" s="160">
        <v>0.0</v>
      </c>
      <c r="N128" s="160" t="s">
        <v>116</v>
      </c>
      <c r="O128" s="160">
        <v>16.0</v>
      </c>
      <c r="P128" s="160">
        <v>3.0</v>
      </c>
      <c r="Q128" s="160">
        <v>5.0</v>
      </c>
      <c r="R128" s="165" t="s">
        <v>115</v>
      </c>
      <c r="S128" s="173">
        <v>41988.0</v>
      </c>
      <c r="T128" s="165"/>
      <c r="U128" s="165" t="s">
        <v>2436</v>
      </c>
      <c r="V128" s="160" t="s">
        <v>2437</v>
      </c>
      <c r="W128" s="160" t="s">
        <v>123</v>
      </c>
      <c r="X128" s="160"/>
      <c r="Y128" s="160"/>
      <c r="Z128" s="160"/>
      <c r="AA128" s="167">
        <v>41922.0</v>
      </c>
      <c r="AB128" s="167">
        <v>41929.0</v>
      </c>
      <c r="AC128" s="160"/>
      <c r="AD128" s="160"/>
      <c r="AE128" s="160"/>
      <c r="AF128" s="165"/>
      <c r="AG128" s="160"/>
      <c r="AH128" s="169" t="s">
        <v>2071</v>
      </c>
      <c r="AI128" s="169"/>
      <c r="AJ128" s="160"/>
      <c r="AK128" s="160" t="s">
        <v>2157</v>
      </c>
      <c r="AL128" s="170">
        <f t="shared" si="3"/>
        <v>42</v>
      </c>
      <c r="AM128" s="171">
        <v>2014.0</v>
      </c>
    </row>
    <row r="129">
      <c r="A129" s="158">
        <f t="shared" si="1"/>
        <v>16126204</v>
      </c>
      <c r="B129" s="160">
        <v>105.0</v>
      </c>
      <c r="C129" s="160"/>
      <c r="D129" s="160" t="s">
        <v>1602</v>
      </c>
      <c r="E129" s="160" t="s">
        <v>2220</v>
      </c>
      <c r="F129" s="159" t="s">
        <v>1959</v>
      </c>
      <c r="G129" s="160" t="s">
        <v>2438</v>
      </c>
      <c r="H129" s="172">
        <v>13.0</v>
      </c>
      <c r="I129" s="160"/>
      <c r="J129" s="160" t="s">
        <v>112</v>
      </c>
      <c r="K129" s="160" t="s">
        <v>114</v>
      </c>
      <c r="L129" s="160" t="s">
        <v>117</v>
      </c>
      <c r="M129" s="160">
        <v>2.0</v>
      </c>
      <c r="N129" s="160" t="s">
        <v>116</v>
      </c>
      <c r="O129" s="160">
        <v>11.0</v>
      </c>
      <c r="P129" s="160">
        <v>1.0</v>
      </c>
      <c r="Q129" s="160">
        <v>3.0</v>
      </c>
      <c r="R129" s="165" t="s">
        <v>115</v>
      </c>
      <c r="S129" s="175">
        <v>41995.0</v>
      </c>
      <c r="T129" s="165"/>
      <c r="U129" s="165" t="s">
        <v>2439</v>
      </c>
      <c r="V129" s="160" t="s">
        <v>2440</v>
      </c>
      <c r="W129" s="160" t="s">
        <v>118</v>
      </c>
      <c r="X129" s="160" t="s">
        <v>2441</v>
      </c>
      <c r="Y129" s="160"/>
      <c r="Z129" s="178"/>
      <c r="AA129" s="187">
        <v>41921.0</v>
      </c>
      <c r="AB129" s="187">
        <v>41932.0</v>
      </c>
      <c r="AC129" s="178"/>
      <c r="AD129" s="178"/>
      <c r="AE129" s="178"/>
      <c r="AF129" s="188"/>
      <c r="AG129" s="178"/>
      <c r="AH129" s="169" t="s">
        <v>2071</v>
      </c>
      <c r="AI129" s="189"/>
      <c r="AJ129" s="178"/>
      <c r="AK129" s="178" t="s">
        <v>2163</v>
      </c>
      <c r="AL129" s="170">
        <f t="shared" si="3"/>
        <v>46</v>
      </c>
      <c r="AM129" s="171">
        <v>2014.0</v>
      </c>
    </row>
    <row r="130">
      <c r="A130" s="158">
        <f t="shared" si="1"/>
        <v>16964645</v>
      </c>
      <c r="B130" s="160">
        <v>92.0</v>
      </c>
      <c r="C130" s="160"/>
      <c r="D130" s="160" t="s">
        <v>1940</v>
      </c>
      <c r="E130" s="160" t="s">
        <v>2442</v>
      </c>
      <c r="F130" s="159" t="s">
        <v>2338</v>
      </c>
      <c r="G130" s="160" t="s">
        <v>1657</v>
      </c>
      <c r="H130" s="172">
        <v>13.0</v>
      </c>
      <c r="I130" s="160"/>
      <c r="J130" s="160" t="s">
        <v>112</v>
      </c>
      <c r="K130" s="160" t="s">
        <v>114</v>
      </c>
      <c r="L130" s="160" t="s">
        <v>117</v>
      </c>
      <c r="M130" s="160">
        <v>4.0</v>
      </c>
      <c r="N130" s="160" t="s">
        <v>116</v>
      </c>
      <c r="O130" s="160">
        <v>17.0</v>
      </c>
      <c r="P130" s="160">
        <v>5.0</v>
      </c>
      <c r="Q130" s="160">
        <v>1.0</v>
      </c>
      <c r="R130" s="165" t="s">
        <v>121</v>
      </c>
      <c r="S130" s="173">
        <v>41960.0</v>
      </c>
      <c r="T130" s="165"/>
      <c r="U130" s="165" t="s">
        <v>2443</v>
      </c>
      <c r="V130" s="160" t="s">
        <v>2444</v>
      </c>
      <c r="W130" s="160" t="s">
        <v>123</v>
      </c>
      <c r="X130" s="160"/>
      <c r="Y130" s="160"/>
      <c r="Z130" s="160"/>
      <c r="AA130" s="167">
        <v>41927.0</v>
      </c>
      <c r="AB130" s="167">
        <v>41934.0</v>
      </c>
      <c r="AC130" s="160">
        <v>13.0</v>
      </c>
      <c r="AD130" s="160" t="s">
        <v>114</v>
      </c>
      <c r="AE130" s="160"/>
      <c r="AF130" s="165"/>
      <c r="AG130" s="160"/>
      <c r="AH130" s="169" t="s">
        <v>2071</v>
      </c>
      <c r="AI130" s="169"/>
      <c r="AJ130" s="160"/>
      <c r="AK130" s="160" t="s">
        <v>2157</v>
      </c>
      <c r="AL130" s="170">
        <f t="shared" si="3"/>
        <v>19</v>
      </c>
      <c r="AM130" s="171">
        <v>2014.0</v>
      </c>
    </row>
    <row r="131">
      <c r="A131" s="158">
        <f t="shared" si="1"/>
        <v>12859252</v>
      </c>
      <c r="B131" s="160">
        <v>84.0</v>
      </c>
      <c r="C131" s="160"/>
      <c r="D131" s="160" t="s">
        <v>1740</v>
      </c>
      <c r="E131" s="160" t="s">
        <v>1740</v>
      </c>
      <c r="F131" s="159" t="s">
        <v>1954</v>
      </c>
      <c r="G131" s="160" t="s">
        <v>1591</v>
      </c>
      <c r="H131" s="172">
        <v>20.0</v>
      </c>
      <c r="I131" s="160"/>
      <c r="J131" s="160" t="s">
        <v>112</v>
      </c>
      <c r="K131" s="160" t="s">
        <v>120</v>
      </c>
      <c r="L131" s="160" t="s">
        <v>117</v>
      </c>
      <c r="M131" s="160">
        <v>0.0</v>
      </c>
      <c r="N131" s="160" t="s">
        <v>116</v>
      </c>
      <c r="O131" s="160">
        <v>2.0</v>
      </c>
      <c r="P131" s="160">
        <v>1.0</v>
      </c>
      <c r="Q131" s="160">
        <v>1.0</v>
      </c>
      <c r="R131" s="165" t="s">
        <v>121</v>
      </c>
      <c r="S131" s="173">
        <v>41960.0</v>
      </c>
      <c r="T131" s="165"/>
      <c r="U131" s="165" t="s">
        <v>2445</v>
      </c>
      <c r="V131" s="160" t="s">
        <v>2446</v>
      </c>
      <c r="W131" s="160" t="s">
        <v>118</v>
      </c>
      <c r="X131" s="160"/>
      <c r="Y131" s="160" t="s">
        <v>2435</v>
      </c>
      <c r="Z131" s="160"/>
      <c r="AA131" s="167">
        <v>41928.0</v>
      </c>
      <c r="AB131" s="167">
        <v>41935.0</v>
      </c>
      <c r="AC131" s="160"/>
      <c r="AD131" s="160"/>
      <c r="AE131" s="160"/>
      <c r="AF131" s="165"/>
      <c r="AG131" s="160"/>
      <c r="AH131" s="169" t="s">
        <v>2071</v>
      </c>
      <c r="AI131" s="169"/>
      <c r="AJ131" s="160"/>
      <c r="AK131" s="160" t="s">
        <v>2157</v>
      </c>
      <c r="AL131" s="170">
        <f t="shared" si="3"/>
        <v>18</v>
      </c>
      <c r="AM131" s="171">
        <v>2014.0</v>
      </c>
    </row>
    <row r="132">
      <c r="A132" s="158">
        <f t="shared" si="1"/>
        <v>17672745</v>
      </c>
      <c r="B132" s="160">
        <v>130.0</v>
      </c>
      <c r="C132" s="160"/>
      <c r="D132" s="160" t="s">
        <v>1642</v>
      </c>
      <c r="E132" s="160" t="s">
        <v>1642</v>
      </c>
      <c r="F132" s="159" t="s">
        <v>1970</v>
      </c>
      <c r="G132" s="160" t="s">
        <v>1638</v>
      </c>
      <c r="H132" s="172">
        <v>23.0</v>
      </c>
      <c r="I132" s="160"/>
      <c r="J132" s="160" t="s">
        <v>112</v>
      </c>
      <c r="K132" s="160" t="s">
        <v>127</v>
      </c>
      <c r="L132" s="160" t="s">
        <v>117</v>
      </c>
      <c r="M132" s="160">
        <v>0.0</v>
      </c>
      <c r="N132" s="160" t="s">
        <v>116</v>
      </c>
      <c r="O132" s="160">
        <v>3.0</v>
      </c>
      <c r="P132" s="160">
        <v>2.0</v>
      </c>
      <c r="Q132" s="160">
        <v>1.0</v>
      </c>
      <c r="R132" s="165" t="s">
        <v>115</v>
      </c>
      <c r="S132" s="173">
        <v>41953.0</v>
      </c>
      <c r="T132" s="165"/>
      <c r="U132" s="165" t="s">
        <v>2447</v>
      </c>
      <c r="V132" s="190" t="s">
        <v>2448</v>
      </c>
      <c r="W132" s="160" t="s">
        <v>123</v>
      </c>
      <c r="X132" s="160"/>
      <c r="Y132" s="160"/>
      <c r="Z132" s="160"/>
      <c r="AA132" s="167">
        <v>41929.0</v>
      </c>
      <c r="AB132" s="167">
        <v>41936.0</v>
      </c>
      <c r="AC132" s="160"/>
      <c r="AD132" s="160"/>
      <c r="AE132" s="160"/>
      <c r="AF132" s="165"/>
      <c r="AG132" s="160"/>
      <c r="AH132" s="169" t="s">
        <v>2071</v>
      </c>
      <c r="AI132" s="169" t="s">
        <v>2449</v>
      </c>
      <c r="AJ132" s="160"/>
      <c r="AK132" s="160" t="s">
        <v>2157</v>
      </c>
      <c r="AL132" s="170">
        <f t="shared" si="3"/>
        <v>12</v>
      </c>
      <c r="AM132" s="171">
        <v>2014.0</v>
      </c>
    </row>
    <row r="133">
      <c r="A133" s="158">
        <f t="shared" si="1"/>
        <v>14178355</v>
      </c>
      <c r="B133" s="160">
        <v>120.0</v>
      </c>
      <c r="C133" s="160"/>
      <c r="D133" s="160" t="s">
        <v>1642</v>
      </c>
      <c r="E133" s="160" t="s">
        <v>1643</v>
      </c>
      <c r="F133" s="159" t="s">
        <v>2450</v>
      </c>
      <c r="G133" s="160" t="s">
        <v>2451</v>
      </c>
      <c r="H133" s="172">
        <v>10.0</v>
      </c>
      <c r="I133" s="160"/>
      <c r="J133" s="160" t="s">
        <v>112</v>
      </c>
      <c r="K133" s="160" t="s">
        <v>114</v>
      </c>
      <c r="L133" s="160" t="s">
        <v>117</v>
      </c>
      <c r="M133" s="160">
        <v>12.0</v>
      </c>
      <c r="N133" s="160" t="s">
        <v>122</v>
      </c>
      <c r="O133" s="160"/>
      <c r="P133" s="160">
        <v>3.0</v>
      </c>
      <c r="Q133" s="160">
        <v>0.0</v>
      </c>
      <c r="R133" s="165" t="s">
        <v>121</v>
      </c>
      <c r="S133" s="173">
        <v>42023.0</v>
      </c>
      <c r="T133" s="165" t="s">
        <v>2452</v>
      </c>
      <c r="U133" s="165"/>
      <c r="V133" s="160" t="s">
        <v>2453</v>
      </c>
      <c r="W133" s="160" t="s">
        <v>123</v>
      </c>
      <c r="X133" s="160"/>
      <c r="Y133" s="160"/>
      <c r="Z133" s="160"/>
      <c r="AA133" s="167">
        <v>41933.0</v>
      </c>
      <c r="AB133" s="167">
        <v>41940.0</v>
      </c>
      <c r="AC133" s="160">
        <v>17.0</v>
      </c>
      <c r="AD133" s="160" t="s">
        <v>120</v>
      </c>
      <c r="AE133" s="160"/>
      <c r="AF133" s="165" t="s">
        <v>1602</v>
      </c>
      <c r="AG133" s="160"/>
      <c r="AH133" s="169" t="s">
        <v>2071</v>
      </c>
      <c r="AI133" s="169"/>
      <c r="AJ133" s="160"/>
      <c r="AK133" s="160" t="s">
        <v>2157</v>
      </c>
      <c r="AL133" s="170">
        <f t="shared" si="3"/>
        <v>60</v>
      </c>
      <c r="AM133" s="171">
        <v>2014.0</v>
      </c>
    </row>
    <row r="134">
      <c r="A134" s="158">
        <f t="shared" si="1"/>
        <v>15851883</v>
      </c>
      <c r="B134" s="160">
        <v>96.0</v>
      </c>
      <c r="C134" s="160"/>
      <c r="D134" s="160" t="s">
        <v>1627</v>
      </c>
      <c r="E134" s="160" t="s">
        <v>2036</v>
      </c>
      <c r="F134" s="159" t="s">
        <v>2067</v>
      </c>
      <c r="G134" s="160" t="s">
        <v>2454</v>
      </c>
      <c r="H134" s="172">
        <v>10.0</v>
      </c>
      <c r="I134" s="160"/>
      <c r="J134" s="160" t="s">
        <v>112</v>
      </c>
      <c r="K134" s="160" t="s">
        <v>114</v>
      </c>
      <c r="L134" s="160" t="s">
        <v>117</v>
      </c>
      <c r="M134" s="160">
        <v>0.0</v>
      </c>
      <c r="N134" s="160" t="s">
        <v>116</v>
      </c>
      <c r="O134" s="160">
        <v>2.0</v>
      </c>
      <c r="P134" s="160">
        <v>2.0</v>
      </c>
      <c r="Q134" s="160">
        <v>1.0</v>
      </c>
      <c r="R134" s="165" t="s">
        <v>115</v>
      </c>
      <c r="S134" s="173">
        <v>42009.0</v>
      </c>
      <c r="T134" s="165"/>
      <c r="U134" s="165" t="s">
        <v>2455</v>
      </c>
      <c r="V134" s="160" t="s">
        <v>2456</v>
      </c>
      <c r="W134" s="160" t="s">
        <v>118</v>
      </c>
      <c r="X134" s="159" t="s">
        <v>138</v>
      </c>
      <c r="Y134" s="160"/>
      <c r="Z134" s="160"/>
      <c r="AA134" s="167">
        <v>41939.0</v>
      </c>
      <c r="AB134" s="167">
        <v>41946.0</v>
      </c>
      <c r="AC134" s="160">
        <v>10.0</v>
      </c>
      <c r="AD134" s="160" t="s">
        <v>114</v>
      </c>
      <c r="AE134" s="160"/>
      <c r="AF134" s="165"/>
      <c r="AG134" s="160"/>
      <c r="AH134" s="169" t="s">
        <v>2071</v>
      </c>
      <c r="AI134" s="169"/>
      <c r="AJ134" s="160"/>
      <c r="AK134" s="160" t="s">
        <v>2157</v>
      </c>
      <c r="AL134" s="170">
        <f t="shared" si="3"/>
        <v>46</v>
      </c>
      <c r="AM134" s="171">
        <v>2014.0</v>
      </c>
    </row>
    <row r="135">
      <c r="A135" s="158">
        <f t="shared" si="1"/>
        <v>12468770</v>
      </c>
      <c r="B135" s="160">
        <v>103.0</v>
      </c>
      <c r="C135" s="160"/>
      <c r="D135" s="160" t="s">
        <v>1615</v>
      </c>
      <c r="E135" s="160" t="s">
        <v>1614</v>
      </c>
      <c r="F135" s="159" t="s">
        <v>1955</v>
      </c>
      <c r="G135" s="160" t="s">
        <v>1741</v>
      </c>
      <c r="H135" s="172">
        <v>21.0</v>
      </c>
      <c r="I135" s="160"/>
      <c r="J135" s="160" t="s">
        <v>112</v>
      </c>
      <c r="K135" s="160" t="s">
        <v>127</v>
      </c>
      <c r="L135" s="160" t="s">
        <v>117</v>
      </c>
      <c r="M135" s="160">
        <v>0.0</v>
      </c>
      <c r="N135" s="160" t="s">
        <v>116</v>
      </c>
      <c r="O135" s="160">
        <v>4.0</v>
      </c>
      <c r="P135" s="160">
        <v>3.0</v>
      </c>
      <c r="Q135" s="160">
        <v>1.0</v>
      </c>
      <c r="R135" s="165" t="s">
        <v>115</v>
      </c>
      <c r="S135" s="173">
        <v>42009.0</v>
      </c>
      <c r="T135" s="165"/>
      <c r="U135" s="165" t="s">
        <v>2457</v>
      </c>
      <c r="V135" s="160" t="s">
        <v>2458</v>
      </c>
      <c r="W135" s="160" t="s">
        <v>118</v>
      </c>
      <c r="X135" s="160"/>
      <c r="Y135" s="160"/>
      <c r="Z135" s="160"/>
      <c r="AA135" s="167">
        <v>41942.0</v>
      </c>
      <c r="AB135" s="167">
        <v>41949.0</v>
      </c>
      <c r="AC135" s="160"/>
      <c r="AD135" s="160"/>
      <c r="AE135" s="160"/>
      <c r="AF135" s="165"/>
      <c r="AG135" s="160"/>
      <c r="AH135" s="169" t="s">
        <v>2071</v>
      </c>
      <c r="AI135" s="168" t="s">
        <v>2459</v>
      </c>
      <c r="AJ135" s="160"/>
      <c r="AK135" s="160" t="s">
        <v>2157</v>
      </c>
      <c r="AL135" s="170">
        <f t="shared" si="3"/>
        <v>43</v>
      </c>
      <c r="AM135" s="171">
        <v>2014.0</v>
      </c>
    </row>
    <row r="136">
      <c r="A136" s="158">
        <f t="shared" si="1"/>
        <v>15342860</v>
      </c>
      <c r="B136" s="160">
        <v>123.0</v>
      </c>
      <c r="C136" s="160"/>
      <c r="D136" s="160" t="s">
        <v>1940</v>
      </c>
      <c r="E136" s="160" t="s">
        <v>1961</v>
      </c>
      <c r="F136" s="159" t="s">
        <v>2460</v>
      </c>
      <c r="G136" s="160" t="s">
        <v>1885</v>
      </c>
      <c r="H136" s="160">
        <v>18.0</v>
      </c>
      <c r="I136" s="160"/>
      <c r="J136" s="160" t="s">
        <v>112</v>
      </c>
      <c r="K136" s="160" t="s">
        <v>125</v>
      </c>
      <c r="L136" s="160" t="s">
        <v>117</v>
      </c>
      <c r="M136" s="160"/>
      <c r="N136" s="160" t="s">
        <v>116</v>
      </c>
      <c r="O136" s="160"/>
      <c r="P136" s="160"/>
      <c r="Q136" s="160">
        <v>9.0</v>
      </c>
      <c r="R136" s="165" t="s">
        <v>115</v>
      </c>
      <c r="S136" s="175">
        <v>42065.0</v>
      </c>
      <c r="T136" s="160"/>
      <c r="U136" s="165" t="s">
        <v>2461</v>
      </c>
      <c r="V136" s="160" t="s">
        <v>2462</v>
      </c>
      <c r="W136" s="191"/>
      <c r="X136" s="160"/>
      <c r="Y136" s="160"/>
      <c r="Z136" s="160"/>
      <c r="AA136" s="167">
        <v>41946.0</v>
      </c>
      <c r="AB136" s="167">
        <v>41953.0</v>
      </c>
      <c r="AC136" s="160"/>
      <c r="AD136" s="160"/>
      <c r="AE136" s="160"/>
      <c r="AF136" s="160"/>
      <c r="AG136" s="160"/>
      <c r="AH136" s="169" t="s">
        <v>2071</v>
      </c>
      <c r="AI136" s="169" t="s">
        <v>2463</v>
      </c>
      <c r="AJ136" s="160"/>
      <c r="AK136" s="160" t="s">
        <v>2157</v>
      </c>
      <c r="AL136" s="170">
        <f t="shared" si="3"/>
        <v>81</v>
      </c>
      <c r="AM136" s="171">
        <v>2014.0</v>
      </c>
    </row>
    <row r="137">
      <c r="A137" s="158">
        <f t="shared" si="1"/>
        <v>19061920</v>
      </c>
      <c r="B137" s="160">
        <v>94.0</v>
      </c>
      <c r="C137" s="160"/>
      <c r="D137" s="160" t="s">
        <v>1642</v>
      </c>
      <c r="E137" s="160" t="s">
        <v>1643</v>
      </c>
      <c r="F137" s="159" t="s">
        <v>1946</v>
      </c>
      <c r="G137" s="160" t="s">
        <v>1869</v>
      </c>
      <c r="H137" s="172">
        <v>17.0</v>
      </c>
      <c r="I137" s="160"/>
      <c r="J137" s="160" t="s">
        <v>112</v>
      </c>
      <c r="K137" s="160" t="s">
        <v>120</v>
      </c>
      <c r="L137" s="160" t="s">
        <v>117</v>
      </c>
      <c r="M137" s="160">
        <v>0.0</v>
      </c>
      <c r="N137" s="160" t="s">
        <v>116</v>
      </c>
      <c r="O137" s="160">
        <v>4.0</v>
      </c>
      <c r="P137" s="160">
        <v>3.0</v>
      </c>
      <c r="Q137" s="160">
        <v>1.0</v>
      </c>
      <c r="R137" s="165" t="s">
        <v>121</v>
      </c>
      <c r="S137" s="173">
        <v>42005.0</v>
      </c>
      <c r="T137" s="165"/>
      <c r="U137" s="165" t="s">
        <v>2464</v>
      </c>
      <c r="V137" s="160" t="s">
        <v>2465</v>
      </c>
      <c r="W137" s="160" t="s">
        <v>118</v>
      </c>
      <c r="X137" s="160" t="s">
        <v>2102</v>
      </c>
      <c r="Y137" s="160" t="s">
        <v>2140</v>
      </c>
      <c r="Z137" s="160"/>
      <c r="AA137" s="167">
        <v>41947.0</v>
      </c>
      <c r="AB137" s="167">
        <v>41954.0</v>
      </c>
      <c r="AC137" s="160">
        <v>17.0</v>
      </c>
      <c r="AD137" s="160" t="s">
        <v>120</v>
      </c>
      <c r="AE137" s="160"/>
      <c r="AF137" s="165"/>
      <c r="AG137" s="160"/>
      <c r="AH137" s="169" t="s">
        <v>2071</v>
      </c>
      <c r="AI137" s="169"/>
      <c r="AJ137" s="160"/>
      <c r="AK137" s="160" t="s">
        <v>1612</v>
      </c>
      <c r="AL137" s="170">
        <f t="shared" si="3"/>
        <v>38</v>
      </c>
      <c r="AM137" s="171">
        <v>2014.0</v>
      </c>
    </row>
    <row r="138">
      <c r="A138" s="158">
        <f t="shared" si="1"/>
        <v>16660732</v>
      </c>
      <c r="B138" s="160">
        <v>134.0</v>
      </c>
      <c r="C138" s="160"/>
      <c r="D138" s="160" t="s">
        <v>1627</v>
      </c>
      <c r="E138" s="160" t="s">
        <v>2051</v>
      </c>
      <c r="F138" s="159" t="s">
        <v>2052</v>
      </c>
      <c r="G138" s="160" t="s">
        <v>2466</v>
      </c>
      <c r="H138" s="172">
        <v>8.0</v>
      </c>
      <c r="I138" s="160"/>
      <c r="J138" s="160" t="s">
        <v>112</v>
      </c>
      <c r="K138" s="160" t="s">
        <v>114</v>
      </c>
      <c r="L138" s="160" t="s">
        <v>117</v>
      </c>
      <c r="M138" s="160">
        <v>7.0</v>
      </c>
      <c r="N138" s="160" t="s">
        <v>116</v>
      </c>
      <c r="O138" s="160">
        <v>28.0</v>
      </c>
      <c r="P138" s="160">
        <v>4.0</v>
      </c>
      <c r="Q138" s="160">
        <v>1.0</v>
      </c>
      <c r="R138" s="165" t="s">
        <v>115</v>
      </c>
      <c r="S138" s="173">
        <v>42065.0</v>
      </c>
      <c r="T138" s="165"/>
      <c r="U138" s="165" t="s">
        <v>2467</v>
      </c>
      <c r="V138" s="160" t="s">
        <v>2468</v>
      </c>
      <c r="W138" s="160" t="s">
        <v>123</v>
      </c>
      <c r="X138" s="160"/>
      <c r="Y138" s="160"/>
      <c r="Z138" s="160"/>
      <c r="AA138" s="167">
        <v>41954.0</v>
      </c>
      <c r="AB138" s="167">
        <v>41961.0</v>
      </c>
      <c r="AC138" s="160"/>
      <c r="AD138" s="160"/>
      <c r="AE138" s="160"/>
      <c r="AF138" s="165"/>
      <c r="AG138" s="160"/>
      <c r="AH138" s="169" t="s">
        <v>2071</v>
      </c>
      <c r="AI138" s="169"/>
      <c r="AJ138" s="160"/>
      <c r="AK138" s="160" t="s">
        <v>1612</v>
      </c>
      <c r="AL138" s="170">
        <f t="shared" si="3"/>
        <v>75</v>
      </c>
      <c r="AM138" s="171">
        <v>2014.0</v>
      </c>
    </row>
    <row r="139">
      <c r="A139" s="158">
        <f t="shared" si="1"/>
        <v>16921111</v>
      </c>
      <c r="B139" s="160">
        <v>134.0</v>
      </c>
      <c r="C139" s="160"/>
      <c r="D139" s="160" t="s">
        <v>1627</v>
      </c>
      <c r="E139" s="160" t="s">
        <v>2051</v>
      </c>
      <c r="F139" s="159" t="s">
        <v>2052</v>
      </c>
      <c r="G139" s="160" t="s">
        <v>2466</v>
      </c>
      <c r="H139" s="172">
        <v>8.0</v>
      </c>
      <c r="I139" s="160"/>
      <c r="J139" s="160" t="s">
        <v>112</v>
      </c>
      <c r="K139" s="160" t="s">
        <v>114</v>
      </c>
      <c r="L139" s="160" t="s">
        <v>117</v>
      </c>
      <c r="M139" s="160">
        <v>7.0</v>
      </c>
      <c r="N139" s="160" t="s">
        <v>116</v>
      </c>
      <c r="O139" s="160">
        <v>28.0</v>
      </c>
      <c r="P139" s="160">
        <v>4.0</v>
      </c>
      <c r="Q139" s="160">
        <v>1.0</v>
      </c>
      <c r="R139" s="165" t="s">
        <v>115</v>
      </c>
      <c r="S139" s="173">
        <v>42065.0</v>
      </c>
      <c r="T139" s="165"/>
      <c r="U139" s="165" t="s">
        <v>2467</v>
      </c>
      <c r="V139" s="160" t="s">
        <v>2469</v>
      </c>
      <c r="W139" s="160" t="s">
        <v>123</v>
      </c>
      <c r="X139" s="160"/>
      <c r="Y139" s="160"/>
      <c r="Z139" s="160"/>
      <c r="AA139" s="167">
        <v>41954.0</v>
      </c>
      <c r="AB139" s="167">
        <v>41961.0</v>
      </c>
      <c r="AC139" s="160"/>
      <c r="AD139" s="160"/>
      <c r="AE139" s="160"/>
      <c r="AF139" s="165"/>
      <c r="AG139" s="160"/>
      <c r="AH139" s="169" t="s">
        <v>2071</v>
      </c>
      <c r="AI139" s="169"/>
      <c r="AJ139" s="160"/>
      <c r="AK139" s="160" t="s">
        <v>1612</v>
      </c>
      <c r="AL139" s="170">
        <f t="shared" si="3"/>
        <v>75</v>
      </c>
      <c r="AM139" s="171">
        <v>2014.0</v>
      </c>
    </row>
    <row r="140">
      <c r="A140" s="158">
        <f t="shared" si="1"/>
        <v>16921111</v>
      </c>
      <c r="B140" s="160"/>
      <c r="C140" s="160"/>
      <c r="D140" s="160" t="s">
        <v>1627</v>
      </c>
      <c r="E140" s="160" t="s">
        <v>2051</v>
      </c>
      <c r="F140" s="159" t="s">
        <v>2052</v>
      </c>
      <c r="G140" s="160" t="s">
        <v>2466</v>
      </c>
      <c r="H140" s="162">
        <v>8.0</v>
      </c>
      <c r="I140" s="160"/>
      <c r="J140" s="160" t="s">
        <v>112</v>
      </c>
      <c r="K140" s="160" t="s">
        <v>114</v>
      </c>
      <c r="L140" s="160" t="s">
        <v>117</v>
      </c>
      <c r="M140" s="160">
        <v>7.0</v>
      </c>
      <c r="N140" s="160" t="s">
        <v>116</v>
      </c>
      <c r="O140" s="160">
        <v>28.0</v>
      </c>
      <c r="P140" s="160">
        <v>4.0</v>
      </c>
      <c r="Q140" s="160">
        <v>1.0</v>
      </c>
      <c r="R140" s="163" t="s">
        <v>121</v>
      </c>
      <c r="S140" s="173">
        <v>42065.0</v>
      </c>
      <c r="T140" s="165"/>
      <c r="U140" s="165" t="s">
        <v>2470</v>
      </c>
      <c r="V140" s="160" t="s">
        <v>2469</v>
      </c>
      <c r="W140" s="160"/>
      <c r="X140" s="159" t="s">
        <v>138</v>
      </c>
      <c r="Y140" s="160" t="s">
        <v>2102</v>
      </c>
      <c r="Z140" s="160" t="s">
        <v>2471</v>
      </c>
      <c r="AA140" s="167">
        <v>41954.0</v>
      </c>
      <c r="AB140" s="167">
        <v>41961.0</v>
      </c>
      <c r="AC140" s="160"/>
      <c r="AD140" s="160"/>
      <c r="AE140" s="160"/>
      <c r="AF140" s="165"/>
      <c r="AG140" s="160"/>
      <c r="AH140" s="169" t="s">
        <v>2071</v>
      </c>
      <c r="AI140" s="169"/>
      <c r="AJ140" s="160"/>
      <c r="AK140" s="160" t="s">
        <v>1612</v>
      </c>
      <c r="AL140" s="170">
        <f t="shared" si="3"/>
        <v>75</v>
      </c>
      <c r="AM140" s="171">
        <v>2014.0</v>
      </c>
    </row>
    <row r="141">
      <c r="A141" s="158">
        <f t="shared" si="1"/>
        <v>16912242</v>
      </c>
      <c r="B141" s="160">
        <v>95.0</v>
      </c>
      <c r="C141" s="160"/>
      <c r="D141" s="160" t="s">
        <v>1627</v>
      </c>
      <c r="E141" s="160" t="s">
        <v>2307</v>
      </c>
      <c r="F141" s="159" t="s">
        <v>2472</v>
      </c>
      <c r="G141" s="160" t="s">
        <v>2473</v>
      </c>
      <c r="H141" s="172">
        <v>13.0</v>
      </c>
      <c r="I141" s="160"/>
      <c r="J141" s="160" t="s">
        <v>112</v>
      </c>
      <c r="K141" s="160" t="s">
        <v>114</v>
      </c>
      <c r="L141" s="160" t="s">
        <v>117</v>
      </c>
      <c r="M141" s="160">
        <v>0.0</v>
      </c>
      <c r="N141" s="160" t="s">
        <v>116</v>
      </c>
      <c r="O141" s="160">
        <v>13.0</v>
      </c>
      <c r="P141" s="160">
        <v>5.0</v>
      </c>
      <c r="Q141" s="160">
        <v>1.0</v>
      </c>
      <c r="R141" s="165" t="s">
        <v>121</v>
      </c>
      <c r="S141" s="173">
        <v>41988.0</v>
      </c>
      <c r="T141" s="165"/>
      <c r="U141" s="165" t="s">
        <v>2474</v>
      </c>
      <c r="V141" s="160" t="s">
        <v>2475</v>
      </c>
      <c r="W141" s="160" t="s">
        <v>122</v>
      </c>
      <c r="X141" s="160"/>
      <c r="Y141" s="160"/>
      <c r="Z141" s="160"/>
      <c r="AA141" s="167">
        <v>41954.0</v>
      </c>
      <c r="AB141" s="167">
        <v>41961.0</v>
      </c>
      <c r="AC141" s="160">
        <v>13.0</v>
      </c>
      <c r="AD141" s="160" t="s">
        <v>114</v>
      </c>
      <c r="AE141" s="160"/>
      <c r="AF141" s="165"/>
      <c r="AG141" s="160"/>
      <c r="AH141" s="169" t="s">
        <v>2071</v>
      </c>
      <c r="AI141" s="169"/>
      <c r="AJ141" s="160"/>
      <c r="AK141" s="160" t="s">
        <v>2157</v>
      </c>
      <c r="AL141" s="170">
        <f t="shared" si="3"/>
        <v>20</v>
      </c>
      <c r="AM141" s="171">
        <v>2014.0</v>
      </c>
    </row>
    <row r="142">
      <c r="A142" s="158">
        <f t="shared" si="1"/>
        <v>17670586</v>
      </c>
      <c r="B142" s="160">
        <v>117.0</v>
      </c>
      <c r="C142" s="160"/>
      <c r="D142" s="160" t="s">
        <v>1618</v>
      </c>
      <c r="E142" s="160" t="s">
        <v>2476</v>
      </c>
      <c r="F142" s="159" t="s">
        <v>2034</v>
      </c>
      <c r="G142" s="160" t="s">
        <v>1625</v>
      </c>
      <c r="H142" s="172">
        <v>17.0</v>
      </c>
      <c r="I142" s="160"/>
      <c r="J142" s="160" t="s">
        <v>112</v>
      </c>
      <c r="K142" s="160" t="s">
        <v>125</v>
      </c>
      <c r="L142" s="160" t="s">
        <v>117</v>
      </c>
      <c r="M142" s="160">
        <v>0.0</v>
      </c>
      <c r="N142" s="160" t="s">
        <v>116</v>
      </c>
      <c r="O142" s="160">
        <v>10.0</v>
      </c>
      <c r="P142" s="160">
        <v>1.0</v>
      </c>
      <c r="Q142" s="160">
        <v>1.0</v>
      </c>
      <c r="R142" s="165" t="s">
        <v>115</v>
      </c>
      <c r="S142" s="173">
        <v>42065.0</v>
      </c>
      <c r="T142" s="165"/>
      <c r="U142" s="165" t="s">
        <v>2477</v>
      </c>
      <c r="V142" s="160" t="s">
        <v>2478</v>
      </c>
      <c r="W142" s="160" t="s">
        <v>123</v>
      </c>
      <c r="X142" s="160"/>
      <c r="Y142" s="160"/>
      <c r="Z142" s="160"/>
      <c r="AA142" s="167">
        <v>41954.0</v>
      </c>
      <c r="AB142" s="167">
        <v>41961.0</v>
      </c>
      <c r="AC142" s="160"/>
      <c r="AD142" s="160"/>
      <c r="AE142" s="160"/>
      <c r="AF142" s="165"/>
      <c r="AG142" s="160"/>
      <c r="AH142" s="169" t="s">
        <v>2071</v>
      </c>
      <c r="AI142" s="169" t="s">
        <v>2479</v>
      </c>
      <c r="AJ142" s="160"/>
      <c r="AK142" s="160" t="s">
        <v>2163</v>
      </c>
      <c r="AL142" s="170">
        <f t="shared" si="3"/>
        <v>75</v>
      </c>
      <c r="AM142" s="171">
        <v>2014.0</v>
      </c>
    </row>
    <row r="143">
      <c r="A143" s="158">
        <f t="shared" si="1"/>
        <v>15563432</v>
      </c>
      <c r="B143" s="160">
        <v>97.0</v>
      </c>
      <c r="C143" s="160"/>
      <c r="D143" s="160" t="s">
        <v>1627</v>
      </c>
      <c r="E143" s="160" t="s">
        <v>2036</v>
      </c>
      <c r="F143" s="159" t="s">
        <v>1968</v>
      </c>
      <c r="G143" s="160" t="s">
        <v>1816</v>
      </c>
      <c r="H143" s="172">
        <v>20.0</v>
      </c>
      <c r="I143" s="160"/>
      <c r="J143" s="160" t="s">
        <v>112</v>
      </c>
      <c r="K143" s="160" t="s">
        <v>120</v>
      </c>
      <c r="L143" s="160" t="s">
        <v>117</v>
      </c>
      <c r="M143" s="160">
        <v>0.0</v>
      </c>
      <c r="N143" s="160" t="s">
        <v>116</v>
      </c>
      <c r="O143" s="160">
        <v>4.0</v>
      </c>
      <c r="P143" s="160">
        <v>3.0</v>
      </c>
      <c r="Q143" s="160">
        <v>1.0</v>
      </c>
      <c r="R143" s="165" t="s">
        <v>121</v>
      </c>
      <c r="S143" s="173">
        <v>41995.0</v>
      </c>
      <c r="T143" s="165"/>
      <c r="U143" s="165" t="s">
        <v>2480</v>
      </c>
      <c r="V143" s="160" t="s">
        <v>2481</v>
      </c>
      <c r="W143" s="160" t="s">
        <v>122</v>
      </c>
      <c r="X143" s="160"/>
      <c r="Y143" s="160"/>
      <c r="Z143" s="160"/>
      <c r="AA143" s="167">
        <v>41955.0</v>
      </c>
      <c r="AB143" s="167">
        <v>41962.0</v>
      </c>
      <c r="AC143" s="160">
        <v>20.0</v>
      </c>
      <c r="AD143" s="160" t="s">
        <v>120</v>
      </c>
      <c r="AE143" s="160"/>
      <c r="AF143" s="165"/>
      <c r="AG143" s="160"/>
      <c r="AH143" s="169" t="s">
        <v>2071</v>
      </c>
      <c r="AI143" s="169"/>
      <c r="AJ143" s="160"/>
      <c r="AK143" s="160" t="s">
        <v>2157</v>
      </c>
      <c r="AL143" s="170">
        <f t="shared" si="3"/>
        <v>24</v>
      </c>
      <c r="AM143" s="171">
        <v>2014.0</v>
      </c>
    </row>
    <row r="144">
      <c r="A144" s="158">
        <f t="shared" si="1"/>
        <v>15639128</v>
      </c>
      <c r="B144" s="160">
        <v>98.0</v>
      </c>
      <c r="C144" s="160"/>
      <c r="D144" s="160" t="s">
        <v>1627</v>
      </c>
      <c r="E144" s="160" t="s">
        <v>2036</v>
      </c>
      <c r="F144" s="159" t="s">
        <v>2009</v>
      </c>
      <c r="G144" s="160" t="s">
        <v>1862</v>
      </c>
      <c r="H144" s="172">
        <v>17.0</v>
      </c>
      <c r="I144" s="160"/>
      <c r="J144" s="160" t="s">
        <v>112</v>
      </c>
      <c r="K144" s="160" t="s">
        <v>125</v>
      </c>
      <c r="L144" s="160" t="s">
        <v>117</v>
      </c>
      <c r="M144" s="160">
        <v>0.0</v>
      </c>
      <c r="N144" s="160" t="s">
        <v>116</v>
      </c>
      <c r="O144" s="160">
        <v>5.0</v>
      </c>
      <c r="P144" s="160">
        <v>3.0</v>
      </c>
      <c r="Q144" s="160">
        <v>1.0</v>
      </c>
      <c r="R144" s="165" t="s">
        <v>121</v>
      </c>
      <c r="S144" s="173">
        <v>42006.0</v>
      </c>
      <c r="T144" s="165"/>
      <c r="U144" s="165" t="s">
        <v>2482</v>
      </c>
      <c r="V144" s="160" t="s">
        <v>2483</v>
      </c>
      <c r="W144" s="160" t="s">
        <v>122</v>
      </c>
      <c r="X144" s="160"/>
      <c r="Y144" s="160"/>
      <c r="Z144" s="160"/>
      <c r="AA144" s="167">
        <v>41955.0</v>
      </c>
      <c r="AB144" s="167">
        <v>41962.0</v>
      </c>
      <c r="AC144" s="160">
        <v>17.0</v>
      </c>
      <c r="AD144" s="160" t="s">
        <v>125</v>
      </c>
      <c r="AE144" s="160"/>
      <c r="AF144" s="165"/>
      <c r="AG144" s="160"/>
      <c r="AH144" s="169" t="s">
        <v>2071</v>
      </c>
      <c r="AI144" s="169"/>
      <c r="AJ144" s="160"/>
      <c r="AK144" s="160" t="s">
        <v>1612</v>
      </c>
      <c r="AL144" s="170">
        <f t="shared" si="3"/>
        <v>33</v>
      </c>
      <c r="AM144" s="171">
        <v>2014.0</v>
      </c>
    </row>
    <row r="145">
      <c r="A145" s="158">
        <f t="shared" si="1"/>
        <v>19183281</v>
      </c>
      <c r="B145" s="160">
        <v>122.0</v>
      </c>
      <c r="C145" s="160"/>
      <c r="D145" s="160" t="s">
        <v>1637</v>
      </c>
      <c r="E145" s="160" t="s">
        <v>1637</v>
      </c>
      <c r="F145" s="159" t="s">
        <v>1968</v>
      </c>
      <c r="G145" s="160" t="s">
        <v>1816</v>
      </c>
      <c r="H145" s="172">
        <v>20.0</v>
      </c>
      <c r="I145" s="160"/>
      <c r="J145" s="160" t="s">
        <v>112</v>
      </c>
      <c r="K145" s="160" t="s">
        <v>120</v>
      </c>
      <c r="L145" s="160" t="s">
        <v>117</v>
      </c>
      <c r="M145" s="160">
        <v>1.0</v>
      </c>
      <c r="N145" s="160" t="s">
        <v>116</v>
      </c>
      <c r="O145" s="160">
        <v>6.0</v>
      </c>
      <c r="P145" s="160">
        <v>2.0</v>
      </c>
      <c r="Q145" s="160">
        <v>1.0</v>
      </c>
      <c r="R145" s="165" t="s">
        <v>121</v>
      </c>
      <c r="S145" s="173">
        <v>42095.0</v>
      </c>
      <c r="T145" s="165"/>
      <c r="U145" s="165" t="s">
        <v>2484</v>
      </c>
      <c r="V145" s="160" t="s">
        <v>2485</v>
      </c>
      <c r="W145" s="160" t="s">
        <v>118</v>
      </c>
      <c r="X145" s="160" t="s">
        <v>2405</v>
      </c>
      <c r="Y145" s="160"/>
      <c r="Z145" s="160"/>
      <c r="AA145" s="167">
        <v>41956.0</v>
      </c>
      <c r="AB145" s="167">
        <v>41963.0</v>
      </c>
      <c r="AC145" s="160"/>
      <c r="AD145" s="160"/>
      <c r="AE145" s="160"/>
      <c r="AF145" s="165"/>
      <c r="AG145" s="160"/>
      <c r="AH145" s="169" t="s">
        <v>2071</v>
      </c>
      <c r="AI145" s="169"/>
      <c r="AJ145" s="160"/>
      <c r="AK145" s="160" t="s">
        <v>1612</v>
      </c>
      <c r="AL145" s="170">
        <f t="shared" si="3"/>
        <v>95</v>
      </c>
      <c r="AM145" s="171">
        <v>2014.0</v>
      </c>
    </row>
    <row r="146">
      <c r="A146" s="158">
        <f t="shared" si="1"/>
        <v>9703334</v>
      </c>
      <c r="B146" s="160">
        <v>93.0</v>
      </c>
      <c r="C146" s="160"/>
      <c r="D146" s="160" t="s">
        <v>1642</v>
      </c>
      <c r="E146" s="160" t="s">
        <v>2195</v>
      </c>
      <c r="F146" s="159" t="s">
        <v>2067</v>
      </c>
      <c r="G146" s="160" t="s">
        <v>2486</v>
      </c>
      <c r="H146" s="172">
        <v>10.0</v>
      </c>
      <c r="I146" s="160"/>
      <c r="J146" s="160" t="s">
        <v>112</v>
      </c>
      <c r="K146" s="160" t="s">
        <v>114</v>
      </c>
      <c r="L146" s="160" t="s">
        <v>117</v>
      </c>
      <c r="M146" s="160">
        <v>9.0</v>
      </c>
      <c r="N146" s="160" t="s">
        <v>122</v>
      </c>
      <c r="O146" s="160"/>
      <c r="P146" s="160">
        <v>1.0</v>
      </c>
      <c r="Q146" s="160">
        <v>0.0</v>
      </c>
      <c r="R146" s="165" t="s">
        <v>115</v>
      </c>
      <c r="S146" s="173">
        <v>41995.0</v>
      </c>
      <c r="T146" s="165" t="s">
        <v>2487</v>
      </c>
      <c r="U146" s="165"/>
      <c r="V146" s="160" t="s">
        <v>2488</v>
      </c>
      <c r="W146" s="160" t="s">
        <v>118</v>
      </c>
      <c r="X146" s="159" t="s">
        <v>138</v>
      </c>
      <c r="Y146" s="160" t="s">
        <v>2435</v>
      </c>
      <c r="Z146" s="160"/>
      <c r="AA146" s="167">
        <v>41969.0</v>
      </c>
      <c r="AB146" s="167">
        <v>41976.0</v>
      </c>
      <c r="AC146" s="160">
        <v>14.0</v>
      </c>
      <c r="AD146" s="160" t="s">
        <v>114</v>
      </c>
      <c r="AE146" s="160"/>
      <c r="AF146" s="165" t="s">
        <v>2195</v>
      </c>
      <c r="AG146" s="160"/>
      <c r="AH146" s="169" t="s">
        <v>2071</v>
      </c>
      <c r="AI146" s="169"/>
      <c r="AJ146" s="160"/>
      <c r="AK146" s="160" t="s">
        <v>2157</v>
      </c>
      <c r="AL146" s="170">
        <f t="shared" si="3"/>
        <v>14</v>
      </c>
      <c r="AM146" s="171">
        <v>2014.0</v>
      </c>
    </row>
    <row r="147">
      <c r="A147" s="158">
        <f t="shared" si="1"/>
        <v>16143854</v>
      </c>
      <c r="B147" s="160">
        <v>91.0</v>
      </c>
      <c r="C147" s="160"/>
      <c r="D147" s="160" t="s">
        <v>1627</v>
      </c>
      <c r="E147" s="160" t="s">
        <v>2307</v>
      </c>
      <c r="F147" s="159" t="s">
        <v>2004</v>
      </c>
      <c r="G147" s="160" t="s">
        <v>2489</v>
      </c>
      <c r="H147" s="172">
        <v>17.0</v>
      </c>
      <c r="I147" s="160"/>
      <c r="J147" s="160" t="s">
        <v>112</v>
      </c>
      <c r="K147" s="160" t="s">
        <v>125</v>
      </c>
      <c r="L147" s="160" t="s">
        <v>117</v>
      </c>
      <c r="M147" s="160">
        <v>0.0</v>
      </c>
      <c r="N147" s="160" t="s">
        <v>116</v>
      </c>
      <c r="O147" s="160">
        <v>5.0</v>
      </c>
      <c r="P147" s="160">
        <v>2.0</v>
      </c>
      <c r="Q147" s="160">
        <v>1.0</v>
      </c>
      <c r="R147" s="165" t="s">
        <v>121</v>
      </c>
      <c r="S147" s="173">
        <v>41989.0</v>
      </c>
      <c r="T147" s="165"/>
      <c r="U147" s="165" t="s">
        <v>2490</v>
      </c>
      <c r="V147" s="160" t="s">
        <v>2491</v>
      </c>
      <c r="W147" s="160" t="s">
        <v>123</v>
      </c>
      <c r="X147" s="160"/>
      <c r="Y147" s="160"/>
      <c r="Z147" s="160"/>
      <c r="AA147" s="167">
        <v>41971.0</v>
      </c>
      <c r="AB147" s="167">
        <v>41978.0</v>
      </c>
      <c r="AC147" s="160"/>
      <c r="AD147" s="160"/>
      <c r="AE147" s="160"/>
      <c r="AF147" s="165"/>
      <c r="AG147" s="160"/>
      <c r="AH147" s="169" t="s">
        <v>2071</v>
      </c>
      <c r="AI147" s="169"/>
      <c r="AJ147" s="160"/>
      <c r="AK147" s="160" t="s">
        <v>2157</v>
      </c>
      <c r="AL147" s="170">
        <f t="shared" si="3"/>
        <v>8</v>
      </c>
      <c r="AM147" s="171">
        <v>2014.0</v>
      </c>
    </row>
    <row r="148">
      <c r="A148" s="158">
        <f t="shared" si="1"/>
        <v>11751199</v>
      </c>
      <c r="B148" s="160">
        <v>128.0</v>
      </c>
      <c r="C148" s="160"/>
      <c r="D148" s="160" t="s">
        <v>1627</v>
      </c>
      <c r="E148" s="160" t="s">
        <v>2492</v>
      </c>
      <c r="F148" s="159" t="s">
        <v>1968</v>
      </c>
      <c r="G148" s="160" t="s">
        <v>1816</v>
      </c>
      <c r="H148" s="172">
        <v>20.0</v>
      </c>
      <c r="I148" s="160"/>
      <c r="J148" s="160" t="s">
        <v>112</v>
      </c>
      <c r="K148" s="160" t="s">
        <v>120</v>
      </c>
      <c r="L148" s="160" t="s">
        <v>117</v>
      </c>
      <c r="M148" s="160">
        <v>2.0</v>
      </c>
      <c r="N148" s="160" t="s">
        <v>122</v>
      </c>
      <c r="O148" s="160"/>
      <c r="P148" s="160">
        <v>1.0</v>
      </c>
      <c r="Q148" s="160">
        <v>0.0</v>
      </c>
      <c r="R148" s="165" t="s">
        <v>121</v>
      </c>
      <c r="S148" s="173">
        <v>42107.0</v>
      </c>
      <c r="T148" s="165" t="s">
        <v>2493</v>
      </c>
      <c r="U148" s="165"/>
      <c r="V148" s="160" t="s">
        <v>2494</v>
      </c>
      <c r="W148" s="160" t="s">
        <v>123</v>
      </c>
      <c r="X148" s="160"/>
      <c r="Y148" s="160"/>
      <c r="Z148" s="160"/>
      <c r="AA148" s="167">
        <v>41974.0</v>
      </c>
      <c r="AB148" s="167">
        <v>41981.0</v>
      </c>
      <c r="AC148" s="160">
        <v>22.0</v>
      </c>
      <c r="AD148" s="160" t="s">
        <v>127</v>
      </c>
      <c r="AE148" s="160"/>
      <c r="AF148" s="165" t="s">
        <v>1627</v>
      </c>
      <c r="AG148" s="160"/>
      <c r="AH148" s="169" t="s">
        <v>2071</v>
      </c>
      <c r="AI148" s="169"/>
      <c r="AJ148" s="160"/>
      <c r="AK148" s="160" t="s">
        <v>1612</v>
      </c>
      <c r="AL148" s="170">
        <f t="shared" si="3"/>
        <v>91</v>
      </c>
      <c r="AM148" s="171">
        <v>2014.0</v>
      </c>
    </row>
    <row r="149">
      <c r="A149" s="158">
        <f t="shared" si="1"/>
        <v>10678201</v>
      </c>
      <c r="B149" s="160">
        <v>132.0</v>
      </c>
      <c r="C149" s="160"/>
      <c r="D149" s="160" t="s">
        <v>1627</v>
      </c>
      <c r="E149" s="160" t="s">
        <v>2495</v>
      </c>
      <c r="F149" s="159" t="s">
        <v>1968</v>
      </c>
      <c r="G149" s="160" t="s">
        <v>2496</v>
      </c>
      <c r="H149" s="172">
        <v>20.0</v>
      </c>
      <c r="I149" s="160"/>
      <c r="J149" s="160" t="s">
        <v>112</v>
      </c>
      <c r="K149" s="160" t="s">
        <v>120</v>
      </c>
      <c r="L149" s="160" t="s">
        <v>117</v>
      </c>
      <c r="M149" s="160">
        <v>1.0</v>
      </c>
      <c r="N149" s="160" t="s">
        <v>122</v>
      </c>
      <c r="O149" s="160"/>
      <c r="P149" s="160">
        <v>1.0</v>
      </c>
      <c r="Q149" s="160">
        <v>0.0</v>
      </c>
      <c r="R149" s="165" t="s">
        <v>121</v>
      </c>
      <c r="S149" s="173">
        <v>42095.0</v>
      </c>
      <c r="T149" s="165" t="s">
        <v>2497</v>
      </c>
      <c r="U149" s="165"/>
      <c r="V149" s="160" t="s">
        <v>2498</v>
      </c>
      <c r="W149" s="160" t="s">
        <v>118</v>
      </c>
      <c r="X149" s="160" t="s">
        <v>2405</v>
      </c>
      <c r="Y149" s="160" t="s">
        <v>2140</v>
      </c>
      <c r="Z149" s="160"/>
      <c r="AA149" s="167">
        <v>41974.0</v>
      </c>
      <c r="AB149" s="167">
        <v>41981.0</v>
      </c>
      <c r="AC149" s="160">
        <v>22.0</v>
      </c>
      <c r="AD149" s="160" t="s">
        <v>120</v>
      </c>
      <c r="AE149" s="160"/>
      <c r="AF149" s="165" t="s">
        <v>2015</v>
      </c>
      <c r="AG149" s="160"/>
      <c r="AH149" s="169" t="s">
        <v>2071</v>
      </c>
      <c r="AI149" s="169" t="s">
        <v>2499</v>
      </c>
      <c r="AJ149" s="160"/>
      <c r="AK149" s="160" t="s">
        <v>2157</v>
      </c>
      <c r="AL149" s="170">
        <f t="shared" si="3"/>
        <v>83</v>
      </c>
      <c r="AM149" s="171">
        <v>2014.0</v>
      </c>
    </row>
    <row r="150">
      <c r="A150" s="158">
        <f t="shared" si="1"/>
        <v>4436770</v>
      </c>
      <c r="B150" s="160">
        <v>133.0</v>
      </c>
      <c r="C150" s="160"/>
      <c r="D150" s="160" t="s">
        <v>1627</v>
      </c>
      <c r="E150" s="160" t="s">
        <v>2495</v>
      </c>
      <c r="F150" s="159" t="s">
        <v>2077</v>
      </c>
      <c r="G150" s="160" t="s">
        <v>2078</v>
      </c>
      <c r="H150" s="172">
        <v>7.0</v>
      </c>
      <c r="I150" s="160"/>
      <c r="J150" s="160" t="s">
        <v>112</v>
      </c>
      <c r="K150" s="160" t="s">
        <v>114</v>
      </c>
      <c r="L150" s="160" t="s">
        <v>117</v>
      </c>
      <c r="M150" s="160">
        <v>1.0</v>
      </c>
      <c r="N150" s="160" t="s">
        <v>122</v>
      </c>
      <c r="O150" s="160"/>
      <c r="P150" s="160">
        <v>1.0</v>
      </c>
      <c r="Q150" s="160">
        <v>0.0</v>
      </c>
      <c r="R150" s="165" t="s">
        <v>115</v>
      </c>
      <c r="S150" s="173">
        <v>42016.0</v>
      </c>
      <c r="T150" s="165" t="s">
        <v>2500</v>
      </c>
      <c r="U150" s="165"/>
      <c r="V150" s="160" t="s">
        <v>2501</v>
      </c>
      <c r="W150" s="160" t="s">
        <v>123</v>
      </c>
      <c r="X150" s="160"/>
      <c r="Y150" s="160"/>
      <c r="Z150" s="160"/>
      <c r="AA150" s="167">
        <v>41984.0</v>
      </c>
      <c r="AB150" s="167">
        <v>41995.0</v>
      </c>
      <c r="AC150" s="160"/>
      <c r="AD150" s="160" t="s">
        <v>114</v>
      </c>
      <c r="AE150" s="160"/>
      <c r="AF150" s="165" t="s">
        <v>2495</v>
      </c>
      <c r="AG150" s="160"/>
      <c r="AH150" s="169" t="s">
        <v>2071</v>
      </c>
      <c r="AI150" s="169"/>
      <c r="AJ150" s="160"/>
      <c r="AK150" s="160" t="s">
        <v>1612</v>
      </c>
      <c r="AL150" s="170">
        <f t="shared" si="3"/>
        <v>16</v>
      </c>
      <c r="AM150" s="171">
        <v>2014.0</v>
      </c>
    </row>
    <row r="151">
      <c r="A151" s="158">
        <f t="shared" si="1"/>
        <v>13078261</v>
      </c>
      <c r="B151" s="160">
        <v>131.0</v>
      </c>
      <c r="C151" s="160"/>
      <c r="D151" s="160" t="s">
        <v>1892</v>
      </c>
      <c r="E151" s="160" t="s">
        <v>1921</v>
      </c>
      <c r="F151" s="159" t="s">
        <v>2031</v>
      </c>
      <c r="G151" s="160" t="s">
        <v>2032</v>
      </c>
      <c r="H151" s="172">
        <v>13.0</v>
      </c>
      <c r="I151" s="160"/>
      <c r="J151" s="160" t="s">
        <v>112</v>
      </c>
      <c r="K151" s="160" t="s">
        <v>114</v>
      </c>
      <c r="L151" s="160" t="s">
        <v>117</v>
      </c>
      <c r="M151" s="160">
        <v>2.0</v>
      </c>
      <c r="N151" s="160" t="s">
        <v>122</v>
      </c>
      <c r="O151" s="160"/>
      <c r="P151" s="160">
        <v>2.0</v>
      </c>
      <c r="Q151" s="160">
        <v>0.0</v>
      </c>
      <c r="R151" s="165" t="s">
        <v>121</v>
      </c>
      <c r="S151" s="173">
        <v>42072.0</v>
      </c>
      <c r="T151" s="165" t="s">
        <v>2502</v>
      </c>
      <c r="U151" s="165"/>
      <c r="V151" s="160" t="s">
        <v>2503</v>
      </c>
      <c r="W151" s="160" t="s">
        <v>118</v>
      </c>
      <c r="X151" s="160"/>
      <c r="Y151" s="160"/>
      <c r="Z151" s="160"/>
      <c r="AA151" s="167">
        <v>41995.0</v>
      </c>
      <c r="AB151" s="167">
        <v>42002.0</v>
      </c>
      <c r="AC151" s="160">
        <v>10.0</v>
      </c>
      <c r="AD151" s="160" t="s">
        <v>120</v>
      </c>
      <c r="AE151" s="160"/>
      <c r="AF151" s="165" t="s">
        <v>1623</v>
      </c>
      <c r="AG151" s="160"/>
      <c r="AH151" s="169" t="s">
        <v>2071</v>
      </c>
      <c r="AI151" s="169"/>
      <c r="AJ151" s="160"/>
      <c r="AK151" s="160" t="s">
        <v>1612</v>
      </c>
      <c r="AL151" s="170">
        <f t="shared" si="3"/>
        <v>51</v>
      </c>
      <c r="AM151" s="171">
        <v>2014.0</v>
      </c>
    </row>
    <row r="152">
      <c r="A152" s="158">
        <f t="shared" si="1"/>
        <v>16909766</v>
      </c>
      <c r="B152" s="160">
        <v>114.0</v>
      </c>
      <c r="C152" s="160"/>
      <c r="D152" s="160" t="s">
        <v>1627</v>
      </c>
      <c r="E152" s="160" t="s">
        <v>2036</v>
      </c>
      <c r="F152" s="159" t="s">
        <v>2067</v>
      </c>
      <c r="G152" s="160" t="s">
        <v>2504</v>
      </c>
      <c r="H152" s="172">
        <v>10.0</v>
      </c>
      <c r="I152" s="160"/>
      <c r="J152" s="160" t="s">
        <v>112</v>
      </c>
      <c r="K152" s="160" t="s">
        <v>114</v>
      </c>
      <c r="L152" s="160" t="s">
        <v>117</v>
      </c>
      <c r="M152" s="160">
        <v>6.0</v>
      </c>
      <c r="N152" s="160" t="s">
        <v>116</v>
      </c>
      <c r="O152" s="160">
        <v>6.0</v>
      </c>
      <c r="P152" s="160">
        <v>2.0</v>
      </c>
      <c r="Q152" s="160">
        <v>1.0</v>
      </c>
      <c r="R152" s="165" t="s">
        <v>121</v>
      </c>
      <c r="S152" s="173">
        <v>42027.0</v>
      </c>
      <c r="T152" s="165"/>
      <c r="U152" s="165" t="s">
        <v>2505</v>
      </c>
      <c r="V152" s="160" t="s">
        <v>2506</v>
      </c>
      <c r="W152" s="160" t="s">
        <v>118</v>
      </c>
      <c r="X152" s="160"/>
      <c r="Y152" s="160"/>
      <c r="Z152" s="160" t="s">
        <v>2381</v>
      </c>
      <c r="AA152" s="167">
        <v>41694.0</v>
      </c>
      <c r="AB152" s="167">
        <v>42009.0</v>
      </c>
      <c r="AC152" s="160"/>
      <c r="AD152" s="160"/>
      <c r="AE152" s="160"/>
      <c r="AF152" s="165"/>
      <c r="AG152" s="160"/>
      <c r="AH152" s="169" t="s">
        <v>2071</v>
      </c>
      <c r="AI152" s="169" t="s">
        <v>2507</v>
      </c>
      <c r="AJ152" s="160"/>
      <c r="AK152" s="160" t="s">
        <v>2157</v>
      </c>
      <c r="AL152" s="170">
        <f t="shared" si="3"/>
        <v>15</v>
      </c>
      <c r="AM152" s="171">
        <v>2014.0</v>
      </c>
    </row>
    <row r="153">
      <c r="A153" s="158">
        <f t="shared" si="1"/>
        <v>15415839</v>
      </c>
      <c r="B153" s="160">
        <v>116.0</v>
      </c>
      <c r="C153" s="160"/>
      <c r="D153" s="160" t="s">
        <v>1642</v>
      </c>
      <c r="E153" s="160" t="s">
        <v>1975</v>
      </c>
      <c r="F153" s="159" t="s">
        <v>2043</v>
      </c>
      <c r="G153" s="160" t="s">
        <v>1824</v>
      </c>
      <c r="H153" s="172">
        <v>20.0</v>
      </c>
      <c r="I153" s="160"/>
      <c r="J153" s="160" t="s">
        <v>112</v>
      </c>
      <c r="K153" s="160" t="s">
        <v>120</v>
      </c>
      <c r="L153" s="160" t="s">
        <v>117</v>
      </c>
      <c r="M153" s="160">
        <v>1.0</v>
      </c>
      <c r="N153" s="160" t="s">
        <v>122</v>
      </c>
      <c r="O153" s="160"/>
      <c r="P153" s="160">
        <v>1.0</v>
      </c>
      <c r="Q153" s="160"/>
      <c r="R153" s="165" t="s">
        <v>121</v>
      </c>
      <c r="S153" s="173">
        <v>42065.0</v>
      </c>
      <c r="T153" s="165" t="s">
        <v>2251</v>
      </c>
      <c r="U153" s="165"/>
      <c r="V153" s="160" t="s">
        <v>2252</v>
      </c>
      <c r="W153" s="160" t="s">
        <v>123</v>
      </c>
      <c r="X153" s="160"/>
      <c r="Y153" s="160"/>
      <c r="Z153" s="160"/>
      <c r="AA153" s="167">
        <v>41997.0</v>
      </c>
      <c r="AB153" s="167">
        <v>42009.0</v>
      </c>
      <c r="AC153" s="160">
        <v>21.0</v>
      </c>
      <c r="AD153" s="160" t="s">
        <v>127</v>
      </c>
      <c r="AE153" s="160"/>
      <c r="AF153" s="165" t="s">
        <v>1975</v>
      </c>
      <c r="AG153" s="160"/>
      <c r="AH153" s="169" t="s">
        <v>2071</v>
      </c>
      <c r="AI153" s="169"/>
      <c r="AJ153" s="160"/>
      <c r="AK153" s="160" t="s">
        <v>1612</v>
      </c>
      <c r="AL153" s="170">
        <f t="shared" si="3"/>
        <v>41</v>
      </c>
      <c r="AM153" s="171">
        <v>2014.0</v>
      </c>
    </row>
    <row r="154">
      <c r="A154" s="158">
        <f t="shared" si="1"/>
        <v>14318501</v>
      </c>
      <c r="B154" s="160">
        <v>119.0</v>
      </c>
      <c r="C154" s="160"/>
      <c r="D154" s="160" t="s">
        <v>1740</v>
      </c>
      <c r="E154" s="160" t="s">
        <v>1740</v>
      </c>
      <c r="F154" s="159" t="s">
        <v>2450</v>
      </c>
      <c r="G154" s="160" t="s">
        <v>2451</v>
      </c>
      <c r="H154" s="172">
        <v>10.0</v>
      </c>
      <c r="I154" s="160"/>
      <c r="J154" s="160" t="s">
        <v>112</v>
      </c>
      <c r="K154" s="160" t="s">
        <v>114</v>
      </c>
      <c r="L154" s="160" t="s">
        <v>117</v>
      </c>
      <c r="M154" s="160">
        <v>6.0</v>
      </c>
      <c r="N154" s="160" t="s">
        <v>122</v>
      </c>
      <c r="O154" s="160"/>
      <c r="P154" s="160">
        <v>3.0</v>
      </c>
      <c r="Q154" s="160">
        <v>0.0</v>
      </c>
      <c r="R154" s="165" t="s">
        <v>121</v>
      </c>
      <c r="S154" s="173">
        <v>42086.0</v>
      </c>
      <c r="T154" s="165" t="s">
        <v>2508</v>
      </c>
      <c r="U154" s="165"/>
      <c r="V154" s="160" t="s">
        <v>2509</v>
      </c>
      <c r="W154" s="160" t="s">
        <v>118</v>
      </c>
      <c r="X154" s="159" t="s">
        <v>138</v>
      </c>
      <c r="Y154" s="160"/>
      <c r="Z154" s="160"/>
      <c r="AA154" s="167">
        <v>41997.0</v>
      </c>
      <c r="AB154" s="167">
        <v>42009.0</v>
      </c>
      <c r="AC154" s="160">
        <v>17.0</v>
      </c>
      <c r="AD154" s="160" t="s">
        <v>120</v>
      </c>
      <c r="AE154" s="160"/>
      <c r="AF154" s="165" t="s">
        <v>1740</v>
      </c>
      <c r="AG154" s="160"/>
      <c r="AH154" s="169" t="s">
        <v>2071</v>
      </c>
      <c r="AI154" s="169"/>
      <c r="AJ154" s="160"/>
      <c r="AK154" s="160" t="s">
        <v>1612</v>
      </c>
      <c r="AL154" s="170">
        <f t="shared" si="3"/>
        <v>56</v>
      </c>
      <c r="AM154" s="171">
        <v>2014.0</v>
      </c>
    </row>
    <row r="155">
      <c r="A155" s="158">
        <f t="shared" si="1"/>
        <v>15585855</v>
      </c>
      <c r="B155" s="160">
        <v>115.0</v>
      </c>
      <c r="C155" s="160"/>
      <c r="D155" s="160" t="s">
        <v>1627</v>
      </c>
      <c r="E155" s="160" t="s">
        <v>2036</v>
      </c>
      <c r="F155" s="159" t="s">
        <v>2009</v>
      </c>
      <c r="G155" s="160" t="s">
        <v>1862</v>
      </c>
      <c r="H155" s="172">
        <v>17.0</v>
      </c>
      <c r="I155" s="160"/>
      <c r="J155" s="160" t="s">
        <v>112</v>
      </c>
      <c r="K155" s="160" t="s">
        <v>125</v>
      </c>
      <c r="L155" s="160" t="s">
        <v>117</v>
      </c>
      <c r="M155" s="160">
        <v>0.0</v>
      </c>
      <c r="N155" s="160" t="s">
        <v>116</v>
      </c>
      <c r="O155" s="160">
        <v>6.0</v>
      </c>
      <c r="P155" s="160">
        <v>2.0</v>
      </c>
      <c r="Q155" s="160">
        <v>1.0</v>
      </c>
      <c r="R155" s="165" t="s">
        <v>115</v>
      </c>
      <c r="S155" s="173">
        <v>42037.0</v>
      </c>
      <c r="T155" s="165"/>
      <c r="U155" s="165" t="s">
        <v>2510</v>
      </c>
      <c r="V155" s="160" t="s">
        <v>2511</v>
      </c>
      <c r="W155" s="160" t="s">
        <v>123</v>
      </c>
      <c r="X155" s="160"/>
      <c r="Y155" s="160"/>
      <c r="Z155" s="160"/>
      <c r="AA155" s="167">
        <v>42010.0</v>
      </c>
      <c r="AB155" s="167">
        <v>42013.0</v>
      </c>
      <c r="AC155" s="160"/>
      <c r="AD155" s="160"/>
      <c r="AE155" s="160"/>
      <c r="AF155" s="165"/>
      <c r="AG155" s="160"/>
      <c r="AH155" s="169" t="s">
        <v>2071</v>
      </c>
      <c r="AI155" s="169" t="s">
        <v>2512</v>
      </c>
      <c r="AJ155" s="160"/>
      <c r="AK155" s="160"/>
      <c r="AL155" s="170">
        <f t="shared" si="3"/>
        <v>17</v>
      </c>
      <c r="AM155" s="171">
        <v>2014.0</v>
      </c>
    </row>
    <row r="156">
      <c r="A156" s="158">
        <f t="shared" si="1"/>
        <v>15921217</v>
      </c>
      <c r="B156" s="160">
        <v>113.0</v>
      </c>
      <c r="C156" s="160"/>
      <c r="D156" s="160" t="s">
        <v>1892</v>
      </c>
      <c r="E156" s="160" t="s">
        <v>2513</v>
      </c>
      <c r="F156" s="159" t="s">
        <v>2098</v>
      </c>
      <c r="G156" s="160" t="s">
        <v>2099</v>
      </c>
      <c r="H156" s="172">
        <v>6.0</v>
      </c>
      <c r="I156" s="160"/>
      <c r="J156" s="160" t="s">
        <v>112</v>
      </c>
      <c r="K156" s="160" t="s">
        <v>114</v>
      </c>
      <c r="L156" s="160" t="s">
        <v>117</v>
      </c>
      <c r="M156" s="160">
        <v>5.0</v>
      </c>
      <c r="N156" s="160" t="s">
        <v>122</v>
      </c>
      <c r="O156" s="160"/>
      <c r="P156" s="160">
        <v>2.0</v>
      </c>
      <c r="Q156" s="160">
        <v>0.0</v>
      </c>
      <c r="R156" s="165" t="s">
        <v>121</v>
      </c>
      <c r="S156" s="173">
        <v>42072.0</v>
      </c>
      <c r="T156" s="165" t="s">
        <v>2514</v>
      </c>
      <c r="U156" s="165"/>
      <c r="V156" s="160" t="s">
        <v>2515</v>
      </c>
      <c r="W156" s="160" t="s">
        <v>123</v>
      </c>
      <c r="X156" s="160"/>
      <c r="Y156" s="160"/>
      <c r="Z156" s="160"/>
      <c r="AA156" s="167">
        <v>42003.0</v>
      </c>
      <c r="AB156" s="167">
        <v>42013.0</v>
      </c>
      <c r="AC156" s="160">
        <v>8.0</v>
      </c>
      <c r="AD156" s="160" t="s">
        <v>114</v>
      </c>
      <c r="AE156" s="160"/>
      <c r="AF156" s="165" t="s">
        <v>1627</v>
      </c>
      <c r="AG156" s="160"/>
      <c r="AH156" s="169" t="s">
        <v>2071</v>
      </c>
      <c r="AI156" s="169"/>
      <c r="AJ156" s="160"/>
      <c r="AK156" s="160" t="s">
        <v>1612</v>
      </c>
      <c r="AL156" s="170">
        <f t="shared" si="3"/>
        <v>42</v>
      </c>
      <c r="AM156" s="171">
        <v>2014.0</v>
      </c>
    </row>
    <row r="157">
      <c r="A157" s="158">
        <f t="shared" si="1"/>
        <v>9765223</v>
      </c>
      <c r="B157" s="160">
        <v>126.0</v>
      </c>
      <c r="C157" s="160"/>
      <c r="D157" s="160" t="s">
        <v>1627</v>
      </c>
      <c r="E157" s="160" t="s">
        <v>1928</v>
      </c>
      <c r="F157" s="159" t="s">
        <v>1970</v>
      </c>
      <c r="G157" s="160" t="s">
        <v>1638</v>
      </c>
      <c r="H157" s="160">
        <v>23.0</v>
      </c>
      <c r="I157" s="160"/>
      <c r="J157" s="160" t="s">
        <v>112</v>
      </c>
      <c r="K157" s="160" t="s">
        <v>127</v>
      </c>
      <c r="L157" s="160" t="s">
        <v>117</v>
      </c>
      <c r="M157" s="160">
        <v>0.0</v>
      </c>
      <c r="N157" s="160" t="s">
        <v>116</v>
      </c>
      <c r="O157" s="160">
        <v>15.0</v>
      </c>
      <c r="P157" s="160">
        <v>2.0</v>
      </c>
      <c r="Q157" s="160">
        <v>1.0</v>
      </c>
      <c r="R157" s="165" t="s">
        <v>115</v>
      </c>
      <c r="S157" s="173">
        <v>42069.0</v>
      </c>
      <c r="T157" s="160"/>
      <c r="U157" s="165" t="s">
        <v>2516</v>
      </c>
      <c r="V157" s="160" t="s">
        <v>2517</v>
      </c>
      <c r="W157" s="160" t="s">
        <v>122</v>
      </c>
      <c r="X157" s="160"/>
      <c r="Y157" s="160"/>
      <c r="Z157" s="160"/>
      <c r="AA157" s="167">
        <v>42018.0</v>
      </c>
      <c r="AB157" s="167">
        <v>42023.0</v>
      </c>
      <c r="AC157" s="160"/>
      <c r="AD157" s="160"/>
      <c r="AE157" s="160"/>
      <c r="AF157" s="160"/>
      <c r="AG157" s="160"/>
      <c r="AH157" s="169" t="s">
        <v>2071</v>
      </c>
      <c r="AI157" s="169" t="s">
        <v>2518</v>
      </c>
      <c r="AJ157" s="160"/>
      <c r="AK157" s="160" t="s">
        <v>2157</v>
      </c>
      <c r="AL157" s="170">
        <f t="shared" si="3"/>
        <v>35</v>
      </c>
      <c r="AM157" s="171">
        <v>2014.0</v>
      </c>
    </row>
    <row r="158">
      <c r="A158" s="158">
        <f t="shared" si="1"/>
        <v>15422866</v>
      </c>
      <c r="B158" s="160">
        <v>127.0</v>
      </c>
      <c r="C158" s="160"/>
      <c r="D158" s="160" t="s">
        <v>1615</v>
      </c>
      <c r="E158" s="160" t="s">
        <v>2519</v>
      </c>
      <c r="F158" s="159" t="s">
        <v>1972</v>
      </c>
      <c r="G158" s="160" t="s">
        <v>2520</v>
      </c>
      <c r="H158" s="172">
        <v>12.0</v>
      </c>
      <c r="I158" s="160"/>
      <c r="J158" s="160" t="s">
        <v>112</v>
      </c>
      <c r="K158" s="160" t="s">
        <v>114</v>
      </c>
      <c r="L158" s="160" t="s">
        <v>117</v>
      </c>
      <c r="M158" s="160">
        <v>0.0</v>
      </c>
      <c r="N158" s="160" t="s">
        <v>116</v>
      </c>
      <c r="O158" s="160">
        <v>1.0</v>
      </c>
      <c r="P158" s="160">
        <v>1.0</v>
      </c>
      <c r="Q158" s="160">
        <v>1.0</v>
      </c>
      <c r="R158" s="165" t="s">
        <v>115</v>
      </c>
      <c r="S158" s="173">
        <v>42095.0</v>
      </c>
      <c r="T158" s="165"/>
      <c r="U158" s="165" t="s">
        <v>2521</v>
      </c>
      <c r="V158" s="160" t="s">
        <v>2522</v>
      </c>
      <c r="W158" s="160" t="s">
        <v>118</v>
      </c>
      <c r="X158" s="160" t="s">
        <v>2102</v>
      </c>
      <c r="Y158" s="160" t="s">
        <v>2523</v>
      </c>
      <c r="Z158" s="160"/>
      <c r="AA158" s="167">
        <v>42019.0</v>
      </c>
      <c r="AB158" s="167">
        <v>42023.0</v>
      </c>
      <c r="AC158" s="160"/>
      <c r="AD158" s="160"/>
      <c r="AE158" s="160"/>
      <c r="AF158" s="165"/>
      <c r="AG158" s="160"/>
      <c r="AH158" s="169" t="s">
        <v>2071</v>
      </c>
      <c r="AI158" s="169"/>
      <c r="AJ158" s="160"/>
      <c r="AK158" s="160" t="s">
        <v>1612</v>
      </c>
      <c r="AL158" s="170">
        <f t="shared" si="3"/>
        <v>53</v>
      </c>
      <c r="AM158" s="171">
        <v>2014.0</v>
      </c>
    </row>
    <row r="159">
      <c r="A159" s="158">
        <f t="shared" si="1"/>
        <v>13687608</v>
      </c>
      <c r="B159" s="160">
        <v>129.0</v>
      </c>
      <c r="C159" s="160"/>
      <c r="D159" s="160" t="s">
        <v>1627</v>
      </c>
      <c r="E159" s="160" t="s">
        <v>2495</v>
      </c>
      <c r="F159" s="159" t="s">
        <v>2077</v>
      </c>
      <c r="G159" s="160" t="s">
        <v>2078</v>
      </c>
      <c r="H159" s="172">
        <v>7.0</v>
      </c>
      <c r="I159" s="160"/>
      <c r="J159" s="160" t="s">
        <v>112</v>
      </c>
      <c r="K159" s="160" t="s">
        <v>114</v>
      </c>
      <c r="L159" s="160" t="s">
        <v>122</v>
      </c>
      <c r="M159" s="160"/>
      <c r="N159" s="160" t="s">
        <v>116</v>
      </c>
      <c r="O159" s="160">
        <v>5.0</v>
      </c>
      <c r="P159" s="160">
        <v>2.0</v>
      </c>
      <c r="Q159" s="160">
        <v>1.0</v>
      </c>
      <c r="R159" s="165" t="s">
        <v>115</v>
      </c>
      <c r="S159" s="173">
        <v>42107.0</v>
      </c>
      <c r="T159" s="165"/>
      <c r="U159" s="165" t="s">
        <v>2524</v>
      </c>
      <c r="V159" s="160" t="s">
        <v>2525</v>
      </c>
      <c r="W159" s="160" t="s">
        <v>123</v>
      </c>
      <c r="X159" s="160"/>
      <c r="Y159" s="160"/>
      <c r="Z159" s="160"/>
      <c r="AA159" s="167">
        <v>42019.0</v>
      </c>
      <c r="AB159" s="167">
        <v>42023.0</v>
      </c>
      <c r="AC159" s="160"/>
      <c r="AD159" s="160"/>
      <c r="AE159" s="160"/>
      <c r="AF159" s="165"/>
      <c r="AG159" s="160"/>
      <c r="AH159" s="169" t="s">
        <v>2071</v>
      </c>
      <c r="AI159" s="169"/>
      <c r="AJ159" s="160"/>
      <c r="AK159" s="160" t="s">
        <v>2163</v>
      </c>
      <c r="AL159" s="170">
        <f t="shared" si="3"/>
        <v>61</v>
      </c>
      <c r="AM159" s="171">
        <v>2014.0</v>
      </c>
    </row>
    <row r="160">
      <c r="A160" s="158">
        <f t="shared" si="1"/>
        <v>15314756</v>
      </c>
      <c r="B160" s="160">
        <v>118.0</v>
      </c>
      <c r="C160" s="160"/>
      <c r="D160" s="160" t="s">
        <v>1892</v>
      </c>
      <c r="E160" s="160" t="s">
        <v>2084</v>
      </c>
      <c r="F160" s="159" t="s">
        <v>1959</v>
      </c>
      <c r="G160" s="160" t="s">
        <v>2526</v>
      </c>
      <c r="H160" s="172">
        <v>13.0</v>
      </c>
      <c r="I160" s="160"/>
      <c r="J160" s="160" t="s">
        <v>112</v>
      </c>
      <c r="K160" s="160" t="s">
        <v>114</v>
      </c>
      <c r="L160" s="160" t="s">
        <v>117</v>
      </c>
      <c r="M160" s="160">
        <v>1.0</v>
      </c>
      <c r="N160" s="160" t="s">
        <v>116</v>
      </c>
      <c r="O160" s="160">
        <v>2.0</v>
      </c>
      <c r="P160" s="160">
        <v>1.0</v>
      </c>
      <c r="Q160" s="160">
        <v>1.0</v>
      </c>
      <c r="R160" s="165" t="s">
        <v>121</v>
      </c>
      <c r="S160" s="173">
        <v>42066.0</v>
      </c>
      <c r="T160" s="165"/>
      <c r="U160" s="165" t="s">
        <v>2527</v>
      </c>
      <c r="V160" s="160" t="s">
        <v>2528</v>
      </c>
      <c r="W160" s="160" t="s">
        <v>118</v>
      </c>
      <c r="X160" s="160"/>
      <c r="Y160" s="160"/>
      <c r="Z160" s="160" t="s">
        <v>2102</v>
      </c>
      <c r="AA160" s="167">
        <v>42019.0</v>
      </c>
      <c r="AB160" s="167">
        <v>42023.0</v>
      </c>
      <c r="AC160" s="160"/>
      <c r="AD160" s="160"/>
      <c r="AE160" s="160"/>
      <c r="AF160" s="165"/>
      <c r="AG160" s="160"/>
      <c r="AH160" s="169" t="s">
        <v>2071</v>
      </c>
      <c r="AI160" s="169"/>
      <c r="AJ160" s="160"/>
      <c r="AK160" s="160" t="s">
        <v>1612</v>
      </c>
      <c r="AL160" s="170">
        <f t="shared" si="3"/>
        <v>32</v>
      </c>
      <c r="AM160" s="171">
        <v>2014.0</v>
      </c>
    </row>
    <row r="161">
      <c r="A161" s="158">
        <f t="shared" si="1"/>
        <v>11684269</v>
      </c>
      <c r="B161" s="160">
        <v>121.0</v>
      </c>
      <c r="C161" s="160"/>
      <c r="D161" s="160" t="s">
        <v>1602</v>
      </c>
      <c r="E161" s="160" t="s">
        <v>2049</v>
      </c>
      <c r="F161" s="159" t="s">
        <v>1902</v>
      </c>
      <c r="G161" s="160" t="s">
        <v>2529</v>
      </c>
      <c r="H161" s="172">
        <v>10.0</v>
      </c>
      <c r="I161" s="160"/>
      <c r="J161" s="160" t="s">
        <v>112</v>
      </c>
      <c r="K161" s="160" t="s">
        <v>120</v>
      </c>
      <c r="L161" s="160" t="s">
        <v>117</v>
      </c>
      <c r="M161" s="160">
        <v>13.0</v>
      </c>
      <c r="N161" s="160" t="s">
        <v>122</v>
      </c>
      <c r="O161" s="160"/>
      <c r="P161" s="160">
        <v>7.0</v>
      </c>
      <c r="Q161" s="160"/>
      <c r="R161" s="165" t="s">
        <v>121</v>
      </c>
      <c r="S161" s="173">
        <v>42079.0</v>
      </c>
      <c r="T161" s="165" t="s">
        <v>2530</v>
      </c>
      <c r="U161" s="165"/>
      <c r="V161" s="160" t="s">
        <v>2531</v>
      </c>
      <c r="W161" s="160" t="s">
        <v>118</v>
      </c>
      <c r="X161" s="160" t="s">
        <v>2102</v>
      </c>
      <c r="Y161" s="160"/>
      <c r="Z161" s="160"/>
      <c r="AA161" s="167">
        <v>42018.0</v>
      </c>
      <c r="AB161" s="167">
        <v>42023.0</v>
      </c>
      <c r="AC161" s="160">
        <v>17.0</v>
      </c>
      <c r="AD161" s="160" t="s">
        <v>120</v>
      </c>
      <c r="AE161" s="160"/>
      <c r="AF161" s="165" t="s">
        <v>1928</v>
      </c>
      <c r="AG161" s="160"/>
      <c r="AH161" s="169" t="s">
        <v>2071</v>
      </c>
      <c r="AI161" s="169" t="s">
        <v>2532</v>
      </c>
      <c r="AJ161" s="160"/>
      <c r="AK161" s="160" t="s">
        <v>2157</v>
      </c>
      <c r="AL161" s="170">
        <f t="shared" si="3"/>
        <v>41</v>
      </c>
      <c r="AM161" s="171">
        <v>2014.0</v>
      </c>
    </row>
    <row r="162">
      <c r="A162" s="158">
        <f t="shared" si="1"/>
        <v>11575535</v>
      </c>
      <c r="B162" s="160">
        <v>124.0</v>
      </c>
      <c r="C162" s="160"/>
      <c r="D162" s="160" t="s">
        <v>1940</v>
      </c>
      <c r="E162" s="160" t="s">
        <v>2015</v>
      </c>
      <c r="F162" s="159" t="s">
        <v>1947</v>
      </c>
      <c r="G162" s="160" t="s">
        <v>1687</v>
      </c>
      <c r="H162" s="172">
        <v>23.0</v>
      </c>
      <c r="I162" s="160"/>
      <c r="J162" s="160" t="s">
        <v>112</v>
      </c>
      <c r="K162" s="160" t="s">
        <v>127</v>
      </c>
      <c r="L162" s="160" t="s">
        <v>117</v>
      </c>
      <c r="M162" s="160">
        <v>0.0</v>
      </c>
      <c r="N162" s="160" t="s">
        <v>116</v>
      </c>
      <c r="O162" s="160">
        <v>10.0</v>
      </c>
      <c r="P162" s="160">
        <v>1.0</v>
      </c>
      <c r="Q162" s="160">
        <v>1.0</v>
      </c>
      <c r="R162" s="165" t="s">
        <v>121</v>
      </c>
      <c r="S162" s="173">
        <v>42095.0</v>
      </c>
      <c r="T162" s="165"/>
      <c r="U162" s="165" t="s">
        <v>2533</v>
      </c>
      <c r="V162" s="160" t="s">
        <v>2534</v>
      </c>
      <c r="W162" s="160" t="s">
        <v>123</v>
      </c>
      <c r="X162" s="160"/>
      <c r="Y162" s="160"/>
      <c r="Z162" s="160"/>
      <c r="AA162" s="167">
        <v>42019.0</v>
      </c>
      <c r="AB162" s="167">
        <v>42024.0</v>
      </c>
      <c r="AC162" s="160"/>
      <c r="AD162" s="160"/>
      <c r="AE162" s="160"/>
      <c r="AF162" s="165"/>
      <c r="AG162" s="160"/>
      <c r="AH162" s="169" t="s">
        <v>2071</v>
      </c>
      <c r="AI162" s="169" t="s">
        <v>2497</v>
      </c>
      <c r="AJ162" s="160"/>
      <c r="AK162" s="160" t="s">
        <v>2157</v>
      </c>
      <c r="AL162" s="170">
        <f t="shared" si="3"/>
        <v>52</v>
      </c>
      <c r="AM162" s="171">
        <v>2014.0</v>
      </c>
    </row>
  </sheetData>
  <autoFilter ref="$A$1:$AL$162"/>
  <dataValidations>
    <dataValidation type="list" allowBlank="1" showErrorMessage="1" sqref="AJ5:AK6 AJ14:AK14 AJ24:AK24 AJ33:AK33">
      <formula1>"P,C,E"</formula1>
    </dataValidation>
    <dataValidation type="date" operator="notBetween" allowBlank="1" showInputMessage="1" showErrorMessage="1" prompt="Ingrese fecha válida en formato " sqref="S5:S6 S14 S24 S33">
      <formula1>36892.0</formula1>
      <formula2>36892.0</formula2>
    </dataValidation>
    <dataValidation type="list" allowBlank="1" showInputMessage="1" prompt="Introduzca una competencia válida en el formato" sqref="X2:Z162">
      <formula1>INFORMACION!$H$2:$H$24</formula1>
    </dataValidation>
    <dataValidation type="decimal" allowBlank="1" showErrorMessage="1" sqref="P5:P6 P14 P24 P33">
      <formula1>1.0</formula1>
      <formula2>15.0</formula2>
    </dataValidation>
    <dataValidation type="decimal" allowBlank="1" showErrorMessage="1" sqref="Q5:Q6 Q14 Q24 Q33">
      <formula1>0.0</formula1>
      <formula2>15.0</formula2>
    </dataValidation>
    <dataValidation type="date" allowBlank="1" showInputMessage="1" showErrorMessage="1" prompt="Fecha 2014 - Debes ingresar sólo los procesos en que el último proceso esté publicado entre Marzo de 2014 y Enero de 2015" sqref="AA5:AA6 AA14 AA24 AA33">
      <formula1>41699.0</formula1>
      <formula2>42063.0</formula2>
    </dataValidation>
    <dataValidation type="custom" allowBlank="1" showInputMessage="1" prompt="Ingresar RUT en el formato indicado. Si esta celda está en rojo es porque la persona ya ha resultado seleccionada a lo largo del año, o bien porque se ha ingresado un proceso idéntico a la base de datos." sqref="V1">
      <formula1>LEN(10)</formula1>
    </dataValidation>
    <dataValidation type="list" allowBlank="1" showErrorMessage="1" sqref="AH5:AH6 AH14 AH24 AH33">
      <formula1>"PROCESO DE SELECCIÓN,REGULARIZACIÓN CONTRACTUAL,AUTORIZACIÓN DIRECTA"</formula1>
    </dataValidation>
    <dataValidation type="list" allowBlank="1" sqref="F1:F162">
      <formula1>INFORMACION!$A$2:$A162</formula1>
    </dataValidation>
    <dataValidation type="decimal" allowBlank="1" showErrorMessage="1" sqref="O5:O6 O14 O24 O33">
      <formula1>1.0</formula1>
      <formula2>60.0</formula2>
    </dataValidation>
    <dataValidation type="decimal" allowBlank="1" showErrorMessage="1" sqref="H5:H6 H14 H24 H33">
      <formula1>1.0</formula1>
      <formula2>24.0</formula2>
    </dataValidation>
    <dataValidation type="decimal" allowBlank="1" showErrorMessage="1" sqref="M5:M6 M14 M24 M33">
      <formula1>0.0</formula1>
      <formula2>60.0</formula2>
    </dataValidation>
  </dataValidation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3" width="6.71"/>
    <col customWidth="1" min="4" max="4" width="11.57"/>
    <col customWidth="1" min="5" max="5" width="69.29"/>
    <col customWidth="1" min="6" max="6" width="61.0"/>
    <col customWidth="1" min="7" max="7" width="46.86"/>
    <col customWidth="1" min="8" max="8" width="10.43"/>
    <col customWidth="1" min="9" max="9" width="23.29"/>
    <col customWidth="1" min="10" max="10" width="15.0"/>
    <col customWidth="1" min="11" max="11" width="23.0"/>
    <col customWidth="1" min="12" max="12" width="16.14"/>
    <col customWidth="1" min="13" max="13" width="8.43"/>
    <col customWidth="1" min="14" max="14" width="15.29"/>
    <col customWidth="1" min="15" max="17" width="11.0"/>
    <col customWidth="1" min="18" max="18" width="22.14"/>
    <col customWidth="1" min="19" max="19" width="33.57"/>
    <col customWidth="1" min="20" max="21" width="23.0"/>
    <col customWidth="1" min="22" max="23" width="13.86"/>
    <col customWidth="1" min="24" max="24" width="41.14"/>
    <col customWidth="1" min="25" max="25" width="36.43"/>
    <col customWidth="1" min="26" max="26" width="41.14"/>
    <col customWidth="1" min="27" max="28" width="14.43"/>
    <col customWidth="1" min="29" max="29" width="7.86"/>
    <col customWidth="1" min="30" max="30" width="23.29"/>
    <col customWidth="1" min="31" max="31" width="16.71"/>
    <col customWidth="1" min="32" max="32" width="49.57"/>
    <col customWidth="1" min="33" max="33" width="19.86"/>
    <col customWidth="1" min="34" max="34" width="34.71"/>
    <col customWidth="1" min="35" max="35" width="36.14"/>
    <col customWidth="1" min="36" max="36" width="14.0"/>
    <col customWidth="1" min="37" max="37" width="13.86"/>
    <col customWidth="1" min="38" max="38" width="17.29"/>
    <col customWidth="1" min="39" max="39" width="5.14"/>
  </cols>
  <sheetData>
    <row r="1" ht="40.5" customHeight="1">
      <c r="A1" s="44" t="s">
        <v>1542</v>
      </c>
      <c r="B1" s="192" t="s">
        <v>1543</v>
      </c>
      <c r="C1" s="192" t="s">
        <v>1544</v>
      </c>
      <c r="D1" s="29" t="s">
        <v>1545</v>
      </c>
      <c r="E1" s="29" t="s">
        <v>1546</v>
      </c>
      <c r="F1" s="28" t="s">
        <v>1547</v>
      </c>
      <c r="G1" s="28" t="s">
        <v>1548</v>
      </c>
      <c r="H1" s="29" t="s">
        <v>1589</v>
      </c>
      <c r="I1" s="29" t="s">
        <v>1550</v>
      </c>
      <c r="J1" s="29" t="s">
        <v>1551</v>
      </c>
      <c r="K1" s="29" t="s">
        <v>1552</v>
      </c>
      <c r="L1" s="29" t="s">
        <v>2535</v>
      </c>
      <c r="M1" s="193" t="s">
        <v>1554</v>
      </c>
      <c r="N1" s="29" t="s">
        <v>2536</v>
      </c>
      <c r="O1" s="29" t="s">
        <v>1556</v>
      </c>
      <c r="P1" s="29" t="s">
        <v>1557</v>
      </c>
      <c r="Q1" s="28" t="s">
        <v>2537</v>
      </c>
      <c r="R1" s="29" t="s">
        <v>1559</v>
      </c>
      <c r="S1" s="31" t="s">
        <v>1560</v>
      </c>
      <c r="T1" s="29" t="s">
        <v>1561</v>
      </c>
      <c r="U1" s="193" t="s">
        <v>1562</v>
      </c>
      <c r="V1" s="28" t="s">
        <v>2060</v>
      </c>
      <c r="W1" s="29" t="s">
        <v>1563</v>
      </c>
      <c r="X1" s="29" t="s">
        <v>1564</v>
      </c>
      <c r="Y1" s="29" t="s">
        <v>1565</v>
      </c>
      <c r="Z1" s="29" t="s">
        <v>1566</v>
      </c>
      <c r="AA1" s="31" t="s">
        <v>1567</v>
      </c>
      <c r="AB1" s="31" t="s">
        <v>1568</v>
      </c>
      <c r="AC1" s="29" t="s">
        <v>1569</v>
      </c>
      <c r="AD1" s="29" t="s">
        <v>1570</v>
      </c>
      <c r="AE1" s="29" t="s">
        <v>1571</v>
      </c>
      <c r="AF1" s="29" t="s">
        <v>1572</v>
      </c>
      <c r="AG1" s="32" t="s">
        <v>1573</v>
      </c>
      <c r="AH1" s="194" t="s">
        <v>1574</v>
      </c>
      <c r="AI1" s="194" t="s">
        <v>1575</v>
      </c>
      <c r="AJ1" s="156" t="s">
        <v>1576</v>
      </c>
      <c r="AK1" s="29" t="s">
        <v>1577</v>
      </c>
      <c r="AL1" s="29" t="s">
        <v>2538</v>
      </c>
      <c r="AM1" s="44" t="s">
        <v>2539</v>
      </c>
    </row>
    <row r="2">
      <c r="A2" s="67">
        <f t="shared" ref="A2:A110" si="1">IFERROR(LEFT(V2,LEN(V2)-2)*1,"")</f>
        <v>13483149</v>
      </c>
      <c r="B2" s="67">
        <v>39.0</v>
      </c>
      <c r="C2" s="67"/>
      <c r="D2" s="4">
        <v>55.0</v>
      </c>
      <c r="E2" s="4" t="s">
        <v>1830</v>
      </c>
      <c r="F2" s="195" t="s">
        <v>2540</v>
      </c>
      <c r="G2" s="4" t="s">
        <v>1898</v>
      </c>
      <c r="H2" s="185">
        <v>17.0</v>
      </c>
      <c r="I2" s="185" t="s">
        <v>2541</v>
      </c>
      <c r="J2" s="4" t="s">
        <v>112</v>
      </c>
      <c r="K2" s="4" t="s">
        <v>120</v>
      </c>
      <c r="L2" s="4" t="s">
        <v>122</v>
      </c>
      <c r="M2" s="4"/>
      <c r="N2" s="4" t="s">
        <v>122</v>
      </c>
      <c r="O2" s="4">
        <v>1.0</v>
      </c>
      <c r="P2" s="4">
        <v>1.0</v>
      </c>
      <c r="Q2" s="4"/>
      <c r="R2" s="4" t="s">
        <v>121</v>
      </c>
      <c r="S2" s="196">
        <v>42064.0</v>
      </c>
      <c r="T2" s="104"/>
      <c r="U2" s="104" t="s">
        <v>2542</v>
      </c>
      <c r="V2" s="4" t="s">
        <v>2543</v>
      </c>
      <c r="W2" s="4" t="s">
        <v>118</v>
      </c>
      <c r="X2" s="170" t="s">
        <v>2102</v>
      </c>
      <c r="Y2" s="197" t="s">
        <v>170</v>
      </c>
      <c r="Z2" s="170"/>
      <c r="AA2" s="198"/>
      <c r="AB2" s="198"/>
      <c r="AC2" s="4"/>
      <c r="AD2" s="4"/>
      <c r="AE2" s="4"/>
      <c r="AF2" s="4"/>
      <c r="AG2" s="4"/>
      <c r="AH2" s="199" t="s">
        <v>2065</v>
      </c>
      <c r="AI2" s="199"/>
      <c r="AJ2" s="4"/>
      <c r="AK2" s="4"/>
      <c r="AL2" s="200"/>
      <c r="AM2" s="201">
        <v>2015.0</v>
      </c>
    </row>
    <row r="3">
      <c r="A3" s="67">
        <f t="shared" si="1"/>
        <v>16427277</v>
      </c>
      <c r="B3" s="67">
        <v>40.0</v>
      </c>
      <c r="C3" s="67"/>
      <c r="D3" s="195">
        <v>11.0</v>
      </c>
      <c r="E3" s="4" t="s">
        <v>2544</v>
      </c>
      <c r="F3" s="195" t="s">
        <v>2545</v>
      </c>
      <c r="G3" s="4" t="s">
        <v>2546</v>
      </c>
      <c r="H3" s="185">
        <v>15.0</v>
      </c>
      <c r="I3" s="185" t="s">
        <v>2541</v>
      </c>
      <c r="J3" s="4" t="s">
        <v>112</v>
      </c>
      <c r="K3" s="4" t="s">
        <v>125</v>
      </c>
      <c r="L3" s="4" t="s">
        <v>122</v>
      </c>
      <c r="M3" s="4"/>
      <c r="N3" s="4" t="s">
        <v>122</v>
      </c>
      <c r="O3" s="4">
        <v>1.0</v>
      </c>
      <c r="P3" s="4">
        <v>1.0</v>
      </c>
      <c r="Q3" s="4"/>
      <c r="R3" s="4" t="s">
        <v>115</v>
      </c>
      <c r="S3" s="196">
        <v>42095.0</v>
      </c>
      <c r="T3" s="104"/>
      <c r="U3" s="104" t="s">
        <v>2547</v>
      </c>
      <c r="V3" s="4" t="s">
        <v>2548</v>
      </c>
      <c r="W3" s="4"/>
      <c r="X3" s="170"/>
      <c r="Y3" s="170"/>
      <c r="Z3" s="170"/>
      <c r="AA3" s="198"/>
      <c r="AB3" s="198"/>
      <c r="AC3" s="4"/>
      <c r="AD3" s="4"/>
      <c r="AE3" s="4"/>
      <c r="AF3" s="4"/>
      <c r="AG3" s="4"/>
      <c r="AH3" s="199" t="s">
        <v>2065</v>
      </c>
      <c r="AI3" s="199"/>
      <c r="AJ3" s="4"/>
      <c r="AK3" s="4"/>
      <c r="AL3" s="200" t="str">
        <f t="shared" ref="AL3:AL106" si="2">IF(AB3="","",IF(AND(NETWORKDAYS(AB3,S3)&gt;1000,NETWORKDAYS(AB3,S3)&lt;1),"",(NETWORKDAYS(AB3,S3))))</f>
        <v/>
      </c>
      <c r="AM3" s="201">
        <v>2015.0</v>
      </c>
    </row>
    <row r="4">
      <c r="A4" s="67">
        <f t="shared" si="1"/>
        <v>14207688</v>
      </c>
      <c r="B4" s="67">
        <v>41.0</v>
      </c>
      <c r="C4" s="67"/>
      <c r="D4" s="195">
        <v>11.0</v>
      </c>
      <c r="E4" s="4" t="s">
        <v>2544</v>
      </c>
      <c r="F4" s="195" t="s">
        <v>2545</v>
      </c>
      <c r="G4" s="4" t="s">
        <v>2546</v>
      </c>
      <c r="H4" s="185">
        <v>17.0</v>
      </c>
      <c r="I4" s="185" t="s">
        <v>2541</v>
      </c>
      <c r="J4" s="4" t="s">
        <v>112</v>
      </c>
      <c r="K4" s="4" t="s">
        <v>125</v>
      </c>
      <c r="L4" s="202" t="s">
        <v>122</v>
      </c>
      <c r="M4" s="4"/>
      <c r="N4" s="4" t="s">
        <v>122</v>
      </c>
      <c r="O4" s="4">
        <v>1.0</v>
      </c>
      <c r="P4" s="4">
        <v>1.0</v>
      </c>
      <c r="Q4" s="4"/>
      <c r="R4" s="4" t="s">
        <v>121</v>
      </c>
      <c r="S4" s="196">
        <v>42095.0</v>
      </c>
      <c r="T4" s="104"/>
      <c r="U4" s="104" t="s">
        <v>2549</v>
      </c>
      <c r="V4" s="4" t="s">
        <v>2550</v>
      </c>
      <c r="W4" s="4" t="s">
        <v>122</v>
      </c>
      <c r="X4" s="170"/>
      <c r="Y4" s="170"/>
      <c r="Z4" s="170"/>
      <c r="AA4" s="198"/>
      <c r="AB4" s="198"/>
      <c r="AC4" s="4"/>
      <c r="AD4" s="4"/>
      <c r="AE4" s="4"/>
      <c r="AF4" s="4"/>
      <c r="AG4" s="4"/>
      <c r="AH4" s="199" t="s">
        <v>2065</v>
      </c>
      <c r="AI4" s="199"/>
      <c r="AJ4" s="4"/>
      <c r="AK4" s="4"/>
      <c r="AL4" s="200" t="str">
        <f t="shared" si="2"/>
        <v/>
      </c>
      <c r="AM4" s="201">
        <v>2015.0</v>
      </c>
    </row>
    <row r="5">
      <c r="A5" s="67">
        <f t="shared" si="1"/>
        <v>10228021</v>
      </c>
      <c r="B5" s="67">
        <v>43.0</v>
      </c>
      <c r="C5" s="67"/>
      <c r="D5" s="4">
        <v>50.0</v>
      </c>
      <c r="E5" s="4" t="s">
        <v>2551</v>
      </c>
      <c r="F5" s="195" t="s">
        <v>2552</v>
      </c>
      <c r="G5" s="4" t="s">
        <v>2118</v>
      </c>
      <c r="H5" s="185">
        <v>11.0</v>
      </c>
      <c r="I5" s="185" t="s">
        <v>2541</v>
      </c>
      <c r="J5" s="4" t="s">
        <v>112</v>
      </c>
      <c r="K5" s="4" t="s">
        <v>114</v>
      </c>
      <c r="L5" s="4" t="s">
        <v>122</v>
      </c>
      <c r="M5" s="4"/>
      <c r="N5" s="4" t="s">
        <v>122</v>
      </c>
      <c r="O5" s="4">
        <v>1.0</v>
      </c>
      <c r="P5" s="4">
        <v>1.0</v>
      </c>
      <c r="Q5" s="4"/>
      <c r="R5" s="4" t="s">
        <v>115</v>
      </c>
      <c r="S5" s="196">
        <v>42186.0</v>
      </c>
      <c r="T5" s="203"/>
      <c r="U5" s="104" t="s">
        <v>2553</v>
      </c>
      <c r="V5" s="4" t="s">
        <v>2554</v>
      </c>
      <c r="W5" s="4" t="s">
        <v>118</v>
      </c>
      <c r="X5" s="170"/>
      <c r="Y5" s="170" t="s">
        <v>2435</v>
      </c>
      <c r="Z5" s="170"/>
      <c r="AA5" s="198"/>
      <c r="AB5" s="198"/>
      <c r="AC5" s="4"/>
      <c r="AD5" s="4"/>
      <c r="AE5" s="4"/>
      <c r="AF5" s="4"/>
      <c r="AG5" s="4"/>
      <c r="AH5" s="199" t="s">
        <v>2065</v>
      </c>
      <c r="AI5" s="199"/>
      <c r="AJ5" s="4"/>
      <c r="AK5" s="4"/>
      <c r="AL5" s="200" t="str">
        <f t="shared" si="2"/>
        <v/>
      </c>
      <c r="AM5" s="201">
        <v>2015.0</v>
      </c>
    </row>
    <row r="6">
      <c r="A6" s="67">
        <f t="shared" si="1"/>
        <v>17021753</v>
      </c>
      <c r="B6" s="67">
        <v>44.0</v>
      </c>
      <c r="C6" s="67"/>
      <c r="D6" s="4">
        <v>1.0</v>
      </c>
      <c r="E6" s="4" t="s">
        <v>2121</v>
      </c>
      <c r="F6" s="195" t="s">
        <v>2094</v>
      </c>
      <c r="G6" s="4" t="s">
        <v>2095</v>
      </c>
      <c r="H6" s="185">
        <v>10.0</v>
      </c>
      <c r="I6" s="185" t="s">
        <v>2541</v>
      </c>
      <c r="J6" s="4" t="s">
        <v>112</v>
      </c>
      <c r="K6" s="4" t="s">
        <v>114</v>
      </c>
      <c r="L6" s="4" t="s">
        <v>122</v>
      </c>
      <c r="M6" s="4"/>
      <c r="N6" s="4" t="s">
        <v>122</v>
      </c>
      <c r="O6" s="4">
        <v>1.0</v>
      </c>
      <c r="P6" s="4">
        <v>1.0</v>
      </c>
      <c r="Q6" s="4"/>
      <c r="R6" s="4" t="s">
        <v>115</v>
      </c>
      <c r="S6" s="196">
        <v>42186.0</v>
      </c>
      <c r="T6" s="104"/>
      <c r="U6" s="104" t="s">
        <v>2555</v>
      </c>
      <c r="V6" s="4" t="s">
        <v>2556</v>
      </c>
      <c r="W6" s="4" t="s">
        <v>118</v>
      </c>
      <c r="X6" s="170" t="s">
        <v>2471</v>
      </c>
      <c r="Y6" s="170"/>
      <c r="Z6" s="170"/>
      <c r="AA6" s="198"/>
      <c r="AB6" s="198"/>
      <c r="AC6" s="4"/>
      <c r="AD6" s="4"/>
      <c r="AE6" s="4"/>
      <c r="AF6" s="4"/>
      <c r="AG6" s="4"/>
      <c r="AH6" s="199" t="s">
        <v>2065</v>
      </c>
      <c r="AI6" s="199"/>
      <c r="AJ6" s="4"/>
      <c r="AK6" s="4"/>
      <c r="AL6" s="200" t="str">
        <f t="shared" si="2"/>
        <v/>
      </c>
      <c r="AM6" s="201">
        <v>2015.0</v>
      </c>
    </row>
    <row r="7">
      <c r="A7" s="67">
        <f t="shared" si="1"/>
        <v>12236278</v>
      </c>
      <c r="B7" s="67">
        <v>45.0</v>
      </c>
      <c r="C7" s="67"/>
      <c r="D7" s="195">
        <v>22.0</v>
      </c>
      <c r="E7" s="4" t="s">
        <v>2557</v>
      </c>
      <c r="F7" s="195" t="s">
        <v>2558</v>
      </c>
      <c r="G7" s="4" t="s">
        <v>1926</v>
      </c>
      <c r="H7" s="185">
        <v>11.0</v>
      </c>
      <c r="I7" s="185" t="s">
        <v>2541</v>
      </c>
      <c r="J7" s="4" t="s">
        <v>112</v>
      </c>
      <c r="K7" s="4" t="s">
        <v>120</v>
      </c>
      <c r="L7" s="4" t="s">
        <v>122</v>
      </c>
      <c r="M7" s="4"/>
      <c r="N7" s="4" t="s">
        <v>122</v>
      </c>
      <c r="O7" s="4">
        <v>1.0</v>
      </c>
      <c r="P7" s="4">
        <v>1.0</v>
      </c>
      <c r="Q7" s="4"/>
      <c r="R7" s="4" t="s">
        <v>115</v>
      </c>
      <c r="S7" s="196">
        <v>42186.0</v>
      </c>
      <c r="T7" s="104"/>
      <c r="U7" s="104" t="s">
        <v>2559</v>
      </c>
      <c r="V7" s="4" t="s">
        <v>2560</v>
      </c>
      <c r="W7" s="4" t="s">
        <v>118</v>
      </c>
      <c r="X7" s="4" t="s">
        <v>2561</v>
      </c>
      <c r="Y7" s="4"/>
      <c r="Z7" s="4"/>
      <c r="AA7" s="198"/>
      <c r="AB7" s="198"/>
      <c r="AC7" s="4"/>
      <c r="AD7" s="4"/>
      <c r="AE7" s="4"/>
      <c r="AF7" s="4"/>
      <c r="AG7" s="4"/>
      <c r="AH7" s="204" t="s">
        <v>2065</v>
      </c>
      <c r="AI7" s="199"/>
      <c r="AJ7" s="4"/>
      <c r="AK7" s="4"/>
      <c r="AL7" s="200" t="str">
        <f t="shared" si="2"/>
        <v/>
      </c>
      <c r="AM7" s="201">
        <v>2015.0</v>
      </c>
    </row>
    <row r="8">
      <c r="A8" s="67">
        <f t="shared" si="1"/>
        <v>15894942</v>
      </c>
      <c r="B8" s="67">
        <v>46.0</v>
      </c>
      <c r="C8" s="67"/>
      <c r="D8" s="195">
        <v>60.0</v>
      </c>
      <c r="E8" s="4" t="s">
        <v>1594</v>
      </c>
      <c r="F8" s="195" t="s">
        <v>2562</v>
      </c>
      <c r="G8" s="4" t="s">
        <v>2563</v>
      </c>
      <c r="H8" s="185">
        <v>13.0</v>
      </c>
      <c r="I8" s="185" t="s">
        <v>2541</v>
      </c>
      <c r="J8" s="4" t="s">
        <v>112</v>
      </c>
      <c r="K8" s="4" t="s">
        <v>114</v>
      </c>
      <c r="L8" s="4" t="s">
        <v>122</v>
      </c>
      <c r="M8" s="4"/>
      <c r="N8" s="4" t="s">
        <v>122</v>
      </c>
      <c r="O8" s="4">
        <v>1.0</v>
      </c>
      <c r="P8" s="4">
        <v>1.0</v>
      </c>
      <c r="Q8" s="4"/>
      <c r="R8" s="4" t="s">
        <v>115</v>
      </c>
      <c r="S8" s="196">
        <v>42186.0</v>
      </c>
      <c r="T8" s="104"/>
      <c r="U8" s="104" t="s">
        <v>2564</v>
      </c>
      <c r="V8" s="4" t="s">
        <v>2565</v>
      </c>
      <c r="W8" s="4" t="s">
        <v>118</v>
      </c>
      <c r="X8" s="4" t="s">
        <v>2435</v>
      </c>
      <c r="Y8" s="4"/>
      <c r="Z8" s="4"/>
      <c r="AA8" s="198"/>
      <c r="AB8" s="198"/>
      <c r="AC8" s="4"/>
      <c r="AD8" s="4"/>
      <c r="AE8" s="4"/>
      <c r="AF8" s="4"/>
      <c r="AG8" s="4"/>
      <c r="AH8" s="199" t="s">
        <v>2065</v>
      </c>
      <c r="AI8" s="199"/>
      <c r="AJ8" s="4"/>
      <c r="AK8" s="4"/>
      <c r="AL8" s="200" t="str">
        <f t="shared" si="2"/>
        <v/>
      </c>
      <c r="AM8" s="201">
        <v>2015.0</v>
      </c>
    </row>
    <row r="9">
      <c r="A9" s="67">
        <f t="shared" si="1"/>
        <v>15830917</v>
      </c>
      <c r="B9" s="67">
        <v>47.0</v>
      </c>
      <c r="C9" s="67"/>
      <c r="D9" s="4">
        <v>3.0</v>
      </c>
      <c r="E9" s="4" t="s">
        <v>1834</v>
      </c>
      <c r="F9" s="195" t="s">
        <v>2094</v>
      </c>
      <c r="G9" s="4" t="s">
        <v>2095</v>
      </c>
      <c r="H9" s="185">
        <v>8.0</v>
      </c>
      <c r="I9" s="185" t="s">
        <v>2541</v>
      </c>
      <c r="J9" s="4" t="s">
        <v>112</v>
      </c>
      <c r="K9" s="4" t="s">
        <v>114</v>
      </c>
      <c r="L9" s="4" t="s">
        <v>122</v>
      </c>
      <c r="M9" s="4"/>
      <c r="N9" s="4" t="s">
        <v>122</v>
      </c>
      <c r="O9" s="4">
        <v>1.0</v>
      </c>
      <c r="P9" s="4">
        <v>1.0</v>
      </c>
      <c r="Q9" s="4"/>
      <c r="R9" s="4" t="s">
        <v>115</v>
      </c>
      <c r="S9" s="196">
        <v>42186.0</v>
      </c>
      <c r="T9" s="104"/>
      <c r="U9" s="104" t="s">
        <v>2566</v>
      </c>
      <c r="V9" s="4" t="s">
        <v>2567</v>
      </c>
      <c r="W9" s="4" t="s">
        <v>118</v>
      </c>
      <c r="X9" s="4" t="s">
        <v>2471</v>
      </c>
      <c r="Y9" s="4"/>
      <c r="Z9" s="4"/>
      <c r="AA9" s="198"/>
      <c r="AB9" s="198"/>
      <c r="AC9" s="170"/>
      <c r="AD9" s="170"/>
      <c r="AE9" s="170"/>
      <c r="AF9" s="170"/>
      <c r="AG9" s="170"/>
      <c r="AH9" s="199" t="s">
        <v>2065</v>
      </c>
      <c r="AI9" s="199"/>
      <c r="AJ9" s="4"/>
      <c r="AK9" s="4"/>
      <c r="AL9" s="200" t="str">
        <f t="shared" si="2"/>
        <v/>
      </c>
      <c r="AM9" s="201">
        <v>2015.0</v>
      </c>
    </row>
    <row r="10">
      <c r="A10" s="67">
        <f t="shared" si="1"/>
        <v>15454600</v>
      </c>
      <c r="B10" s="67">
        <v>1.0</v>
      </c>
      <c r="C10" s="67"/>
      <c r="D10" s="4">
        <v>3.0</v>
      </c>
      <c r="E10" s="4" t="s">
        <v>2307</v>
      </c>
      <c r="F10" s="195" t="s">
        <v>2568</v>
      </c>
      <c r="G10" s="4" t="s">
        <v>2569</v>
      </c>
      <c r="H10" s="185">
        <v>21.0</v>
      </c>
      <c r="I10" s="185" t="s">
        <v>2541</v>
      </c>
      <c r="J10" s="4" t="s">
        <v>112</v>
      </c>
      <c r="K10" s="4" t="s">
        <v>125</v>
      </c>
      <c r="L10" s="4" t="s">
        <v>117</v>
      </c>
      <c r="M10" s="4">
        <v>0.0</v>
      </c>
      <c r="N10" s="4" t="s">
        <v>116</v>
      </c>
      <c r="O10" s="4">
        <v>9.0</v>
      </c>
      <c r="P10" s="4">
        <v>5.0</v>
      </c>
      <c r="Q10" s="4">
        <v>1.0</v>
      </c>
      <c r="R10" s="184" t="s">
        <v>121</v>
      </c>
      <c r="S10" s="196">
        <v>42095.0</v>
      </c>
      <c r="T10" s="104"/>
      <c r="U10" s="104" t="s">
        <v>2570</v>
      </c>
      <c r="V10" s="4" t="s">
        <v>2571</v>
      </c>
      <c r="W10" s="4" t="s">
        <v>118</v>
      </c>
      <c r="X10" s="4" t="s">
        <v>2341</v>
      </c>
      <c r="Y10" s="4"/>
      <c r="Z10" s="4"/>
      <c r="AA10" s="198">
        <v>42065.0</v>
      </c>
      <c r="AB10" s="198">
        <v>42072.0</v>
      </c>
      <c r="AC10" s="170"/>
      <c r="AD10" s="170"/>
      <c r="AE10" s="170"/>
      <c r="AF10" s="170"/>
      <c r="AG10" s="170"/>
      <c r="AH10" s="199" t="s">
        <v>2071</v>
      </c>
      <c r="AI10" s="199"/>
      <c r="AJ10" s="4"/>
      <c r="AK10" s="4" t="s">
        <v>2157</v>
      </c>
      <c r="AL10" s="200">
        <f t="shared" si="2"/>
        <v>18</v>
      </c>
      <c r="AM10" s="201">
        <v>2015.0</v>
      </c>
    </row>
    <row r="11">
      <c r="A11" s="67">
        <f t="shared" si="1"/>
        <v>7368541</v>
      </c>
      <c r="B11" s="67">
        <v>2.0</v>
      </c>
      <c r="C11" s="67"/>
      <c r="D11" s="4">
        <v>3.0</v>
      </c>
      <c r="E11" s="4" t="s">
        <v>2495</v>
      </c>
      <c r="F11" s="195" t="s">
        <v>2572</v>
      </c>
      <c r="G11" s="4" t="s">
        <v>2573</v>
      </c>
      <c r="H11" s="185">
        <v>17.0</v>
      </c>
      <c r="I11" s="185" t="s">
        <v>2541</v>
      </c>
      <c r="J11" s="4" t="s">
        <v>112</v>
      </c>
      <c r="K11" s="4" t="s">
        <v>125</v>
      </c>
      <c r="L11" s="4" t="s">
        <v>117</v>
      </c>
      <c r="M11" s="4">
        <v>0.0</v>
      </c>
      <c r="N11" s="4" t="s">
        <v>116</v>
      </c>
      <c r="O11" s="4">
        <v>2.0</v>
      </c>
      <c r="P11" s="4">
        <v>1.0</v>
      </c>
      <c r="Q11" s="4">
        <v>1.0</v>
      </c>
      <c r="R11" s="4" t="s">
        <v>115</v>
      </c>
      <c r="S11" s="196">
        <v>42110.0</v>
      </c>
      <c r="T11" s="104"/>
      <c r="U11" s="104" t="s">
        <v>2574</v>
      </c>
      <c r="V11" s="4" t="s">
        <v>2575</v>
      </c>
      <c r="W11" s="4" t="s">
        <v>118</v>
      </c>
      <c r="X11" s="170" t="s">
        <v>2405</v>
      </c>
      <c r="Y11" s="170"/>
      <c r="Z11" s="170"/>
      <c r="AA11" s="198">
        <v>42067.0</v>
      </c>
      <c r="AB11" s="198">
        <v>42074.0</v>
      </c>
      <c r="AC11" s="4"/>
      <c r="AD11" s="4"/>
      <c r="AE11" s="4"/>
      <c r="AF11" s="4"/>
      <c r="AG11" s="4"/>
      <c r="AH11" s="199" t="s">
        <v>2071</v>
      </c>
      <c r="AI11" s="199"/>
      <c r="AJ11" s="4"/>
      <c r="AK11" s="4" t="s">
        <v>1612</v>
      </c>
      <c r="AL11" s="200">
        <f t="shared" si="2"/>
        <v>27</v>
      </c>
      <c r="AM11" s="201">
        <v>2015.0</v>
      </c>
    </row>
    <row r="12">
      <c r="A12" s="67">
        <f t="shared" si="1"/>
        <v>8152829</v>
      </c>
      <c r="B12" s="67">
        <v>3.0</v>
      </c>
      <c r="C12" s="67"/>
      <c r="D12" s="4">
        <v>40.0</v>
      </c>
      <c r="E12" s="4" t="s">
        <v>2025</v>
      </c>
      <c r="F12" s="195" t="s">
        <v>2576</v>
      </c>
      <c r="G12" s="4" t="s">
        <v>1741</v>
      </c>
      <c r="H12" s="185">
        <v>21.0</v>
      </c>
      <c r="I12" s="185" t="s">
        <v>2541</v>
      </c>
      <c r="J12" s="4" t="s">
        <v>112</v>
      </c>
      <c r="K12" s="4" t="s">
        <v>127</v>
      </c>
      <c r="L12" s="4" t="s">
        <v>117</v>
      </c>
      <c r="M12" s="4">
        <v>0.0</v>
      </c>
      <c r="N12" s="4" t="s">
        <v>116</v>
      </c>
      <c r="O12" s="4">
        <v>7.0</v>
      </c>
      <c r="P12" s="4">
        <v>1.0</v>
      </c>
      <c r="Q12" s="4">
        <v>1.0</v>
      </c>
      <c r="R12" s="4" t="s">
        <v>115</v>
      </c>
      <c r="S12" s="196">
        <v>42095.0</v>
      </c>
      <c r="T12" s="104"/>
      <c r="U12" s="104" t="s">
        <v>2577</v>
      </c>
      <c r="V12" s="4" t="s">
        <v>2578</v>
      </c>
      <c r="W12" s="4" t="s">
        <v>122</v>
      </c>
      <c r="X12" s="170"/>
      <c r="Y12" s="170"/>
      <c r="Z12" s="170"/>
      <c r="AA12" s="198">
        <v>42065.0</v>
      </c>
      <c r="AB12" s="198">
        <v>42072.0</v>
      </c>
      <c r="AC12" s="4"/>
      <c r="AD12" s="4"/>
      <c r="AE12" s="4"/>
      <c r="AF12" s="4"/>
      <c r="AG12" s="4"/>
      <c r="AH12" s="199" t="s">
        <v>2071</v>
      </c>
      <c r="AI12" s="199" t="s">
        <v>2579</v>
      </c>
      <c r="AJ12" s="4"/>
      <c r="AK12" s="4" t="s">
        <v>1612</v>
      </c>
      <c r="AL12" s="200">
        <f t="shared" si="2"/>
        <v>18</v>
      </c>
      <c r="AM12" s="201">
        <v>2015.0</v>
      </c>
    </row>
    <row r="13">
      <c r="A13" s="67">
        <f t="shared" si="1"/>
        <v>15451437</v>
      </c>
      <c r="B13" s="67">
        <v>4.0</v>
      </c>
      <c r="C13" s="67"/>
      <c r="D13" s="195">
        <v>22.0</v>
      </c>
      <c r="E13" s="4" t="s">
        <v>1941</v>
      </c>
      <c r="F13" s="195" t="s">
        <v>2580</v>
      </c>
      <c r="G13" s="4" t="s">
        <v>2581</v>
      </c>
      <c r="H13" s="185">
        <v>13.0</v>
      </c>
      <c r="I13" s="185" t="s">
        <v>2582</v>
      </c>
      <c r="J13" s="4" t="s">
        <v>112</v>
      </c>
      <c r="K13" s="4" t="s">
        <v>114</v>
      </c>
      <c r="L13" s="4" t="s">
        <v>117</v>
      </c>
      <c r="M13" s="4">
        <v>0.0</v>
      </c>
      <c r="N13" s="4" t="s">
        <v>116</v>
      </c>
      <c r="O13" s="4">
        <v>3.0</v>
      </c>
      <c r="P13" s="4">
        <v>1.0</v>
      </c>
      <c r="Q13" s="4">
        <v>1.0</v>
      </c>
      <c r="R13" s="4" t="s">
        <v>115</v>
      </c>
      <c r="S13" s="196">
        <v>42101.0</v>
      </c>
      <c r="T13" s="104"/>
      <c r="U13" s="104" t="s">
        <v>2583</v>
      </c>
      <c r="V13" s="4" t="s">
        <v>2584</v>
      </c>
      <c r="W13" s="4" t="s">
        <v>118</v>
      </c>
      <c r="X13" s="197" t="s">
        <v>138</v>
      </c>
      <c r="Y13" s="170"/>
      <c r="Z13" s="170"/>
      <c r="AA13" s="198">
        <v>42087.0</v>
      </c>
      <c r="AB13" s="198">
        <v>42089.0</v>
      </c>
      <c r="AC13" s="4"/>
      <c r="AD13" s="4"/>
      <c r="AE13" s="4"/>
      <c r="AF13" s="4"/>
      <c r="AG13" s="4"/>
      <c r="AH13" s="199" t="s">
        <v>2071</v>
      </c>
      <c r="AI13" s="199" t="s">
        <v>2585</v>
      </c>
      <c r="AJ13" s="4"/>
      <c r="AK13" s="4" t="s">
        <v>2157</v>
      </c>
      <c r="AL13" s="200">
        <f t="shared" si="2"/>
        <v>9</v>
      </c>
      <c r="AM13" s="201">
        <v>2015.0</v>
      </c>
    </row>
    <row r="14">
      <c r="A14" s="67">
        <f t="shared" si="1"/>
        <v>16025809</v>
      </c>
      <c r="B14" s="67">
        <v>5.0</v>
      </c>
      <c r="C14" s="67"/>
      <c r="D14" s="4">
        <v>3.0</v>
      </c>
      <c r="E14" s="4" t="s">
        <v>1627</v>
      </c>
      <c r="F14" s="195" t="s">
        <v>1970</v>
      </c>
      <c r="G14" s="4" t="s">
        <v>1638</v>
      </c>
      <c r="H14" s="185">
        <v>23.0</v>
      </c>
      <c r="I14" s="185" t="s">
        <v>2541</v>
      </c>
      <c r="J14" s="4" t="s">
        <v>112</v>
      </c>
      <c r="K14" s="4" t="s">
        <v>127</v>
      </c>
      <c r="L14" s="4" t="s">
        <v>117</v>
      </c>
      <c r="M14" s="4">
        <v>1.0</v>
      </c>
      <c r="N14" s="4" t="s">
        <v>116</v>
      </c>
      <c r="O14" s="4">
        <v>15.0</v>
      </c>
      <c r="P14" s="4">
        <v>2.0</v>
      </c>
      <c r="Q14" s="4">
        <v>1.0</v>
      </c>
      <c r="R14" s="4" t="s">
        <v>121</v>
      </c>
      <c r="S14" s="196">
        <v>42107.0</v>
      </c>
      <c r="T14" s="104"/>
      <c r="U14" s="104" t="s">
        <v>2586</v>
      </c>
      <c r="V14" s="4" t="s">
        <v>2587</v>
      </c>
      <c r="W14" s="4" t="s">
        <v>122</v>
      </c>
      <c r="X14" s="170"/>
      <c r="Y14" s="170"/>
      <c r="Z14" s="170"/>
      <c r="AA14" s="198">
        <v>42073.0</v>
      </c>
      <c r="AB14" s="198">
        <v>42075.0</v>
      </c>
      <c r="AC14" s="4"/>
      <c r="AD14" s="4"/>
      <c r="AE14" s="4"/>
      <c r="AF14" s="4"/>
      <c r="AG14" s="4"/>
      <c r="AH14" s="199" t="s">
        <v>2071</v>
      </c>
      <c r="AI14" s="199" t="s">
        <v>2493</v>
      </c>
      <c r="AJ14" s="4"/>
      <c r="AK14" s="4" t="s">
        <v>2157</v>
      </c>
      <c r="AL14" s="200">
        <f t="shared" si="2"/>
        <v>23</v>
      </c>
      <c r="AM14" s="201">
        <v>2015.0</v>
      </c>
    </row>
    <row r="15">
      <c r="A15" s="67">
        <f t="shared" si="1"/>
        <v>17243895</v>
      </c>
      <c r="B15" s="67">
        <v>6.0</v>
      </c>
      <c r="C15" s="67"/>
      <c r="D15" s="195">
        <v>22.0</v>
      </c>
      <c r="E15" s="4" t="s">
        <v>1941</v>
      </c>
      <c r="F15" s="195" t="s">
        <v>2580</v>
      </c>
      <c r="G15" s="4" t="s">
        <v>2588</v>
      </c>
      <c r="H15" s="185">
        <v>13.0</v>
      </c>
      <c r="I15" s="185" t="s">
        <v>2582</v>
      </c>
      <c r="J15" s="4" t="s">
        <v>112</v>
      </c>
      <c r="K15" s="4" t="s">
        <v>114</v>
      </c>
      <c r="L15" s="4" t="s">
        <v>117</v>
      </c>
      <c r="M15" s="4">
        <v>0.0</v>
      </c>
      <c r="N15" s="4" t="s">
        <v>116</v>
      </c>
      <c r="O15" s="4">
        <v>7.0</v>
      </c>
      <c r="P15" s="4">
        <v>1.0</v>
      </c>
      <c r="Q15" s="4">
        <v>1.0</v>
      </c>
      <c r="R15" s="4" t="s">
        <v>115</v>
      </c>
      <c r="S15" s="196">
        <v>42086.0</v>
      </c>
      <c r="T15" s="104"/>
      <c r="U15" s="104" t="s">
        <v>2589</v>
      </c>
      <c r="V15" s="4" t="s">
        <v>2590</v>
      </c>
      <c r="W15" s="4" t="s">
        <v>122</v>
      </c>
      <c r="X15" s="170"/>
      <c r="Y15" s="170"/>
      <c r="Z15" s="170"/>
      <c r="AA15" s="198">
        <v>42065.0</v>
      </c>
      <c r="AB15" s="198">
        <v>42068.0</v>
      </c>
      <c r="AC15" s="4"/>
      <c r="AD15" s="4"/>
      <c r="AE15" s="4"/>
      <c r="AF15" s="4"/>
      <c r="AG15" s="4"/>
      <c r="AH15" s="199" t="s">
        <v>2071</v>
      </c>
      <c r="AI15" s="199" t="s">
        <v>2591</v>
      </c>
      <c r="AJ15" s="4"/>
      <c r="AK15" s="4" t="s">
        <v>2157</v>
      </c>
      <c r="AL15" s="200">
        <f t="shared" si="2"/>
        <v>13</v>
      </c>
      <c r="AM15" s="201">
        <v>2015.0</v>
      </c>
    </row>
    <row r="16">
      <c r="A16" s="67">
        <f t="shared" si="1"/>
        <v>18278977</v>
      </c>
      <c r="B16" s="67">
        <v>7.0</v>
      </c>
      <c r="C16" s="67"/>
      <c r="D16" s="4">
        <v>3.0</v>
      </c>
      <c r="E16" s="4" t="s">
        <v>1928</v>
      </c>
      <c r="F16" s="195" t="s">
        <v>2592</v>
      </c>
      <c r="G16" s="4" t="s">
        <v>2333</v>
      </c>
      <c r="H16" s="185">
        <v>17.0</v>
      </c>
      <c r="I16" s="185" t="s">
        <v>2541</v>
      </c>
      <c r="J16" s="205" t="s">
        <v>112</v>
      </c>
      <c r="K16" s="4" t="s">
        <v>120</v>
      </c>
      <c r="L16" s="205" t="s">
        <v>117</v>
      </c>
      <c r="M16" s="4">
        <v>2.0</v>
      </c>
      <c r="N16" s="4" t="s">
        <v>116</v>
      </c>
      <c r="O16" s="4">
        <v>6.0</v>
      </c>
      <c r="P16" s="4">
        <v>1.0</v>
      </c>
      <c r="Q16" s="4">
        <v>1.0</v>
      </c>
      <c r="R16" s="4" t="s">
        <v>121</v>
      </c>
      <c r="S16" s="196">
        <v>42087.0</v>
      </c>
      <c r="T16" s="104"/>
      <c r="U16" s="104" t="s">
        <v>2593</v>
      </c>
      <c r="V16" s="4" t="s">
        <v>2594</v>
      </c>
      <c r="W16" s="4" t="s">
        <v>122</v>
      </c>
      <c r="X16" s="206"/>
      <c r="Y16" s="206"/>
      <c r="Z16" s="206"/>
      <c r="AA16" s="198">
        <v>42074.0</v>
      </c>
      <c r="AB16" s="198">
        <v>42086.0</v>
      </c>
      <c r="AC16" s="207"/>
      <c r="AD16" s="207"/>
      <c r="AE16" s="207"/>
      <c r="AF16" s="67"/>
      <c r="AG16" s="96"/>
      <c r="AH16" s="199" t="s">
        <v>2071</v>
      </c>
      <c r="AI16" s="199" t="s">
        <v>2595</v>
      </c>
      <c r="AJ16" s="4"/>
      <c r="AK16" s="4" t="s">
        <v>1612</v>
      </c>
      <c r="AL16" s="200">
        <f t="shared" si="2"/>
        <v>2</v>
      </c>
      <c r="AM16" s="201">
        <v>2015.0</v>
      </c>
    </row>
    <row r="17">
      <c r="A17" s="67">
        <f t="shared" si="1"/>
        <v>14404679</v>
      </c>
      <c r="B17" s="67">
        <v>8.0</v>
      </c>
      <c r="C17" s="67"/>
      <c r="D17" s="4">
        <v>83.0</v>
      </c>
      <c r="E17" s="4" t="s">
        <v>1740</v>
      </c>
      <c r="F17" s="195" t="s">
        <v>2596</v>
      </c>
      <c r="G17" s="4" t="s">
        <v>1869</v>
      </c>
      <c r="H17" s="185">
        <v>17.0</v>
      </c>
      <c r="I17" s="185" t="s">
        <v>2541</v>
      </c>
      <c r="J17" s="4" t="s">
        <v>112</v>
      </c>
      <c r="K17" s="4" t="s">
        <v>120</v>
      </c>
      <c r="L17" s="4" t="s">
        <v>117</v>
      </c>
      <c r="M17" s="4">
        <v>1.0</v>
      </c>
      <c r="N17" s="4" t="s">
        <v>122</v>
      </c>
      <c r="O17" s="4"/>
      <c r="P17" s="4">
        <v>1.0</v>
      </c>
      <c r="Q17" s="4">
        <v>0.0</v>
      </c>
      <c r="R17" s="185" t="s">
        <v>115</v>
      </c>
      <c r="S17" s="196">
        <v>42095.0</v>
      </c>
      <c r="T17" s="104" t="s">
        <v>2321</v>
      </c>
      <c r="U17" s="104"/>
      <c r="V17" s="4" t="s">
        <v>2322</v>
      </c>
      <c r="W17" s="4" t="s">
        <v>122</v>
      </c>
      <c r="X17" s="208"/>
      <c r="Y17" s="209"/>
      <c r="Z17" s="208"/>
      <c r="AA17" s="198">
        <v>42068.0</v>
      </c>
      <c r="AB17" s="198">
        <v>42072.0</v>
      </c>
      <c r="AC17" s="4">
        <v>21.0</v>
      </c>
      <c r="AD17" s="4" t="s">
        <v>127</v>
      </c>
      <c r="AE17" s="4"/>
      <c r="AF17" s="4" t="s">
        <v>1740</v>
      </c>
      <c r="AG17" s="4"/>
      <c r="AH17" s="199" t="s">
        <v>2071</v>
      </c>
      <c r="AI17" s="199" t="s">
        <v>2597</v>
      </c>
      <c r="AJ17" s="4"/>
      <c r="AK17" s="4" t="s">
        <v>1612</v>
      </c>
      <c r="AL17" s="200">
        <f t="shared" si="2"/>
        <v>18</v>
      </c>
      <c r="AM17" s="201">
        <v>2015.0</v>
      </c>
    </row>
    <row r="18">
      <c r="A18" s="67">
        <f t="shared" si="1"/>
        <v>16342033</v>
      </c>
      <c r="B18" s="67">
        <v>9.0</v>
      </c>
      <c r="C18" s="67"/>
      <c r="D18" s="195">
        <v>15.0</v>
      </c>
      <c r="E18" s="4" t="s">
        <v>1643</v>
      </c>
      <c r="F18" s="195" t="s">
        <v>2598</v>
      </c>
      <c r="G18" s="4" t="s">
        <v>2391</v>
      </c>
      <c r="H18" s="4">
        <v>14.0</v>
      </c>
      <c r="I18" s="185" t="s">
        <v>2541</v>
      </c>
      <c r="J18" s="4" t="s">
        <v>112</v>
      </c>
      <c r="K18" s="4" t="s">
        <v>125</v>
      </c>
      <c r="L18" s="4" t="s">
        <v>117</v>
      </c>
      <c r="M18" s="4">
        <v>0.0</v>
      </c>
      <c r="N18" s="4" t="s">
        <v>116</v>
      </c>
      <c r="O18" s="4">
        <v>2.0</v>
      </c>
      <c r="P18" s="4">
        <v>1.0</v>
      </c>
      <c r="Q18" s="4">
        <v>3.0</v>
      </c>
      <c r="R18" s="4" t="s">
        <v>115</v>
      </c>
      <c r="S18" s="196">
        <v>42107.0</v>
      </c>
      <c r="T18" s="104"/>
      <c r="U18" s="104" t="s">
        <v>2599</v>
      </c>
      <c r="V18" s="4" t="s">
        <v>2600</v>
      </c>
      <c r="W18" s="4" t="s">
        <v>122</v>
      </c>
      <c r="X18" s="104"/>
      <c r="Y18" s="210"/>
      <c r="Z18" s="208"/>
      <c r="AA18" s="198">
        <v>42079.0</v>
      </c>
      <c r="AB18" s="198">
        <v>42083.0</v>
      </c>
      <c r="AC18" s="170"/>
      <c r="AD18" s="4"/>
      <c r="AE18" s="4"/>
      <c r="AF18" s="4"/>
      <c r="AG18" s="4"/>
      <c r="AH18" s="199" t="s">
        <v>2071</v>
      </c>
      <c r="AI18" s="199" t="s">
        <v>2601</v>
      </c>
      <c r="AJ18" s="4"/>
      <c r="AK18" s="4" t="s">
        <v>1612</v>
      </c>
      <c r="AL18" s="200">
        <f t="shared" si="2"/>
        <v>17</v>
      </c>
      <c r="AM18" s="201">
        <v>2015.0</v>
      </c>
    </row>
    <row r="19">
      <c r="A19" s="67">
        <f t="shared" si="1"/>
        <v>13902432</v>
      </c>
      <c r="B19" s="67">
        <v>10.0</v>
      </c>
      <c r="C19" s="67"/>
      <c r="D19" s="195">
        <v>22.0</v>
      </c>
      <c r="E19" s="4" t="s">
        <v>1941</v>
      </c>
      <c r="F19" s="195" t="s">
        <v>2580</v>
      </c>
      <c r="G19" s="4" t="s">
        <v>2602</v>
      </c>
      <c r="H19" s="185">
        <v>13.0</v>
      </c>
      <c r="I19" s="185" t="s">
        <v>2582</v>
      </c>
      <c r="J19" s="4" t="s">
        <v>112</v>
      </c>
      <c r="K19" s="4" t="s">
        <v>114</v>
      </c>
      <c r="L19" s="4" t="s">
        <v>117</v>
      </c>
      <c r="M19" s="4">
        <v>0.0</v>
      </c>
      <c r="N19" s="4" t="s">
        <v>116</v>
      </c>
      <c r="O19" s="4">
        <v>6.0</v>
      </c>
      <c r="P19" s="4">
        <v>2.0</v>
      </c>
      <c r="Q19" s="4">
        <v>1.0</v>
      </c>
      <c r="R19" s="4" t="s">
        <v>115</v>
      </c>
      <c r="S19" s="196">
        <v>42087.0</v>
      </c>
      <c r="T19" s="104"/>
      <c r="U19" s="104" t="s">
        <v>2603</v>
      </c>
      <c r="V19" s="4" t="s">
        <v>2604</v>
      </c>
      <c r="W19" s="4" t="s">
        <v>122</v>
      </c>
      <c r="X19" s="170"/>
      <c r="Y19" s="170"/>
      <c r="Z19" s="170"/>
      <c r="AA19" s="198">
        <v>42065.0</v>
      </c>
      <c r="AB19" s="198">
        <v>42068.0</v>
      </c>
      <c r="AC19" s="4"/>
      <c r="AD19" s="4"/>
      <c r="AE19" s="4"/>
      <c r="AF19" s="4"/>
      <c r="AG19" s="4"/>
      <c r="AH19" s="199" t="s">
        <v>2071</v>
      </c>
      <c r="AI19" s="199" t="s">
        <v>2605</v>
      </c>
      <c r="AJ19" s="4"/>
      <c r="AK19" s="4" t="s">
        <v>1612</v>
      </c>
      <c r="AL19" s="200">
        <f t="shared" si="2"/>
        <v>14</v>
      </c>
      <c r="AM19" s="201">
        <v>2015.0</v>
      </c>
    </row>
    <row r="20">
      <c r="A20" s="67">
        <f t="shared" si="1"/>
        <v>13438026</v>
      </c>
      <c r="B20" s="67">
        <v>11.0</v>
      </c>
      <c r="C20" s="67"/>
      <c r="D20" s="4">
        <v>3.0</v>
      </c>
      <c r="E20" s="4" t="s">
        <v>2492</v>
      </c>
      <c r="F20" s="195" t="s">
        <v>2606</v>
      </c>
      <c r="G20" s="4" t="s">
        <v>1930</v>
      </c>
      <c r="H20" s="185">
        <v>15.0</v>
      </c>
      <c r="I20" s="185" t="s">
        <v>2541</v>
      </c>
      <c r="J20" s="4" t="s">
        <v>112</v>
      </c>
      <c r="K20" s="4" t="s">
        <v>120</v>
      </c>
      <c r="L20" s="4" t="s">
        <v>117</v>
      </c>
      <c r="M20" s="4">
        <v>3.0</v>
      </c>
      <c r="N20" s="4" t="s">
        <v>122</v>
      </c>
      <c r="O20" s="4"/>
      <c r="P20" s="4">
        <v>1.0</v>
      </c>
      <c r="Q20" s="4">
        <v>0.0</v>
      </c>
      <c r="R20" s="4" t="s">
        <v>121</v>
      </c>
      <c r="S20" s="196">
        <v>42107.0</v>
      </c>
      <c r="T20" s="104" t="s">
        <v>2607</v>
      </c>
      <c r="U20" s="104"/>
      <c r="V20" s="4" t="s">
        <v>2608</v>
      </c>
      <c r="W20" s="4" t="s">
        <v>118</v>
      </c>
      <c r="X20" s="170"/>
      <c r="Y20" s="197" t="s">
        <v>164</v>
      </c>
      <c r="Z20" s="170"/>
      <c r="AA20" s="198">
        <v>42079.0</v>
      </c>
      <c r="AB20" s="198">
        <v>42081.0</v>
      </c>
      <c r="AC20" s="4">
        <v>16.0</v>
      </c>
      <c r="AD20" s="4" t="s">
        <v>120</v>
      </c>
      <c r="AE20" s="4"/>
      <c r="AF20" s="4" t="s">
        <v>15</v>
      </c>
      <c r="AG20" s="4"/>
      <c r="AH20" s="199" t="s">
        <v>2071</v>
      </c>
      <c r="AI20" s="199" t="s">
        <v>2597</v>
      </c>
      <c r="AJ20" s="4"/>
      <c r="AK20" s="4" t="s">
        <v>1612</v>
      </c>
      <c r="AL20" s="200">
        <f t="shared" si="2"/>
        <v>19</v>
      </c>
      <c r="AM20" s="201">
        <v>2015.0</v>
      </c>
    </row>
    <row r="21">
      <c r="A21" s="67">
        <f t="shared" si="1"/>
        <v>18339692</v>
      </c>
      <c r="B21" s="67">
        <v>12.0</v>
      </c>
      <c r="C21" s="67"/>
      <c r="D21" s="4">
        <v>3.0</v>
      </c>
      <c r="E21" s="4" t="s">
        <v>2495</v>
      </c>
      <c r="F21" s="195" t="s">
        <v>2609</v>
      </c>
      <c r="G21" s="4" t="s">
        <v>1591</v>
      </c>
      <c r="H21" s="185">
        <v>20.0</v>
      </c>
      <c r="I21" s="185" t="s">
        <v>2541</v>
      </c>
      <c r="J21" s="4" t="s">
        <v>112</v>
      </c>
      <c r="K21" s="4" t="s">
        <v>120</v>
      </c>
      <c r="L21" s="4" t="s">
        <v>117</v>
      </c>
      <c r="M21" s="4">
        <v>0.0</v>
      </c>
      <c r="N21" s="4" t="s">
        <v>116</v>
      </c>
      <c r="O21" s="4">
        <v>5.0</v>
      </c>
      <c r="P21" s="4">
        <v>1.0</v>
      </c>
      <c r="Q21" s="4">
        <v>1.0</v>
      </c>
      <c r="R21" s="4" t="s">
        <v>121</v>
      </c>
      <c r="S21" s="196">
        <v>42110.0</v>
      </c>
      <c r="T21" s="104"/>
      <c r="U21" s="104" t="s">
        <v>2610</v>
      </c>
      <c r="V21" s="4" t="s">
        <v>2611</v>
      </c>
      <c r="W21" s="4" t="s">
        <v>122</v>
      </c>
      <c r="X21" s="170"/>
      <c r="Y21" s="170"/>
      <c r="Z21" s="170"/>
      <c r="AA21" s="198">
        <v>42090.0</v>
      </c>
      <c r="AB21" s="198">
        <v>42097.0</v>
      </c>
      <c r="AC21" s="4"/>
      <c r="AD21" s="4"/>
      <c r="AE21" s="4"/>
      <c r="AF21" s="4"/>
      <c r="AG21" s="4"/>
      <c r="AH21" s="199" t="s">
        <v>2071</v>
      </c>
      <c r="AI21" s="199" t="s">
        <v>2612</v>
      </c>
      <c r="AJ21" s="4"/>
      <c r="AK21" s="4" t="s">
        <v>2157</v>
      </c>
      <c r="AL21" s="200">
        <f t="shared" si="2"/>
        <v>10</v>
      </c>
      <c r="AM21" s="201">
        <v>2015.0</v>
      </c>
    </row>
    <row r="22">
      <c r="A22" s="67">
        <f t="shared" si="1"/>
        <v>13264920</v>
      </c>
      <c r="B22" s="67">
        <v>13.0</v>
      </c>
      <c r="C22" s="67"/>
      <c r="D22" s="195">
        <v>15.0</v>
      </c>
      <c r="E22" s="4" t="s">
        <v>1975</v>
      </c>
      <c r="F22" s="195" t="s">
        <v>2613</v>
      </c>
      <c r="G22" s="4" t="s">
        <v>1821</v>
      </c>
      <c r="H22" s="185">
        <v>18.0</v>
      </c>
      <c r="I22" s="185" t="s">
        <v>2541</v>
      </c>
      <c r="J22" s="4" t="s">
        <v>112</v>
      </c>
      <c r="K22" s="4" t="s">
        <v>125</v>
      </c>
      <c r="L22" s="4" t="s">
        <v>117</v>
      </c>
      <c r="M22" s="4">
        <v>9.0</v>
      </c>
      <c r="N22" s="4" t="s">
        <v>116</v>
      </c>
      <c r="O22" s="4">
        <v>14.0</v>
      </c>
      <c r="P22" s="4">
        <v>3.0</v>
      </c>
      <c r="Q22" s="4">
        <v>1.0</v>
      </c>
      <c r="R22" s="4" t="s">
        <v>121</v>
      </c>
      <c r="S22" s="196">
        <v>42114.0</v>
      </c>
      <c r="T22" s="104"/>
      <c r="U22" s="104" t="s">
        <v>2614</v>
      </c>
      <c r="V22" s="4" t="s">
        <v>2615</v>
      </c>
      <c r="W22" s="4" t="s">
        <v>118</v>
      </c>
      <c r="X22" s="170"/>
      <c r="Y22" s="170"/>
      <c r="Z22" s="197" t="s">
        <v>140</v>
      </c>
      <c r="AA22" s="198">
        <v>42065.0</v>
      </c>
      <c r="AB22" s="198">
        <v>42072.0</v>
      </c>
      <c r="AC22" s="4"/>
      <c r="AD22" s="4"/>
      <c r="AE22" s="4"/>
      <c r="AF22" s="4"/>
      <c r="AG22" s="4"/>
      <c r="AH22" s="199" t="s">
        <v>2071</v>
      </c>
      <c r="AI22" s="199" t="s">
        <v>2616</v>
      </c>
      <c r="AJ22" s="4"/>
      <c r="AK22" s="4" t="s">
        <v>2157</v>
      </c>
      <c r="AL22" s="200">
        <f t="shared" si="2"/>
        <v>31</v>
      </c>
      <c r="AM22" s="201">
        <v>2015.0</v>
      </c>
    </row>
    <row r="23">
      <c r="A23" s="67">
        <f t="shared" si="1"/>
        <v>17381281</v>
      </c>
      <c r="B23" s="67">
        <v>14.0</v>
      </c>
      <c r="C23" s="67"/>
      <c r="D23" s="195">
        <v>60.0</v>
      </c>
      <c r="E23" s="4" t="s">
        <v>2617</v>
      </c>
      <c r="F23" s="195" t="s">
        <v>2540</v>
      </c>
      <c r="G23" s="4" t="s">
        <v>1898</v>
      </c>
      <c r="H23" s="185">
        <v>17.0</v>
      </c>
      <c r="I23" s="185" t="s">
        <v>2541</v>
      </c>
      <c r="J23" s="4" t="s">
        <v>112</v>
      </c>
      <c r="K23" s="4" t="s">
        <v>120</v>
      </c>
      <c r="L23" s="4" t="s">
        <v>117</v>
      </c>
      <c r="M23" s="4">
        <v>0.0</v>
      </c>
      <c r="N23" s="4" t="s">
        <v>116</v>
      </c>
      <c r="O23" s="4">
        <v>5.0</v>
      </c>
      <c r="P23" s="4">
        <v>1.0</v>
      </c>
      <c r="Q23" s="4">
        <v>1.0</v>
      </c>
      <c r="R23" s="4" t="s">
        <v>121</v>
      </c>
      <c r="S23" s="196">
        <v>42107.0</v>
      </c>
      <c r="T23" s="104"/>
      <c r="U23" s="104" t="s">
        <v>2618</v>
      </c>
      <c r="V23" s="4" t="s">
        <v>2619</v>
      </c>
      <c r="W23" s="4" t="s">
        <v>118</v>
      </c>
      <c r="X23" s="197" t="s">
        <v>170</v>
      </c>
      <c r="Y23" s="170"/>
      <c r="Z23" s="170"/>
      <c r="AA23" s="198">
        <v>42081.0</v>
      </c>
      <c r="AB23" s="198">
        <v>42086.0</v>
      </c>
      <c r="AC23" s="4"/>
      <c r="AD23" s="4"/>
      <c r="AE23" s="4"/>
      <c r="AF23" s="4"/>
      <c r="AG23" s="4"/>
      <c r="AH23" s="199" t="s">
        <v>2071</v>
      </c>
      <c r="AI23" s="199" t="s">
        <v>2597</v>
      </c>
      <c r="AJ23" s="4"/>
      <c r="AK23" s="4" t="s">
        <v>1612</v>
      </c>
      <c r="AL23" s="200">
        <f t="shared" si="2"/>
        <v>16</v>
      </c>
      <c r="AM23" s="201">
        <v>2015.0</v>
      </c>
    </row>
    <row r="24">
      <c r="A24" s="67">
        <f t="shared" si="1"/>
        <v>16570996</v>
      </c>
      <c r="B24" s="67">
        <v>15.0</v>
      </c>
      <c r="C24" s="67"/>
      <c r="D24" s="4">
        <v>3.0</v>
      </c>
      <c r="E24" s="4" t="s">
        <v>2495</v>
      </c>
      <c r="F24" s="195" t="s">
        <v>2620</v>
      </c>
      <c r="G24" s="4" t="s">
        <v>2621</v>
      </c>
      <c r="H24" s="185">
        <v>14.0</v>
      </c>
      <c r="I24" s="185" t="s">
        <v>2541</v>
      </c>
      <c r="J24" s="4" t="s">
        <v>112</v>
      </c>
      <c r="K24" s="4" t="s">
        <v>125</v>
      </c>
      <c r="L24" s="4" t="s">
        <v>117</v>
      </c>
      <c r="M24" s="4">
        <v>0.0</v>
      </c>
      <c r="N24" s="4" t="s">
        <v>116</v>
      </c>
      <c r="O24" s="4">
        <v>13.0</v>
      </c>
      <c r="P24" s="4">
        <v>2.0</v>
      </c>
      <c r="Q24" s="4">
        <v>1.0</v>
      </c>
      <c r="R24" s="4" t="s">
        <v>115</v>
      </c>
      <c r="S24" s="196">
        <v>42125.0</v>
      </c>
      <c r="T24" s="104"/>
      <c r="U24" s="104" t="s">
        <v>2622</v>
      </c>
      <c r="V24" s="4" t="s">
        <v>2623</v>
      </c>
      <c r="W24" s="4" t="s">
        <v>118</v>
      </c>
      <c r="X24" s="170"/>
      <c r="Y24" s="170"/>
      <c r="Z24" s="197" t="s">
        <v>174</v>
      </c>
      <c r="AA24" s="198">
        <v>42067.0</v>
      </c>
      <c r="AB24" s="198">
        <v>42074.0</v>
      </c>
      <c r="AC24" s="4"/>
      <c r="AD24" s="4"/>
      <c r="AE24" s="4"/>
      <c r="AF24" s="4"/>
      <c r="AG24" s="4"/>
      <c r="AH24" s="199" t="s">
        <v>2071</v>
      </c>
      <c r="AI24" s="199" t="s">
        <v>2597</v>
      </c>
      <c r="AJ24" s="4"/>
      <c r="AK24" s="4" t="s">
        <v>2157</v>
      </c>
      <c r="AL24" s="200">
        <f t="shared" si="2"/>
        <v>38</v>
      </c>
      <c r="AM24" s="201">
        <v>2015.0</v>
      </c>
    </row>
    <row r="25">
      <c r="A25" s="67">
        <f t="shared" si="1"/>
        <v>15797419</v>
      </c>
      <c r="B25" s="67">
        <v>16.0</v>
      </c>
      <c r="C25" s="67"/>
      <c r="D25" s="195">
        <v>11.0</v>
      </c>
      <c r="E25" s="4" t="s">
        <v>2624</v>
      </c>
      <c r="F25" s="195" t="s">
        <v>2625</v>
      </c>
      <c r="G25" s="4" t="s">
        <v>2068</v>
      </c>
      <c r="H25" s="185">
        <v>10.0</v>
      </c>
      <c r="I25" s="185" t="s">
        <v>2541</v>
      </c>
      <c r="J25" s="4" t="s">
        <v>112</v>
      </c>
      <c r="K25" s="4" t="s">
        <v>114</v>
      </c>
      <c r="L25" s="4" t="s">
        <v>117</v>
      </c>
      <c r="M25" s="4">
        <v>7.0</v>
      </c>
      <c r="N25" s="4" t="s">
        <v>116</v>
      </c>
      <c r="O25" s="4">
        <v>10.0</v>
      </c>
      <c r="P25" s="4">
        <v>1.0</v>
      </c>
      <c r="Q25" s="4"/>
      <c r="R25" s="4" t="s">
        <v>121</v>
      </c>
      <c r="S25" s="196">
        <v>42156.0</v>
      </c>
      <c r="T25" s="104"/>
      <c r="U25" s="104" t="s">
        <v>2626</v>
      </c>
      <c r="V25" s="4" t="s">
        <v>2627</v>
      </c>
      <c r="W25" s="4" t="s">
        <v>122</v>
      </c>
      <c r="X25" s="170"/>
      <c r="Y25" s="170"/>
      <c r="Z25" s="170"/>
      <c r="AA25" s="198">
        <v>42090.0</v>
      </c>
      <c r="AB25" s="198">
        <v>42096.0</v>
      </c>
      <c r="AC25" s="4"/>
      <c r="AD25" s="4"/>
      <c r="AE25" s="4"/>
      <c r="AF25" s="4"/>
      <c r="AG25" s="4"/>
      <c r="AH25" s="199" t="s">
        <v>2071</v>
      </c>
      <c r="AI25" s="199" t="s">
        <v>2628</v>
      </c>
      <c r="AJ25" s="4"/>
      <c r="AK25" s="4" t="s">
        <v>1612</v>
      </c>
      <c r="AL25" s="200">
        <f t="shared" si="2"/>
        <v>43</v>
      </c>
      <c r="AM25" s="201">
        <v>2015.0</v>
      </c>
    </row>
    <row r="26">
      <c r="A26" s="67">
        <f t="shared" si="1"/>
        <v>10147605</v>
      </c>
      <c r="B26" s="67">
        <v>17.0</v>
      </c>
      <c r="C26" s="67"/>
      <c r="D26" s="195">
        <v>15.0</v>
      </c>
      <c r="E26" s="4" t="s">
        <v>1975</v>
      </c>
      <c r="F26" s="195" t="s">
        <v>2043</v>
      </c>
      <c r="G26" s="4" t="s">
        <v>1824</v>
      </c>
      <c r="H26" s="4">
        <v>20.0</v>
      </c>
      <c r="I26" s="4" t="s">
        <v>2541</v>
      </c>
      <c r="J26" s="4" t="s">
        <v>112</v>
      </c>
      <c r="K26" s="4" t="s">
        <v>120</v>
      </c>
      <c r="L26" s="185" t="s">
        <v>117</v>
      </c>
      <c r="M26" s="4">
        <v>0.0</v>
      </c>
      <c r="N26" s="4" t="s">
        <v>116</v>
      </c>
      <c r="O26" s="4">
        <v>5.0</v>
      </c>
      <c r="P26" s="4">
        <v>2.0</v>
      </c>
      <c r="Q26" s="4">
        <v>1.0</v>
      </c>
      <c r="R26" s="4" t="s">
        <v>121</v>
      </c>
      <c r="S26" s="198">
        <v>42128.0</v>
      </c>
      <c r="T26" s="104"/>
      <c r="U26" s="104" t="s">
        <v>2629</v>
      </c>
      <c r="V26" s="4" t="s">
        <v>2630</v>
      </c>
      <c r="W26" s="4" t="s">
        <v>122</v>
      </c>
      <c r="X26" s="170"/>
      <c r="Y26" s="170"/>
      <c r="Z26" s="170"/>
      <c r="AA26" s="198">
        <v>42090.0</v>
      </c>
      <c r="AB26" s="198">
        <v>42096.0</v>
      </c>
      <c r="AC26" s="4"/>
      <c r="AD26" s="108"/>
      <c r="AE26" s="108"/>
      <c r="AF26" s="108"/>
      <c r="AG26" s="4"/>
      <c r="AH26" s="199" t="s">
        <v>2071</v>
      </c>
      <c r="AI26" s="199" t="s">
        <v>2330</v>
      </c>
      <c r="AJ26" s="4"/>
      <c r="AK26" s="4" t="s">
        <v>2157</v>
      </c>
      <c r="AL26" s="200">
        <f t="shared" si="2"/>
        <v>23</v>
      </c>
      <c r="AM26" s="201">
        <v>2015.0</v>
      </c>
    </row>
    <row r="27">
      <c r="A27" s="67">
        <f t="shared" si="1"/>
        <v>14179988</v>
      </c>
      <c r="B27" s="67">
        <v>18.0</v>
      </c>
      <c r="C27" s="67"/>
      <c r="D27" s="195">
        <v>15.0</v>
      </c>
      <c r="E27" s="4" t="s">
        <v>1975</v>
      </c>
      <c r="F27" s="195" t="s">
        <v>2631</v>
      </c>
      <c r="G27" s="4" t="s">
        <v>2632</v>
      </c>
      <c r="H27" s="185">
        <v>21.0</v>
      </c>
      <c r="I27" s="185" t="s">
        <v>2541</v>
      </c>
      <c r="J27" s="4" t="s">
        <v>112</v>
      </c>
      <c r="K27" s="4" t="s">
        <v>127</v>
      </c>
      <c r="L27" s="4" t="s">
        <v>117</v>
      </c>
      <c r="M27" s="4">
        <v>1.0</v>
      </c>
      <c r="N27" s="4" t="s">
        <v>116</v>
      </c>
      <c r="O27" s="4">
        <v>8.0</v>
      </c>
      <c r="P27" s="4">
        <v>1.0</v>
      </c>
      <c r="Q27" s="4">
        <v>1.0</v>
      </c>
      <c r="R27" s="4" t="s">
        <v>115</v>
      </c>
      <c r="S27" s="196">
        <v>42129.0</v>
      </c>
      <c r="T27" s="104"/>
      <c r="U27" s="104" t="s">
        <v>2633</v>
      </c>
      <c r="V27" s="4" t="s">
        <v>2634</v>
      </c>
      <c r="W27" s="4" t="s">
        <v>122</v>
      </c>
      <c r="X27" s="170"/>
      <c r="Y27" s="170"/>
      <c r="Z27" s="170"/>
      <c r="AA27" s="198">
        <v>42095.0</v>
      </c>
      <c r="AB27" s="198">
        <v>42102.0</v>
      </c>
      <c r="AC27" s="4"/>
      <c r="AD27" s="4"/>
      <c r="AE27" s="4"/>
      <c r="AF27" s="4"/>
      <c r="AG27" s="4"/>
      <c r="AH27" s="199" t="s">
        <v>2071</v>
      </c>
      <c r="AI27" s="199" t="s">
        <v>2251</v>
      </c>
      <c r="AJ27" s="4"/>
      <c r="AK27" s="4" t="s">
        <v>2157</v>
      </c>
      <c r="AL27" s="200">
        <f t="shared" si="2"/>
        <v>20</v>
      </c>
      <c r="AM27" s="201">
        <v>2015.0</v>
      </c>
    </row>
    <row r="28">
      <c r="A28" s="67">
        <f t="shared" si="1"/>
        <v>16961705</v>
      </c>
      <c r="B28" s="67">
        <v>19.0</v>
      </c>
      <c r="C28" s="67"/>
      <c r="D28" s="4">
        <v>83.0</v>
      </c>
      <c r="E28" s="4" t="s">
        <v>1740</v>
      </c>
      <c r="F28" s="195" t="s">
        <v>2635</v>
      </c>
      <c r="G28" s="4" t="s">
        <v>2636</v>
      </c>
      <c r="H28" s="211">
        <v>13.0</v>
      </c>
      <c r="I28" s="185" t="s">
        <v>2541</v>
      </c>
      <c r="J28" s="4" t="s">
        <v>112</v>
      </c>
      <c r="K28" s="4" t="s">
        <v>114</v>
      </c>
      <c r="L28" s="4" t="s">
        <v>122</v>
      </c>
      <c r="M28" s="4"/>
      <c r="N28" s="4" t="s">
        <v>116</v>
      </c>
      <c r="O28" s="4">
        <v>6.0</v>
      </c>
      <c r="P28" s="4">
        <v>2.0</v>
      </c>
      <c r="Q28" s="4">
        <v>1.0</v>
      </c>
      <c r="R28" s="4" t="s">
        <v>115</v>
      </c>
      <c r="S28" s="196">
        <v>42121.0</v>
      </c>
      <c r="T28" s="104"/>
      <c r="U28" s="104" t="s">
        <v>2637</v>
      </c>
      <c r="V28" s="4" t="s">
        <v>2638</v>
      </c>
      <c r="W28" s="4" t="s">
        <v>118</v>
      </c>
      <c r="X28" s="170" t="s">
        <v>2102</v>
      </c>
      <c r="Y28" s="170"/>
      <c r="Z28" s="170"/>
      <c r="AA28" s="198">
        <v>42095.0</v>
      </c>
      <c r="AB28" s="198">
        <v>42102.0</v>
      </c>
      <c r="AC28" s="4"/>
      <c r="AD28" s="4"/>
      <c r="AE28" s="4"/>
      <c r="AF28" s="4"/>
      <c r="AG28" s="4"/>
      <c r="AH28" s="199" t="s">
        <v>2071</v>
      </c>
      <c r="AI28" s="199" t="s">
        <v>2639</v>
      </c>
      <c r="AJ28" s="4"/>
      <c r="AK28" s="4" t="s">
        <v>2157</v>
      </c>
      <c r="AL28" s="200">
        <f t="shared" si="2"/>
        <v>14</v>
      </c>
      <c r="AM28" s="201">
        <v>2015.0</v>
      </c>
    </row>
    <row r="29">
      <c r="A29" s="67">
        <f t="shared" si="1"/>
        <v>15050864</v>
      </c>
      <c r="B29" s="67">
        <v>20.0</v>
      </c>
      <c r="C29" s="67"/>
      <c r="D29" s="4">
        <v>40.0</v>
      </c>
      <c r="E29" s="4" t="s">
        <v>2519</v>
      </c>
      <c r="F29" s="195" t="s">
        <v>2540</v>
      </c>
      <c r="G29" s="4" t="s">
        <v>1898</v>
      </c>
      <c r="H29" s="185">
        <v>17.0</v>
      </c>
      <c r="I29" s="185" t="s">
        <v>2541</v>
      </c>
      <c r="J29" s="4" t="s">
        <v>112</v>
      </c>
      <c r="K29" s="4" t="s">
        <v>120</v>
      </c>
      <c r="L29" s="4" t="s">
        <v>117</v>
      </c>
      <c r="M29" s="4">
        <v>2.0</v>
      </c>
      <c r="N29" s="4" t="s">
        <v>116</v>
      </c>
      <c r="O29" s="4">
        <v>21.0</v>
      </c>
      <c r="P29" s="4">
        <v>2.0</v>
      </c>
      <c r="Q29" s="4">
        <v>1.0</v>
      </c>
      <c r="R29" s="4" t="s">
        <v>121</v>
      </c>
      <c r="S29" s="196">
        <v>42131.0</v>
      </c>
      <c r="T29" s="104"/>
      <c r="U29" s="104" t="s">
        <v>2640</v>
      </c>
      <c r="V29" s="4" t="s">
        <v>2641</v>
      </c>
      <c r="W29" s="4" t="s">
        <v>118</v>
      </c>
      <c r="X29" s="212" t="s">
        <v>150</v>
      </c>
      <c r="Y29" s="170"/>
      <c r="Z29" s="170"/>
      <c r="AA29" s="198">
        <v>42066.0</v>
      </c>
      <c r="AB29" s="198">
        <v>42073.0</v>
      </c>
      <c r="AC29" s="4"/>
      <c r="AD29" s="4"/>
      <c r="AE29" s="4"/>
      <c r="AF29" s="4"/>
      <c r="AG29" s="4"/>
      <c r="AH29" s="199" t="s">
        <v>2071</v>
      </c>
      <c r="AI29" s="199" t="s">
        <v>2597</v>
      </c>
      <c r="AJ29" s="4"/>
      <c r="AK29" s="4" t="s">
        <v>2157</v>
      </c>
      <c r="AL29" s="200">
        <f t="shared" si="2"/>
        <v>43</v>
      </c>
      <c r="AM29" s="201">
        <v>2015.0</v>
      </c>
    </row>
    <row r="30">
      <c r="A30" s="67">
        <f t="shared" si="1"/>
        <v>10059867</v>
      </c>
      <c r="B30" s="67">
        <v>21.0</v>
      </c>
      <c r="C30" s="67"/>
      <c r="D30" s="4">
        <v>83.0</v>
      </c>
      <c r="E30" s="4" t="s">
        <v>1740</v>
      </c>
      <c r="F30" s="195" t="s">
        <v>2642</v>
      </c>
      <c r="G30" s="4" t="s">
        <v>1907</v>
      </c>
      <c r="H30" s="185">
        <v>13.0</v>
      </c>
      <c r="I30" s="185" t="s">
        <v>2541</v>
      </c>
      <c r="J30" s="4" t="s">
        <v>112</v>
      </c>
      <c r="K30" s="4" t="s">
        <v>114</v>
      </c>
      <c r="L30" s="4" t="s">
        <v>117</v>
      </c>
      <c r="M30" s="4">
        <v>4.0</v>
      </c>
      <c r="N30" s="4" t="s">
        <v>116</v>
      </c>
      <c r="O30" s="4">
        <v>17.0</v>
      </c>
      <c r="P30" s="4">
        <v>2.0</v>
      </c>
      <c r="Q30" s="4">
        <v>1.0</v>
      </c>
      <c r="R30" s="4" t="s">
        <v>121</v>
      </c>
      <c r="S30" s="196">
        <v>42156.0</v>
      </c>
      <c r="T30" s="104"/>
      <c r="U30" s="104" t="s">
        <v>2643</v>
      </c>
      <c r="V30" s="4" t="s">
        <v>2644</v>
      </c>
      <c r="W30" s="4" t="s">
        <v>122</v>
      </c>
      <c r="X30" s="170"/>
      <c r="Y30" s="170"/>
      <c r="Z30" s="170"/>
      <c r="AA30" s="198">
        <v>42086.0</v>
      </c>
      <c r="AB30" s="198">
        <v>42094.0</v>
      </c>
      <c r="AC30" s="4"/>
      <c r="AD30" s="4"/>
      <c r="AE30" s="4"/>
      <c r="AF30" s="4"/>
      <c r="AG30" s="4"/>
      <c r="AH30" s="199" t="s">
        <v>2071</v>
      </c>
      <c r="AI30" s="199" t="s">
        <v>2597</v>
      </c>
      <c r="AJ30" s="4"/>
      <c r="AK30" s="4" t="s">
        <v>1612</v>
      </c>
      <c r="AL30" s="200">
        <f t="shared" si="2"/>
        <v>45</v>
      </c>
      <c r="AM30" s="201">
        <v>2015.0</v>
      </c>
    </row>
    <row r="31">
      <c r="A31" s="67">
        <f t="shared" si="1"/>
        <v>11740181</v>
      </c>
      <c r="B31" s="67">
        <v>22.0</v>
      </c>
      <c r="C31" s="67"/>
      <c r="D31" s="195">
        <v>11.0</v>
      </c>
      <c r="E31" s="4" t="s">
        <v>2066</v>
      </c>
      <c r="F31" s="195" t="s">
        <v>2635</v>
      </c>
      <c r="G31" s="4" t="s">
        <v>2418</v>
      </c>
      <c r="H31" s="185">
        <v>13.0</v>
      </c>
      <c r="I31" s="185" t="s">
        <v>2541</v>
      </c>
      <c r="J31" s="4" t="s">
        <v>112</v>
      </c>
      <c r="K31" s="4" t="s">
        <v>114</v>
      </c>
      <c r="L31" s="4" t="s">
        <v>122</v>
      </c>
      <c r="M31" s="4"/>
      <c r="N31" s="4" t="s">
        <v>116</v>
      </c>
      <c r="O31" s="4">
        <v>3.0</v>
      </c>
      <c r="P31" s="4">
        <v>3.0</v>
      </c>
      <c r="Q31" s="4">
        <v>1.0</v>
      </c>
      <c r="R31" s="4" t="s">
        <v>115</v>
      </c>
      <c r="S31" s="196">
        <v>42149.0</v>
      </c>
      <c r="T31" s="104"/>
      <c r="U31" s="104" t="s">
        <v>2645</v>
      </c>
      <c r="V31" s="4" t="s">
        <v>2646</v>
      </c>
      <c r="W31" s="4" t="s">
        <v>122</v>
      </c>
      <c r="X31" s="170"/>
      <c r="Y31" s="170"/>
      <c r="Z31" s="170"/>
      <c r="AA31" s="198">
        <v>42066.0</v>
      </c>
      <c r="AB31" s="198">
        <v>42069.0</v>
      </c>
      <c r="AC31" s="4"/>
      <c r="AD31" s="4"/>
      <c r="AE31" s="4"/>
      <c r="AF31" s="4"/>
      <c r="AG31" s="4"/>
      <c r="AH31" s="199" t="s">
        <v>2071</v>
      </c>
      <c r="AI31" s="199" t="s">
        <v>2419</v>
      </c>
      <c r="AJ31" s="4"/>
      <c r="AK31" s="4" t="s">
        <v>2157</v>
      </c>
      <c r="AL31" s="200">
        <f t="shared" si="2"/>
        <v>57</v>
      </c>
      <c r="AM31" s="201">
        <v>2015.0</v>
      </c>
    </row>
    <row r="32">
      <c r="A32" s="67">
        <f t="shared" si="1"/>
        <v>7406583</v>
      </c>
      <c r="B32" s="67">
        <v>23.0</v>
      </c>
      <c r="C32" s="67"/>
      <c r="D32" s="195">
        <v>60.0</v>
      </c>
      <c r="E32" s="4" t="s">
        <v>1594</v>
      </c>
      <c r="F32" s="195" t="s">
        <v>2094</v>
      </c>
      <c r="G32" s="4" t="s">
        <v>2095</v>
      </c>
      <c r="H32" s="185">
        <v>10.0</v>
      </c>
      <c r="I32" s="185" t="s">
        <v>2541</v>
      </c>
      <c r="J32" s="4" t="s">
        <v>112</v>
      </c>
      <c r="K32" s="4" t="s">
        <v>114</v>
      </c>
      <c r="L32" s="4" t="s">
        <v>117</v>
      </c>
      <c r="M32" s="4">
        <v>5.0</v>
      </c>
      <c r="N32" s="4" t="s">
        <v>122</v>
      </c>
      <c r="O32" s="4"/>
      <c r="P32" s="4">
        <v>1.0</v>
      </c>
      <c r="Q32" s="4"/>
      <c r="R32" s="4" t="s">
        <v>115</v>
      </c>
      <c r="S32" s="196">
        <v>42135.0</v>
      </c>
      <c r="T32" s="104" t="s">
        <v>2647</v>
      </c>
      <c r="U32" s="104"/>
      <c r="V32" s="4" t="s">
        <v>2648</v>
      </c>
      <c r="W32" s="4" t="s">
        <v>122</v>
      </c>
      <c r="X32" s="170"/>
      <c r="Y32" s="170"/>
      <c r="Z32" s="170"/>
      <c r="AA32" s="198">
        <v>42109.0</v>
      </c>
      <c r="AB32" s="198">
        <v>42114.0</v>
      </c>
      <c r="AC32" s="4"/>
      <c r="AD32" s="4" t="s">
        <v>2345</v>
      </c>
      <c r="AE32" s="4"/>
      <c r="AF32" s="4"/>
      <c r="AG32" s="4"/>
      <c r="AH32" s="199" t="s">
        <v>2071</v>
      </c>
      <c r="AI32" s="199" t="s">
        <v>2649</v>
      </c>
      <c r="AJ32" s="4"/>
      <c r="AK32" s="4" t="s">
        <v>1612</v>
      </c>
      <c r="AL32" s="200">
        <f t="shared" si="2"/>
        <v>16</v>
      </c>
      <c r="AM32" s="201">
        <v>2015.0</v>
      </c>
    </row>
    <row r="33">
      <c r="A33" s="67">
        <f t="shared" si="1"/>
        <v>18251296</v>
      </c>
      <c r="B33" s="67">
        <v>24.0</v>
      </c>
      <c r="C33" s="67"/>
      <c r="D33" s="4">
        <v>3.0</v>
      </c>
      <c r="E33" s="4" t="s">
        <v>2495</v>
      </c>
      <c r="F33" s="195" t="s">
        <v>2650</v>
      </c>
      <c r="G33" s="4" t="s">
        <v>2651</v>
      </c>
      <c r="H33" s="185">
        <v>17.0</v>
      </c>
      <c r="I33" s="185" t="s">
        <v>2541</v>
      </c>
      <c r="J33" s="4" t="s">
        <v>112</v>
      </c>
      <c r="K33" s="4" t="s">
        <v>120</v>
      </c>
      <c r="L33" s="4" t="s">
        <v>117</v>
      </c>
      <c r="M33" s="4">
        <v>0.0</v>
      </c>
      <c r="N33" s="4" t="s">
        <v>116</v>
      </c>
      <c r="O33" s="4">
        <v>8.0</v>
      </c>
      <c r="P33" s="4">
        <v>1.0</v>
      </c>
      <c r="Q33" s="4">
        <v>1.0</v>
      </c>
      <c r="R33" s="4" t="s">
        <v>121</v>
      </c>
      <c r="S33" s="196">
        <v>42156.0</v>
      </c>
      <c r="T33" s="104"/>
      <c r="U33" s="104" t="s">
        <v>2652</v>
      </c>
      <c r="V33" s="4" t="s">
        <v>2653</v>
      </c>
      <c r="W33" s="4" t="s">
        <v>118</v>
      </c>
      <c r="X33" s="197" t="s">
        <v>150</v>
      </c>
      <c r="Y33" s="170" t="s">
        <v>2140</v>
      </c>
      <c r="Z33" s="170"/>
      <c r="AA33" s="198">
        <v>42115.0</v>
      </c>
      <c r="AB33" s="198">
        <v>42117.0</v>
      </c>
      <c r="AC33" s="4"/>
      <c r="AD33" s="4"/>
      <c r="AE33" s="4"/>
      <c r="AF33" s="4"/>
      <c r="AG33" s="4"/>
      <c r="AH33" s="199" t="s">
        <v>2071</v>
      </c>
      <c r="AI33" s="199" t="s">
        <v>2612</v>
      </c>
      <c r="AJ33" s="4"/>
      <c r="AK33" s="4" t="s">
        <v>2157</v>
      </c>
      <c r="AL33" s="200">
        <f t="shared" si="2"/>
        <v>28</v>
      </c>
      <c r="AM33" s="201">
        <v>2015.0</v>
      </c>
    </row>
    <row r="34">
      <c r="A34" s="67">
        <f t="shared" si="1"/>
        <v>12812753</v>
      </c>
      <c r="B34" s="67">
        <v>25.0</v>
      </c>
      <c r="C34" s="67"/>
      <c r="D34" s="4">
        <v>65.0</v>
      </c>
      <c r="E34" s="4" t="s">
        <v>1623</v>
      </c>
      <c r="F34" s="195" t="s">
        <v>2540</v>
      </c>
      <c r="G34" s="4" t="s">
        <v>1898</v>
      </c>
      <c r="H34" s="185">
        <v>17.0</v>
      </c>
      <c r="I34" s="185" t="s">
        <v>2541</v>
      </c>
      <c r="J34" s="4" t="s">
        <v>112</v>
      </c>
      <c r="K34" s="4" t="s">
        <v>120</v>
      </c>
      <c r="L34" s="4" t="s">
        <v>117</v>
      </c>
      <c r="M34" s="4">
        <v>0.0</v>
      </c>
      <c r="N34" s="4" t="s">
        <v>116</v>
      </c>
      <c r="O34" s="4">
        <v>11.0</v>
      </c>
      <c r="P34" s="4">
        <v>4.0</v>
      </c>
      <c r="Q34" s="4">
        <v>1.0</v>
      </c>
      <c r="R34" s="4" t="s">
        <v>121</v>
      </c>
      <c r="S34" s="196">
        <v>42156.0</v>
      </c>
      <c r="T34" s="104"/>
      <c r="U34" s="104" t="s">
        <v>2654</v>
      </c>
      <c r="V34" s="4" t="s">
        <v>2655</v>
      </c>
      <c r="W34" s="4" t="s">
        <v>118</v>
      </c>
      <c r="X34" s="212" t="s">
        <v>150</v>
      </c>
      <c r="Y34" s="197" t="s">
        <v>170</v>
      </c>
      <c r="Z34" s="170" t="s">
        <v>2435</v>
      </c>
      <c r="AA34" s="198">
        <v>42093.0</v>
      </c>
      <c r="AB34" s="198">
        <v>42100.0</v>
      </c>
      <c r="AC34" s="4"/>
      <c r="AD34" s="4"/>
      <c r="AE34" s="4"/>
      <c r="AF34" s="4"/>
      <c r="AG34" s="4"/>
      <c r="AH34" s="199" t="s">
        <v>2071</v>
      </c>
      <c r="AI34" s="199" t="s">
        <v>2597</v>
      </c>
      <c r="AJ34" s="4"/>
      <c r="AK34" s="4" t="s">
        <v>1612</v>
      </c>
      <c r="AL34" s="200">
        <f t="shared" si="2"/>
        <v>41</v>
      </c>
      <c r="AM34" s="201">
        <v>2015.0</v>
      </c>
    </row>
    <row r="35">
      <c r="A35" s="67">
        <f t="shared" si="1"/>
        <v>15783465</v>
      </c>
      <c r="B35" s="67">
        <v>26.0</v>
      </c>
      <c r="C35" s="70"/>
      <c r="D35" s="213">
        <v>3.0</v>
      </c>
      <c r="E35" s="4" t="s">
        <v>1928</v>
      </c>
      <c r="F35" s="195" t="s">
        <v>2656</v>
      </c>
      <c r="G35" s="4" t="s">
        <v>2657</v>
      </c>
      <c r="H35" s="185">
        <v>17.0</v>
      </c>
      <c r="I35" s="185" t="s">
        <v>2541</v>
      </c>
      <c r="J35" s="4" t="s">
        <v>112</v>
      </c>
      <c r="K35" s="4" t="s">
        <v>120</v>
      </c>
      <c r="L35" s="4" t="s">
        <v>117</v>
      </c>
      <c r="M35" s="4">
        <v>0.0</v>
      </c>
      <c r="N35" s="4" t="s">
        <v>116</v>
      </c>
      <c r="O35" s="4">
        <v>12.0</v>
      </c>
      <c r="P35" s="4">
        <v>3.0</v>
      </c>
      <c r="Q35" s="4">
        <v>1.0</v>
      </c>
      <c r="R35" s="4" t="s">
        <v>115</v>
      </c>
      <c r="S35" s="196">
        <v>42157.0</v>
      </c>
      <c r="T35" s="104"/>
      <c r="U35" s="104" t="s">
        <v>2658</v>
      </c>
      <c r="V35" s="4" t="s">
        <v>2659</v>
      </c>
      <c r="W35" s="4" t="s">
        <v>122</v>
      </c>
      <c r="X35" s="170"/>
      <c r="Y35" s="170"/>
      <c r="Z35" s="170"/>
      <c r="AA35" s="198">
        <v>42128.0</v>
      </c>
      <c r="AB35" s="198">
        <v>42135.0</v>
      </c>
      <c r="AC35" s="4"/>
      <c r="AD35" s="4"/>
      <c r="AE35" s="4"/>
      <c r="AF35" s="4"/>
      <c r="AG35" s="4"/>
      <c r="AH35" s="199" t="s">
        <v>2071</v>
      </c>
      <c r="AI35" s="199" t="s">
        <v>2328</v>
      </c>
      <c r="AJ35" s="4"/>
      <c r="AK35" s="4" t="s">
        <v>1612</v>
      </c>
      <c r="AL35" s="200">
        <f t="shared" si="2"/>
        <v>17</v>
      </c>
      <c r="AM35" s="201">
        <v>2015.0</v>
      </c>
    </row>
    <row r="36">
      <c r="A36" s="67">
        <f t="shared" si="1"/>
        <v>11047452</v>
      </c>
      <c r="B36" s="67">
        <v>27.0</v>
      </c>
      <c r="C36" s="67"/>
      <c r="D36" s="195">
        <v>11.0</v>
      </c>
      <c r="E36" s="4" t="s">
        <v>2660</v>
      </c>
      <c r="F36" s="195" t="s">
        <v>2650</v>
      </c>
      <c r="G36" s="4" t="s">
        <v>1913</v>
      </c>
      <c r="H36" s="185">
        <v>17.0</v>
      </c>
      <c r="I36" s="185" t="s">
        <v>2541</v>
      </c>
      <c r="J36" s="4" t="s">
        <v>112</v>
      </c>
      <c r="K36" s="4" t="s">
        <v>120</v>
      </c>
      <c r="L36" s="4" t="s">
        <v>117</v>
      </c>
      <c r="M36" s="4">
        <v>0.0</v>
      </c>
      <c r="N36" s="4" t="s">
        <v>116</v>
      </c>
      <c r="O36" s="4">
        <v>11.0</v>
      </c>
      <c r="P36" s="4">
        <v>5.0</v>
      </c>
      <c r="Q36" s="4">
        <v>1.0</v>
      </c>
      <c r="R36" s="4" t="s">
        <v>121</v>
      </c>
      <c r="S36" s="196">
        <v>42135.0</v>
      </c>
      <c r="T36" s="104"/>
      <c r="U36" s="104" t="s">
        <v>2661</v>
      </c>
      <c r="V36" s="4" t="s">
        <v>2662</v>
      </c>
      <c r="W36" s="4" t="s">
        <v>118</v>
      </c>
      <c r="X36" s="212" t="s">
        <v>150</v>
      </c>
      <c r="Y36" s="170"/>
      <c r="Z36" s="170"/>
      <c r="AA36" s="198">
        <v>42104.0</v>
      </c>
      <c r="AB36" s="198">
        <v>42109.0</v>
      </c>
      <c r="AC36" s="4"/>
      <c r="AD36" s="4"/>
      <c r="AE36" s="4"/>
      <c r="AF36" s="4"/>
      <c r="AG36" s="4"/>
      <c r="AH36" s="199" t="s">
        <v>2071</v>
      </c>
      <c r="AI36" s="199" t="s">
        <v>2663</v>
      </c>
      <c r="AJ36" s="4"/>
      <c r="AK36" s="4" t="s">
        <v>2157</v>
      </c>
      <c r="AL36" s="200">
        <f t="shared" si="2"/>
        <v>19</v>
      </c>
      <c r="AM36" s="201">
        <v>2015.0</v>
      </c>
    </row>
    <row r="37">
      <c r="A37" s="67">
        <f t="shared" si="1"/>
        <v>9256451</v>
      </c>
      <c r="B37" s="67">
        <v>28.0</v>
      </c>
      <c r="C37" s="67"/>
      <c r="D37" s="4">
        <v>83.0</v>
      </c>
      <c r="E37" s="4" t="s">
        <v>1740</v>
      </c>
      <c r="F37" s="195" t="s">
        <v>2576</v>
      </c>
      <c r="G37" s="4" t="s">
        <v>1741</v>
      </c>
      <c r="H37" s="185">
        <v>21.0</v>
      </c>
      <c r="I37" s="185" t="s">
        <v>2541</v>
      </c>
      <c r="J37" s="4" t="s">
        <v>112</v>
      </c>
      <c r="K37" s="4" t="s">
        <v>127</v>
      </c>
      <c r="L37" s="4" t="s">
        <v>117</v>
      </c>
      <c r="M37" s="4">
        <v>2.0</v>
      </c>
      <c r="N37" s="4" t="s">
        <v>122</v>
      </c>
      <c r="O37" s="4"/>
      <c r="P37" s="4">
        <v>1.0</v>
      </c>
      <c r="Q37" s="4">
        <v>0.0</v>
      </c>
      <c r="R37" s="4" t="s">
        <v>115</v>
      </c>
      <c r="S37" s="196">
        <v>42156.0</v>
      </c>
      <c r="T37" s="104" t="s">
        <v>2664</v>
      </c>
      <c r="U37" s="214"/>
      <c r="V37" s="4" t="s">
        <v>2665</v>
      </c>
      <c r="W37" s="4" t="s">
        <v>122</v>
      </c>
      <c r="X37" s="170"/>
      <c r="Y37" s="170"/>
      <c r="Z37" s="170"/>
      <c r="AA37" s="198">
        <v>42115.0</v>
      </c>
      <c r="AB37" s="198">
        <v>42118.0</v>
      </c>
      <c r="AC37" s="4">
        <v>23.0</v>
      </c>
      <c r="AD37" s="4" t="s">
        <v>127</v>
      </c>
      <c r="AE37" s="4"/>
      <c r="AF37" s="4" t="s">
        <v>1984</v>
      </c>
      <c r="AG37" s="4"/>
      <c r="AH37" s="199" t="s">
        <v>2071</v>
      </c>
      <c r="AI37" s="199" t="s">
        <v>2321</v>
      </c>
      <c r="AJ37" s="4"/>
      <c r="AK37" s="4" t="s">
        <v>1612</v>
      </c>
      <c r="AL37" s="200">
        <f t="shared" si="2"/>
        <v>27</v>
      </c>
      <c r="AM37" s="201">
        <v>2015.0</v>
      </c>
    </row>
    <row r="38">
      <c r="A38" s="67">
        <f t="shared" si="1"/>
        <v>8718049</v>
      </c>
      <c r="B38" s="67">
        <v>29.0</v>
      </c>
      <c r="C38" s="67"/>
      <c r="D38" s="4">
        <v>40.0</v>
      </c>
      <c r="E38" s="4" t="s">
        <v>2519</v>
      </c>
      <c r="F38" s="195" t="s">
        <v>1970</v>
      </c>
      <c r="G38" s="4" t="s">
        <v>1638</v>
      </c>
      <c r="H38" s="185">
        <v>23.0</v>
      </c>
      <c r="I38" s="185" t="s">
        <v>2541</v>
      </c>
      <c r="J38" s="4" t="s">
        <v>112</v>
      </c>
      <c r="K38" s="4" t="s">
        <v>127</v>
      </c>
      <c r="L38" s="4" t="s">
        <v>117</v>
      </c>
      <c r="M38" s="4">
        <v>0.0</v>
      </c>
      <c r="N38" s="4" t="s">
        <v>116</v>
      </c>
      <c r="O38" s="4">
        <v>10.0</v>
      </c>
      <c r="P38" s="4">
        <v>1.0</v>
      </c>
      <c r="Q38" s="4">
        <v>1.0</v>
      </c>
      <c r="R38" s="4" t="s">
        <v>115</v>
      </c>
      <c r="S38" s="196">
        <v>42156.0</v>
      </c>
      <c r="T38" s="104"/>
      <c r="U38" s="104" t="s">
        <v>2666</v>
      </c>
      <c r="V38" s="4" t="s">
        <v>2667</v>
      </c>
      <c r="W38" s="4" t="s">
        <v>122</v>
      </c>
      <c r="X38" s="170"/>
      <c r="Y38" s="170"/>
      <c r="Z38" s="170"/>
      <c r="AA38" s="198">
        <v>42086.0</v>
      </c>
      <c r="AB38" s="198">
        <v>42093.0</v>
      </c>
      <c r="AC38" s="4"/>
      <c r="AD38" s="4"/>
      <c r="AE38" s="4"/>
      <c r="AF38" s="4"/>
      <c r="AG38" s="4"/>
      <c r="AH38" s="199" t="s">
        <v>2071</v>
      </c>
      <c r="AI38" s="199" t="s">
        <v>2597</v>
      </c>
      <c r="AJ38" s="4"/>
      <c r="AK38" s="4" t="s">
        <v>2157</v>
      </c>
      <c r="AL38" s="200">
        <f t="shared" si="2"/>
        <v>46</v>
      </c>
      <c r="AM38" s="201">
        <v>2015.0</v>
      </c>
    </row>
    <row r="39">
      <c r="A39" s="67">
        <f t="shared" si="1"/>
        <v>14381670</v>
      </c>
      <c r="B39" s="67">
        <v>30.0</v>
      </c>
      <c r="C39" s="67"/>
      <c r="D39" s="4">
        <v>3.0</v>
      </c>
      <c r="E39" s="4" t="s">
        <v>2307</v>
      </c>
      <c r="F39" s="195" t="s">
        <v>2299</v>
      </c>
      <c r="G39" s="4" t="s">
        <v>1657</v>
      </c>
      <c r="H39" s="185">
        <v>13.0</v>
      </c>
      <c r="I39" s="185" t="s">
        <v>2541</v>
      </c>
      <c r="J39" s="4" t="s">
        <v>112</v>
      </c>
      <c r="K39" s="4" t="s">
        <v>114</v>
      </c>
      <c r="L39" s="4" t="s">
        <v>117</v>
      </c>
      <c r="M39" s="4">
        <v>4.0</v>
      </c>
      <c r="N39" s="4" t="s">
        <v>122</v>
      </c>
      <c r="O39" s="4"/>
      <c r="P39" s="4">
        <v>4.0</v>
      </c>
      <c r="Q39" s="4"/>
      <c r="R39" s="4" t="s">
        <v>121</v>
      </c>
      <c r="S39" s="196">
        <v>42167.0</v>
      </c>
      <c r="T39" s="104" t="s">
        <v>2668</v>
      </c>
      <c r="U39" s="104"/>
      <c r="V39" s="4" t="s">
        <v>2669</v>
      </c>
      <c r="W39" s="4" t="s">
        <v>122</v>
      </c>
      <c r="X39" s="170"/>
      <c r="Y39" s="170"/>
      <c r="Z39" s="170"/>
      <c r="AA39" s="198">
        <v>42115.0</v>
      </c>
      <c r="AB39" s="198">
        <v>42118.0</v>
      </c>
      <c r="AC39" s="4">
        <v>15.0</v>
      </c>
      <c r="AD39" s="4" t="s">
        <v>120</v>
      </c>
      <c r="AE39" s="4"/>
      <c r="AF39" s="4" t="s">
        <v>9</v>
      </c>
      <c r="AG39" s="4"/>
      <c r="AH39" s="199" t="s">
        <v>2071</v>
      </c>
      <c r="AI39" s="199" t="s">
        <v>2670</v>
      </c>
      <c r="AJ39" s="4"/>
      <c r="AK39" s="4" t="s">
        <v>2157</v>
      </c>
      <c r="AL39" s="200">
        <f t="shared" si="2"/>
        <v>36</v>
      </c>
      <c r="AM39" s="201">
        <v>2015.0</v>
      </c>
    </row>
    <row r="40">
      <c r="A40" s="67">
        <f t="shared" si="1"/>
        <v>12240422</v>
      </c>
      <c r="B40" s="67">
        <v>31.0</v>
      </c>
      <c r="C40" s="67"/>
      <c r="D40" s="195">
        <v>60.0</v>
      </c>
      <c r="E40" s="4" t="s">
        <v>1594</v>
      </c>
      <c r="F40" s="195" t="s">
        <v>2650</v>
      </c>
      <c r="G40" s="4" t="s">
        <v>2190</v>
      </c>
      <c r="H40" s="185">
        <v>17.0</v>
      </c>
      <c r="I40" s="185" t="s">
        <v>2541</v>
      </c>
      <c r="J40" s="4" t="s">
        <v>112</v>
      </c>
      <c r="K40" s="4" t="s">
        <v>120</v>
      </c>
      <c r="L40" s="4" t="s">
        <v>117</v>
      </c>
      <c r="M40" s="4">
        <v>0.0</v>
      </c>
      <c r="N40" s="4" t="s">
        <v>116</v>
      </c>
      <c r="O40" s="4">
        <v>26.0</v>
      </c>
      <c r="P40" s="4">
        <v>4.0</v>
      </c>
      <c r="Q40" s="4">
        <v>2.0</v>
      </c>
      <c r="R40" s="4" t="s">
        <v>121</v>
      </c>
      <c r="S40" s="196">
        <v>42170.0</v>
      </c>
      <c r="T40" s="104"/>
      <c r="U40" s="104" t="s">
        <v>2671</v>
      </c>
      <c r="V40" s="4" t="s">
        <v>2672</v>
      </c>
      <c r="W40" s="4" t="s">
        <v>118</v>
      </c>
      <c r="X40" s="212" t="s">
        <v>150</v>
      </c>
      <c r="Y40" s="170"/>
      <c r="Z40" s="170"/>
      <c r="AA40" s="198">
        <v>42132.0</v>
      </c>
      <c r="AB40" s="198">
        <v>42139.0</v>
      </c>
      <c r="AC40" s="4"/>
      <c r="AD40" s="4"/>
      <c r="AE40" s="4"/>
      <c r="AF40" s="4"/>
      <c r="AG40" s="4"/>
      <c r="AH40" s="199" t="s">
        <v>2071</v>
      </c>
      <c r="AI40" s="199" t="s">
        <v>2673</v>
      </c>
      <c r="AJ40" s="4"/>
      <c r="AK40" s="4" t="s">
        <v>2157</v>
      </c>
      <c r="AL40" s="200">
        <f t="shared" si="2"/>
        <v>22</v>
      </c>
      <c r="AM40" s="201">
        <v>2015.0</v>
      </c>
    </row>
    <row r="41">
      <c r="A41" s="67">
        <f t="shared" si="1"/>
        <v>14044448</v>
      </c>
      <c r="B41" s="67">
        <v>32.0</v>
      </c>
      <c r="C41" s="67"/>
      <c r="D41" s="4">
        <v>3.0</v>
      </c>
      <c r="E41" s="4" t="s">
        <v>2229</v>
      </c>
      <c r="F41" s="195" t="s">
        <v>2674</v>
      </c>
      <c r="G41" s="4" t="s">
        <v>2231</v>
      </c>
      <c r="H41" s="185">
        <v>10.0</v>
      </c>
      <c r="I41" s="185" t="s">
        <v>2541</v>
      </c>
      <c r="J41" s="4" t="s">
        <v>112</v>
      </c>
      <c r="K41" s="4" t="s">
        <v>114</v>
      </c>
      <c r="L41" s="4" t="s">
        <v>117</v>
      </c>
      <c r="M41" s="4">
        <v>5.0</v>
      </c>
      <c r="N41" s="4" t="s">
        <v>116</v>
      </c>
      <c r="O41" s="4">
        <v>14.0</v>
      </c>
      <c r="P41" s="4">
        <v>2.0</v>
      </c>
      <c r="Q41" s="4">
        <v>1.0</v>
      </c>
      <c r="R41" s="4" t="s">
        <v>121</v>
      </c>
      <c r="S41" s="196">
        <v>42170.0</v>
      </c>
      <c r="T41" s="104"/>
      <c r="U41" s="104" t="s">
        <v>2675</v>
      </c>
      <c r="V41" s="4" t="s">
        <v>2676</v>
      </c>
      <c r="W41" s="4" t="s">
        <v>122</v>
      </c>
      <c r="X41" s="170"/>
      <c r="Y41" s="170"/>
      <c r="Z41" s="170"/>
      <c r="AA41" s="198">
        <v>42101.0</v>
      </c>
      <c r="AB41" s="198">
        <v>42108.0</v>
      </c>
      <c r="AC41" s="4"/>
      <c r="AD41" s="4"/>
      <c r="AE41" s="4"/>
      <c r="AF41" s="4"/>
      <c r="AG41" s="4"/>
      <c r="AH41" s="199" t="s">
        <v>2071</v>
      </c>
      <c r="AI41" s="199" t="s">
        <v>2597</v>
      </c>
      <c r="AJ41" s="4"/>
      <c r="AK41" s="4" t="s">
        <v>2157</v>
      </c>
      <c r="AL41" s="200">
        <f t="shared" si="2"/>
        <v>45</v>
      </c>
      <c r="AM41" s="201">
        <v>2015.0</v>
      </c>
    </row>
    <row r="42">
      <c r="A42" s="67">
        <f t="shared" si="1"/>
        <v>17050435</v>
      </c>
      <c r="B42" s="67">
        <v>33.0</v>
      </c>
      <c r="C42" s="67"/>
      <c r="D42" s="4">
        <v>83.0</v>
      </c>
      <c r="E42" s="4" t="s">
        <v>1740</v>
      </c>
      <c r="F42" s="195" t="s">
        <v>2609</v>
      </c>
      <c r="G42" s="4" t="s">
        <v>1591</v>
      </c>
      <c r="H42" s="185">
        <v>20.0</v>
      </c>
      <c r="I42" s="185" t="s">
        <v>2541</v>
      </c>
      <c r="J42" s="4" t="s">
        <v>112</v>
      </c>
      <c r="K42" s="4" t="s">
        <v>120</v>
      </c>
      <c r="L42" s="4" t="s">
        <v>117</v>
      </c>
      <c r="M42" s="4">
        <v>0.0</v>
      </c>
      <c r="N42" s="4" t="s">
        <v>116</v>
      </c>
      <c r="O42" s="4">
        <v>4.0</v>
      </c>
      <c r="P42" s="4">
        <v>1.0</v>
      </c>
      <c r="Q42" s="4">
        <v>2.0</v>
      </c>
      <c r="R42" s="4" t="s">
        <v>121</v>
      </c>
      <c r="S42" s="196">
        <v>42163.0</v>
      </c>
      <c r="T42" s="104"/>
      <c r="U42" s="104" t="s">
        <v>2677</v>
      </c>
      <c r="V42" s="4" t="s">
        <v>2678</v>
      </c>
      <c r="W42" s="4" t="s">
        <v>122</v>
      </c>
      <c r="X42" s="170"/>
      <c r="Y42" s="170"/>
      <c r="Z42" s="170"/>
      <c r="AA42" s="198">
        <v>42137.0</v>
      </c>
      <c r="AB42" s="198">
        <v>42142.0</v>
      </c>
      <c r="AC42" s="4"/>
      <c r="AD42" s="4"/>
      <c r="AE42" s="4"/>
      <c r="AF42" s="4"/>
      <c r="AG42" s="4"/>
      <c r="AH42" s="199" t="s">
        <v>2071</v>
      </c>
      <c r="AI42" s="199" t="s">
        <v>2597</v>
      </c>
      <c r="AJ42" s="4"/>
      <c r="AK42" s="4" t="s">
        <v>2157</v>
      </c>
      <c r="AL42" s="200">
        <f t="shared" si="2"/>
        <v>16</v>
      </c>
      <c r="AM42" s="201">
        <v>2015.0</v>
      </c>
    </row>
    <row r="43">
      <c r="A43" s="67">
        <f t="shared" si="1"/>
        <v>8039104</v>
      </c>
      <c r="B43" s="67">
        <v>34.0</v>
      </c>
      <c r="C43" s="67"/>
      <c r="D43" s="195">
        <v>15.0</v>
      </c>
      <c r="E43" s="4" t="s">
        <v>2091</v>
      </c>
      <c r="F43" s="195" t="s">
        <v>2679</v>
      </c>
      <c r="G43" s="4" t="s">
        <v>1816</v>
      </c>
      <c r="H43" s="185">
        <v>20.0</v>
      </c>
      <c r="I43" s="185" t="s">
        <v>2541</v>
      </c>
      <c r="J43" s="4" t="s">
        <v>112</v>
      </c>
      <c r="K43" s="4" t="s">
        <v>120</v>
      </c>
      <c r="L43" s="4" t="s">
        <v>117</v>
      </c>
      <c r="M43" s="4">
        <v>0.0</v>
      </c>
      <c r="N43" s="4" t="s">
        <v>116</v>
      </c>
      <c r="O43" s="4">
        <v>10.0</v>
      </c>
      <c r="P43" s="4">
        <v>2.0</v>
      </c>
      <c r="Q43" s="4">
        <v>1.0</v>
      </c>
      <c r="R43" s="4" t="s">
        <v>121</v>
      </c>
      <c r="S43" s="196">
        <v>42180.0</v>
      </c>
      <c r="T43" s="104"/>
      <c r="U43" s="104" t="s">
        <v>2680</v>
      </c>
      <c r="V43" s="4" t="s">
        <v>2681</v>
      </c>
      <c r="W43" s="4" t="s">
        <v>122</v>
      </c>
      <c r="X43" s="170"/>
      <c r="Y43" s="170"/>
      <c r="Z43" s="170"/>
      <c r="AA43" s="198">
        <v>42142.0</v>
      </c>
      <c r="AB43" s="198">
        <v>42149.0</v>
      </c>
      <c r="AC43" s="4"/>
      <c r="AD43" s="4"/>
      <c r="AE43" s="4"/>
      <c r="AF43" s="4"/>
      <c r="AG43" s="4"/>
      <c r="AH43" s="199" t="s">
        <v>2071</v>
      </c>
      <c r="AI43" s="199" t="s">
        <v>2682</v>
      </c>
      <c r="AJ43" s="4"/>
      <c r="AK43" s="4" t="s">
        <v>2157</v>
      </c>
      <c r="AL43" s="200">
        <f t="shared" si="2"/>
        <v>24</v>
      </c>
      <c r="AM43" s="201">
        <v>2015.0</v>
      </c>
    </row>
    <row r="44">
      <c r="A44" s="67">
        <f t="shared" si="1"/>
        <v>12889130</v>
      </c>
      <c r="B44" s="67">
        <v>35.0</v>
      </c>
      <c r="C44" s="67"/>
      <c r="D44" s="195">
        <v>15.0</v>
      </c>
      <c r="E44" s="4" t="s">
        <v>1975</v>
      </c>
      <c r="F44" s="195" t="s">
        <v>2613</v>
      </c>
      <c r="G44" s="4" t="s">
        <v>1821</v>
      </c>
      <c r="H44" s="185">
        <v>18.0</v>
      </c>
      <c r="I44" s="185" t="s">
        <v>2541</v>
      </c>
      <c r="J44" s="4" t="s">
        <v>112</v>
      </c>
      <c r="K44" s="4" t="s">
        <v>125</v>
      </c>
      <c r="L44" s="4" t="s">
        <v>117</v>
      </c>
      <c r="M44" s="4">
        <v>0.0</v>
      </c>
      <c r="N44" s="4" t="s">
        <v>116</v>
      </c>
      <c r="O44" s="4">
        <v>1.0</v>
      </c>
      <c r="P44" s="4">
        <v>1.0</v>
      </c>
      <c r="Q44" s="4">
        <v>1.0</v>
      </c>
      <c r="R44" s="4" t="s">
        <v>115</v>
      </c>
      <c r="S44" s="196">
        <v>42186.0</v>
      </c>
      <c r="T44" s="104"/>
      <c r="U44" s="104" t="s">
        <v>2683</v>
      </c>
      <c r="V44" s="4" t="s">
        <v>2684</v>
      </c>
      <c r="W44" s="4" t="s">
        <v>122</v>
      </c>
      <c r="X44" s="170"/>
      <c r="Y44" s="170"/>
      <c r="Z44" s="170"/>
      <c r="AA44" s="198">
        <v>42166.0</v>
      </c>
      <c r="AB44" s="198">
        <v>42172.0</v>
      </c>
      <c r="AC44" s="4"/>
      <c r="AD44" s="4"/>
      <c r="AE44" s="4"/>
      <c r="AF44" s="4"/>
      <c r="AG44" s="4"/>
      <c r="AH44" s="199" t="s">
        <v>2071</v>
      </c>
      <c r="AI44" s="199" t="s">
        <v>2254</v>
      </c>
      <c r="AJ44" s="4"/>
      <c r="AK44" s="4" t="s">
        <v>1612</v>
      </c>
      <c r="AL44" s="200">
        <f t="shared" si="2"/>
        <v>11</v>
      </c>
      <c r="AM44" s="201">
        <v>2015.0</v>
      </c>
    </row>
    <row r="45">
      <c r="A45" s="67">
        <f t="shared" si="1"/>
        <v>16628961</v>
      </c>
      <c r="B45" s="67">
        <v>36.0</v>
      </c>
      <c r="C45" s="67"/>
      <c r="D45" s="4">
        <v>3.0</v>
      </c>
      <c r="E45" s="4" t="s">
        <v>2495</v>
      </c>
      <c r="F45" s="195" t="s">
        <v>2094</v>
      </c>
      <c r="G45" s="4" t="s">
        <v>2095</v>
      </c>
      <c r="H45" s="185">
        <v>10.0</v>
      </c>
      <c r="I45" s="185" t="s">
        <v>2541</v>
      </c>
      <c r="J45" s="4" t="s">
        <v>112</v>
      </c>
      <c r="K45" s="4" t="s">
        <v>114</v>
      </c>
      <c r="L45" s="4" t="s">
        <v>117</v>
      </c>
      <c r="M45" s="4">
        <v>3.0</v>
      </c>
      <c r="N45" s="4" t="s">
        <v>116</v>
      </c>
      <c r="O45" s="4">
        <v>19.0</v>
      </c>
      <c r="P45" s="4">
        <v>4.0</v>
      </c>
      <c r="Q45" s="4">
        <v>2.0</v>
      </c>
      <c r="R45" s="4" t="s">
        <v>115</v>
      </c>
      <c r="S45" s="196">
        <v>42177.0</v>
      </c>
      <c r="T45" s="104"/>
      <c r="U45" s="104" t="s">
        <v>2685</v>
      </c>
      <c r="V45" s="4" t="s">
        <v>2686</v>
      </c>
      <c r="W45" s="4" t="s">
        <v>118</v>
      </c>
      <c r="X45" s="170"/>
      <c r="Y45" s="170" t="s">
        <v>2102</v>
      </c>
      <c r="Z45" s="170"/>
      <c r="AA45" s="198">
        <v>42150.0</v>
      </c>
      <c r="AB45" s="198">
        <v>42152.0</v>
      </c>
      <c r="AC45" s="4"/>
      <c r="AD45" s="4"/>
      <c r="AE45" s="4"/>
      <c r="AF45" s="4"/>
      <c r="AG45" s="4"/>
      <c r="AH45" s="199" t="s">
        <v>2071</v>
      </c>
      <c r="AI45" s="199" t="s">
        <v>2597</v>
      </c>
      <c r="AJ45" s="4"/>
      <c r="AK45" s="4" t="s">
        <v>1612</v>
      </c>
      <c r="AL45" s="200">
        <f t="shared" si="2"/>
        <v>18</v>
      </c>
      <c r="AM45" s="201">
        <v>2015.0</v>
      </c>
    </row>
    <row r="46">
      <c r="A46" s="67">
        <f t="shared" si="1"/>
        <v>11852318</v>
      </c>
      <c r="B46" s="67">
        <v>37.0</v>
      </c>
      <c r="C46" s="67"/>
      <c r="D46" s="4">
        <v>40.0</v>
      </c>
      <c r="E46" s="4" t="s">
        <v>1615</v>
      </c>
      <c r="F46" s="195" t="s">
        <v>2679</v>
      </c>
      <c r="G46" s="4" t="s">
        <v>1816</v>
      </c>
      <c r="H46" s="185">
        <v>20.0</v>
      </c>
      <c r="I46" s="185" t="s">
        <v>2541</v>
      </c>
      <c r="J46" s="4" t="s">
        <v>112</v>
      </c>
      <c r="K46" s="4" t="s">
        <v>120</v>
      </c>
      <c r="L46" s="4" t="s">
        <v>117</v>
      </c>
      <c r="M46" s="4">
        <v>2.0</v>
      </c>
      <c r="N46" s="4" t="s">
        <v>116</v>
      </c>
      <c r="O46" s="4">
        <v>13.0</v>
      </c>
      <c r="P46" s="4">
        <v>1.0</v>
      </c>
      <c r="Q46" s="4">
        <v>1.0</v>
      </c>
      <c r="R46" s="4" t="s">
        <v>121</v>
      </c>
      <c r="S46" s="196">
        <v>42186.0</v>
      </c>
      <c r="T46" s="104"/>
      <c r="U46" s="104" t="s">
        <v>2687</v>
      </c>
      <c r="V46" s="4" t="s">
        <v>2688</v>
      </c>
      <c r="W46" s="4" t="s">
        <v>118</v>
      </c>
      <c r="X46" s="170" t="s">
        <v>2405</v>
      </c>
      <c r="Y46" s="170"/>
      <c r="Z46" s="170"/>
      <c r="AA46" s="198">
        <v>42142.0</v>
      </c>
      <c r="AB46" s="198">
        <v>42149.0</v>
      </c>
      <c r="AC46" s="4"/>
      <c r="AD46" s="4"/>
      <c r="AE46" s="4"/>
      <c r="AF46" s="4"/>
      <c r="AG46" s="4"/>
      <c r="AH46" s="199" t="s">
        <v>2071</v>
      </c>
      <c r="AI46" s="199" t="s">
        <v>2689</v>
      </c>
      <c r="AJ46" s="4"/>
      <c r="AK46" s="4" t="s">
        <v>1612</v>
      </c>
      <c r="AL46" s="200">
        <f t="shared" si="2"/>
        <v>28</v>
      </c>
      <c r="AM46" s="201">
        <v>2015.0</v>
      </c>
    </row>
    <row r="47">
      <c r="A47" s="67">
        <f t="shared" si="1"/>
        <v>17349924</v>
      </c>
      <c r="B47" s="67">
        <v>38.0</v>
      </c>
      <c r="C47" s="67"/>
      <c r="D47" s="195">
        <v>22.0</v>
      </c>
      <c r="E47" s="4" t="s">
        <v>2015</v>
      </c>
      <c r="F47" s="195" t="s">
        <v>2690</v>
      </c>
      <c r="G47" s="4" t="s">
        <v>1815</v>
      </c>
      <c r="H47" s="185"/>
      <c r="I47" s="185" t="s">
        <v>2691</v>
      </c>
      <c r="J47" s="4" t="s">
        <v>2692</v>
      </c>
      <c r="K47" s="4" t="s">
        <v>114</v>
      </c>
      <c r="L47" s="4" t="s">
        <v>122</v>
      </c>
      <c r="M47" s="4"/>
      <c r="N47" s="4" t="s">
        <v>116</v>
      </c>
      <c r="O47" s="4">
        <v>1.0</v>
      </c>
      <c r="P47" s="4">
        <v>1.0</v>
      </c>
      <c r="Q47" s="4">
        <v>2.0</v>
      </c>
      <c r="R47" s="4" t="s">
        <v>121</v>
      </c>
      <c r="S47" s="196">
        <v>42174.0</v>
      </c>
      <c r="T47" s="104"/>
      <c r="U47" s="104" t="s">
        <v>2693</v>
      </c>
      <c r="V47" s="4" t="s">
        <v>2694</v>
      </c>
      <c r="W47" s="4" t="s">
        <v>118</v>
      </c>
      <c r="X47" s="170"/>
      <c r="Y47" s="170"/>
      <c r="Z47" s="170"/>
      <c r="AA47" s="198">
        <v>42151.0</v>
      </c>
      <c r="AB47" s="198">
        <v>42179.0</v>
      </c>
      <c r="AC47" s="4"/>
      <c r="AD47" s="4"/>
      <c r="AE47" s="4"/>
      <c r="AF47" s="4"/>
      <c r="AG47" s="4"/>
      <c r="AH47" s="199" t="s">
        <v>2071</v>
      </c>
      <c r="AI47" s="199" t="s">
        <v>2695</v>
      </c>
      <c r="AJ47" s="4"/>
      <c r="AK47" s="4" t="s">
        <v>2157</v>
      </c>
      <c r="AL47" s="200">
        <f t="shared" si="2"/>
        <v>-4</v>
      </c>
      <c r="AM47" s="201">
        <v>2015.0</v>
      </c>
    </row>
    <row r="48">
      <c r="A48" s="67">
        <f t="shared" si="1"/>
        <v>10071458</v>
      </c>
      <c r="B48" s="67">
        <v>42.0</v>
      </c>
      <c r="C48" s="67"/>
      <c r="D48" s="4">
        <v>3.0</v>
      </c>
      <c r="E48" s="4" t="s">
        <v>2495</v>
      </c>
      <c r="F48" s="195" t="s">
        <v>2572</v>
      </c>
      <c r="G48" s="4" t="s">
        <v>2573</v>
      </c>
      <c r="H48" s="185">
        <v>17.0</v>
      </c>
      <c r="I48" s="185" t="s">
        <v>2541</v>
      </c>
      <c r="J48" s="4" t="s">
        <v>112</v>
      </c>
      <c r="K48" s="4" t="s">
        <v>125</v>
      </c>
      <c r="L48" s="4" t="s">
        <v>117</v>
      </c>
      <c r="M48" s="4">
        <v>0.0</v>
      </c>
      <c r="N48" s="4" t="s">
        <v>116</v>
      </c>
      <c r="O48" s="4">
        <v>2.0</v>
      </c>
      <c r="P48" s="4">
        <v>1.0</v>
      </c>
      <c r="Q48" s="4">
        <v>2.0</v>
      </c>
      <c r="R48" s="4" t="s">
        <v>115</v>
      </c>
      <c r="S48" s="196">
        <v>42170.0</v>
      </c>
      <c r="T48" s="104"/>
      <c r="U48" s="104" t="s">
        <v>2696</v>
      </c>
      <c r="V48" s="4" t="s">
        <v>2697</v>
      </c>
      <c r="W48" s="4" t="s">
        <v>118</v>
      </c>
      <c r="X48" s="170" t="s">
        <v>2405</v>
      </c>
      <c r="Y48" s="170"/>
      <c r="Z48" s="170"/>
      <c r="AA48" s="198">
        <v>42150.0</v>
      </c>
      <c r="AB48" s="198">
        <v>42153.0</v>
      </c>
      <c r="AC48" s="4"/>
      <c r="AD48" s="4"/>
      <c r="AE48" s="4"/>
      <c r="AF48" s="4"/>
      <c r="AG48" s="4"/>
      <c r="AH48" s="199" t="s">
        <v>2071</v>
      </c>
      <c r="AI48" s="199" t="s">
        <v>2597</v>
      </c>
      <c r="AJ48" s="4"/>
      <c r="AK48" s="4" t="s">
        <v>2157</v>
      </c>
      <c r="AL48" s="200">
        <f t="shared" si="2"/>
        <v>12</v>
      </c>
      <c r="AM48" s="201">
        <v>2015.0</v>
      </c>
    </row>
    <row r="49">
      <c r="A49" s="67">
        <f t="shared" si="1"/>
        <v>11902612</v>
      </c>
      <c r="B49" s="67">
        <v>48.0</v>
      </c>
      <c r="C49" s="67"/>
      <c r="D49" s="4">
        <v>55.0</v>
      </c>
      <c r="E49" s="4" t="s">
        <v>2698</v>
      </c>
      <c r="F49" s="195" t="s">
        <v>1970</v>
      </c>
      <c r="G49" s="4" t="s">
        <v>1638</v>
      </c>
      <c r="H49" s="185">
        <v>23.0</v>
      </c>
      <c r="I49" s="185" t="s">
        <v>2541</v>
      </c>
      <c r="J49" s="4" t="s">
        <v>112</v>
      </c>
      <c r="K49" s="4" t="s">
        <v>127</v>
      </c>
      <c r="L49" s="4" t="s">
        <v>117</v>
      </c>
      <c r="M49" s="4">
        <v>0.0</v>
      </c>
      <c r="N49" s="4" t="s">
        <v>116</v>
      </c>
      <c r="O49" s="4">
        <v>9.0</v>
      </c>
      <c r="P49" s="4">
        <v>2.0</v>
      </c>
      <c r="Q49" s="4">
        <v>1.0</v>
      </c>
      <c r="R49" s="4" t="s">
        <v>121</v>
      </c>
      <c r="S49" s="196">
        <v>42156.0</v>
      </c>
      <c r="T49" s="104"/>
      <c r="U49" s="104" t="s">
        <v>2699</v>
      </c>
      <c r="V49" s="4" t="s">
        <v>2700</v>
      </c>
      <c r="W49" s="4" t="s">
        <v>122</v>
      </c>
      <c r="X49" s="170"/>
      <c r="Y49" s="170"/>
      <c r="Z49" s="170"/>
      <c r="AA49" s="198">
        <v>42142.0</v>
      </c>
      <c r="AB49" s="198">
        <v>42149.0</v>
      </c>
      <c r="AC49" s="4"/>
      <c r="AD49" s="4"/>
      <c r="AE49" s="4"/>
      <c r="AF49" s="4"/>
      <c r="AG49" s="4"/>
      <c r="AH49" s="199" t="s">
        <v>2071</v>
      </c>
      <c r="AI49" s="199" t="s">
        <v>2701</v>
      </c>
      <c r="AJ49" s="4"/>
      <c r="AK49" s="4" t="s">
        <v>2157</v>
      </c>
      <c r="AL49" s="200">
        <f t="shared" si="2"/>
        <v>6</v>
      </c>
      <c r="AM49" s="201">
        <v>2015.0</v>
      </c>
    </row>
    <row r="50">
      <c r="A50" s="67">
        <f t="shared" si="1"/>
        <v>9993392</v>
      </c>
      <c r="B50" s="67">
        <v>49.0</v>
      </c>
      <c r="C50" s="67"/>
      <c r="D50" s="4">
        <v>55.0</v>
      </c>
      <c r="E50" s="4" t="s">
        <v>1602</v>
      </c>
      <c r="F50" s="195" t="s">
        <v>2596</v>
      </c>
      <c r="G50" s="4" t="s">
        <v>1869</v>
      </c>
      <c r="H50" s="185">
        <v>17.0</v>
      </c>
      <c r="I50" s="185" t="s">
        <v>2541</v>
      </c>
      <c r="J50" s="4" t="s">
        <v>112</v>
      </c>
      <c r="K50" s="4" t="s">
        <v>120</v>
      </c>
      <c r="L50" s="4" t="s">
        <v>117</v>
      </c>
      <c r="M50" s="4">
        <v>1.0</v>
      </c>
      <c r="N50" s="4" t="s">
        <v>116</v>
      </c>
      <c r="O50" s="4">
        <v>6.0</v>
      </c>
      <c r="P50" s="4">
        <v>1.0</v>
      </c>
      <c r="Q50" s="4">
        <v>1.0</v>
      </c>
      <c r="R50" s="4" t="s">
        <v>121</v>
      </c>
      <c r="S50" s="196">
        <v>42186.0</v>
      </c>
      <c r="T50" s="104"/>
      <c r="U50" s="104" t="s">
        <v>2702</v>
      </c>
      <c r="V50" s="4" t="s">
        <v>2703</v>
      </c>
      <c r="W50" s="4" t="s">
        <v>118</v>
      </c>
      <c r="X50" s="170"/>
      <c r="Y50" s="170" t="s">
        <v>2102</v>
      </c>
      <c r="Z50" s="170"/>
      <c r="AA50" s="198">
        <v>42090.0</v>
      </c>
      <c r="AB50" s="198">
        <v>42095.0</v>
      </c>
      <c r="AC50" s="4"/>
      <c r="AD50" s="4"/>
      <c r="AE50" s="4"/>
      <c r="AF50" s="4"/>
      <c r="AG50" s="4"/>
      <c r="AH50" s="199" t="s">
        <v>2071</v>
      </c>
      <c r="AI50" s="199" t="s">
        <v>2452</v>
      </c>
      <c r="AJ50" s="4"/>
      <c r="AK50" s="4" t="s">
        <v>2157</v>
      </c>
      <c r="AL50" s="200">
        <f t="shared" si="2"/>
        <v>66</v>
      </c>
      <c r="AM50" s="201">
        <v>2015.0</v>
      </c>
    </row>
    <row r="51">
      <c r="A51" s="67">
        <f t="shared" si="1"/>
        <v>13042684</v>
      </c>
      <c r="B51" s="67">
        <v>50.0</v>
      </c>
      <c r="C51" s="67"/>
      <c r="D51" s="195">
        <v>15.0</v>
      </c>
      <c r="E51" s="4" t="s">
        <v>2195</v>
      </c>
      <c r="F51" s="195" t="s">
        <v>2606</v>
      </c>
      <c r="G51" s="4" t="s">
        <v>2704</v>
      </c>
      <c r="H51" s="185">
        <v>17.0</v>
      </c>
      <c r="I51" s="185" t="s">
        <v>2541</v>
      </c>
      <c r="J51" s="4" t="s">
        <v>112</v>
      </c>
      <c r="K51" s="4" t="s">
        <v>120</v>
      </c>
      <c r="L51" s="4" t="s">
        <v>117</v>
      </c>
      <c r="M51" s="4">
        <v>3.0</v>
      </c>
      <c r="N51" s="4" t="s">
        <v>122</v>
      </c>
      <c r="O51" s="4">
        <v>3.0</v>
      </c>
      <c r="P51" s="4">
        <v>1.0</v>
      </c>
      <c r="Q51" s="4">
        <v>0.0</v>
      </c>
      <c r="R51" s="4" t="s">
        <v>121</v>
      </c>
      <c r="S51" s="196">
        <v>42206.0</v>
      </c>
      <c r="T51" s="104" t="s">
        <v>2705</v>
      </c>
      <c r="U51" s="104"/>
      <c r="V51" s="4" t="s">
        <v>2706</v>
      </c>
      <c r="W51" s="4" t="s">
        <v>118</v>
      </c>
      <c r="X51" s="170" t="s">
        <v>2102</v>
      </c>
      <c r="Y51" s="170"/>
      <c r="Z51" s="170"/>
      <c r="AA51" s="198">
        <v>42143.0</v>
      </c>
      <c r="AB51" s="198">
        <v>42149.0</v>
      </c>
      <c r="AC51" s="4">
        <v>17.0</v>
      </c>
      <c r="AD51" s="4" t="s">
        <v>120</v>
      </c>
      <c r="AE51" s="4"/>
      <c r="AF51" s="4" t="s">
        <v>2003</v>
      </c>
      <c r="AG51" s="4"/>
      <c r="AH51" s="199" t="s">
        <v>2071</v>
      </c>
      <c r="AI51" s="199" t="s">
        <v>2487</v>
      </c>
      <c r="AJ51" s="4"/>
      <c r="AK51" s="4" t="s">
        <v>2157</v>
      </c>
      <c r="AL51" s="200">
        <f t="shared" si="2"/>
        <v>42</v>
      </c>
      <c r="AM51" s="201">
        <v>2015.0</v>
      </c>
    </row>
    <row r="52">
      <c r="A52" s="67">
        <f t="shared" si="1"/>
        <v>17767682</v>
      </c>
      <c r="B52" s="67">
        <v>51.0</v>
      </c>
      <c r="C52" s="67"/>
      <c r="D52" s="4">
        <v>40.0</v>
      </c>
      <c r="E52" s="4" t="s">
        <v>2519</v>
      </c>
      <c r="F52" s="195" t="s">
        <v>2707</v>
      </c>
      <c r="G52" s="4" t="s">
        <v>2400</v>
      </c>
      <c r="H52" s="185">
        <v>17.0</v>
      </c>
      <c r="I52" s="185" t="s">
        <v>2541</v>
      </c>
      <c r="J52" s="4" t="s">
        <v>112</v>
      </c>
      <c r="K52" s="4" t="s">
        <v>125</v>
      </c>
      <c r="L52" s="4" t="s">
        <v>117</v>
      </c>
      <c r="M52" s="4">
        <v>2.0</v>
      </c>
      <c r="N52" s="4" t="s">
        <v>116</v>
      </c>
      <c r="O52" s="4">
        <v>10.0</v>
      </c>
      <c r="P52" s="4">
        <v>1.0</v>
      </c>
      <c r="Q52" s="4">
        <v>2.0</v>
      </c>
      <c r="R52" s="4" t="s">
        <v>115</v>
      </c>
      <c r="S52" s="196">
        <v>42198.0</v>
      </c>
      <c r="T52" s="104"/>
      <c r="U52" s="104" t="s">
        <v>2708</v>
      </c>
      <c r="V52" s="4" t="s">
        <v>2709</v>
      </c>
      <c r="W52" s="4" t="s">
        <v>122</v>
      </c>
      <c r="X52" s="170"/>
      <c r="Y52" s="170"/>
      <c r="Z52" s="170"/>
      <c r="AA52" s="198">
        <v>42129.0</v>
      </c>
      <c r="AB52" s="198">
        <v>42136.0</v>
      </c>
      <c r="AC52" s="4"/>
      <c r="AD52" s="4"/>
      <c r="AE52" s="4"/>
      <c r="AF52" s="4"/>
      <c r="AG52" s="4"/>
      <c r="AH52" s="199" t="s">
        <v>2071</v>
      </c>
      <c r="AI52" s="199" t="s">
        <v>2597</v>
      </c>
      <c r="AJ52" s="4"/>
      <c r="AK52" s="4" t="s">
        <v>2157</v>
      </c>
      <c r="AL52" s="200">
        <f t="shared" si="2"/>
        <v>45</v>
      </c>
      <c r="AM52" s="201">
        <v>2015.0</v>
      </c>
    </row>
    <row r="53">
      <c r="A53" s="67">
        <f t="shared" si="1"/>
        <v>15428031</v>
      </c>
      <c r="B53" s="67">
        <v>52.0</v>
      </c>
      <c r="C53" s="67"/>
      <c r="D53" s="195">
        <v>60.0</v>
      </c>
      <c r="E53" s="4" t="s">
        <v>1594</v>
      </c>
      <c r="F53" s="195" t="s">
        <v>2710</v>
      </c>
      <c r="G53" s="4" t="s">
        <v>2711</v>
      </c>
      <c r="H53" s="185">
        <v>10.0</v>
      </c>
      <c r="I53" s="185" t="s">
        <v>2541</v>
      </c>
      <c r="J53" s="4" t="s">
        <v>112</v>
      </c>
      <c r="K53" s="4" t="s">
        <v>114</v>
      </c>
      <c r="L53" s="4" t="s">
        <v>117</v>
      </c>
      <c r="M53" s="4">
        <v>0.0</v>
      </c>
      <c r="N53" s="4" t="s">
        <v>116</v>
      </c>
      <c r="O53" s="4">
        <v>10.0</v>
      </c>
      <c r="P53" s="4">
        <v>1.0</v>
      </c>
      <c r="Q53" s="4">
        <v>1.0</v>
      </c>
      <c r="R53" s="4" t="s">
        <v>115</v>
      </c>
      <c r="S53" s="196">
        <v>42200.0</v>
      </c>
      <c r="T53" s="104"/>
      <c r="U53" s="104" t="s">
        <v>2712</v>
      </c>
      <c r="V53" s="4" t="s">
        <v>2713</v>
      </c>
      <c r="W53" s="4" t="s">
        <v>122</v>
      </c>
      <c r="X53" s="170"/>
      <c r="Y53" s="170"/>
      <c r="Z53" s="170"/>
      <c r="AA53" s="198">
        <v>42177.0</v>
      </c>
      <c r="AB53" s="198">
        <v>42181.0</v>
      </c>
      <c r="AC53" s="4"/>
      <c r="AD53" s="4"/>
      <c r="AE53" s="4"/>
      <c r="AF53" s="4"/>
      <c r="AG53" s="4"/>
      <c r="AH53" s="199" t="s">
        <v>2071</v>
      </c>
      <c r="AI53" s="199" t="s">
        <v>2597</v>
      </c>
      <c r="AJ53" s="4"/>
      <c r="AK53" s="4" t="s">
        <v>1612</v>
      </c>
      <c r="AL53" s="200">
        <f t="shared" si="2"/>
        <v>14</v>
      </c>
      <c r="AM53" s="201">
        <v>2015.0</v>
      </c>
    </row>
    <row r="54">
      <c r="A54" s="67">
        <f t="shared" si="1"/>
        <v>9098074</v>
      </c>
      <c r="B54" s="67">
        <v>53.0</v>
      </c>
      <c r="C54" s="67"/>
      <c r="D54" s="4">
        <v>3.0</v>
      </c>
      <c r="E54" s="4" t="s">
        <v>2714</v>
      </c>
      <c r="F54" s="195" t="s">
        <v>2031</v>
      </c>
      <c r="G54" s="4" t="s">
        <v>2032</v>
      </c>
      <c r="H54" s="185">
        <v>13.0</v>
      </c>
      <c r="I54" s="185" t="s">
        <v>2541</v>
      </c>
      <c r="J54" s="4" t="s">
        <v>112</v>
      </c>
      <c r="K54" s="4" t="s">
        <v>114</v>
      </c>
      <c r="L54" s="4" t="s">
        <v>117</v>
      </c>
      <c r="M54" s="4">
        <v>3.0</v>
      </c>
      <c r="N54" s="4" t="s">
        <v>122</v>
      </c>
      <c r="O54" s="4"/>
      <c r="P54" s="4">
        <v>1.0</v>
      </c>
      <c r="Q54" s="4"/>
      <c r="R54" s="4" t="s">
        <v>121</v>
      </c>
      <c r="S54" s="196">
        <v>42191.0</v>
      </c>
      <c r="T54" s="104" t="s">
        <v>2715</v>
      </c>
      <c r="U54" s="104"/>
      <c r="V54" s="4" t="s">
        <v>2716</v>
      </c>
      <c r="W54" s="4" t="s">
        <v>118</v>
      </c>
      <c r="X54" s="197" t="s">
        <v>138</v>
      </c>
      <c r="Y54" s="170" t="s">
        <v>2471</v>
      </c>
      <c r="Z54" s="170"/>
      <c r="AA54" s="198">
        <v>42128.0</v>
      </c>
      <c r="AB54" s="198">
        <v>42132.0</v>
      </c>
      <c r="AC54" s="4">
        <v>12.0</v>
      </c>
      <c r="AD54" s="4" t="s">
        <v>120</v>
      </c>
      <c r="AE54" s="4"/>
      <c r="AF54" s="4" t="s">
        <v>2714</v>
      </c>
      <c r="AG54" s="4"/>
      <c r="AH54" s="199" t="s">
        <v>2071</v>
      </c>
      <c r="AI54" s="199" t="s">
        <v>2717</v>
      </c>
      <c r="AJ54" s="4"/>
      <c r="AK54" s="4" t="s">
        <v>1612</v>
      </c>
      <c r="AL54" s="200">
        <f t="shared" si="2"/>
        <v>42</v>
      </c>
      <c r="AM54" s="201">
        <v>2015.0</v>
      </c>
    </row>
    <row r="55">
      <c r="A55" s="67">
        <f t="shared" si="1"/>
        <v>10526735</v>
      </c>
      <c r="B55" s="67">
        <v>54.0</v>
      </c>
      <c r="C55" s="67"/>
      <c r="D55" s="195">
        <v>22.0</v>
      </c>
      <c r="E55" s="4" t="s">
        <v>2015</v>
      </c>
      <c r="F55" s="195" t="s">
        <v>1947</v>
      </c>
      <c r="G55" s="4" t="s">
        <v>1687</v>
      </c>
      <c r="H55" s="185">
        <v>23.0</v>
      </c>
      <c r="I55" s="185" t="s">
        <v>2541</v>
      </c>
      <c r="J55" s="4" t="s">
        <v>112</v>
      </c>
      <c r="K55" s="4" t="s">
        <v>127</v>
      </c>
      <c r="L55" s="4" t="s">
        <v>117</v>
      </c>
      <c r="M55" s="4">
        <v>0.0</v>
      </c>
      <c r="N55" s="4" t="s">
        <v>116</v>
      </c>
      <c r="O55" s="4">
        <v>28.0</v>
      </c>
      <c r="P55" s="4">
        <v>3.0</v>
      </c>
      <c r="Q55" s="4">
        <v>6.0</v>
      </c>
      <c r="R55" s="4" t="s">
        <v>121</v>
      </c>
      <c r="S55" s="196">
        <v>42220.0</v>
      </c>
      <c r="T55" s="104"/>
      <c r="U55" s="104" t="s">
        <v>2718</v>
      </c>
      <c r="V55" s="4" t="s">
        <v>2719</v>
      </c>
      <c r="W55" s="4" t="s">
        <v>122</v>
      </c>
      <c r="X55" s="170"/>
      <c r="Y55" s="170"/>
      <c r="Z55" s="170"/>
      <c r="AA55" s="198">
        <v>42206.0</v>
      </c>
      <c r="AB55" s="198">
        <v>42209.0</v>
      </c>
      <c r="AC55" s="4"/>
      <c r="AD55" s="4"/>
      <c r="AE55" s="4"/>
      <c r="AF55" s="4"/>
      <c r="AG55" s="4"/>
      <c r="AH55" s="199" t="s">
        <v>2071</v>
      </c>
      <c r="AI55" s="199" t="s">
        <v>2720</v>
      </c>
      <c r="AJ55" s="4"/>
      <c r="AK55" s="4" t="s">
        <v>2157</v>
      </c>
      <c r="AL55" s="200">
        <f t="shared" si="2"/>
        <v>8</v>
      </c>
      <c r="AM55" s="201">
        <v>2015.0</v>
      </c>
    </row>
    <row r="56">
      <c r="A56" s="67">
        <f t="shared" si="1"/>
        <v>13496946</v>
      </c>
      <c r="B56" s="67">
        <v>55.0</v>
      </c>
      <c r="C56" s="67"/>
      <c r="D56" s="4">
        <v>40.0</v>
      </c>
      <c r="E56" s="4" t="s">
        <v>2012</v>
      </c>
      <c r="F56" s="195" t="s">
        <v>1970</v>
      </c>
      <c r="G56" s="4" t="s">
        <v>1638</v>
      </c>
      <c r="H56" s="185">
        <v>23.0</v>
      </c>
      <c r="I56" s="185" t="s">
        <v>2541</v>
      </c>
      <c r="J56" s="4" t="s">
        <v>112</v>
      </c>
      <c r="K56" s="4" t="s">
        <v>127</v>
      </c>
      <c r="L56" s="4" t="s">
        <v>117</v>
      </c>
      <c r="M56" s="4">
        <v>1.0</v>
      </c>
      <c r="N56" s="4" t="s">
        <v>122</v>
      </c>
      <c r="O56" s="4"/>
      <c r="P56" s="4">
        <v>1.0</v>
      </c>
      <c r="Q56" s="4">
        <v>0.0</v>
      </c>
      <c r="R56" s="4" t="s">
        <v>115</v>
      </c>
      <c r="S56" s="196">
        <v>42235.0</v>
      </c>
      <c r="T56" s="104" t="s">
        <v>2721</v>
      </c>
      <c r="U56" s="104"/>
      <c r="V56" s="4" t="s">
        <v>2722</v>
      </c>
      <c r="W56" s="4" t="s">
        <v>118</v>
      </c>
      <c r="X56" s="170"/>
      <c r="Y56" s="197" t="s">
        <v>140</v>
      </c>
      <c r="Z56" s="170"/>
      <c r="AA56" s="198">
        <v>42220.0</v>
      </c>
      <c r="AB56" s="198">
        <v>42222.0</v>
      </c>
      <c r="AC56" s="4">
        <v>24.0</v>
      </c>
      <c r="AD56" s="4" t="s">
        <v>127</v>
      </c>
      <c r="AE56" s="4"/>
      <c r="AF56" s="4" t="s">
        <v>2012</v>
      </c>
      <c r="AG56" s="4"/>
      <c r="AH56" s="199" t="s">
        <v>2071</v>
      </c>
      <c r="AI56" s="199" t="s">
        <v>2723</v>
      </c>
      <c r="AJ56" s="4"/>
      <c r="AK56" s="4" t="s">
        <v>1612</v>
      </c>
      <c r="AL56" s="200">
        <f t="shared" si="2"/>
        <v>10</v>
      </c>
      <c r="AM56" s="201">
        <v>2015.0</v>
      </c>
    </row>
    <row r="57">
      <c r="A57" s="67">
        <f t="shared" si="1"/>
        <v>12513939</v>
      </c>
      <c r="B57" s="67">
        <v>56.0</v>
      </c>
      <c r="C57" s="67"/>
      <c r="D57" s="4">
        <v>83.0</v>
      </c>
      <c r="E57" s="4" t="s">
        <v>1984</v>
      </c>
      <c r="F57" s="195" t="s">
        <v>2576</v>
      </c>
      <c r="G57" s="4" t="s">
        <v>1741</v>
      </c>
      <c r="H57" s="185">
        <v>21.0</v>
      </c>
      <c r="I57" s="185" t="s">
        <v>2541</v>
      </c>
      <c r="J57" s="4" t="s">
        <v>112</v>
      </c>
      <c r="K57" s="4" t="s">
        <v>127</v>
      </c>
      <c r="L57" s="4" t="s">
        <v>117</v>
      </c>
      <c r="M57" s="4">
        <v>0.0</v>
      </c>
      <c r="N57" s="4" t="s">
        <v>116</v>
      </c>
      <c r="O57" s="4">
        <v>19.0</v>
      </c>
      <c r="P57" s="4">
        <v>1.0</v>
      </c>
      <c r="Q57" s="4">
        <v>2.0</v>
      </c>
      <c r="R57" s="4" t="s">
        <v>115</v>
      </c>
      <c r="S57" s="196">
        <v>42226.0</v>
      </c>
      <c r="T57" s="104"/>
      <c r="U57" s="104" t="s">
        <v>2724</v>
      </c>
      <c r="V57" s="4" t="s">
        <v>2725</v>
      </c>
      <c r="W57" s="4" t="s">
        <v>122</v>
      </c>
      <c r="X57" s="170"/>
      <c r="Y57" s="170"/>
      <c r="Z57" s="170"/>
      <c r="AA57" s="198">
        <v>42178.0</v>
      </c>
      <c r="AB57" s="198">
        <v>42183.0</v>
      </c>
      <c r="AC57" s="4"/>
      <c r="AD57" s="4"/>
      <c r="AE57" s="4"/>
      <c r="AF57" s="4"/>
      <c r="AG57" s="4"/>
      <c r="AH57" s="199" t="s">
        <v>2071</v>
      </c>
      <c r="AI57" s="199" t="s">
        <v>2664</v>
      </c>
      <c r="AJ57" s="4"/>
      <c r="AK57" s="4" t="s">
        <v>2157</v>
      </c>
      <c r="AL57" s="200">
        <f t="shared" si="2"/>
        <v>31</v>
      </c>
      <c r="AM57" s="201">
        <v>2015.0</v>
      </c>
    </row>
    <row r="58">
      <c r="A58" s="67">
        <f t="shared" si="1"/>
        <v>15415292</v>
      </c>
      <c r="B58" s="67">
        <v>57.0</v>
      </c>
      <c r="C58" s="67"/>
      <c r="D58" s="4">
        <v>40.0</v>
      </c>
      <c r="E58" s="4" t="s">
        <v>1615</v>
      </c>
      <c r="F58" s="195" t="s">
        <v>2094</v>
      </c>
      <c r="G58" s="4" t="s">
        <v>2095</v>
      </c>
      <c r="H58" s="185">
        <v>10.0</v>
      </c>
      <c r="I58" s="185" t="s">
        <v>2541</v>
      </c>
      <c r="J58" s="4" t="s">
        <v>112</v>
      </c>
      <c r="K58" s="4" t="s">
        <v>114</v>
      </c>
      <c r="L58" s="4" t="s">
        <v>117</v>
      </c>
      <c r="M58" s="4">
        <v>4.0</v>
      </c>
      <c r="N58" s="4" t="s">
        <v>122</v>
      </c>
      <c r="O58" s="4"/>
      <c r="P58" s="4">
        <v>3.0</v>
      </c>
      <c r="Q58" s="4">
        <v>0.0</v>
      </c>
      <c r="R58" s="4" t="s">
        <v>121</v>
      </c>
      <c r="S58" s="196">
        <v>42223.0</v>
      </c>
      <c r="T58" s="104" t="s">
        <v>2726</v>
      </c>
      <c r="U58" s="104"/>
      <c r="V58" s="4" t="s">
        <v>2727</v>
      </c>
      <c r="W58" s="4" t="s">
        <v>118</v>
      </c>
      <c r="X58" s="197" t="s">
        <v>138</v>
      </c>
      <c r="Y58" s="170" t="s">
        <v>2102</v>
      </c>
      <c r="Z58" s="170" t="s">
        <v>2471</v>
      </c>
      <c r="AA58" s="198">
        <v>42181.0</v>
      </c>
      <c r="AB58" s="198">
        <v>42187.0</v>
      </c>
      <c r="AC58" s="4">
        <v>17.0</v>
      </c>
      <c r="AD58" s="4" t="s">
        <v>120</v>
      </c>
      <c r="AE58" s="4"/>
      <c r="AF58" s="4" t="s">
        <v>1615</v>
      </c>
      <c r="AG58" s="4"/>
      <c r="AH58" s="199" t="s">
        <v>2071</v>
      </c>
      <c r="AI58" s="199" t="s">
        <v>2597</v>
      </c>
      <c r="AJ58" s="4"/>
      <c r="AK58" s="4" t="s">
        <v>1612</v>
      </c>
      <c r="AL58" s="200">
        <f t="shared" si="2"/>
        <v>27</v>
      </c>
      <c r="AM58" s="201">
        <v>2015.0</v>
      </c>
    </row>
    <row r="59">
      <c r="A59" s="67">
        <f t="shared" si="1"/>
        <v>16390660</v>
      </c>
      <c r="B59" s="67">
        <v>58.0</v>
      </c>
      <c r="C59" s="67"/>
      <c r="D59" s="195">
        <v>22.0</v>
      </c>
      <c r="E59" s="4" t="s">
        <v>1941</v>
      </c>
      <c r="F59" s="195" t="s">
        <v>2580</v>
      </c>
      <c r="G59" s="4" t="s">
        <v>2728</v>
      </c>
      <c r="H59" s="185">
        <v>13.0</v>
      </c>
      <c r="I59" s="185" t="s">
        <v>2582</v>
      </c>
      <c r="J59" s="4" t="s">
        <v>112</v>
      </c>
      <c r="K59" s="4" t="s">
        <v>114</v>
      </c>
      <c r="L59" s="4" t="s">
        <v>117</v>
      </c>
      <c r="M59" s="4">
        <v>1.0</v>
      </c>
      <c r="N59" s="4" t="s">
        <v>116</v>
      </c>
      <c r="O59" s="4">
        <v>6.0</v>
      </c>
      <c r="P59" s="4">
        <v>3.0</v>
      </c>
      <c r="Q59" s="4">
        <v>1.0</v>
      </c>
      <c r="R59" s="4" t="s">
        <v>115</v>
      </c>
      <c r="S59" s="196">
        <v>42248.0</v>
      </c>
      <c r="T59" s="104" t="s">
        <v>2729</v>
      </c>
      <c r="U59" s="104"/>
      <c r="V59" s="184" t="s">
        <v>2730</v>
      </c>
      <c r="W59" s="4" t="s">
        <v>118</v>
      </c>
      <c r="X59" s="170" t="s">
        <v>2141</v>
      </c>
      <c r="Y59" s="170" t="s">
        <v>2102</v>
      </c>
      <c r="Z59" s="170"/>
      <c r="AA59" s="198">
        <v>42208.0</v>
      </c>
      <c r="AB59" s="198">
        <v>42214.0</v>
      </c>
      <c r="AC59" s="4"/>
      <c r="AD59" s="4" t="s">
        <v>2345</v>
      </c>
      <c r="AE59" s="4"/>
      <c r="AF59" s="4"/>
      <c r="AG59" s="4"/>
      <c r="AH59" s="199" t="s">
        <v>2071</v>
      </c>
      <c r="AI59" s="199" t="s">
        <v>2591</v>
      </c>
      <c r="AJ59" s="4"/>
      <c r="AK59" s="4" t="s">
        <v>2157</v>
      </c>
      <c r="AL59" s="200">
        <f t="shared" si="2"/>
        <v>25</v>
      </c>
      <c r="AM59" s="201">
        <v>2015.0</v>
      </c>
    </row>
    <row r="60">
      <c r="A60" s="67">
        <f t="shared" si="1"/>
        <v>14526364</v>
      </c>
      <c r="B60" s="67">
        <v>59.0</v>
      </c>
      <c r="C60" s="67"/>
      <c r="D60" s="195">
        <v>15.0</v>
      </c>
      <c r="E60" s="4" t="s">
        <v>1642</v>
      </c>
      <c r="F60" s="195" t="s">
        <v>2576</v>
      </c>
      <c r="G60" s="4" t="s">
        <v>1741</v>
      </c>
      <c r="H60" s="185">
        <v>21.0</v>
      </c>
      <c r="I60" s="185" t="s">
        <v>2541</v>
      </c>
      <c r="J60" s="4" t="s">
        <v>112</v>
      </c>
      <c r="K60" s="4" t="s">
        <v>127</v>
      </c>
      <c r="L60" s="4" t="s">
        <v>117</v>
      </c>
      <c r="M60" s="4">
        <v>0.0</v>
      </c>
      <c r="N60" s="4" t="s">
        <v>116</v>
      </c>
      <c r="O60" s="4">
        <v>2.0</v>
      </c>
      <c r="P60" s="4">
        <v>2.0</v>
      </c>
      <c r="Q60" s="4">
        <v>1.0</v>
      </c>
      <c r="R60" s="4" t="s">
        <v>115</v>
      </c>
      <c r="S60" s="196">
        <v>42254.0</v>
      </c>
      <c r="T60" s="104"/>
      <c r="U60" s="104" t="s">
        <v>2731</v>
      </c>
      <c r="V60" s="4" t="s">
        <v>2732</v>
      </c>
      <c r="W60" s="4" t="s">
        <v>122</v>
      </c>
      <c r="X60" s="170"/>
      <c r="Y60" s="170"/>
      <c r="Z60" s="170"/>
      <c r="AA60" s="198">
        <v>42235.0</v>
      </c>
      <c r="AB60" s="198">
        <v>42243.0</v>
      </c>
      <c r="AC60" s="4"/>
      <c r="AD60" s="4"/>
      <c r="AE60" s="4"/>
      <c r="AF60" s="4"/>
      <c r="AG60" s="4"/>
      <c r="AH60" s="199" t="s">
        <v>2071</v>
      </c>
      <c r="AI60" s="199" t="s">
        <v>2597</v>
      </c>
      <c r="AJ60" s="4"/>
      <c r="AK60" s="4" t="s">
        <v>2157</v>
      </c>
      <c r="AL60" s="200">
        <f t="shared" si="2"/>
        <v>8</v>
      </c>
      <c r="AM60" s="201">
        <v>2015.0</v>
      </c>
    </row>
    <row r="61">
      <c r="A61" s="67">
        <f t="shared" si="1"/>
        <v>10506791</v>
      </c>
      <c r="B61" s="67">
        <v>60.0</v>
      </c>
      <c r="C61" s="67"/>
      <c r="D61" s="195">
        <v>15.0</v>
      </c>
      <c r="E61" s="4" t="s">
        <v>1642</v>
      </c>
      <c r="F61" s="195" t="s">
        <v>2576</v>
      </c>
      <c r="G61" s="4" t="s">
        <v>1741</v>
      </c>
      <c r="H61" s="185">
        <v>21.0</v>
      </c>
      <c r="I61" s="185" t="s">
        <v>2541</v>
      </c>
      <c r="J61" s="4" t="s">
        <v>112</v>
      </c>
      <c r="K61" s="4" t="s">
        <v>127</v>
      </c>
      <c r="L61" s="4" t="s">
        <v>117</v>
      </c>
      <c r="M61" s="4">
        <v>0.0</v>
      </c>
      <c r="N61" s="4" t="s">
        <v>116</v>
      </c>
      <c r="O61" s="4">
        <v>2.0</v>
      </c>
      <c r="P61" s="4">
        <v>2.0</v>
      </c>
      <c r="Q61" s="4">
        <v>1.0</v>
      </c>
      <c r="R61" s="4" t="s">
        <v>115</v>
      </c>
      <c r="S61" s="196">
        <v>42254.0</v>
      </c>
      <c r="T61" s="104"/>
      <c r="U61" s="104" t="s">
        <v>2733</v>
      </c>
      <c r="V61" s="4" t="s">
        <v>2734</v>
      </c>
      <c r="W61" s="4" t="s">
        <v>122</v>
      </c>
      <c r="X61" s="170"/>
      <c r="Y61" s="170"/>
      <c r="Z61" s="170"/>
      <c r="AA61" s="198">
        <v>42235.0</v>
      </c>
      <c r="AB61" s="198">
        <v>42243.0</v>
      </c>
      <c r="AC61" s="4"/>
      <c r="AD61" s="4"/>
      <c r="AE61" s="4"/>
      <c r="AF61" s="4"/>
      <c r="AG61" s="4"/>
      <c r="AH61" s="199" t="s">
        <v>2071</v>
      </c>
      <c r="AI61" s="199" t="s">
        <v>2597</v>
      </c>
      <c r="AJ61" s="4"/>
      <c r="AK61" s="4" t="s">
        <v>2157</v>
      </c>
      <c r="AL61" s="200">
        <f t="shared" si="2"/>
        <v>8</v>
      </c>
      <c r="AM61" s="201">
        <v>2015.0</v>
      </c>
    </row>
    <row r="62">
      <c r="A62" s="67">
        <f t="shared" si="1"/>
        <v>14310630</v>
      </c>
      <c r="B62" s="67">
        <v>61.0</v>
      </c>
      <c r="C62" s="67"/>
      <c r="D62" s="4">
        <v>3.0</v>
      </c>
      <c r="E62" s="4" t="s">
        <v>2735</v>
      </c>
      <c r="F62" s="184" t="s">
        <v>2736</v>
      </c>
      <c r="G62" s="4" t="s">
        <v>2148</v>
      </c>
      <c r="H62" s="185">
        <v>6.0</v>
      </c>
      <c r="I62" s="185" t="s">
        <v>2541</v>
      </c>
      <c r="J62" s="4" t="s">
        <v>112</v>
      </c>
      <c r="K62" s="4" t="s">
        <v>114</v>
      </c>
      <c r="L62" s="4" t="s">
        <v>117</v>
      </c>
      <c r="M62" s="4">
        <v>1.0</v>
      </c>
      <c r="N62" s="4" t="s">
        <v>116</v>
      </c>
      <c r="O62" s="4">
        <v>19.0</v>
      </c>
      <c r="P62" s="4">
        <v>3.0</v>
      </c>
      <c r="Q62" s="4">
        <v>2.0</v>
      </c>
      <c r="R62" s="4" t="s">
        <v>115</v>
      </c>
      <c r="S62" s="196">
        <v>42219.0</v>
      </c>
      <c r="T62" s="104"/>
      <c r="U62" s="104" t="s">
        <v>2737</v>
      </c>
      <c r="V62" s="4" t="s">
        <v>2738</v>
      </c>
      <c r="W62" s="4" t="s">
        <v>122</v>
      </c>
      <c r="X62" s="170"/>
      <c r="Y62" s="170"/>
      <c r="Z62" s="170"/>
      <c r="AA62" s="198">
        <v>42178.0</v>
      </c>
      <c r="AB62" s="198">
        <v>42185.0</v>
      </c>
      <c r="AC62" s="4"/>
      <c r="AD62" s="4"/>
      <c r="AE62" s="4"/>
      <c r="AF62" s="4"/>
      <c r="AG62" s="4"/>
      <c r="AH62" s="199" t="s">
        <v>2071</v>
      </c>
      <c r="AI62" s="199" t="s">
        <v>2597</v>
      </c>
      <c r="AJ62" s="4"/>
      <c r="AK62" s="4" t="s">
        <v>2163</v>
      </c>
      <c r="AL62" s="200">
        <f t="shared" si="2"/>
        <v>25</v>
      </c>
      <c r="AM62" s="201">
        <v>2015.0</v>
      </c>
    </row>
    <row r="63">
      <c r="A63" s="67">
        <f t="shared" si="1"/>
        <v>14123013</v>
      </c>
      <c r="B63" s="67">
        <v>62.0</v>
      </c>
      <c r="C63" s="67"/>
      <c r="D63" s="195">
        <v>120.0</v>
      </c>
      <c r="E63" s="4" t="s">
        <v>2739</v>
      </c>
      <c r="F63" s="195" t="s">
        <v>1937</v>
      </c>
      <c r="G63" s="4" t="s">
        <v>2740</v>
      </c>
      <c r="H63" s="185">
        <v>14.0</v>
      </c>
      <c r="I63" s="185" t="s">
        <v>2541</v>
      </c>
      <c r="J63" s="4" t="s">
        <v>112</v>
      </c>
      <c r="K63" s="4" t="s">
        <v>114</v>
      </c>
      <c r="L63" s="4" t="s">
        <v>117</v>
      </c>
      <c r="M63" s="4">
        <v>0.0</v>
      </c>
      <c r="N63" s="4" t="s">
        <v>116</v>
      </c>
      <c r="O63" s="4">
        <v>16.0</v>
      </c>
      <c r="P63" s="4">
        <v>2.0</v>
      </c>
      <c r="Q63" s="4">
        <v>1.0</v>
      </c>
      <c r="R63" s="4" t="s">
        <v>115</v>
      </c>
      <c r="S63" s="196">
        <v>42222.0</v>
      </c>
      <c r="T63" s="104"/>
      <c r="U63" s="104" t="s">
        <v>2741</v>
      </c>
      <c r="V63" s="4" t="s">
        <v>2742</v>
      </c>
      <c r="W63" s="4" t="s">
        <v>118</v>
      </c>
      <c r="X63" s="170" t="s">
        <v>2102</v>
      </c>
      <c r="Y63" s="170"/>
      <c r="Z63" s="170"/>
      <c r="AA63" s="198">
        <v>42178.0</v>
      </c>
      <c r="AB63" s="198">
        <v>42185.0</v>
      </c>
      <c r="AC63" s="4"/>
      <c r="AD63" s="4"/>
      <c r="AE63" s="4"/>
      <c r="AF63" s="4"/>
      <c r="AG63" s="4"/>
      <c r="AH63" s="199" t="s">
        <v>2071</v>
      </c>
      <c r="AI63" s="199" t="s">
        <v>1980</v>
      </c>
      <c r="AJ63" s="4"/>
      <c r="AK63" s="4" t="s">
        <v>1612</v>
      </c>
      <c r="AL63" s="200">
        <f t="shared" si="2"/>
        <v>28</v>
      </c>
      <c r="AM63" s="201">
        <v>2015.0</v>
      </c>
    </row>
    <row r="64">
      <c r="A64" s="67">
        <f t="shared" si="1"/>
        <v>13898274</v>
      </c>
      <c r="B64" s="67">
        <v>63.0</v>
      </c>
      <c r="C64" s="67"/>
      <c r="D64" s="4">
        <v>3.0</v>
      </c>
      <c r="E64" s="4" t="s">
        <v>1928</v>
      </c>
      <c r="F64" s="195" t="s">
        <v>2592</v>
      </c>
      <c r="G64" s="4" t="s">
        <v>2333</v>
      </c>
      <c r="H64" s="185">
        <v>17.0</v>
      </c>
      <c r="I64" s="185" t="s">
        <v>2541</v>
      </c>
      <c r="J64" s="4" t="s">
        <v>112</v>
      </c>
      <c r="K64" s="4" t="s">
        <v>120</v>
      </c>
      <c r="L64" s="4" t="s">
        <v>117</v>
      </c>
      <c r="M64" s="4">
        <v>2.0</v>
      </c>
      <c r="N64" s="4" t="s">
        <v>122</v>
      </c>
      <c r="O64" s="4"/>
      <c r="P64" s="4">
        <v>2.0</v>
      </c>
      <c r="Q64" s="4">
        <v>1.0</v>
      </c>
      <c r="R64" s="4" t="s">
        <v>115</v>
      </c>
      <c r="S64" s="196">
        <v>42226.0</v>
      </c>
      <c r="T64" s="104" t="s">
        <v>2723</v>
      </c>
      <c r="U64" s="104"/>
      <c r="V64" s="4" t="s">
        <v>2743</v>
      </c>
      <c r="W64" s="4" t="s">
        <v>118</v>
      </c>
      <c r="X64" s="170" t="s">
        <v>2102</v>
      </c>
      <c r="Y64" s="197" t="s">
        <v>170</v>
      </c>
      <c r="Z64" s="170" t="s">
        <v>2381</v>
      </c>
      <c r="AA64" s="198">
        <v>42186.0</v>
      </c>
      <c r="AB64" s="198">
        <v>42188.0</v>
      </c>
      <c r="AC64" s="4">
        <v>24.0</v>
      </c>
      <c r="AD64" s="4" t="s">
        <v>127</v>
      </c>
      <c r="AE64" s="4" t="s">
        <v>1638</v>
      </c>
      <c r="AF64" s="4" t="s">
        <v>2012</v>
      </c>
      <c r="AG64" s="4"/>
      <c r="AH64" s="199" t="s">
        <v>2071</v>
      </c>
      <c r="AI64" s="199" t="s">
        <v>2744</v>
      </c>
      <c r="AJ64" s="4"/>
      <c r="AK64" s="4" t="s">
        <v>1612</v>
      </c>
      <c r="AL64" s="200">
        <f t="shared" si="2"/>
        <v>27</v>
      </c>
      <c r="AM64" s="201">
        <v>2015.0</v>
      </c>
    </row>
    <row r="65">
      <c r="A65" s="67">
        <f t="shared" si="1"/>
        <v>18767118</v>
      </c>
      <c r="B65" s="67">
        <v>64.0</v>
      </c>
      <c r="C65" s="67"/>
      <c r="D65" s="195">
        <v>120.0</v>
      </c>
      <c r="E65" s="4" t="s">
        <v>2201</v>
      </c>
      <c r="F65" s="195" t="s">
        <v>2679</v>
      </c>
      <c r="G65" s="4" t="s">
        <v>1816</v>
      </c>
      <c r="H65" s="185">
        <v>21.0</v>
      </c>
      <c r="I65" s="185" t="s">
        <v>2541</v>
      </c>
      <c r="J65" s="4" t="s">
        <v>112</v>
      </c>
      <c r="K65" s="4" t="s">
        <v>120</v>
      </c>
      <c r="L65" s="4" t="s">
        <v>117</v>
      </c>
      <c r="M65" s="4">
        <v>24.0</v>
      </c>
      <c r="N65" s="4" t="s">
        <v>116</v>
      </c>
      <c r="O65" s="4">
        <v>24.0</v>
      </c>
      <c r="P65" s="4">
        <v>1.0</v>
      </c>
      <c r="Q65" s="4">
        <v>3.0</v>
      </c>
      <c r="R65" s="4" t="s">
        <v>115</v>
      </c>
      <c r="S65" s="196">
        <v>42268.0</v>
      </c>
      <c r="T65" s="104"/>
      <c r="U65" s="104" t="s">
        <v>2745</v>
      </c>
      <c r="V65" s="4" t="s">
        <v>2746</v>
      </c>
      <c r="W65" s="4" t="s">
        <v>122</v>
      </c>
      <c r="X65" s="170"/>
      <c r="Y65" s="170"/>
      <c r="Z65" s="170"/>
      <c r="AA65" s="198">
        <v>42226.0</v>
      </c>
      <c r="AB65" s="198">
        <v>42233.0</v>
      </c>
      <c r="AC65" s="4"/>
      <c r="AD65" s="4"/>
      <c r="AE65" s="4"/>
      <c r="AF65" s="4"/>
      <c r="AG65" s="4"/>
      <c r="AH65" s="199" t="s">
        <v>2071</v>
      </c>
      <c r="AI65" s="199" t="s">
        <v>2747</v>
      </c>
      <c r="AJ65" s="4"/>
      <c r="AK65" s="4" t="s">
        <v>2163</v>
      </c>
      <c r="AL65" s="200">
        <f t="shared" si="2"/>
        <v>26</v>
      </c>
      <c r="AM65" s="201">
        <v>2015.0</v>
      </c>
    </row>
    <row r="66">
      <c r="A66" s="67">
        <f t="shared" si="1"/>
        <v>13665776</v>
      </c>
      <c r="B66" s="67">
        <v>65.0</v>
      </c>
      <c r="C66" s="67"/>
      <c r="D66" s="4">
        <v>40.0</v>
      </c>
      <c r="E66" s="4" t="s">
        <v>2209</v>
      </c>
      <c r="F66" s="195" t="s">
        <v>2707</v>
      </c>
      <c r="G66" s="4" t="s">
        <v>2748</v>
      </c>
      <c r="H66" s="185">
        <v>17.0</v>
      </c>
      <c r="I66" s="185" t="s">
        <v>2541</v>
      </c>
      <c r="J66" s="4" t="s">
        <v>112</v>
      </c>
      <c r="K66" s="4" t="s">
        <v>125</v>
      </c>
      <c r="L66" s="4" t="s">
        <v>117</v>
      </c>
      <c r="M66" s="4">
        <v>2.0</v>
      </c>
      <c r="N66" s="4" t="s">
        <v>122</v>
      </c>
      <c r="O66" s="4"/>
      <c r="P66" s="4">
        <v>1.0</v>
      </c>
      <c r="Q66" s="4">
        <v>0.0</v>
      </c>
      <c r="R66" s="4" t="s">
        <v>115</v>
      </c>
      <c r="S66" s="196">
        <v>42278.0</v>
      </c>
      <c r="T66" s="104" t="s">
        <v>2749</v>
      </c>
      <c r="U66" s="104"/>
      <c r="V66" s="4" t="s">
        <v>2750</v>
      </c>
      <c r="W66" s="4" t="s">
        <v>118</v>
      </c>
      <c r="X66" s="170"/>
      <c r="Y66" s="170"/>
      <c r="Z66" s="170" t="s">
        <v>2381</v>
      </c>
      <c r="AA66" s="198">
        <v>42241.0</v>
      </c>
      <c r="AB66" s="198">
        <v>42243.0</v>
      </c>
      <c r="AC66" s="4">
        <v>20.0</v>
      </c>
      <c r="AD66" s="4" t="s">
        <v>127</v>
      </c>
      <c r="AE66" s="4" t="s">
        <v>1687</v>
      </c>
      <c r="AF66" s="4" t="s">
        <v>2209</v>
      </c>
      <c r="AG66" s="4"/>
      <c r="AH66" s="199" t="s">
        <v>2071</v>
      </c>
      <c r="AI66" s="199" t="s">
        <v>2751</v>
      </c>
      <c r="AJ66" s="4"/>
      <c r="AK66" s="4" t="s">
        <v>1612</v>
      </c>
      <c r="AL66" s="200">
        <f t="shared" si="2"/>
        <v>26</v>
      </c>
      <c r="AM66" s="201">
        <v>2015.0</v>
      </c>
    </row>
    <row r="67">
      <c r="A67" s="67">
        <f t="shared" si="1"/>
        <v>16749757</v>
      </c>
      <c r="B67" s="67">
        <v>66.0</v>
      </c>
      <c r="C67" s="67"/>
      <c r="D67" s="4">
        <v>40.0</v>
      </c>
      <c r="E67" s="4" t="s">
        <v>1615</v>
      </c>
      <c r="F67" s="195" t="s">
        <v>2752</v>
      </c>
      <c r="G67" s="4" t="s">
        <v>2753</v>
      </c>
      <c r="H67" s="185">
        <v>10.0</v>
      </c>
      <c r="I67" s="185" t="s">
        <v>2582</v>
      </c>
      <c r="J67" s="4" t="s">
        <v>112</v>
      </c>
      <c r="K67" s="4" t="s">
        <v>114</v>
      </c>
      <c r="L67" s="4" t="s">
        <v>117</v>
      </c>
      <c r="M67" s="4">
        <v>2.0</v>
      </c>
      <c r="N67" s="4" t="s">
        <v>122</v>
      </c>
      <c r="O67" s="4"/>
      <c r="P67" s="4">
        <v>1.0</v>
      </c>
      <c r="Q67" s="4">
        <v>0.0</v>
      </c>
      <c r="R67" s="4" t="s">
        <v>115</v>
      </c>
      <c r="S67" s="196">
        <v>42278.0</v>
      </c>
      <c r="T67" s="104" t="s">
        <v>2754</v>
      </c>
      <c r="U67" s="104"/>
      <c r="V67" s="4" t="s">
        <v>2755</v>
      </c>
      <c r="W67" s="4" t="s">
        <v>122</v>
      </c>
      <c r="X67" s="170"/>
      <c r="Y67" s="170"/>
      <c r="Z67" s="170"/>
      <c r="AA67" s="198">
        <v>42208.0</v>
      </c>
      <c r="AB67" s="198">
        <v>42212.0</v>
      </c>
      <c r="AC67" s="4"/>
      <c r="AD67" s="4" t="s">
        <v>2345</v>
      </c>
      <c r="AE67" s="4"/>
      <c r="AF67" s="4"/>
      <c r="AG67" s="4"/>
      <c r="AH67" s="199" t="s">
        <v>2071</v>
      </c>
      <c r="AI67" s="199" t="s">
        <v>2597</v>
      </c>
      <c r="AJ67" s="4"/>
      <c r="AK67" s="4" t="s">
        <v>1612</v>
      </c>
      <c r="AL67" s="200">
        <f t="shared" si="2"/>
        <v>49</v>
      </c>
      <c r="AM67" s="201">
        <v>2015.0</v>
      </c>
    </row>
    <row r="68">
      <c r="A68" s="67">
        <f t="shared" si="1"/>
        <v>16006444</v>
      </c>
      <c r="B68" s="67">
        <v>67.0</v>
      </c>
      <c r="C68" s="67"/>
      <c r="D68" s="4">
        <v>50.0</v>
      </c>
      <c r="E68" s="4" t="s">
        <v>1598</v>
      </c>
      <c r="F68" s="195" t="s">
        <v>2642</v>
      </c>
      <c r="G68" s="4" t="s">
        <v>1907</v>
      </c>
      <c r="H68" s="185">
        <v>13.0</v>
      </c>
      <c r="I68" s="185" t="s">
        <v>2541</v>
      </c>
      <c r="J68" s="4" t="s">
        <v>112</v>
      </c>
      <c r="K68" s="4" t="s">
        <v>114</v>
      </c>
      <c r="L68" s="4" t="s">
        <v>117</v>
      </c>
      <c r="M68" s="4">
        <v>4.0</v>
      </c>
      <c r="N68" s="4" t="s">
        <v>116</v>
      </c>
      <c r="O68" s="4">
        <v>33.0</v>
      </c>
      <c r="P68" s="4">
        <v>1.0</v>
      </c>
      <c r="Q68" s="4">
        <v>3.0</v>
      </c>
      <c r="R68" s="4" t="s">
        <v>115</v>
      </c>
      <c r="S68" s="196">
        <v>42278.0</v>
      </c>
      <c r="T68" s="104"/>
      <c r="U68" s="104" t="s">
        <v>2756</v>
      </c>
      <c r="V68" s="4" t="s">
        <v>2757</v>
      </c>
      <c r="W68" s="4" t="s">
        <v>122</v>
      </c>
      <c r="X68" s="197" t="s">
        <v>138</v>
      </c>
      <c r="Y68" s="170"/>
      <c r="Z68" s="170"/>
      <c r="AA68" s="198">
        <v>42216.0</v>
      </c>
      <c r="AB68" s="198">
        <v>42223.0</v>
      </c>
      <c r="AC68" s="4"/>
      <c r="AD68" s="4"/>
      <c r="AE68" s="4"/>
      <c r="AF68" s="4"/>
      <c r="AG68" s="4"/>
      <c r="AH68" s="199" t="s">
        <v>2071</v>
      </c>
      <c r="AI68" s="199" t="s">
        <v>2597</v>
      </c>
      <c r="AJ68" s="4"/>
      <c r="AK68" s="4" t="s">
        <v>1612</v>
      </c>
      <c r="AL68" s="200">
        <f t="shared" si="2"/>
        <v>40</v>
      </c>
      <c r="AM68" s="201">
        <v>2015.0</v>
      </c>
    </row>
    <row r="69">
      <c r="A69" s="67">
        <f t="shared" si="1"/>
        <v>13068230</v>
      </c>
      <c r="B69" s="67">
        <v>68.0</v>
      </c>
      <c r="C69" s="67"/>
      <c r="D69" s="195">
        <v>15.0</v>
      </c>
      <c r="E69" s="4" t="s">
        <v>1642</v>
      </c>
      <c r="F69" s="195" t="s">
        <v>1947</v>
      </c>
      <c r="G69" s="4" t="s">
        <v>1687</v>
      </c>
      <c r="H69" s="185">
        <v>23.0</v>
      </c>
      <c r="I69" s="185" t="s">
        <v>2541</v>
      </c>
      <c r="J69" s="4" t="s">
        <v>112</v>
      </c>
      <c r="K69" s="4" t="s">
        <v>127</v>
      </c>
      <c r="L69" s="4" t="s">
        <v>117</v>
      </c>
      <c r="M69" s="4">
        <v>0.0</v>
      </c>
      <c r="N69" s="4" t="s">
        <v>116</v>
      </c>
      <c r="O69" s="4">
        <v>26.0</v>
      </c>
      <c r="P69" s="4">
        <v>2.0</v>
      </c>
      <c r="Q69" s="4">
        <v>4.0</v>
      </c>
      <c r="R69" s="4" t="s">
        <v>115</v>
      </c>
      <c r="S69" s="196">
        <v>42296.0</v>
      </c>
      <c r="T69" s="104"/>
      <c r="U69" s="104" t="s">
        <v>2758</v>
      </c>
      <c r="V69" s="4" t="s">
        <v>2759</v>
      </c>
      <c r="W69" s="4" t="s">
        <v>122</v>
      </c>
      <c r="X69" s="170"/>
      <c r="Y69" s="170"/>
      <c r="Z69" s="170"/>
      <c r="AA69" s="198">
        <v>42269.0</v>
      </c>
      <c r="AB69" s="198">
        <v>42277.0</v>
      </c>
      <c r="AC69" s="4"/>
      <c r="AD69" s="4"/>
      <c r="AE69" s="4"/>
      <c r="AF69" s="4"/>
      <c r="AG69" s="4"/>
      <c r="AH69" s="199" t="s">
        <v>2071</v>
      </c>
      <c r="AI69" s="199" t="s">
        <v>2597</v>
      </c>
      <c r="AJ69" s="4"/>
      <c r="AK69" s="4" t="s">
        <v>2163</v>
      </c>
      <c r="AL69" s="200">
        <f t="shared" si="2"/>
        <v>14</v>
      </c>
      <c r="AM69" s="201">
        <v>2015.0</v>
      </c>
    </row>
    <row r="70">
      <c r="A70" s="67">
        <f t="shared" si="1"/>
        <v>16666160</v>
      </c>
      <c r="B70" s="67">
        <v>69.0</v>
      </c>
      <c r="C70" s="67"/>
      <c r="D70" s="4">
        <v>3.0</v>
      </c>
      <c r="E70" s="4" t="s">
        <v>1928</v>
      </c>
      <c r="F70" s="195" t="s">
        <v>2592</v>
      </c>
      <c r="G70" s="4" t="s">
        <v>2333</v>
      </c>
      <c r="H70" s="185">
        <v>17.0</v>
      </c>
      <c r="I70" s="185" t="s">
        <v>2541</v>
      </c>
      <c r="J70" s="4" t="s">
        <v>112</v>
      </c>
      <c r="K70" s="4" t="s">
        <v>120</v>
      </c>
      <c r="L70" s="4" t="s">
        <v>117</v>
      </c>
      <c r="M70" s="4">
        <v>1.0</v>
      </c>
      <c r="N70" s="4" t="s">
        <v>116</v>
      </c>
      <c r="O70" s="4">
        <v>13.0</v>
      </c>
      <c r="P70" s="4">
        <v>1.0</v>
      </c>
      <c r="Q70" s="4">
        <v>1.0</v>
      </c>
      <c r="R70" s="4" t="s">
        <v>121</v>
      </c>
      <c r="S70" s="196">
        <v>42278.0</v>
      </c>
      <c r="T70" s="104"/>
      <c r="U70" s="104" t="s">
        <v>2760</v>
      </c>
      <c r="V70" s="4" t="s">
        <v>2761</v>
      </c>
      <c r="W70" s="4" t="s">
        <v>122</v>
      </c>
      <c r="X70" s="170"/>
      <c r="Y70" s="170"/>
      <c r="Z70" s="170"/>
      <c r="AA70" s="198">
        <v>42199.0</v>
      </c>
      <c r="AB70" s="198">
        <v>42207.0</v>
      </c>
      <c r="AC70" s="4"/>
      <c r="AD70" s="4"/>
      <c r="AE70" s="4"/>
      <c r="AF70" s="4"/>
      <c r="AG70" s="4"/>
      <c r="AH70" s="199" t="s">
        <v>2071</v>
      </c>
      <c r="AI70" s="199" t="s">
        <v>2762</v>
      </c>
      <c r="AJ70" s="4"/>
      <c r="AK70" s="4" t="s">
        <v>1612</v>
      </c>
      <c r="AL70" s="200">
        <f t="shared" si="2"/>
        <v>52</v>
      </c>
      <c r="AM70" s="201">
        <v>2015.0</v>
      </c>
    </row>
    <row r="71">
      <c r="A71" s="67">
        <f t="shared" si="1"/>
        <v>16951912</v>
      </c>
      <c r="B71" s="67">
        <v>70.0</v>
      </c>
      <c r="C71" s="67"/>
      <c r="D71" s="195">
        <v>11.0</v>
      </c>
      <c r="E71" s="4" t="s">
        <v>1965</v>
      </c>
      <c r="F71" s="195" t="s">
        <v>2576</v>
      </c>
      <c r="G71" s="4" t="s">
        <v>1741</v>
      </c>
      <c r="H71" s="185">
        <v>21.0</v>
      </c>
      <c r="I71" s="185" t="s">
        <v>2541</v>
      </c>
      <c r="J71" s="4" t="s">
        <v>112</v>
      </c>
      <c r="K71" s="4" t="s">
        <v>127</v>
      </c>
      <c r="L71" s="4" t="s">
        <v>117</v>
      </c>
      <c r="M71" s="4">
        <v>0.0</v>
      </c>
      <c r="N71" s="4" t="s">
        <v>116</v>
      </c>
      <c r="O71" s="4">
        <v>4.0</v>
      </c>
      <c r="P71" s="4">
        <v>2.0</v>
      </c>
      <c r="Q71" s="4">
        <v>1.0</v>
      </c>
      <c r="R71" s="4" t="s">
        <v>115</v>
      </c>
      <c r="S71" s="196">
        <v>42240.0</v>
      </c>
      <c r="T71" s="104"/>
      <c r="U71" s="104" t="s">
        <v>2763</v>
      </c>
      <c r="V71" s="4" t="s">
        <v>2764</v>
      </c>
      <c r="W71" s="4" t="s">
        <v>122</v>
      </c>
      <c r="X71" s="170"/>
      <c r="Y71" s="170"/>
      <c r="Z71" s="170"/>
      <c r="AA71" s="198">
        <v>42223.0</v>
      </c>
      <c r="AB71" s="198">
        <v>42226.0</v>
      </c>
      <c r="AC71" s="4"/>
      <c r="AD71" s="4"/>
      <c r="AE71" s="4"/>
      <c r="AF71" s="4"/>
      <c r="AG71" s="4"/>
      <c r="AH71" s="199" t="s">
        <v>2071</v>
      </c>
      <c r="AI71" s="199" t="s">
        <v>2597</v>
      </c>
      <c r="AJ71" s="4"/>
      <c r="AK71" s="4" t="s">
        <v>1612</v>
      </c>
      <c r="AL71" s="200">
        <f t="shared" si="2"/>
        <v>11</v>
      </c>
      <c r="AM71" s="201">
        <v>2015.0</v>
      </c>
    </row>
    <row r="72">
      <c r="A72" s="67">
        <f t="shared" si="1"/>
        <v>16924975</v>
      </c>
      <c r="B72" s="67">
        <v>71.0</v>
      </c>
      <c r="C72" s="67"/>
      <c r="D72" s="195">
        <v>11.0</v>
      </c>
      <c r="E72" s="4" t="s">
        <v>1965</v>
      </c>
      <c r="F72" s="195" t="s">
        <v>2576</v>
      </c>
      <c r="G72" s="4" t="s">
        <v>1741</v>
      </c>
      <c r="H72" s="185">
        <v>21.0</v>
      </c>
      <c r="I72" s="185" t="s">
        <v>2541</v>
      </c>
      <c r="J72" s="4" t="s">
        <v>112</v>
      </c>
      <c r="K72" s="4" t="s">
        <v>127</v>
      </c>
      <c r="L72" s="4" t="s">
        <v>117</v>
      </c>
      <c r="M72" s="4">
        <v>0.0</v>
      </c>
      <c r="N72" s="4" t="s">
        <v>116</v>
      </c>
      <c r="O72" s="4">
        <v>4.0</v>
      </c>
      <c r="P72" s="4">
        <v>2.0</v>
      </c>
      <c r="Q72" s="4">
        <v>1.0</v>
      </c>
      <c r="R72" s="4" t="s">
        <v>115</v>
      </c>
      <c r="S72" s="196">
        <v>42240.0</v>
      </c>
      <c r="T72" s="104"/>
      <c r="U72" s="104" t="s">
        <v>2765</v>
      </c>
      <c r="V72" s="4" t="s">
        <v>2766</v>
      </c>
      <c r="W72" s="4" t="s">
        <v>122</v>
      </c>
      <c r="X72" s="170"/>
      <c r="Y72" s="170"/>
      <c r="Z72" s="170"/>
      <c r="AA72" s="198">
        <v>42223.0</v>
      </c>
      <c r="AB72" s="198">
        <v>42226.0</v>
      </c>
      <c r="AC72" s="4"/>
      <c r="AD72" s="4"/>
      <c r="AE72" s="4"/>
      <c r="AF72" s="4"/>
      <c r="AG72" s="4"/>
      <c r="AH72" s="199" t="s">
        <v>2071</v>
      </c>
      <c r="AI72" s="199" t="s">
        <v>2597</v>
      </c>
      <c r="AJ72" s="4"/>
      <c r="AK72" s="4" t="s">
        <v>2163</v>
      </c>
      <c r="AL72" s="200">
        <f t="shared" si="2"/>
        <v>11</v>
      </c>
      <c r="AM72" s="201">
        <v>2015.0</v>
      </c>
    </row>
    <row r="73">
      <c r="A73" s="67">
        <f t="shared" si="1"/>
        <v>5900912</v>
      </c>
      <c r="B73" s="67">
        <v>72.0</v>
      </c>
      <c r="C73" s="67"/>
      <c r="D73" s="4">
        <v>95.0</v>
      </c>
      <c r="E73" s="4" t="s">
        <v>1618</v>
      </c>
      <c r="F73" s="195" t="s">
        <v>2635</v>
      </c>
      <c r="G73" s="4" t="s">
        <v>2418</v>
      </c>
      <c r="H73" s="185">
        <v>13.0</v>
      </c>
      <c r="I73" s="185" t="s">
        <v>2582</v>
      </c>
      <c r="J73" s="4" t="s">
        <v>112</v>
      </c>
      <c r="K73" s="4" t="s">
        <v>114</v>
      </c>
      <c r="L73" s="4" t="s">
        <v>117</v>
      </c>
      <c r="M73" s="4">
        <v>0.0</v>
      </c>
      <c r="N73" s="4" t="s">
        <v>116</v>
      </c>
      <c r="O73" s="4">
        <v>8.0</v>
      </c>
      <c r="P73" s="4">
        <v>2.0</v>
      </c>
      <c r="Q73" s="4">
        <v>1.0</v>
      </c>
      <c r="R73" s="4" t="s">
        <v>115</v>
      </c>
      <c r="S73" s="196">
        <v>42296.0</v>
      </c>
      <c r="T73" s="104"/>
      <c r="U73" s="104" t="s">
        <v>2767</v>
      </c>
      <c r="V73" s="4" t="s">
        <v>2768</v>
      </c>
      <c r="W73" s="4" t="s">
        <v>122</v>
      </c>
      <c r="X73" s="170"/>
      <c r="Y73" s="170"/>
      <c r="Z73" s="170"/>
      <c r="AA73" s="198">
        <v>42192.0</v>
      </c>
      <c r="AB73" s="198">
        <v>42199.0</v>
      </c>
      <c r="AC73" s="4"/>
      <c r="AD73" s="4"/>
      <c r="AE73" s="4"/>
      <c r="AF73" s="4"/>
      <c r="AG73" s="4"/>
      <c r="AH73" s="199" t="s">
        <v>2071</v>
      </c>
      <c r="AI73" s="199" t="s">
        <v>2597</v>
      </c>
      <c r="AJ73" s="4"/>
      <c r="AK73" s="4" t="s">
        <v>1612</v>
      </c>
      <c r="AL73" s="200">
        <f t="shared" si="2"/>
        <v>70</v>
      </c>
      <c r="AM73" s="201">
        <v>2015.0</v>
      </c>
    </row>
    <row r="74">
      <c r="A74" s="67">
        <f t="shared" si="1"/>
        <v>13937544</v>
      </c>
      <c r="B74" s="67">
        <v>73.0</v>
      </c>
      <c r="C74" s="67"/>
      <c r="D74" s="195">
        <v>60.0</v>
      </c>
      <c r="E74" s="4" t="s">
        <v>1594</v>
      </c>
      <c r="F74" s="195" t="s">
        <v>1947</v>
      </c>
      <c r="G74" s="4" t="s">
        <v>1687</v>
      </c>
      <c r="H74" s="185">
        <v>23.0</v>
      </c>
      <c r="I74" s="185" t="s">
        <v>2541</v>
      </c>
      <c r="J74" s="4" t="s">
        <v>112</v>
      </c>
      <c r="K74" s="4" t="s">
        <v>127</v>
      </c>
      <c r="L74" s="4" t="s">
        <v>117</v>
      </c>
      <c r="M74" s="4">
        <v>0.0</v>
      </c>
      <c r="N74" s="4" t="s">
        <v>116</v>
      </c>
      <c r="O74" s="4">
        <v>5.0</v>
      </c>
      <c r="P74" s="4">
        <v>1.0</v>
      </c>
      <c r="Q74" s="4">
        <v>1.0</v>
      </c>
      <c r="R74" s="4" t="s">
        <v>121</v>
      </c>
      <c r="S74" s="196">
        <v>42275.0</v>
      </c>
      <c r="T74" s="104"/>
      <c r="U74" s="104" t="s">
        <v>2769</v>
      </c>
      <c r="V74" s="4" t="s">
        <v>2770</v>
      </c>
      <c r="W74" s="4" t="s">
        <v>122</v>
      </c>
      <c r="X74" s="170"/>
      <c r="Y74" s="170"/>
      <c r="Z74" s="197" t="s">
        <v>140</v>
      </c>
      <c r="AA74" s="198">
        <v>42228.0</v>
      </c>
      <c r="AB74" s="198">
        <v>42235.0</v>
      </c>
      <c r="AC74" s="4"/>
      <c r="AD74" s="4"/>
      <c r="AE74" s="4"/>
      <c r="AF74" s="4"/>
      <c r="AG74" s="4"/>
      <c r="AH74" s="199" t="s">
        <v>2071</v>
      </c>
      <c r="AI74" s="199" t="s">
        <v>2597</v>
      </c>
      <c r="AJ74" s="4"/>
      <c r="AK74" s="4" t="s">
        <v>1612</v>
      </c>
      <c r="AL74" s="200">
        <f t="shared" si="2"/>
        <v>29</v>
      </c>
      <c r="AM74" s="201">
        <v>2015.0</v>
      </c>
    </row>
    <row r="75">
      <c r="A75" s="67">
        <f t="shared" si="1"/>
        <v>9063120</v>
      </c>
      <c r="B75" s="67">
        <v>74.0</v>
      </c>
      <c r="C75" s="67"/>
      <c r="D75" s="195">
        <v>60.0</v>
      </c>
      <c r="E75" s="4" t="s">
        <v>1594</v>
      </c>
      <c r="F75" s="195" t="s">
        <v>2642</v>
      </c>
      <c r="G75" s="4" t="s">
        <v>1907</v>
      </c>
      <c r="H75" s="185">
        <v>13.0</v>
      </c>
      <c r="I75" s="185" t="s">
        <v>2582</v>
      </c>
      <c r="J75" s="4" t="s">
        <v>112</v>
      </c>
      <c r="K75" s="4" t="s">
        <v>114</v>
      </c>
      <c r="L75" s="4" t="s">
        <v>117</v>
      </c>
      <c r="M75" s="4">
        <v>0.0</v>
      </c>
      <c r="N75" s="4" t="s">
        <v>116</v>
      </c>
      <c r="O75" s="4">
        <v>3.0</v>
      </c>
      <c r="P75" s="4">
        <v>1.0</v>
      </c>
      <c r="Q75" s="4">
        <v>1.0</v>
      </c>
      <c r="R75" s="4" t="s">
        <v>121</v>
      </c>
      <c r="S75" s="196">
        <v>42243.0</v>
      </c>
      <c r="T75" s="104"/>
      <c r="U75" s="104" t="s">
        <v>2771</v>
      </c>
      <c r="V75" s="4" t="s">
        <v>2772</v>
      </c>
      <c r="W75" s="4" t="s">
        <v>122</v>
      </c>
      <c r="X75" s="197" t="s">
        <v>138</v>
      </c>
      <c r="Y75" s="170"/>
      <c r="Z75" s="170"/>
      <c r="AA75" s="198">
        <v>42222.0</v>
      </c>
      <c r="AB75" s="198">
        <v>42229.0</v>
      </c>
      <c r="AC75" s="4"/>
      <c r="AD75" s="4"/>
      <c r="AE75" s="4"/>
      <c r="AF75" s="4"/>
      <c r="AG75" s="4"/>
      <c r="AH75" s="199" t="s">
        <v>2071</v>
      </c>
      <c r="AI75" s="199" t="s">
        <v>2773</v>
      </c>
      <c r="AJ75" s="4"/>
      <c r="AK75" s="4" t="s">
        <v>1612</v>
      </c>
      <c r="AL75" s="200">
        <f t="shared" si="2"/>
        <v>11</v>
      </c>
      <c r="AM75" s="201">
        <v>2015.0</v>
      </c>
    </row>
    <row r="76">
      <c r="A76" s="67">
        <f t="shared" si="1"/>
        <v>14003220</v>
      </c>
      <c r="B76" s="67">
        <v>75.0</v>
      </c>
      <c r="C76" s="67"/>
      <c r="D76" s="195">
        <v>15.0</v>
      </c>
      <c r="E76" s="4" t="s">
        <v>1975</v>
      </c>
      <c r="F76" s="195" t="s">
        <v>2774</v>
      </c>
      <c r="G76" s="4" t="s">
        <v>1611</v>
      </c>
      <c r="H76" s="185">
        <v>14.0</v>
      </c>
      <c r="I76" s="185" t="s">
        <v>2541</v>
      </c>
      <c r="J76" s="4" t="s">
        <v>112</v>
      </c>
      <c r="K76" s="4" t="s">
        <v>114</v>
      </c>
      <c r="L76" s="4" t="s">
        <v>117</v>
      </c>
      <c r="M76" s="4">
        <v>0.0</v>
      </c>
      <c r="N76" s="4" t="s">
        <v>116</v>
      </c>
      <c r="O76" s="4">
        <v>12.0</v>
      </c>
      <c r="P76" s="4">
        <v>2.0</v>
      </c>
      <c r="Q76" s="4">
        <v>1.0</v>
      </c>
      <c r="R76" s="4" t="s">
        <v>121</v>
      </c>
      <c r="S76" s="196">
        <v>42296.0</v>
      </c>
      <c r="T76" s="104"/>
      <c r="U76" s="104" t="s">
        <v>2775</v>
      </c>
      <c r="V76" s="4" t="s">
        <v>2776</v>
      </c>
      <c r="W76" s="4" t="s">
        <v>118</v>
      </c>
      <c r="X76" s="170"/>
      <c r="Y76" s="170"/>
      <c r="Z76" s="197" t="s">
        <v>138</v>
      </c>
      <c r="AA76" s="198">
        <v>42205.0</v>
      </c>
      <c r="AB76" s="198">
        <v>42212.0</v>
      </c>
      <c r="AC76" s="4"/>
      <c r="AD76" s="4"/>
      <c r="AE76" s="4"/>
      <c r="AF76" s="4"/>
      <c r="AG76" s="4"/>
      <c r="AH76" s="199" t="s">
        <v>2071</v>
      </c>
      <c r="AI76" s="199" t="s">
        <v>2597</v>
      </c>
      <c r="AJ76" s="4"/>
      <c r="AK76" s="4" t="s">
        <v>2163</v>
      </c>
      <c r="AL76" s="200">
        <f t="shared" si="2"/>
        <v>61</v>
      </c>
      <c r="AM76" s="201">
        <v>2015.0</v>
      </c>
    </row>
    <row r="77">
      <c r="A77" s="67">
        <f t="shared" si="1"/>
        <v>7687205</v>
      </c>
      <c r="B77" s="67">
        <v>76.0</v>
      </c>
      <c r="C77" s="67"/>
      <c r="D77" s="4">
        <v>40.0</v>
      </c>
      <c r="E77" s="4" t="s">
        <v>2012</v>
      </c>
      <c r="F77" s="195" t="s">
        <v>1947</v>
      </c>
      <c r="G77" s="4" t="s">
        <v>1687</v>
      </c>
      <c r="H77" s="185">
        <v>23.0</v>
      </c>
      <c r="I77" s="185" t="s">
        <v>2541</v>
      </c>
      <c r="J77" s="4" t="s">
        <v>112</v>
      </c>
      <c r="K77" s="4" t="s">
        <v>127</v>
      </c>
      <c r="L77" s="4" t="s">
        <v>117</v>
      </c>
      <c r="M77" s="4">
        <v>1.0</v>
      </c>
      <c r="N77" s="4" t="s">
        <v>116</v>
      </c>
      <c r="O77" s="4">
        <v>4.0</v>
      </c>
      <c r="P77" s="4">
        <v>2.0</v>
      </c>
      <c r="Q77" s="4">
        <v>1.0</v>
      </c>
      <c r="R77" s="4" t="s">
        <v>115</v>
      </c>
      <c r="S77" s="196">
        <v>42310.0</v>
      </c>
      <c r="T77" s="104"/>
      <c r="U77" s="104" t="s">
        <v>2777</v>
      </c>
      <c r="V77" s="4" t="s">
        <v>2778</v>
      </c>
      <c r="W77" s="4" t="s">
        <v>122</v>
      </c>
      <c r="X77" s="170"/>
      <c r="Y77" s="170"/>
      <c r="Z77" s="170"/>
      <c r="AA77" s="198">
        <v>42284.0</v>
      </c>
      <c r="AB77" s="198">
        <v>42291.0</v>
      </c>
      <c r="AC77" s="4"/>
      <c r="AD77" s="4"/>
      <c r="AE77" s="4"/>
      <c r="AF77" s="4"/>
      <c r="AG77" s="4"/>
      <c r="AH77" s="199" t="s">
        <v>2071</v>
      </c>
      <c r="AI77" s="199" t="s">
        <v>2779</v>
      </c>
      <c r="AJ77" s="4"/>
      <c r="AK77" s="4" t="s">
        <v>2157</v>
      </c>
      <c r="AL77" s="200">
        <f t="shared" si="2"/>
        <v>14</v>
      </c>
      <c r="AM77" s="201">
        <v>2015.0</v>
      </c>
    </row>
    <row r="78">
      <c r="A78" s="67">
        <f t="shared" si="1"/>
        <v>13353713</v>
      </c>
      <c r="B78" s="67">
        <v>77.0</v>
      </c>
      <c r="C78" s="67"/>
      <c r="D78" s="4">
        <v>3.0</v>
      </c>
      <c r="E78" s="4" t="s">
        <v>2495</v>
      </c>
      <c r="F78" s="195" t="s">
        <v>2780</v>
      </c>
      <c r="G78" s="4" t="s">
        <v>2781</v>
      </c>
      <c r="H78" s="185">
        <v>17.0</v>
      </c>
      <c r="I78" s="185" t="s">
        <v>2541</v>
      </c>
      <c r="J78" s="4" t="s">
        <v>112</v>
      </c>
      <c r="K78" s="4" t="s">
        <v>125</v>
      </c>
      <c r="L78" s="4" t="s">
        <v>117</v>
      </c>
      <c r="M78" s="4">
        <v>1.0</v>
      </c>
      <c r="N78" s="4" t="s">
        <v>122</v>
      </c>
      <c r="O78" s="4"/>
      <c r="P78" s="4"/>
      <c r="Q78" s="4">
        <v>0.0</v>
      </c>
      <c r="R78" s="4" t="s">
        <v>115</v>
      </c>
      <c r="S78" s="196">
        <v>42248.0</v>
      </c>
      <c r="T78" s="104" t="s">
        <v>2782</v>
      </c>
      <c r="U78" s="104"/>
      <c r="V78" s="4" t="s">
        <v>2783</v>
      </c>
      <c r="W78" s="4" t="s">
        <v>122</v>
      </c>
      <c r="X78" s="170"/>
      <c r="Y78" s="170"/>
      <c r="Z78" s="170"/>
      <c r="AA78" s="198">
        <v>42221.0</v>
      </c>
      <c r="AB78" s="198">
        <v>42226.0</v>
      </c>
      <c r="AC78" s="4">
        <v>21.0</v>
      </c>
      <c r="AD78" s="4" t="s">
        <v>125</v>
      </c>
      <c r="AE78" s="4"/>
      <c r="AF78" s="4" t="s">
        <v>2495</v>
      </c>
      <c r="AG78" s="4"/>
      <c r="AH78" s="199" t="s">
        <v>2071</v>
      </c>
      <c r="AI78" s="199" t="s">
        <v>2784</v>
      </c>
      <c r="AJ78" s="4"/>
      <c r="AK78" s="4" t="s">
        <v>1612</v>
      </c>
      <c r="AL78" s="200">
        <f t="shared" si="2"/>
        <v>17</v>
      </c>
      <c r="AM78" s="201">
        <v>2015.0</v>
      </c>
    </row>
    <row r="79">
      <c r="A79" s="67">
        <f t="shared" si="1"/>
        <v>10874837</v>
      </c>
      <c r="B79" s="67">
        <v>78.0</v>
      </c>
      <c r="C79" s="67"/>
      <c r="D79" s="195">
        <v>15.0</v>
      </c>
      <c r="E79" s="4" t="s">
        <v>1642</v>
      </c>
      <c r="F79" s="195" t="s">
        <v>1947</v>
      </c>
      <c r="G79" s="4" t="s">
        <v>1687</v>
      </c>
      <c r="H79" s="185">
        <v>23.0</v>
      </c>
      <c r="I79" s="185" t="s">
        <v>2541</v>
      </c>
      <c r="J79" s="4" t="s">
        <v>112</v>
      </c>
      <c r="K79" s="4" t="s">
        <v>127</v>
      </c>
      <c r="L79" s="4" t="s">
        <v>117</v>
      </c>
      <c r="M79" s="4">
        <v>0.0</v>
      </c>
      <c r="N79" s="4" t="s">
        <v>116</v>
      </c>
      <c r="O79" s="4">
        <v>1.0</v>
      </c>
      <c r="P79" s="4">
        <v>1.0</v>
      </c>
      <c r="Q79" s="4">
        <v>1.0</v>
      </c>
      <c r="R79" s="4" t="s">
        <v>121</v>
      </c>
      <c r="S79" s="196">
        <v>42303.0</v>
      </c>
      <c r="T79" s="104"/>
      <c r="U79" s="104" t="s">
        <v>2785</v>
      </c>
      <c r="V79" s="4" t="s">
        <v>2786</v>
      </c>
      <c r="W79" s="4" t="s">
        <v>122</v>
      </c>
      <c r="X79" s="170"/>
      <c r="Y79" s="170"/>
      <c r="Z79" s="170"/>
      <c r="AA79" s="198">
        <v>42269.0</v>
      </c>
      <c r="AB79" s="198">
        <v>42277.0</v>
      </c>
      <c r="AC79" s="4"/>
      <c r="AD79" s="4"/>
      <c r="AE79" s="4"/>
      <c r="AF79" s="4"/>
      <c r="AG79" s="4"/>
      <c r="AH79" s="199" t="s">
        <v>2071</v>
      </c>
      <c r="AI79" s="199" t="s">
        <v>2597</v>
      </c>
      <c r="AJ79" s="4"/>
      <c r="AK79" s="4" t="s">
        <v>2157</v>
      </c>
      <c r="AL79" s="200">
        <f t="shared" si="2"/>
        <v>19</v>
      </c>
      <c r="AM79" s="201">
        <v>2015.0</v>
      </c>
    </row>
    <row r="80">
      <c r="A80" s="67">
        <f t="shared" si="1"/>
        <v>15617714</v>
      </c>
      <c r="B80" s="67">
        <v>79.0</v>
      </c>
      <c r="C80" s="67"/>
      <c r="D80" s="195">
        <v>22.0</v>
      </c>
      <c r="E80" s="4" t="s">
        <v>2015</v>
      </c>
      <c r="F80" s="195" t="s">
        <v>2787</v>
      </c>
      <c r="G80" s="4" t="s">
        <v>2788</v>
      </c>
      <c r="H80" s="185">
        <v>13.0</v>
      </c>
      <c r="I80" s="185" t="s">
        <v>2541</v>
      </c>
      <c r="J80" s="4" t="s">
        <v>112</v>
      </c>
      <c r="K80" s="4" t="s">
        <v>114</v>
      </c>
      <c r="L80" s="4" t="s">
        <v>117</v>
      </c>
      <c r="M80" s="4">
        <v>0.0</v>
      </c>
      <c r="N80" s="4" t="s">
        <v>116</v>
      </c>
      <c r="O80" s="4">
        <v>10.0</v>
      </c>
      <c r="P80" s="4">
        <v>1.0</v>
      </c>
      <c r="Q80" s="4">
        <v>3.0</v>
      </c>
      <c r="R80" s="4" t="s">
        <v>121</v>
      </c>
      <c r="S80" s="196">
        <v>42310.0</v>
      </c>
      <c r="T80" s="104"/>
      <c r="U80" s="104" t="s">
        <v>2789</v>
      </c>
      <c r="V80" s="4" t="s">
        <v>2790</v>
      </c>
      <c r="W80" s="4" t="s">
        <v>122</v>
      </c>
      <c r="X80" s="170"/>
      <c r="Y80" s="170"/>
      <c r="Z80" s="170"/>
      <c r="AA80" s="198">
        <v>42283.0</v>
      </c>
      <c r="AB80" s="198">
        <v>42290.0</v>
      </c>
      <c r="AC80" s="4"/>
      <c r="AD80" s="4"/>
      <c r="AE80" s="4"/>
      <c r="AF80" s="4"/>
      <c r="AG80" s="4"/>
      <c r="AH80" s="199" t="s">
        <v>2071</v>
      </c>
      <c r="AI80" s="199" t="s">
        <v>2791</v>
      </c>
      <c r="AJ80" s="4"/>
      <c r="AK80" s="4" t="s">
        <v>2163</v>
      </c>
      <c r="AL80" s="200">
        <f t="shared" si="2"/>
        <v>15</v>
      </c>
      <c r="AM80" s="201">
        <v>2015.0</v>
      </c>
    </row>
    <row r="81">
      <c r="A81" s="67">
        <f t="shared" si="1"/>
        <v>14201293</v>
      </c>
      <c r="B81" s="67">
        <v>80.0</v>
      </c>
      <c r="C81" s="67"/>
      <c r="D81" s="195">
        <v>22.0</v>
      </c>
      <c r="E81" s="4" t="s">
        <v>2557</v>
      </c>
      <c r="F81" s="195" t="s">
        <v>2031</v>
      </c>
      <c r="G81" s="4" t="s">
        <v>2032</v>
      </c>
      <c r="H81" s="185">
        <v>11.0</v>
      </c>
      <c r="I81" s="185" t="s">
        <v>2541</v>
      </c>
      <c r="J81" s="4" t="s">
        <v>112</v>
      </c>
      <c r="K81" s="4" t="s">
        <v>114</v>
      </c>
      <c r="L81" s="4" t="s">
        <v>117</v>
      </c>
      <c r="M81" s="4">
        <v>0.0</v>
      </c>
      <c r="N81" s="4" t="s">
        <v>116</v>
      </c>
      <c r="O81" s="4"/>
      <c r="P81" s="4"/>
      <c r="Q81" s="4">
        <v>6.0</v>
      </c>
      <c r="R81" s="4" t="s">
        <v>115</v>
      </c>
      <c r="S81" s="196">
        <v>42317.0</v>
      </c>
      <c r="T81" s="104"/>
      <c r="U81" s="104" t="s">
        <v>2792</v>
      </c>
      <c r="V81" s="4" t="s">
        <v>2793</v>
      </c>
      <c r="W81" s="4" t="s">
        <v>122</v>
      </c>
      <c r="X81" s="170"/>
      <c r="Y81" s="170"/>
      <c r="Z81" s="170"/>
      <c r="AA81" s="198">
        <v>42242.0</v>
      </c>
      <c r="AB81" s="198">
        <v>42268.0</v>
      </c>
      <c r="AC81" s="4"/>
      <c r="AD81" s="4"/>
      <c r="AE81" s="4"/>
      <c r="AF81" s="4"/>
      <c r="AG81" s="4"/>
      <c r="AH81" s="199" t="s">
        <v>2071</v>
      </c>
      <c r="AI81" s="199" t="s">
        <v>2597</v>
      </c>
      <c r="AJ81" s="4"/>
      <c r="AK81" s="4" t="s">
        <v>2163</v>
      </c>
      <c r="AL81" s="200">
        <f t="shared" si="2"/>
        <v>36</v>
      </c>
      <c r="AM81" s="201">
        <v>2015.0</v>
      </c>
    </row>
    <row r="82">
      <c r="A82" s="67">
        <f t="shared" si="1"/>
        <v>10275145</v>
      </c>
      <c r="B82" s="67">
        <v>81.0</v>
      </c>
      <c r="C82" s="67"/>
      <c r="D82" s="195">
        <v>60.0</v>
      </c>
      <c r="E82" s="4" t="s">
        <v>1594</v>
      </c>
      <c r="F82" s="195" t="s">
        <v>2794</v>
      </c>
      <c r="G82" s="4" t="s">
        <v>2795</v>
      </c>
      <c r="H82" s="185">
        <v>20.0</v>
      </c>
      <c r="I82" s="185" t="s">
        <v>2541</v>
      </c>
      <c r="J82" s="4" t="s">
        <v>112</v>
      </c>
      <c r="K82" s="4" t="s">
        <v>120</v>
      </c>
      <c r="L82" s="4" t="s">
        <v>117</v>
      </c>
      <c r="M82" s="4">
        <v>0.0</v>
      </c>
      <c r="N82" s="4" t="s">
        <v>116</v>
      </c>
      <c r="O82" s="4">
        <v>13.0</v>
      </c>
      <c r="P82" s="4">
        <v>1.0</v>
      </c>
      <c r="Q82" s="4">
        <v>2.0</v>
      </c>
      <c r="R82" s="4" t="s">
        <v>115</v>
      </c>
      <c r="S82" s="196">
        <v>42304.0</v>
      </c>
      <c r="T82" s="104"/>
      <c r="U82" s="104" t="s">
        <v>2796</v>
      </c>
      <c r="V82" s="4" t="s">
        <v>2797</v>
      </c>
      <c r="W82" s="4" t="s">
        <v>118</v>
      </c>
      <c r="X82" s="170"/>
      <c r="Y82" s="170"/>
      <c r="Z82" s="170" t="s">
        <v>2435</v>
      </c>
      <c r="AA82" s="198">
        <v>42230.0</v>
      </c>
      <c r="AB82" s="198">
        <v>42233.0</v>
      </c>
      <c r="AC82" s="4"/>
      <c r="AD82" s="4"/>
      <c r="AE82" s="4"/>
      <c r="AF82" s="4"/>
      <c r="AG82" s="4"/>
      <c r="AH82" s="199" t="s">
        <v>2071</v>
      </c>
      <c r="AI82" s="199" t="s">
        <v>2798</v>
      </c>
      <c r="AJ82" s="4"/>
      <c r="AK82" s="4" t="s">
        <v>1612</v>
      </c>
      <c r="AL82" s="200">
        <f t="shared" si="2"/>
        <v>52</v>
      </c>
      <c r="AM82" s="201">
        <v>2015.0</v>
      </c>
    </row>
    <row r="83">
      <c r="A83" s="67">
        <f t="shared" si="1"/>
        <v>17879933</v>
      </c>
      <c r="B83" s="67">
        <v>82.0</v>
      </c>
      <c r="C83" s="67"/>
      <c r="D83" s="195">
        <v>15.0</v>
      </c>
      <c r="E83" s="4" t="s">
        <v>1975</v>
      </c>
      <c r="F83" s="195" t="s">
        <v>1970</v>
      </c>
      <c r="G83" s="4" t="s">
        <v>1638</v>
      </c>
      <c r="H83" s="185">
        <v>23.0</v>
      </c>
      <c r="I83" s="185" t="s">
        <v>2541</v>
      </c>
      <c r="J83" s="4" t="s">
        <v>112</v>
      </c>
      <c r="K83" s="4" t="s">
        <v>127</v>
      </c>
      <c r="L83" s="4" t="s">
        <v>117</v>
      </c>
      <c r="M83" s="4">
        <v>0.0</v>
      </c>
      <c r="N83" s="4" t="s">
        <v>116</v>
      </c>
      <c r="O83" s="4">
        <v>9.0</v>
      </c>
      <c r="P83" s="4">
        <v>1.0</v>
      </c>
      <c r="Q83" s="4">
        <v>1.0</v>
      </c>
      <c r="R83" s="4" t="s">
        <v>121</v>
      </c>
      <c r="S83" s="196">
        <v>42310.0</v>
      </c>
      <c r="T83" s="104"/>
      <c r="U83" s="104" t="s">
        <v>2799</v>
      </c>
      <c r="V83" s="4" t="s">
        <v>2800</v>
      </c>
      <c r="W83" s="4" t="s">
        <v>122</v>
      </c>
      <c r="X83" s="170"/>
      <c r="Y83" s="170"/>
      <c r="Z83" s="170"/>
      <c r="AA83" s="198">
        <v>42283.0</v>
      </c>
      <c r="AB83" s="198">
        <v>42290.0</v>
      </c>
      <c r="AC83" s="4"/>
      <c r="AD83" s="4"/>
      <c r="AE83" s="4"/>
      <c r="AF83" s="4"/>
      <c r="AG83" s="4"/>
      <c r="AH83" s="199" t="s">
        <v>2071</v>
      </c>
      <c r="AI83" s="199" t="s">
        <v>2801</v>
      </c>
      <c r="AJ83" s="4"/>
      <c r="AK83" s="4" t="s">
        <v>1612</v>
      </c>
      <c r="AL83" s="200">
        <f t="shared" si="2"/>
        <v>15</v>
      </c>
      <c r="AM83" s="201">
        <v>2015.0</v>
      </c>
    </row>
    <row r="84">
      <c r="A84" s="67">
        <f t="shared" si="1"/>
        <v>17663754</v>
      </c>
      <c r="B84" s="67">
        <v>83.0</v>
      </c>
      <c r="C84" s="67"/>
      <c r="D84" s="4">
        <v>3.0</v>
      </c>
      <c r="E84" s="4" t="s">
        <v>2036</v>
      </c>
      <c r="F84" s="195" t="s">
        <v>2802</v>
      </c>
      <c r="G84" s="4" t="s">
        <v>1862</v>
      </c>
      <c r="H84" s="185">
        <v>17.0</v>
      </c>
      <c r="I84" s="185" t="s">
        <v>2541</v>
      </c>
      <c r="J84" s="4" t="s">
        <v>112</v>
      </c>
      <c r="K84" s="4" t="s">
        <v>125</v>
      </c>
      <c r="L84" s="4" t="s">
        <v>117</v>
      </c>
      <c r="M84" s="4">
        <v>0.0</v>
      </c>
      <c r="N84" s="4" t="s">
        <v>116</v>
      </c>
      <c r="O84" s="4">
        <v>13.0</v>
      </c>
      <c r="P84" s="4">
        <v>1.0</v>
      </c>
      <c r="Q84" s="4">
        <v>2.0</v>
      </c>
      <c r="R84" s="4" t="s">
        <v>121</v>
      </c>
      <c r="S84" s="196">
        <v>42324.0</v>
      </c>
      <c r="T84" s="104"/>
      <c r="U84" s="104" t="s">
        <v>2803</v>
      </c>
      <c r="V84" s="4" t="s">
        <v>2804</v>
      </c>
      <c r="W84" s="4" t="s">
        <v>122</v>
      </c>
      <c r="X84" s="170"/>
      <c r="Y84" s="170"/>
      <c r="Z84" s="170"/>
      <c r="AA84" s="198">
        <v>42278.0</v>
      </c>
      <c r="AB84" s="198">
        <v>42285.0</v>
      </c>
      <c r="AC84" s="4"/>
      <c r="AD84" s="4"/>
      <c r="AE84" s="4"/>
      <c r="AF84" s="4"/>
      <c r="AG84" s="4"/>
      <c r="AH84" s="199" t="s">
        <v>2071</v>
      </c>
      <c r="AI84" s="199" t="s">
        <v>2805</v>
      </c>
      <c r="AJ84" s="4"/>
      <c r="AK84" s="4" t="s">
        <v>1612</v>
      </c>
      <c r="AL84" s="200">
        <f t="shared" si="2"/>
        <v>28</v>
      </c>
      <c r="AM84" s="201">
        <v>2015.0</v>
      </c>
    </row>
    <row r="85">
      <c r="A85" s="67">
        <f t="shared" si="1"/>
        <v>16660591</v>
      </c>
      <c r="B85" s="67">
        <v>84.0</v>
      </c>
      <c r="C85" s="67"/>
      <c r="D85" s="195">
        <v>15.0</v>
      </c>
      <c r="E85" s="4" t="s">
        <v>1876</v>
      </c>
      <c r="F85" s="195" t="s">
        <v>2540</v>
      </c>
      <c r="G85" s="4" t="s">
        <v>1898</v>
      </c>
      <c r="H85" s="185">
        <v>17.0</v>
      </c>
      <c r="I85" s="185" t="s">
        <v>2541</v>
      </c>
      <c r="J85" s="4" t="s">
        <v>112</v>
      </c>
      <c r="K85" s="4" t="s">
        <v>125</v>
      </c>
      <c r="L85" s="4" t="s">
        <v>117</v>
      </c>
      <c r="M85" s="4">
        <v>0.0</v>
      </c>
      <c r="N85" s="4" t="s">
        <v>116</v>
      </c>
      <c r="O85" s="4">
        <v>7.0</v>
      </c>
      <c r="P85" s="4">
        <v>1.0</v>
      </c>
      <c r="Q85" s="4">
        <v>1.0</v>
      </c>
      <c r="R85" s="4" t="s">
        <v>121</v>
      </c>
      <c r="S85" s="196">
        <v>42268.0</v>
      </c>
      <c r="T85" s="104"/>
      <c r="U85" s="104" t="s">
        <v>2806</v>
      </c>
      <c r="V85" s="4" t="s">
        <v>2807</v>
      </c>
      <c r="W85" s="4" t="s">
        <v>122</v>
      </c>
      <c r="X85" s="170"/>
      <c r="Y85" s="170"/>
      <c r="Z85" s="170"/>
      <c r="AA85" s="198">
        <v>42200.0</v>
      </c>
      <c r="AB85" s="198">
        <v>42207.0</v>
      </c>
      <c r="AC85" s="4"/>
      <c r="AD85" s="4"/>
      <c r="AE85" s="4"/>
      <c r="AF85" s="4"/>
      <c r="AG85" s="4"/>
      <c r="AH85" s="199" t="s">
        <v>2071</v>
      </c>
      <c r="AI85" s="199" t="s">
        <v>2668</v>
      </c>
      <c r="AJ85" s="4"/>
      <c r="AK85" s="4" t="s">
        <v>2163</v>
      </c>
      <c r="AL85" s="200">
        <f t="shared" si="2"/>
        <v>44</v>
      </c>
      <c r="AM85" s="201">
        <v>2015.0</v>
      </c>
    </row>
    <row r="86">
      <c r="A86" s="67">
        <f t="shared" si="1"/>
        <v>19258950</v>
      </c>
      <c r="B86" s="67">
        <v>85.0</v>
      </c>
      <c r="C86" s="67"/>
      <c r="D86" s="195">
        <v>22.0</v>
      </c>
      <c r="E86" s="4" t="s">
        <v>1961</v>
      </c>
      <c r="F86" s="195" t="s">
        <v>1947</v>
      </c>
      <c r="G86" s="4" t="s">
        <v>1687</v>
      </c>
      <c r="H86" s="185">
        <v>23.0</v>
      </c>
      <c r="I86" s="185" t="s">
        <v>2541</v>
      </c>
      <c r="J86" s="4" t="s">
        <v>112</v>
      </c>
      <c r="K86" s="4" t="s">
        <v>127</v>
      </c>
      <c r="L86" s="4" t="s">
        <v>117</v>
      </c>
      <c r="M86" s="4">
        <v>0.0</v>
      </c>
      <c r="N86" s="4" t="s">
        <v>116</v>
      </c>
      <c r="O86" s="215"/>
      <c r="P86" s="4">
        <v>1.0</v>
      </c>
      <c r="Q86" s="4">
        <v>1.0</v>
      </c>
      <c r="R86" s="4" t="s">
        <v>115</v>
      </c>
      <c r="S86" s="196">
        <v>42292.0</v>
      </c>
      <c r="T86" s="104"/>
      <c r="U86" s="104" t="s">
        <v>2808</v>
      </c>
      <c r="V86" s="4" t="s">
        <v>2809</v>
      </c>
      <c r="W86" s="4" t="s">
        <v>122</v>
      </c>
      <c r="X86" s="170"/>
      <c r="Y86" s="170"/>
      <c r="Z86" s="170"/>
      <c r="AA86" s="198">
        <v>42269.0</v>
      </c>
      <c r="AB86" s="198">
        <v>42277.0</v>
      </c>
      <c r="AC86" s="4"/>
      <c r="AD86" s="4"/>
      <c r="AE86" s="4"/>
      <c r="AF86" s="4"/>
      <c r="AG86" s="4"/>
      <c r="AH86" s="199" t="s">
        <v>2071</v>
      </c>
      <c r="AI86" s="199" t="s">
        <v>2597</v>
      </c>
      <c r="AJ86" s="4"/>
      <c r="AK86" s="4" t="s">
        <v>2157</v>
      </c>
      <c r="AL86" s="200">
        <f t="shared" si="2"/>
        <v>12</v>
      </c>
      <c r="AM86" s="201">
        <v>2015.0</v>
      </c>
    </row>
    <row r="87">
      <c r="A87" s="67">
        <f t="shared" si="1"/>
        <v>14367797</v>
      </c>
      <c r="B87" s="67">
        <v>86.0</v>
      </c>
      <c r="C87" s="67"/>
      <c r="D87" s="4">
        <v>3.0</v>
      </c>
      <c r="E87" s="4" t="s">
        <v>2735</v>
      </c>
      <c r="F87" s="195" t="e">
        <v>#N/A</v>
      </c>
      <c r="G87" s="4" t="s">
        <v>2148</v>
      </c>
      <c r="H87" s="185">
        <v>6.0</v>
      </c>
      <c r="I87" s="185" t="s">
        <v>2541</v>
      </c>
      <c r="J87" s="4" t="s">
        <v>112</v>
      </c>
      <c r="K87" s="4" t="s">
        <v>114</v>
      </c>
      <c r="L87" s="4" t="s">
        <v>117</v>
      </c>
      <c r="M87" s="4">
        <v>1.0</v>
      </c>
      <c r="N87" s="4" t="s">
        <v>116</v>
      </c>
      <c r="O87" s="4">
        <v>1.0</v>
      </c>
      <c r="P87" s="4">
        <v>1.0</v>
      </c>
      <c r="Q87" s="4">
        <v>1.0</v>
      </c>
      <c r="R87" s="4" t="s">
        <v>121</v>
      </c>
      <c r="S87" s="196">
        <v>42285.0</v>
      </c>
      <c r="T87" s="104"/>
      <c r="U87" s="104" t="s">
        <v>2810</v>
      </c>
      <c r="V87" s="4" t="s">
        <v>2811</v>
      </c>
      <c r="W87" s="4" t="s">
        <v>122</v>
      </c>
      <c r="X87" s="170"/>
      <c r="Y87" s="170"/>
      <c r="Z87" s="170"/>
      <c r="AA87" s="198">
        <v>42164.0</v>
      </c>
      <c r="AB87" s="198">
        <v>42166.0</v>
      </c>
      <c r="AC87" s="4"/>
      <c r="AD87" s="4"/>
      <c r="AE87" s="4"/>
      <c r="AF87" s="4"/>
      <c r="AG87" s="4"/>
      <c r="AH87" s="199" t="s">
        <v>2071</v>
      </c>
      <c r="AI87" s="199" t="s">
        <v>2597</v>
      </c>
      <c r="AJ87" s="4"/>
      <c r="AK87" s="4" t="s">
        <v>2163</v>
      </c>
      <c r="AL87" s="200">
        <f t="shared" si="2"/>
        <v>86</v>
      </c>
      <c r="AM87" s="201">
        <v>2015.0</v>
      </c>
    </row>
    <row r="88">
      <c r="A88" s="67">
        <f t="shared" si="1"/>
        <v>15843366</v>
      </c>
      <c r="B88" s="67">
        <v>87.0</v>
      </c>
      <c r="C88" s="67"/>
      <c r="D88" s="195">
        <v>15.0</v>
      </c>
      <c r="E88" s="4" t="s">
        <v>2812</v>
      </c>
      <c r="F88" s="195" t="s">
        <v>2752</v>
      </c>
      <c r="G88" s="4" t="s">
        <v>2753</v>
      </c>
      <c r="H88" s="185">
        <v>8.0</v>
      </c>
      <c r="I88" s="185" t="s">
        <v>2541</v>
      </c>
      <c r="J88" s="4" t="s">
        <v>112</v>
      </c>
      <c r="K88" s="4" t="s">
        <v>114</v>
      </c>
      <c r="L88" s="4" t="s">
        <v>122</v>
      </c>
      <c r="M88" s="4"/>
      <c r="N88" s="4" t="s">
        <v>122</v>
      </c>
      <c r="O88" s="4">
        <v>1.0</v>
      </c>
      <c r="P88" s="4">
        <v>1.0</v>
      </c>
      <c r="Q88" s="4"/>
      <c r="R88" s="4" t="s">
        <v>121</v>
      </c>
      <c r="S88" s="196">
        <v>42339.0</v>
      </c>
      <c r="T88" s="104"/>
      <c r="U88" s="104" t="s">
        <v>2813</v>
      </c>
      <c r="V88" s="4" t="s">
        <v>2814</v>
      </c>
      <c r="W88" s="4" t="s">
        <v>122</v>
      </c>
      <c r="X88" s="170"/>
      <c r="Y88" s="170"/>
      <c r="Z88" s="170"/>
      <c r="AA88" s="198"/>
      <c r="AB88" s="198">
        <v>42318.0</v>
      </c>
      <c r="AC88" s="4"/>
      <c r="AD88" s="4"/>
      <c r="AE88" s="4"/>
      <c r="AF88" s="4"/>
      <c r="AG88" s="4"/>
      <c r="AH88" s="199" t="s">
        <v>2065</v>
      </c>
      <c r="AI88" s="216" t="s">
        <v>2815</v>
      </c>
      <c r="AJ88" s="4"/>
      <c r="AK88" s="4"/>
      <c r="AL88" s="200">
        <f t="shared" si="2"/>
        <v>16</v>
      </c>
      <c r="AM88" s="201">
        <v>2015.0</v>
      </c>
    </row>
    <row r="89">
      <c r="A89" s="67">
        <f t="shared" si="1"/>
        <v>15642034</v>
      </c>
      <c r="B89" s="67">
        <v>88.0</v>
      </c>
      <c r="C89" s="67"/>
      <c r="D89" s="195">
        <v>15.0</v>
      </c>
      <c r="E89" s="4" t="s">
        <v>2812</v>
      </c>
      <c r="F89" s="195" t="s">
        <v>2752</v>
      </c>
      <c r="G89" s="4" t="s">
        <v>2753</v>
      </c>
      <c r="H89" s="185">
        <v>8.0</v>
      </c>
      <c r="I89" s="185" t="s">
        <v>2541</v>
      </c>
      <c r="J89" s="4" t="s">
        <v>112</v>
      </c>
      <c r="K89" s="4" t="s">
        <v>114</v>
      </c>
      <c r="L89" s="4" t="s">
        <v>122</v>
      </c>
      <c r="M89" s="4"/>
      <c r="N89" s="4" t="s">
        <v>122</v>
      </c>
      <c r="O89" s="4">
        <v>1.0</v>
      </c>
      <c r="P89" s="4">
        <v>1.0</v>
      </c>
      <c r="Q89" s="4"/>
      <c r="R89" s="4" t="s">
        <v>121</v>
      </c>
      <c r="S89" s="196">
        <v>42339.0</v>
      </c>
      <c r="T89" s="104"/>
      <c r="U89" s="104" t="s">
        <v>2816</v>
      </c>
      <c r="V89" s="4" t="s">
        <v>2817</v>
      </c>
      <c r="W89" s="4" t="s">
        <v>122</v>
      </c>
      <c r="X89" s="170"/>
      <c r="Y89" s="170"/>
      <c r="Z89" s="170"/>
      <c r="AA89" s="198"/>
      <c r="AB89" s="198">
        <v>42318.0</v>
      </c>
      <c r="AC89" s="4"/>
      <c r="AD89" s="4"/>
      <c r="AE89" s="4"/>
      <c r="AF89" s="4"/>
      <c r="AG89" s="4"/>
      <c r="AH89" s="199" t="s">
        <v>2065</v>
      </c>
      <c r="AI89" s="216" t="s">
        <v>2818</v>
      </c>
      <c r="AJ89" s="4"/>
      <c r="AK89" s="4"/>
      <c r="AL89" s="217">
        <f t="shared" si="2"/>
        <v>16</v>
      </c>
      <c r="AM89" s="201">
        <v>2015.0</v>
      </c>
    </row>
    <row r="90">
      <c r="A90" s="67">
        <f t="shared" si="1"/>
        <v>13554568</v>
      </c>
      <c r="B90" s="67">
        <v>89.0</v>
      </c>
      <c r="C90" s="67"/>
      <c r="D90" s="4">
        <v>40.0</v>
      </c>
      <c r="E90" s="4" t="s">
        <v>2025</v>
      </c>
      <c r="F90" s="195" t="s">
        <v>2576</v>
      </c>
      <c r="G90" s="4" t="s">
        <v>1741</v>
      </c>
      <c r="H90" s="185">
        <v>21.0</v>
      </c>
      <c r="I90" s="185" t="s">
        <v>2541</v>
      </c>
      <c r="J90" s="4" t="s">
        <v>112</v>
      </c>
      <c r="K90" s="4" t="s">
        <v>127</v>
      </c>
      <c r="L90" s="4" t="s">
        <v>117</v>
      </c>
      <c r="M90" s="4">
        <v>1.0</v>
      </c>
      <c r="N90" s="4" t="s">
        <v>116</v>
      </c>
      <c r="O90" s="4">
        <v>16.0</v>
      </c>
      <c r="P90" s="4">
        <v>5.0</v>
      </c>
      <c r="Q90" s="4">
        <v>4.0</v>
      </c>
      <c r="R90" s="4" t="s">
        <v>115</v>
      </c>
      <c r="S90" s="196">
        <v>42331.0</v>
      </c>
      <c r="T90" s="104"/>
      <c r="U90" s="104" t="s">
        <v>2819</v>
      </c>
      <c r="V90" s="4" t="s">
        <v>2820</v>
      </c>
      <c r="W90" s="4" t="s">
        <v>122</v>
      </c>
      <c r="X90" s="170"/>
      <c r="Y90" s="170"/>
      <c r="Z90" s="170"/>
      <c r="AA90" s="198">
        <v>42312.0</v>
      </c>
      <c r="AB90" s="198">
        <v>42319.0</v>
      </c>
      <c r="AC90" s="4"/>
      <c r="AD90" s="4"/>
      <c r="AE90" s="4"/>
      <c r="AF90" s="4"/>
      <c r="AG90" s="4"/>
      <c r="AH90" s="199" t="s">
        <v>2071</v>
      </c>
      <c r="AI90" s="199" t="s">
        <v>2579</v>
      </c>
      <c r="AJ90" s="4"/>
      <c r="AK90" s="4" t="s">
        <v>2163</v>
      </c>
      <c r="AL90" s="200">
        <f t="shared" si="2"/>
        <v>9</v>
      </c>
      <c r="AM90" s="201">
        <v>2015.0</v>
      </c>
    </row>
    <row r="91">
      <c r="A91" s="67">
        <f t="shared" si="1"/>
        <v>16928712</v>
      </c>
      <c r="B91" s="67">
        <v>90.0</v>
      </c>
      <c r="C91" s="67"/>
      <c r="D91" s="4">
        <v>3.0</v>
      </c>
      <c r="E91" s="4" t="s">
        <v>2307</v>
      </c>
      <c r="F91" s="195" t="s">
        <v>2568</v>
      </c>
      <c r="G91" s="4" t="s">
        <v>2569</v>
      </c>
      <c r="H91" s="185">
        <v>21.0</v>
      </c>
      <c r="I91" s="185" t="s">
        <v>2541</v>
      </c>
      <c r="J91" s="4" t="s">
        <v>112</v>
      </c>
      <c r="K91" s="4" t="s">
        <v>125</v>
      </c>
      <c r="L91" s="4" t="s">
        <v>117</v>
      </c>
      <c r="M91" s="4">
        <v>0.0</v>
      </c>
      <c r="N91" s="4" t="s">
        <v>116</v>
      </c>
      <c r="O91" s="4">
        <v>2.0</v>
      </c>
      <c r="P91" s="4">
        <v>2.0</v>
      </c>
      <c r="Q91" s="4">
        <v>1.0</v>
      </c>
      <c r="R91" s="4" t="s">
        <v>121</v>
      </c>
      <c r="S91" s="196">
        <v>42339.0</v>
      </c>
      <c r="T91" s="104"/>
      <c r="U91" s="104" t="s">
        <v>2821</v>
      </c>
      <c r="V91" s="4" t="s">
        <v>2822</v>
      </c>
      <c r="W91" s="4" t="s">
        <v>122</v>
      </c>
      <c r="X91" s="170"/>
      <c r="Y91" s="170"/>
      <c r="Z91" s="170"/>
      <c r="AA91" s="198">
        <v>42310.0</v>
      </c>
      <c r="AB91" s="198">
        <v>42317.0</v>
      </c>
      <c r="AC91" s="4"/>
      <c r="AD91" s="4"/>
      <c r="AE91" s="4"/>
      <c r="AF91" s="4"/>
      <c r="AG91" s="4"/>
      <c r="AH91" s="199" t="s">
        <v>2071</v>
      </c>
      <c r="AI91" s="199" t="s">
        <v>2597</v>
      </c>
      <c r="AJ91" s="4"/>
      <c r="AK91" s="4" t="s">
        <v>1612</v>
      </c>
      <c r="AL91" s="200">
        <f t="shared" si="2"/>
        <v>17</v>
      </c>
      <c r="AM91" s="201">
        <v>2015.0</v>
      </c>
    </row>
    <row r="92">
      <c r="A92" s="67">
        <f t="shared" si="1"/>
        <v>13462160</v>
      </c>
      <c r="B92" s="67">
        <v>91.0</v>
      </c>
      <c r="C92" s="67"/>
      <c r="D92" s="4">
        <v>40.0</v>
      </c>
      <c r="E92" s="4" t="s">
        <v>2209</v>
      </c>
      <c r="F92" s="195" t="s">
        <v>2576</v>
      </c>
      <c r="G92" s="4" t="s">
        <v>1741</v>
      </c>
      <c r="H92" s="185">
        <v>21.0</v>
      </c>
      <c r="I92" s="185" t="s">
        <v>2541</v>
      </c>
      <c r="J92" s="4" t="s">
        <v>112</v>
      </c>
      <c r="K92" s="4" t="s">
        <v>127</v>
      </c>
      <c r="L92" s="4" t="s">
        <v>117</v>
      </c>
      <c r="M92" s="4">
        <v>1.0</v>
      </c>
      <c r="N92" s="4" t="s">
        <v>116</v>
      </c>
      <c r="O92" s="4">
        <v>1.0</v>
      </c>
      <c r="P92" s="4">
        <v>1.0</v>
      </c>
      <c r="Q92" s="4">
        <v>1.0</v>
      </c>
      <c r="R92" s="4" t="s">
        <v>121</v>
      </c>
      <c r="S92" s="196">
        <v>42339.0</v>
      </c>
      <c r="T92" s="104"/>
      <c r="U92" s="104" t="s">
        <v>2823</v>
      </c>
      <c r="V92" s="4" t="s">
        <v>2824</v>
      </c>
      <c r="W92" s="4" t="s">
        <v>122</v>
      </c>
      <c r="X92" s="170"/>
      <c r="Y92" s="170"/>
      <c r="Z92" s="170"/>
      <c r="AA92" s="198">
        <v>42313.0</v>
      </c>
      <c r="AB92" s="198">
        <v>42320.0</v>
      </c>
      <c r="AC92" s="4"/>
      <c r="AD92" s="4"/>
      <c r="AE92" s="4"/>
      <c r="AF92" s="4"/>
      <c r="AG92" s="4"/>
      <c r="AH92" s="199" t="s">
        <v>2071</v>
      </c>
      <c r="AI92" s="199" t="s">
        <v>2749</v>
      </c>
      <c r="AJ92" s="4"/>
      <c r="AK92" s="4" t="s">
        <v>1612</v>
      </c>
      <c r="AL92" s="200">
        <f t="shared" si="2"/>
        <v>14</v>
      </c>
      <c r="AM92" s="201">
        <v>2015.0</v>
      </c>
    </row>
    <row r="93">
      <c r="A93" s="67">
        <f t="shared" si="1"/>
        <v>13254211</v>
      </c>
      <c r="B93" s="67">
        <v>92.0</v>
      </c>
      <c r="C93" s="67"/>
      <c r="D93" s="4">
        <v>40.0</v>
      </c>
      <c r="E93" s="4" t="s">
        <v>1615</v>
      </c>
      <c r="F93" s="195" t="s">
        <v>2752</v>
      </c>
      <c r="G93" s="4" t="s">
        <v>2753</v>
      </c>
      <c r="H93" s="185">
        <v>10.0</v>
      </c>
      <c r="I93" s="185" t="s">
        <v>2541</v>
      </c>
      <c r="J93" s="4" t="s">
        <v>112</v>
      </c>
      <c r="K93" s="4" t="s">
        <v>114</v>
      </c>
      <c r="L93" s="4" t="s">
        <v>117</v>
      </c>
      <c r="M93" s="4">
        <v>0.0</v>
      </c>
      <c r="N93" s="4" t="s">
        <v>116</v>
      </c>
      <c r="O93" s="4">
        <v>4.0</v>
      </c>
      <c r="P93" s="4">
        <v>1.0</v>
      </c>
      <c r="Q93" s="4">
        <v>1.0</v>
      </c>
      <c r="R93" s="4" t="s">
        <v>121</v>
      </c>
      <c r="S93" s="196">
        <v>42326.0</v>
      </c>
      <c r="T93" s="104"/>
      <c r="U93" s="104" t="s">
        <v>2825</v>
      </c>
      <c r="V93" s="4" t="s">
        <v>2826</v>
      </c>
      <c r="W93" s="4" t="s">
        <v>118</v>
      </c>
      <c r="X93" s="197" t="s">
        <v>138</v>
      </c>
      <c r="Y93" s="170"/>
      <c r="Z93" s="170" t="s">
        <v>2381</v>
      </c>
      <c r="AA93" s="198">
        <v>42291.0</v>
      </c>
      <c r="AB93" s="198">
        <v>42293.0</v>
      </c>
      <c r="AC93" s="4"/>
      <c r="AD93" s="4"/>
      <c r="AE93" s="4"/>
      <c r="AF93" s="4"/>
      <c r="AG93" s="4"/>
      <c r="AH93" s="199" t="s">
        <v>2071</v>
      </c>
      <c r="AI93" s="199" t="s">
        <v>2597</v>
      </c>
      <c r="AJ93" s="4"/>
      <c r="AK93" s="4" t="s">
        <v>1612</v>
      </c>
      <c r="AL93" s="200">
        <f t="shared" si="2"/>
        <v>24</v>
      </c>
      <c r="AM93" s="201">
        <v>2015.0</v>
      </c>
    </row>
    <row r="94">
      <c r="A94" s="67">
        <f t="shared" si="1"/>
        <v>12880526</v>
      </c>
      <c r="B94" s="67">
        <v>93.0</v>
      </c>
      <c r="C94" s="67"/>
      <c r="D94" s="4">
        <v>40.0</v>
      </c>
      <c r="E94" s="4" t="s">
        <v>1615</v>
      </c>
      <c r="F94" s="195" t="s">
        <v>2752</v>
      </c>
      <c r="G94" s="4" t="s">
        <v>2753</v>
      </c>
      <c r="H94" s="185">
        <v>10.0</v>
      </c>
      <c r="I94" s="185" t="s">
        <v>2541</v>
      </c>
      <c r="J94" s="4" t="s">
        <v>112</v>
      </c>
      <c r="K94" s="4" t="s">
        <v>114</v>
      </c>
      <c r="L94" s="4" t="s">
        <v>117</v>
      </c>
      <c r="M94" s="4">
        <v>0.0</v>
      </c>
      <c r="N94" s="4" t="s">
        <v>116</v>
      </c>
      <c r="O94" s="4">
        <v>2.0</v>
      </c>
      <c r="P94" s="4">
        <v>1.0</v>
      </c>
      <c r="Q94" s="4">
        <v>1.0</v>
      </c>
      <c r="R94" s="4" t="s">
        <v>115</v>
      </c>
      <c r="S94" s="196">
        <v>42356.0</v>
      </c>
      <c r="T94" s="104"/>
      <c r="U94" s="104" t="s">
        <v>2827</v>
      </c>
      <c r="V94" s="4" t="s">
        <v>2828</v>
      </c>
      <c r="W94" s="4" t="s">
        <v>122</v>
      </c>
      <c r="X94" s="170"/>
      <c r="Y94" s="170"/>
      <c r="Z94" s="170"/>
      <c r="AA94" s="198">
        <v>42276.0</v>
      </c>
      <c r="AB94" s="198">
        <v>42283.0</v>
      </c>
      <c r="AC94" s="4"/>
      <c r="AD94" s="4"/>
      <c r="AE94" s="4"/>
      <c r="AF94" s="4"/>
      <c r="AG94" s="4"/>
      <c r="AH94" s="199" t="s">
        <v>2071</v>
      </c>
      <c r="AI94" s="199" t="s">
        <v>2597</v>
      </c>
      <c r="AJ94" s="4"/>
      <c r="AK94" s="4" t="s">
        <v>1612</v>
      </c>
      <c r="AL94" s="200">
        <f t="shared" si="2"/>
        <v>54</v>
      </c>
      <c r="AM94" s="201">
        <v>2015.0</v>
      </c>
    </row>
    <row r="95">
      <c r="A95" s="67">
        <f t="shared" si="1"/>
        <v>16379746</v>
      </c>
      <c r="B95" s="67">
        <v>94.0</v>
      </c>
      <c r="C95" s="67"/>
      <c r="D95" s="195">
        <v>15.0</v>
      </c>
      <c r="E95" s="4" t="s">
        <v>1643</v>
      </c>
      <c r="F95" s="195" t="s">
        <v>1970</v>
      </c>
      <c r="G95" s="4" t="s">
        <v>1638</v>
      </c>
      <c r="H95" s="185">
        <v>23.0</v>
      </c>
      <c r="I95" s="185" t="s">
        <v>2541</v>
      </c>
      <c r="J95" s="4" t="s">
        <v>112</v>
      </c>
      <c r="K95" s="4" t="s">
        <v>127</v>
      </c>
      <c r="L95" s="4" t="s">
        <v>117</v>
      </c>
      <c r="M95" s="4">
        <v>0.0</v>
      </c>
      <c r="N95" s="4" t="s">
        <v>116</v>
      </c>
      <c r="O95" s="4">
        <v>35.0</v>
      </c>
      <c r="P95" s="4">
        <v>4.0</v>
      </c>
      <c r="Q95" s="4">
        <v>3.0</v>
      </c>
      <c r="R95" s="4" t="s">
        <v>115</v>
      </c>
      <c r="S95" s="196">
        <v>42331.0</v>
      </c>
      <c r="T95" s="104"/>
      <c r="U95" s="104" t="s">
        <v>2829</v>
      </c>
      <c r="V95" s="4" t="s">
        <v>2830</v>
      </c>
      <c r="W95" s="4" t="s">
        <v>118</v>
      </c>
      <c r="X95" s="4"/>
      <c r="Y95" s="184" t="s">
        <v>140</v>
      </c>
      <c r="Z95" s="4"/>
      <c r="AA95" s="198">
        <v>42276.0</v>
      </c>
      <c r="AB95" s="198">
        <v>42283.0</v>
      </c>
      <c r="AC95" s="4"/>
      <c r="AD95" s="4"/>
      <c r="AE95" s="4"/>
      <c r="AF95" s="4"/>
      <c r="AG95" s="4"/>
      <c r="AH95" s="199" t="s">
        <v>2071</v>
      </c>
      <c r="AI95" s="199" t="s">
        <v>2831</v>
      </c>
      <c r="AJ95" s="4"/>
      <c r="AK95" s="4" t="s">
        <v>1612</v>
      </c>
      <c r="AL95" s="200">
        <f t="shared" si="2"/>
        <v>35</v>
      </c>
      <c r="AM95" s="201">
        <v>2015.0</v>
      </c>
    </row>
    <row r="96">
      <c r="A96" s="67">
        <f t="shared" si="1"/>
        <v>17251936</v>
      </c>
      <c r="B96" s="67">
        <v>95.0</v>
      </c>
      <c r="C96" s="67"/>
      <c r="D96" s="195">
        <v>15.0</v>
      </c>
      <c r="E96" s="4" t="s">
        <v>1975</v>
      </c>
      <c r="F96" s="195" t="s">
        <v>2613</v>
      </c>
      <c r="G96" s="4" t="s">
        <v>1821</v>
      </c>
      <c r="H96" s="185">
        <v>18.0</v>
      </c>
      <c r="I96" s="185" t="s">
        <v>2541</v>
      </c>
      <c r="J96" s="4" t="s">
        <v>112</v>
      </c>
      <c r="K96" s="4" t="s">
        <v>125</v>
      </c>
      <c r="L96" s="4" t="s">
        <v>117</v>
      </c>
      <c r="M96" s="4">
        <v>0.0</v>
      </c>
      <c r="N96" s="4" t="s">
        <v>116</v>
      </c>
      <c r="O96" s="4">
        <v>14.0</v>
      </c>
      <c r="P96" s="4">
        <v>2.0</v>
      </c>
      <c r="Q96" s="4">
        <v>3.0</v>
      </c>
      <c r="R96" s="4" t="s">
        <v>121</v>
      </c>
      <c r="S96" s="196">
        <v>42347.0</v>
      </c>
      <c r="T96" s="104"/>
      <c r="U96" s="104" t="s">
        <v>2832</v>
      </c>
      <c r="V96" s="4" t="s">
        <v>2833</v>
      </c>
      <c r="W96" s="4" t="s">
        <v>122</v>
      </c>
      <c r="X96" s="96"/>
      <c r="Y96" s="96"/>
      <c r="Z96" s="96"/>
      <c r="AA96" s="198">
        <v>42306.0</v>
      </c>
      <c r="AB96" s="198">
        <v>42313.0</v>
      </c>
      <c r="AC96" s="4"/>
      <c r="AD96" s="4"/>
      <c r="AE96" s="4"/>
      <c r="AF96" s="4"/>
      <c r="AG96" s="4"/>
      <c r="AH96" s="199" t="s">
        <v>2071</v>
      </c>
      <c r="AI96" s="199" t="s">
        <v>2834</v>
      </c>
      <c r="AJ96" s="4"/>
      <c r="AK96" s="4" t="s">
        <v>2163</v>
      </c>
      <c r="AL96" s="200">
        <f t="shared" si="2"/>
        <v>25</v>
      </c>
      <c r="AM96" s="201">
        <v>2015.0</v>
      </c>
    </row>
    <row r="97">
      <c r="A97" s="67">
        <f t="shared" si="1"/>
        <v>15665644</v>
      </c>
      <c r="B97" s="67">
        <v>96.0</v>
      </c>
      <c r="C97" s="67"/>
      <c r="D97" s="4">
        <v>50.0</v>
      </c>
      <c r="E97" s="4" t="s">
        <v>1871</v>
      </c>
      <c r="F97" s="195" t="s">
        <v>2835</v>
      </c>
      <c r="G97" s="4" t="s">
        <v>2520</v>
      </c>
      <c r="H97" s="185">
        <v>13.0</v>
      </c>
      <c r="I97" s="185" t="s">
        <v>2541</v>
      </c>
      <c r="J97" s="4" t="s">
        <v>112</v>
      </c>
      <c r="K97" s="4" t="s">
        <v>114</v>
      </c>
      <c r="L97" s="4" t="s">
        <v>117</v>
      </c>
      <c r="M97" s="4">
        <v>1.0</v>
      </c>
      <c r="N97" s="4" t="s">
        <v>122</v>
      </c>
      <c r="O97" s="4"/>
      <c r="P97" s="4">
        <v>1.0</v>
      </c>
      <c r="Q97" s="4">
        <v>0.0</v>
      </c>
      <c r="R97" s="4" t="s">
        <v>121</v>
      </c>
      <c r="S97" s="196">
        <v>42324.0</v>
      </c>
      <c r="T97" s="104" t="s">
        <v>2836</v>
      </c>
      <c r="U97" s="104"/>
      <c r="V97" s="4" t="s">
        <v>2837</v>
      </c>
      <c r="W97" s="4" t="s">
        <v>118</v>
      </c>
      <c r="X97" s="197" t="s">
        <v>138</v>
      </c>
      <c r="Y97" s="170" t="s">
        <v>2102</v>
      </c>
      <c r="Z97" s="170" t="s">
        <v>2142</v>
      </c>
      <c r="AA97" s="198">
        <v>42275.0</v>
      </c>
      <c r="AB97" s="198">
        <v>42278.0</v>
      </c>
      <c r="AC97" s="4"/>
      <c r="AD97" s="4"/>
      <c r="AE97" s="4"/>
      <c r="AF97" s="4"/>
      <c r="AG97" s="4"/>
      <c r="AH97" s="199" t="s">
        <v>2071</v>
      </c>
      <c r="AI97" s="199" t="s">
        <v>2838</v>
      </c>
      <c r="AJ97" s="4"/>
      <c r="AK97" s="4" t="s">
        <v>1612</v>
      </c>
      <c r="AL97" s="200">
        <f t="shared" si="2"/>
        <v>33</v>
      </c>
      <c r="AM97" s="201">
        <v>2015.0</v>
      </c>
    </row>
    <row r="98">
      <c r="A98" s="67">
        <f t="shared" si="1"/>
        <v>17254189</v>
      </c>
      <c r="B98" s="67">
        <v>97.0</v>
      </c>
      <c r="C98" s="67"/>
      <c r="D98" s="4">
        <v>55.0</v>
      </c>
      <c r="E98" s="4" t="s">
        <v>1602</v>
      </c>
      <c r="F98" s="195" t="s">
        <v>2642</v>
      </c>
      <c r="G98" s="4" t="s">
        <v>1907</v>
      </c>
      <c r="H98" s="185">
        <v>13.0</v>
      </c>
      <c r="I98" s="185" t="s">
        <v>2541</v>
      </c>
      <c r="J98" s="4" t="s">
        <v>112</v>
      </c>
      <c r="K98" s="4" t="s">
        <v>114</v>
      </c>
      <c r="L98" s="4" t="s">
        <v>117</v>
      </c>
      <c r="M98" s="4">
        <v>3.0</v>
      </c>
      <c r="N98" s="4" t="s">
        <v>116</v>
      </c>
      <c r="O98" s="4">
        <v>10.0</v>
      </c>
      <c r="P98" s="4">
        <v>2.0</v>
      </c>
      <c r="Q98" s="4">
        <v>1.0</v>
      </c>
      <c r="R98" s="4" t="s">
        <v>115</v>
      </c>
      <c r="S98" s="196">
        <v>42278.0</v>
      </c>
      <c r="T98" s="104"/>
      <c r="U98" s="104" t="s">
        <v>2839</v>
      </c>
      <c r="V98" s="4" t="s">
        <v>2840</v>
      </c>
      <c r="W98" s="4" t="s">
        <v>122</v>
      </c>
      <c r="X98" s="170"/>
      <c r="Y98" s="170"/>
      <c r="Z98" s="170"/>
      <c r="AA98" s="198">
        <v>42200.0</v>
      </c>
      <c r="AB98" s="198">
        <v>42208.0</v>
      </c>
      <c r="AC98" s="4"/>
      <c r="AD98" s="4"/>
      <c r="AE98" s="4"/>
      <c r="AF98" s="4"/>
      <c r="AG98" s="4"/>
      <c r="AH98" s="199" t="s">
        <v>2071</v>
      </c>
      <c r="AI98" s="199" t="s">
        <v>2597</v>
      </c>
      <c r="AJ98" s="4"/>
      <c r="AK98" s="4" t="s">
        <v>1612</v>
      </c>
      <c r="AL98" s="200">
        <f t="shared" si="2"/>
        <v>51</v>
      </c>
      <c r="AM98" s="201">
        <v>2015.0</v>
      </c>
    </row>
    <row r="99">
      <c r="A99" s="67">
        <f t="shared" si="1"/>
        <v>9765223</v>
      </c>
      <c r="B99" s="67">
        <v>99.0</v>
      </c>
      <c r="C99" s="67"/>
      <c r="D99" s="4">
        <v>5.0</v>
      </c>
      <c r="E99" s="4" t="s">
        <v>1637</v>
      </c>
      <c r="F99" s="195" t="s">
        <v>2679</v>
      </c>
      <c r="G99" s="4" t="s">
        <v>1816</v>
      </c>
      <c r="H99" s="185">
        <v>20.0</v>
      </c>
      <c r="I99" s="185" t="s">
        <v>2541</v>
      </c>
      <c r="J99" s="4" t="s">
        <v>112</v>
      </c>
      <c r="K99" s="4" t="s">
        <v>120</v>
      </c>
      <c r="L99" s="4" t="s">
        <v>117</v>
      </c>
      <c r="M99" s="4">
        <v>1.0</v>
      </c>
      <c r="N99" s="4" t="s">
        <v>122</v>
      </c>
      <c r="O99" s="4"/>
      <c r="P99" s="4">
        <v>1.0</v>
      </c>
      <c r="Q99" s="4">
        <v>0.0</v>
      </c>
      <c r="R99" s="4" t="s">
        <v>115</v>
      </c>
      <c r="S99" s="196">
        <v>42370.0</v>
      </c>
      <c r="T99" s="104" t="s">
        <v>2516</v>
      </c>
      <c r="U99" s="104"/>
      <c r="V99" s="4" t="s">
        <v>2517</v>
      </c>
      <c r="W99" s="4" t="s">
        <v>122</v>
      </c>
      <c r="X99" s="170"/>
      <c r="Y99" s="170"/>
      <c r="Z99" s="170"/>
      <c r="AA99" s="198">
        <v>42290.0</v>
      </c>
      <c r="AB99" s="198">
        <v>42292.0</v>
      </c>
      <c r="AC99" s="4"/>
      <c r="AD99" s="4"/>
      <c r="AE99" s="4"/>
      <c r="AF99" s="4"/>
      <c r="AG99" s="4"/>
      <c r="AH99" s="199" t="s">
        <v>2071</v>
      </c>
      <c r="AI99" s="199" t="s">
        <v>2597</v>
      </c>
      <c r="AJ99" s="4"/>
      <c r="AK99" s="4" t="s">
        <v>2157</v>
      </c>
      <c r="AL99" s="200">
        <f t="shared" si="2"/>
        <v>57</v>
      </c>
      <c r="AM99" s="201">
        <v>2015.0</v>
      </c>
    </row>
    <row r="100">
      <c r="A100" s="67">
        <f t="shared" si="1"/>
        <v>17662691</v>
      </c>
      <c r="B100" s="67">
        <v>100.0</v>
      </c>
      <c r="C100" s="67"/>
      <c r="D100" s="195">
        <v>120.0</v>
      </c>
      <c r="E100" s="4" t="s">
        <v>2841</v>
      </c>
      <c r="F100" s="195" t="s">
        <v>2842</v>
      </c>
      <c r="G100" s="4" t="s">
        <v>2843</v>
      </c>
      <c r="H100" s="185">
        <v>17.0</v>
      </c>
      <c r="I100" s="185" t="s">
        <v>2541</v>
      </c>
      <c r="J100" s="4" t="s">
        <v>112</v>
      </c>
      <c r="K100" s="4" t="s">
        <v>125</v>
      </c>
      <c r="L100" s="4" t="s">
        <v>117</v>
      </c>
      <c r="M100" s="4">
        <v>0.0</v>
      </c>
      <c r="N100" s="4" t="s">
        <v>116</v>
      </c>
      <c r="O100" s="4">
        <v>6.0</v>
      </c>
      <c r="P100" s="4">
        <v>2.0</v>
      </c>
      <c r="Q100" s="4">
        <v>1.0</v>
      </c>
      <c r="R100" s="4" t="s">
        <v>115</v>
      </c>
      <c r="S100" s="196">
        <v>42339.0</v>
      </c>
      <c r="T100" s="104"/>
      <c r="U100" s="104" t="s">
        <v>2844</v>
      </c>
      <c r="V100" s="4" t="s">
        <v>2845</v>
      </c>
      <c r="W100" s="4" t="s">
        <v>118</v>
      </c>
      <c r="X100" s="170"/>
      <c r="Y100" s="170" t="s">
        <v>2846</v>
      </c>
      <c r="Z100" s="170"/>
      <c r="AA100" s="198">
        <v>42286.0</v>
      </c>
      <c r="AB100" s="198">
        <v>42293.0</v>
      </c>
      <c r="AC100" s="4"/>
      <c r="AD100" s="4"/>
      <c r="AE100" s="4"/>
      <c r="AF100" s="4"/>
      <c r="AG100" s="4"/>
      <c r="AH100" s="199" t="s">
        <v>2071</v>
      </c>
      <c r="AI100" s="199" t="s">
        <v>2847</v>
      </c>
      <c r="AJ100" s="4"/>
      <c r="AK100" s="4" t="s">
        <v>1612</v>
      </c>
      <c r="AL100" s="200">
        <f t="shared" si="2"/>
        <v>33</v>
      </c>
      <c r="AM100" s="201">
        <v>2015.0</v>
      </c>
    </row>
    <row r="101">
      <c r="A101" s="67">
        <f t="shared" si="1"/>
        <v>13923654</v>
      </c>
      <c r="B101" s="67">
        <v>101.0</v>
      </c>
      <c r="C101" s="67"/>
      <c r="D101" s="195">
        <v>3.0</v>
      </c>
      <c r="E101" s="184" t="s">
        <v>2036</v>
      </c>
      <c r="F101" s="195" t="s">
        <v>2848</v>
      </c>
      <c r="G101" s="184" t="s">
        <v>2849</v>
      </c>
      <c r="H101" s="186">
        <v>13.0</v>
      </c>
      <c r="I101" s="186" t="s">
        <v>2541</v>
      </c>
      <c r="J101" s="184" t="s">
        <v>112</v>
      </c>
      <c r="K101" s="184" t="s">
        <v>114</v>
      </c>
      <c r="L101" s="184" t="s">
        <v>117</v>
      </c>
      <c r="M101" s="184">
        <v>1.0</v>
      </c>
      <c r="N101" s="184" t="s">
        <v>116</v>
      </c>
      <c r="O101" s="184">
        <v>4.0</v>
      </c>
      <c r="P101" s="184">
        <v>2.0</v>
      </c>
      <c r="Q101" s="184">
        <v>2.0</v>
      </c>
      <c r="R101" s="184" t="s">
        <v>121</v>
      </c>
      <c r="S101" s="218">
        <v>42430.0</v>
      </c>
      <c r="T101" s="104"/>
      <c r="U101" s="105" t="s">
        <v>2850</v>
      </c>
      <c r="V101" s="184" t="s">
        <v>2851</v>
      </c>
      <c r="W101" s="184" t="s">
        <v>122</v>
      </c>
      <c r="X101" s="170"/>
      <c r="Y101" s="170"/>
      <c r="Z101" s="170"/>
      <c r="AA101" s="219">
        <v>42366.0</v>
      </c>
      <c r="AB101" s="219">
        <v>42373.0</v>
      </c>
      <c r="AC101" s="4"/>
      <c r="AD101" s="4"/>
      <c r="AE101" s="4"/>
      <c r="AF101" s="4"/>
      <c r="AG101" s="4"/>
      <c r="AH101" s="216" t="s">
        <v>2071</v>
      </c>
      <c r="AI101" s="216" t="s">
        <v>2852</v>
      </c>
      <c r="AJ101" s="184"/>
      <c r="AK101" s="184" t="s">
        <v>2163</v>
      </c>
      <c r="AL101" s="200">
        <f t="shared" si="2"/>
        <v>42</v>
      </c>
      <c r="AM101" s="201">
        <v>2015.0</v>
      </c>
    </row>
    <row r="102">
      <c r="A102" s="67">
        <f t="shared" si="1"/>
        <v>16176069</v>
      </c>
      <c r="B102" s="67">
        <v>102.0</v>
      </c>
      <c r="C102" s="67"/>
      <c r="D102" s="195">
        <v>3.0</v>
      </c>
      <c r="E102" s="184" t="s">
        <v>2036</v>
      </c>
      <c r="F102" s="195" t="s">
        <v>2031</v>
      </c>
      <c r="G102" s="184" t="s">
        <v>2032</v>
      </c>
      <c r="H102" s="186">
        <v>13.0</v>
      </c>
      <c r="I102" s="186" t="s">
        <v>2541</v>
      </c>
      <c r="J102" s="184" t="s">
        <v>112</v>
      </c>
      <c r="K102" s="184" t="s">
        <v>114</v>
      </c>
      <c r="L102" s="184" t="s">
        <v>117</v>
      </c>
      <c r="M102" s="184">
        <v>1.0</v>
      </c>
      <c r="N102" s="184" t="s">
        <v>116</v>
      </c>
      <c r="O102" s="184">
        <v>7.0</v>
      </c>
      <c r="P102" s="184">
        <v>2.0</v>
      </c>
      <c r="Q102" s="184">
        <v>1.0</v>
      </c>
      <c r="R102" s="184" t="s">
        <v>121</v>
      </c>
      <c r="S102" s="218">
        <v>42430.0</v>
      </c>
      <c r="T102" s="104"/>
      <c r="U102" s="105" t="s">
        <v>2853</v>
      </c>
      <c r="V102" s="184" t="s">
        <v>2854</v>
      </c>
      <c r="W102" s="184" t="s">
        <v>118</v>
      </c>
      <c r="X102" s="197" t="s">
        <v>138</v>
      </c>
      <c r="Y102" s="197" t="s">
        <v>2435</v>
      </c>
      <c r="Z102" s="170"/>
      <c r="AA102" s="219">
        <v>42338.0</v>
      </c>
      <c r="AB102" s="219">
        <v>42345.0</v>
      </c>
      <c r="AC102" s="4"/>
      <c r="AD102" s="4"/>
      <c r="AE102" s="4"/>
      <c r="AF102" s="4"/>
      <c r="AG102" s="4"/>
      <c r="AH102" s="216" t="s">
        <v>2071</v>
      </c>
      <c r="AI102" s="216" t="s">
        <v>2597</v>
      </c>
      <c r="AJ102" s="184"/>
      <c r="AK102" s="184" t="s">
        <v>2163</v>
      </c>
      <c r="AL102" s="200">
        <f t="shared" si="2"/>
        <v>62</v>
      </c>
      <c r="AM102" s="201">
        <v>2015.0</v>
      </c>
    </row>
    <row r="103">
      <c r="A103" s="67">
        <f t="shared" si="1"/>
        <v>10972162</v>
      </c>
      <c r="B103" s="67">
        <v>103.0</v>
      </c>
      <c r="C103" s="67"/>
      <c r="D103" s="195">
        <v>3.0</v>
      </c>
      <c r="E103" s="184" t="s">
        <v>2036</v>
      </c>
      <c r="F103" s="195" t="s">
        <v>2848</v>
      </c>
      <c r="G103" s="184" t="s">
        <v>2849</v>
      </c>
      <c r="H103" s="186">
        <v>13.0</v>
      </c>
      <c r="I103" s="186" t="s">
        <v>2541</v>
      </c>
      <c r="J103" s="184" t="s">
        <v>112</v>
      </c>
      <c r="K103" s="184" t="s">
        <v>114</v>
      </c>
      <c r="L103" s="184" t="s">
        <v>117</v>
      </c>
      <c r="M103" s="184">
        <v>2.0</v>
      </c>
      <c r="N103" s="184" t="s">
        <v>116</v>
      </c>
      <c r="O103" s="184">
        <v>18.0</v>
      </c>
      <c r="P103" s="184">
        <v>2.0</v>
      </c>
      <c r="Q103" s="184">
        <v>2.0</v>
      </c>
      <c r="R103" s="184" t="s">
        <v>121</v>
      </c>
      <c r="S103" s="218">
        <v>42387.0</v>
      </c>
      <c r="T103" s="104"/>
      <c r="U103" s="105" t="s">
        <v>2855</v>
      </c>
      <c r="V103" s="184" t="s">
        <v>2856</v>
      </c>
      <c r="W103" s="184" t="s">
        <v>122</v>
      </c>
      <c r="X103" s="170"/>
      <c r="Y103" s="170"/>
      <c r="Z103" s="170"/>
      <c r="AA103" s="219">
        <v>42325.0</v>
      </c>
      <c r="AB103" s="219">
        <v>42332.0</v>
      </c>
      <c r="AC103" s="4"/>
      <c r="AD103" s="4"/>
      <c r="AE103" s="4"/>
      <c r="AF103" s="4"/>
      <c r="AG103" s="4"/>
      <c r="AH103" s="216" t="s">
        <v>2071</v>
      </c>
      <c r="AI103" s="216" t="s">
        <v>2857</v>
      </c>
      <c r="AJ103" s="184"/>
      <c r="AK103" s="184" t="s">
        <v>2163</v>
      </c>
      <c r="AL103" s="200">
        <f t="shared" si="2"/>
        <v>40</v>
      </c>
      <c r="AM103" s="201">
        <v>2015.0</v>
      </c>
    </row>
    <row r="104">
      <c r="A104" s="67">
        <f t="shared" si="1"/>
        <v>17255425</v>
      </c>
      <c r="B104" s="67">
        <v>104.0</v>
      </c>
      <c r="C104" s="67"/>
      <c r="D104" s="195">
        <v>5.0</v>
      </c>
      <c r="E104" s="184" t="s">
        <v>1637</v>
      </c>
      <c r="F104" s="195" t="s">
        <v>2625</v>
      </c>
      <c r="G104" s="184" t="s">
        <v>2068</v>
      </c>
      <c r="H104" s="186">
        <v>10.0</v>
      </c>
      <c r="I104" s="186" t="s">
        <v>2541</v>
      </c>
      <c r="J104" s="184" t="s">
        <v>112</v>
      </c>
      <c r="K104" s="184" t="s">
        <v>114</v>
      </c>
      <c r="L104" s="184" t="s">
        <v>117</v>
      </c>
      <c r="M104" s="184">
        <v>13.0</v>
      </c>
      <c r="N104" s="184" t="s">
        <v>116</v>
      </c>
      <c r="O104" s="4"/>
      <c r="P104" s="184">
        <v>3.0</v>
      </c>
      <c r="Q104" s="184">
        <v>0.0</v>
      </c>
      <c r="R104" s="184" t="s">
        <v>115</v>
      </c>
      <c r="S104" s="218">
        <v>42436.0</v>
      </c>
      <c r="T104" s="105" t="s">
        <v>2858</v>
      </c>
      <c r="U104" s="104"/>
      <c r="V104" s="184" t="s">
        <v>2859</v>
      </c>
      <c r="W104" s="184" t="s">
        <v>118</v>
      </c>
      <c r="X104" s="197" t="s">
        <v>138</v>
      </c>
      <c r="Y104" s="170" t="s">
        <v>2102</v>
      </c>
      <c r="Z104" s="170"/>
      <c r="AA104" s="219">
        <v>42373.0</v>
      </c>
      <c r="AB104" s="219">
        <v>42376.0</v>
      </c>
      <c r="AC104" s="4"/>
      <c r="AD104" s="4"/>
      <c r="AE104" s="4"/>
      <c r="AF104" s="4"/>
      <c r="AG104" s="4"/>
      <c r="AH104" s="216" t="s">
        <v>2071</v>
      </c>
      <c r="AI104" s="216" t="s">
        <v>2860</v>
      </c>
      <c r="AJ104" s="184"/>
      <c r="AK104" s="184" t="s">
        <v>1612</v>
      </c>
      <c r="AL104" s="200">
        <f t="shared" si="2"/>
        <v>43</v>
      </c>
      <c r="AM104" s="201">
        <v>2015.0</v>
      </c>
    </row>
    <row r="105">
      <c r="A105" s="220">
        <f t="shared" si="1"/>
        <v>17102425</v>
      </c>
      <c r="B105" s="220">
        <v>105.0</v>
      </c>
      <c r="C105" s="220"/>
      <c r="D105" s="221">
        <v>3.0</v>
      </c>
      <c r="E105" s="222" t="s">
        <v>2495</v>
      </c>
      <c r="F105" s="221" t="s">
        <v>2780</v>
      </c>
      <c r="G105" s="222" t="s">
        <v>2781</v>
      </c>
      <c r="H105" s="223">
        <v>17.0</v>
      </c>
      <c r="I105" s="223" t="s">
        <v>2541</v>
      </c>
      <c r="J105" s="222" t="s">
        <v>112</v>
      </c>
      <c r="K105" s="222" t="s">
        <v>125</v>
      </c>
      <c r="L105" s="222" t="s">
        <v>117</v>
      </c>
      <c r="M105" s="222">
        <v>0.0</v>
      </c>
      <c r="N105" s="222" t="s">
        <v>116</v>
      </c>
      <c r="O105" s="222">
        <v>1.0</v>
      </c>
      <c r="P105" s="222">
        <v>1.0</v>
      </c>
      <c r="Q105" s="222">
        <v>1.0</v>
      </c>
      <c r="R105" s="222" t="s">
        <v>115</v>
      </c>
      <c r="S105" s="224">
        <v>42436.0</v>
      </c>
      <c r="T105" s="225"/>
      <c r="U105" s="226" t="s">
        <v>2861</v>
      </c>
      <c r="V105" s="222" t="s">
        <v>2862</v>
      </c>
      <c r="W105" s="222" t="s">
        <v>122</v>
      </c>
      <c r="X105" s="227"/>
      <c r="Y105" s="227"/>
      <c r="Z105" s="227"/>
      <c r="AA105" s="228">
        <v>42332.0</v>
      </c>
      <c r="AB105" s="228">
        <v>42339.0</v>
      </c>
      <c r="AC105" s="229"/>
      <c r="AD105" s="229"/>
      <c r="AE105" s="229"/>
      <c r="AF105" s="229"/>
      <c r="AG105" s="229"/>
      <c r="AH105" s="222" t="s">
        <v>2071</v>
      </c>
      <c r="AI105" s="222" t="s">
        <v>2863</v>
      </c>
      <c r="AJ105" s="222"/>
      <c r="AK105" s="222" t="s">
        <v>2163</v>
      </c>
      <c r="AL105" s="230">
        <f t="shared" si="2"/>
        <v>70</v>
      </c>
      <c r="AM105" s="201">
        <v>2015.0</v>
      </c>
    </row>
    <row r="106">
      <c r="A106" s="67">
        <f t="shared" si="1"/>
        <v>14476981</v>
      </c>
      <c r="B106" s="67">
        <v>106.0</v>
      </c>
      <c r="C106" s="67"/>
      <c r="D106" s="195">
        <v>65.0</v>
      </c>
      <c r="E106" s="184" t="s">
        <v>1623</v>
      </c>
      <c r="F106" s="195" t="s">
        <v>2558</v>
      </c>
      <c r="G106" s="184" t="s">
        <v>1926</v>
      </c>
      <c r="H106" s="186">
        <v>12.0</v>
      </c>
      <c r="I106" s="186" t="s">
        <v>2541</v>
      </c>
      <c r="J106" s="184" t="s">
        <v>112</v>
      </c>
      <c r="K106" s="184" t="s">
        <v>120</v>
      </c>
      <c r="L106" s="184" t="s">
        <v>117</v>
      </c>
      <c r="M106" s="184">
        <v>10.0</v>
      </c>
      <c r="N106" s="184" t="s">
        <v>122</v>
      </c>
      <c r="O106" s="184"/>
      <c r="P106" s="184">
        <v>2.0</v>
      </c>
      <c r="Q106" s="231">
        <v>1.0</v>
      </c>
      <c r="R106" s="184" t="s">
        <v>121</v>
      </c>
      <c r="S106" s="218">
        <v>42472.0</v>
      </c>
      <c r="T106" s="105" t="s">
        <v>2040</v>
      </c>
      <c r="U106" s="232"/>
      <c r="V106" s="184" t="s">
        <v>2864</v>
      </c>
      <c r="W106" s="184" t="s">
        <v>118</v>
      </c>
      <c r="X106" s="197" t="s">
        <v>136</v>
      </c>
      <c r="Y106" s="233"/>
      <c r="Z106" s="233"/>
      <c r="AA106" s="219">
        <v>42348.0</v>
      </c>
      <c r="AB106" s="219">
        <v>42352.0</v>
      </c>
      <c r="AC106" s="4">
        <v>20.0</v>
      </c>
      <c r="AD106" s="184" t="s">
        <v>2865</v>
      </c>
      <c r="AE106" s="4" t="s">
        <v>2866</v>
      </c>
      <c r="AF106" s="4" t="s">
        <v>2867</v>
      </c>
      <c r="AG106" s="233"/>
      <c r="AH106" s="216" t="s">
        <v>2071</v>
      </c>
      <c r="AI106" s="216" t="s">
        <v>2868</v>
      </c>
      <c r="AJ106" s="184"/>
      <c r="AK106" s="184" t="s">
        <v>1612</v>
      </c>
      <c r="AL106" s="200">
        <f t="shared" si="2"/>
        <v>87</v>
      </c>
      <c r="AM106" s="201">
        <v>2015.0</v>
      </c>
    </row>
    <row r="107">
      <c r="A107" s="67">
        <f t="shared" si="1"/>
        <v>17671702</v>
      </c>
      <c r="B107" s="67">
        <v>107.0</v>
      </c>
      <c r="C107" s="67"/>
      <c r="D107" s="195">
        <v>120.0</v>
      </c>
      <c r="E107" s="184" t="s">
        <v>1892</v>
      </c>
      <c r="F107" s="195" t="s">
        <v>2094</v>
      </c>
      <c r="G107" s="184" t="s">
        <v>2095</v>
      </c>
      <c r="H107" s="186">
        <v>10.0</v>
      </c>
      <c r="I107" s="186" t="s">
        <v>2541</v>
      </c>
      <c r="J107" s="184" t="s">
        <v>112</v>
      </c>
      <c r="K107" s="184" t="s">
        <v>114</v>
      </c>
      <c r="L107" s="184" t="s">
        <v>122</v>
      </c>
      <c r="M107" s="184">
        <v>0.0</v>
      </c>
      <c r="N107" s="184" t="s">
        <v>116</v>
      </c>
      <c r="O107" s="184">
        <v>9.0</v>
      </c>
      <c r="P107" s="184">
        <v>3.0</v>
      </c>
      <c r="Q107" s="184">
        <v>1.0</v>
      </c>
      <c r="R107" s="184" t="s">
        <v>121</v>
      </c>
      <c r="S107" s="218">
        <v>42445.0</v>
      </c>
      <c r="T107" s="105"/>
      <c r="U107" s="105" t="s">
        <v>2869</v>
      </c>
      <c r="V107" s="184" t="s">
        <v>2870</v>
      </c>
      <c r="W107" s="184" t="s">
        <v>118</v>
      </c>
      <c r="X107" s="197" t="s">
        <v>138</v>
      </c>
      <c r="Y107" s="170"/>
      <c r="Z107" s="170"/>
      <c r="AA107" s="219">
        <v>42374.0</v>
      </c>
      <c r="AB107" s="219">
        <v>42381.0</v>
      </c>
      <c r="AC107" s="4"/>
      <c r="AD107" s="4"/>
      <c r="AE107" s="184"/>
      <c r="AF107" s="4"/>
      <c r="AG107" s="4"/>
      <c r="AH107" s="216" t="s">
        <v>2071</v>
      </c>
      <c r="AI107" s="216" t="s">
        <v>2368</v>
      </c>
      <c r="AJ107" s="184"/>
      <c r="AK107" s="184" t="s">
        <v>2163</v>
      </c>
      <c r="AL107" s="200">
        <f t="shared" ref="AL107:AL108" si="3">IF(AB107="","",IF(AND(NETWORKDAYS(AB107,S107)&gt;1000,NETWORKDAYS(AB107,S107)&lt;1),"",(NETWORKDAYS(AB107,S107))))</f>
        <v>47</v>
      </c>
      <c r="AM107" s="201">
        <v>2015.0</v>
      </c>
    </row>
    <row r="108">
      <c r="A108" s="67">
        <f t="shared" si="1"/>
        <v>14160336</v>
      </c>
      <c r="B108" s="67">
        <v>108.0</v>
      </c>
      <c r="C108" s="67"/>
      <c r="D108" s="67">
        <v>3.0</v>
      </c>
      <c r="E108" s="67" t="s">
        <v>2714</v>
      </c>
      <c r="F108" s="234" t="s">
        <v>2031</v>
      </c>
      <c r="G108" s="67" t="s">
        <v>2032</v>
      </c>
      <c r="H108" s="184">
        <v>13.0</v>
      </c>
      <c r="I108" s="184" t="s">
        <v>2541</v>
      </c>
      <c r="J108" s="184" t="s">
        <v>112</v>
      </c>
      <c r="K108" s="186" t="s">
        <v>114</v>
      </c>
      <c r="L108" s="186" t="s">
        <v>117</v>
      </c>
      <c r="M108" s="184">
        <v>2.0</v>
      </c>
      <c r="N108" s="184" t="s">
        <v>122</v>
      </c>
      <c r="O108" s="184"/>
      <c r="P108" s="184">
        <v>1.0</v>
      </c>
      <c r="Q108" s="184">
        <v>1.0</v>
      </c>
      <c r="R108" s="4" t="s">
        <v>115</v>
      </c>
      <c r="S108" s="219">
        <v>42492.0</v>
      </c>
      <c r="T108" s="105" t="s">
        <v>2871</v>
      </c>
      <c r="U108" s="105"/>
      <c r="V108" s="184" t="s">
        <v>2872</v>
      </c>
      <c r="W108" s="4" t="s">
        <v>118</v>
      </c>
      <c r="X108" s="184" t="s">
        <v>138</v>
      </c>
      <c r="Y108" s="184" t="s">
        <v>2471</v>
      </c>
      <c r="Z108" s="197"/>
      <c r="AA108" s="235">
        <v>42194.0</v>
      </c>
      <c r="AB108" s="235">
        <v>42198.0</v>
      </c>
      <c r="AC108" s="170">
        <v>14.0</v>
      </c>
      <c r="AD108" s="219" t="s">
        <v>2865</v>
      </c>
      <c r="AE108" s="219" t="s">
        <v>2061</v>
      </c>
      <c r="AF108" s="184" t="s">
        <v>37</v>
      </c>
      <c r="AG108" s="184"/>
      <c r="AH108" s="184" t="s">
        <v>2071</v>
      </c>
      <c r="AI108" s="184" t="s">
        <v>2717</v>
      </c>
      <c r="AJ108" s="4"/>
      <c r="AK108" s="4" t="s">
        <v>1612</v>
      </c>
      <c r="AL108" s="200">
        <f t="shared" si="3"/>
        <v>211</v>
      </c>
      <c r="AM108" s="201">
        <v>2015.0</v>
      </c>
    </row>
    <row r="109">
      <c r="A109" s="67">
        <f t="shared" si="1"/>
        <v>16987564</v>
      </c>
      <c r="B109" s="236">
        <v>109.0</v>
      </c>
      <c r="C109" s="236"/>
      <c r="D109" s="234">
        <v>3.0</v>
      </c>
      <c r="E109" s="236" t="s">
        <v>2873</v>
      </c>
      <c r="F109" s="234" t="s">
        <v>2625</v>
      </c>
      <c r="G109" s="236" t="s">
        <v>2874</v>
      </c>
      <c r="H109" s="184">
        <v>10.0</v>
      </c>
      <c r="I109" s="184" t="s">
        <v>2541</v>
      </c>
      <c r="J109" s="184" t="s">
        <v>112</v>
      </c>
      <c r="K109" s="186" t="s">
        <v>114</v>
      </c>
      <c r="L109" s="186" t="s">
        <v>122</v>
      </c>
      <c r="M109" s="184">
        <v>0.0</v>
      </c>
      <c r="N109" s="184" t="s">
        <v>116</v>
      </c>
      <c r="O109" s="184">
        <v>7.0</v>
      </c>
      <c r="P109" s="184">
        <v>3.0</v>
      </c>
      <c r="Q109" s="184">
        <v>1.0</v>
      </c>
      <c r="R109" s="184" t="s">
        <v>115</v>
      </c>
      <c r="S109" s="237">
        <v>42450.0</v>
      </c>
      <c r="T109" s="105"/>
      <c r="U109" s="105" t="s">
        <v>2875</v>
      </c>
      <c r="V109" s="184" t="s">
        <v>2876</v>
      </c>
      <c r="W109" s="184" t="s">
        <v>118</v>
      </c>
      <c r="X109" s="184" t="s">
        <v>2102</v>
      </c>
      <c r="Y109" s="184"/>
      <c r="Z109" s="197"/>
      <c r="AA109" s="238">
        <v>42382.0</v>
      </c>
      <c r="AB109" s="238">
        <v>42387.0</v>
      </c>
      <c r="AC109" s="170"/>
      <c r="AD109" s="219"/>
      <c r="AE109" s="219"/>
      <c r="AF109" s="184"/>
      <c r="AG109" s="184"/>
      <c r="AH109" s="184" t="s">
        <v>2071</v>
      </c>
      <c r="AI109" s="184" t="s">
        <v>2597</v>
      </c>
      <c r="AJ109" s="184"/>
      <c r="AK109" s="184" t="s">
        <v>2163</v>
      </c>
      <c r="AL109" s="216">
        <f t="shared" ref="AL109:AL110" si="4">IF(AB109="","",IF(AND(NETWORKDAYS(AB109,S109)&gt;1000,NETWORKDAYS(AB109,S109)&lt;1),"",(NETWORKDAYS(AB109,S109))))</f>
        <v>46</v>
      </c>
      <c r="AM109" s="201">
        <v>2015.0</v>
      </c>
    </row>
    <row r="110">
      <c r="A110" s="67">
        <f t="shared" si="1"/>
        <v>6699643</v>
      </c>
      <c r="B110" s="236">
        <v>110.0</v>
      </c>
      <c r="C110" s="236"/>
      <c r="D110" s="195">
        <v>40.0</v>
      </c>
      <c r="E110" s="184" t="s">
        <v>2877</v>
      </c>
      <c r="F110" s="195" t="s">
        <v>2878</v>
      </c>
      <c r="G110" s="184" t="s">
        <v>2879</v>
      </c>
      <c r="H110" s="186">
        <v>10.0</v>
      </c>
      <c r="I110" s="186" t="s">
        <v>2541</v>
      </c>
      <c r="J110" s="184" t="s">
        <v>112</v>
      </c>
      <c r="K110" s="184" t="s">
        <v>120</v>
      </c>
      <c r="L110" s="184" t="s">
        <v>117</v>
      </c>
      <c r="M110" s="184">
        <v>8.0</v>
      </c>
      <c r="N110" s="184" t="s">
        <v>122</v>
      </c>
      <c r="O110" s="184">
        <v>0.0</v>
      </c>
      <c r="P110" s="184">
        <v>2.0</v>
      </c>
      <c r="Q110" s="184">
        <v>0.0</v>
      </c>
      <c r="R110" s="184" t="s">
        <v>115</v>
      </c>
      <c r="S110" s="218">
        <v>42590.0</v>
      </c>
      <c r="T110" s="239" t="s">
        <v>2880</v>
      </c>
      <c r="U110" s="105"/>
      <c r="V110" s="184" t="s">
        <v>2881</v>
      </c>
      <c r="W110" s="184" t="s">
        <v>118</v>
      </c>
      <c r="X110" s="197" t="s">
        <v>2523</v>
      </c>
      <c r="Y110" s="197" t="s">
        <v>2381</v>
      </c>
      <c r="Z110" s="197" t="s">
        <v>170</v>
      </c>
      <c r="AA110" s="238">
        <v>42383.0</v>
      </c>
      <c r="AB110" s="238">
        <v>42387.0</v>
      </c>
      <c r="AC110" s="170"/>
      <c r="AD110" s="219"/>
      <c r="AE110" s="219"/>
      <c r="AF110" s="184"/>
      <c r="AG110" s="184"/>
      <c r="AH110" s="184" t="s">
        <v>2071</v>
      </c>
      <c r="AI110" s="216" t="s">
        <v>2882</v>
      </c>
      <c r="AJ110" s="184"/>
      <c r="AK110" s="184" t="s">
        <v>2157</v>
      </c>
      <c r="AL110" s="216">
        <f t="shared" si="4"/>
        <v>146</v>
      </c>
      <c r="AM110" s="201">
        <v>2015.0</v>
      </c>
    </row>
  </sheetData>
  <dataValidations>
    <dataValidation type="list" allowBlank="1" showInputMessage="1" showErrorMessage="1" prompt="Brechas - Ingresar si existen brechas a capacitar y en las siguientes columnas ingresar la competencia." sqref="W2:W110">
      <formula1>"SI,NO"</formula1>
    </dataValidation>
    <dataValidation type="date" allowBlank="1" showInputMessage="1" showErrorMessage="1" prompt="Fecha 2015 - Debes ingresar sólo los procesos en que el último proceso esté publicado entre Marzo de 2015 y Enero de 2016" sqref="AA2:AA105 AA108:AA110">
      <formula1>42064.0</formula1>
      <formula2>42428.0</formula2>
    </dataValidation>
    <dataValidation type="custom" allowBlank="1" showInputMessage="1" prompt="Indicar si reemplaza a algún funcionario. Esto puede aparecer en los documentos de autorización presupestaria, en cartas de renuncia archivadas al proceso o en pone término o no-renovación.   SI NO REEMPLAZA A NADIE, FAVOR COLOCAR EL SIGNO &quot;-&quot;." sqref="AI1:AI105 AI108:AI109">
      <formula1>ISERROR(SEARCH((""/""),(AI1)))</formula1>
    </dataValidation>
    <dataValidation type="custom" allowBlank="1" showInputMessage="1" prompt="En caso de que el proceso haya concluido con un interno, ingresar datos relativos al grado anterior, el estamento al cual pertenecía (Administrativo, Técnico, Profesional, Auxiliar) y la Unidad de Desempeño Anterior." sqref="AC1:AC105 AF1:AF105 AC108:AC110 AF108:AF110">
      <formula1>ISERROR(SEARCH((""/""),(AC1)))</formula1>
    </dataValidation>
    <dataValidation type="decimal" allowBlank="1" showInputMessage="1" showErrorMessage="1" prompt="Ingresar grado válido - Entre el 1 y el 24" sqref="H2:H9 H11:H105 H107:H110">
      <formula1>1.0</formula1>
      <formula2>24.0</formula2>
    </dataValidation>
    <dataValidation type="list" allowBlank="1" showInputMessage="1" showErrorMessage="1" prompt="Indicar escalafón - Si es técnico, administrativo, profesional o auxiliar. No indicar en el caso de los médicos o personal de la Ley 15.076." sqref="K2:K110">
      <formula1>"PROFESIONAL,ADMINISTRATIVO,TECNICO,AUXILIAR"</formula1>
    </dataValidation>
    <dataValidation type="date" operator="greaterThan" allowBlank="1" showInputMessage="1" showErrorMessage="1" prompt="Formato - Favor ingresar con formato de fecha." sqref="S2:S106 S108:S109">
      <formula1>42005.0</formula1>
    </dataValidation>
    <dataValidation type="list" allowBlank="1" showInputMessage="1" prompt="Escriba el Departamento, Unidad, Facultad o Vicerrectoría, según corresponda en cada caso usando MAYÚSCULA Y SIN TILDE." sqref="E110">
      <formula1>INFORMACION!$D$2:$D$108</formula1>
    </dataValidation>
    <dataValidation type="custom" allowBlank="1" showInputMessage="1" prompt="Indicar si reemplaza a algún funcionario. Esto puede aparecer en los documentos de autorización presupestaria, en cartas de renuncia archivadas al proceso o en pone término o no-renovación.   SI NO REEMPLAZA A NADIE, FAVOR COLOCAR EL SIGNO &quot;-&quot;. Indicar si" sqref="AI110">
      <formula1>ISERROR(SEARCH((""/""),(AI110)))</formula1>
    </dataValidation>
    <dataValidation type="decimal" allowBlank="1" showInputMessage="1" showErrorMessage="1" prompt="N° Postulantes APARTIR 2° Proces - Indicar el n° de postulantes DE TODOS LOS PROCESOS EXTERNOS que cumplieron con los requisitos para postular. CUIDADO CON LOS POSTULANTES REPETIDOS, dado que no deben incluirse 2 veces._x000a_" sqref="O2:O106 O108:O109">
      <formula1>1.0</formula1>
      <formula2>60.0</formula2>
    </dataValidation>
    <dataValidation type="custom" allowBlank="1" showInputMessage="1" prompt="Escriba el Departamento, Unidad, Facultad o Vicerrectoría, según corresponda en cada caso usando MAYÚSCULA Y SIN TILDE." sqref="E1:E105 E108:E109">
      <formula1>ISERROR(SEARCH((""/""),(E1)))</formula1>
    </dataValidation>
    <dataValidation type="custom" allowBlank="1" showInputMessage="1" prompt="NO TOCAR ESTA COLUMNA" sqref="A2:A110">
      <formula1>ISERROR(SEARCH(("/"),(A2)))</formula1>
    </dataValidation>
    <dataValidation type="list" allowBlank="1" showInputMessage="1" showErrorMessage="1" prompt="Indicar género - Indicar de acuerdo al género si es &quot;seleccionada&quot; o &quot;seleccionado&quot;." sqref="R2:R110">
      <formula1>"SELECCIONADO,SELECCIONADA"</formula1>
    </dataValidation>
    <dataValidation type="list" allowBlank="1" showInputMessage="1" showErrorMessage="1" prompt="Jornada - Precisar la jornada asignada al proceso de selección" sqref="I2:I110">
      <formula1>"Jornada Completa,3/4 Jornada,1/2 Jornada,1/4 Jornada"</formula1>
    </dataValidation>
    <dataValidation type="list" allowBlank="1" showInputMessage="1" showErrorMessage="1" prompt="Tipo de Contrato - Separar con los médicos, quienes se rigen por otra legislación." sqref="J2:J110">
      <formula1>"A CONTRATA,Por 11 hrs. Ley 15.076,Por 22 hrs. Ley 15.076,Por 33 hrs. Ley 15.076,Por 44 hrs. Ley 15.076"</formula1>
    </dataValidation>
    <dataValidation type="list" allowBlank="1" showInputMessage="1" showErrorMessage="1" prompt="Indicar si hubo proceso interno - No: No hubo_x000a_Interno: Sí hubo" sqref="L2:L110">
      <formula1>"INTERNO,NO"</formula1>
    </dataValidation>
    <dataValidation type="decimal" allowBlank="1" showInputMessage="1" showErrorMessage="1" prompt="Indicar n° de postulantes int - Puede variar de 0 en adelante. Favor indicar el total de postulantes internos que cumplieron con los requisitos." sqref="M2:M105 M108:M109">
      <formula1>0.0</formula1>
      <formula2>60.0</formula2>
    </dataValidation>
    <dataValidation type="list" allowBlank="1" showInputMessage="1" showErrorMessage="1" prompt="Motivo Contratación - Ingrese si la contratación se debe a un proceso de selección, una regularización contractual o a una autorización directa." sqref="AH2:AH110">
      <formula1>"PROCESO DE SELECCIÓN,REGULARIZACIÓN CONTRACTUAL,CONTRATACIÓN DIRECTA"</formula1>
    </dataValidation>
    <dataValidation type="decimal" allowBlank="1" showInputMessage="1" showErrorMessage="1" promptTitle="Informes Psi Realizados" prompt="Ingrese la cantidad de informes realizados de acuerdo al TOTAL de procesos de selección correspondientes a la vacante. FIJARSE QUE LA UNIDAD HAYA DEVUELTO LA DOCUMENTACIÓN. Si son regularizaciones o auto. directas, indicar número de informes por vacante." sqref="P2:P105 P108:P109">
      <formula1>1.0</formula1>
      <formula2>15.0</formula2>
    </dataValidation>
    <dataValidation type="custom" allowBlank="1" showInputMessage="1" prompt="Ingrese las competencias en que es necesario capacitar al primer candidato de acuerdo al orden de importancia (1crítica-3necesaria). " sqref="X1:Z1">
      <formula1>ISERROR(SEARCH((""/""),(X1)))</formula1>
    </dataValidation>
    <dataValidation type="list" allowBlank="1" showInputMessage="1" prompt="Ingrese las competencias en que es necesario capacitar al primer candidato de acuerdo al orden de importancia (1crítica-3necesaria). " sqref="X2:Z110">
      <formula1>INFORMACION!$H$2:$H$24</formula1>
    </dataValidation>
    <dataValidation type="decimal" allowBlank="1" showInputMessage="1" showErrorMessage="1" prompt="Ingrese Núm. Procesos Externos - Debe ingresar SÓLO la cantidad de los PROCESOS EXTERNOS." sqref="Q2:Q105 Q108:Q109">
      <formula1>0.0</formula1>
      <formula2>15.0</formula2>
    </dataValidation>
    <dataValidation type="list" allowBlank="1" showInputMessage="1" showErrorMessage="1" prompt="Elegir bien - Elija de acuerdo a la fuente por donde la persona seleccionada postuló o se participó del proceso._x000a_Puede ser P, C (CORREO) o E (EXTERNO), dependiendo el caso." sqref="AK2:AK110">
      <formula1>"C,P,E"</formula1>
    </dataValidation>
    <dataValidation type="custom" allowBlank="1" showInputMessage="1" prompt="Ingresar RUT en el formato indicado. Si esta celda está en rojo es porque la persona ya ha resultado seleccionada a lo largo del año, o bien porque se ha ingresado un proceso idéntico a la base de datos." sqref="V1:V105 V108:V109">
      <formula1>LEN(10)</formula1>
    </dataValidation>
    <dataValidation type="list" allowBlank="1" showInputMessage="1" showErrorMessage="1" prompt="Indicar si hubo 2° proceso - Indicar si hubo:_x000a_Proceso Externo: Externo_x000a_No hubo: No" sqref="N2:N110">
      <formula1>"EXTERNO,NO"</formula1>
    </dataValidation>
    <dataValidation type="list" allowBlank="1" showErrorMessage="1" sqref="F1:F110">
      <formula1>INFORMACION!$A$2:$A110</formula1>
    </dataValidation>
    <dataValidation type="custom" allowBlank="1" showInputMessage="1" prompt="Ingresar primer nombre y apellidos en mayúscula, sin tilde y sin Ñ." sqref="T1:U105 T108:U109 U110">
      <formula1>ISERROR(SEARCH((""/""),(T1)))</formula1>
    </dataValidation>
  </dataValidation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4.43"/>
    <col customWidth="1" min="2" max="3" width="6.57"/>
    <col customWidth="1" min="4" max="4" width="10.29"/>
    <col customWidth="1" min="5" max="5" width="31.0"/>
    <col customWidth="1" min="6" max="6" width="37.86"/>
    <col customWidth="1" min="7" max="7" width="36.0"/>
    <col customWidth="1" min="20" max="20" width="24.71"/>
    <col customWidth="1" min="21" max="21" width="29.14"/>
    <col customWidth="1" min="31" max="31" width="16.14"/>
    <col customWidth="1" min="32" max="32" width="34.29"/>
    <col customWidth="1" min="34" max="34" width="22.29"/>
    <col customWidth="1" min="35" max="35" width="26.57"/>
    <col customWidth="1" min="38" max="39" width="8.57"/>
  </cols>
  <sheetData>
    <row r="1">
      <c r="A1" s="240" t="s">
        <v>1542</v>
      </c>
      <c r="B1" s="27" t="s">
        <v>1543</v>
      </c>
      <c r="C1" s="27" t="s">
        <v>1544</v>
      </c>
      <c r="D1" s="29" t="s">
        <v>1545</v>
      </c>
      <c r="E1" s="29" t="s">
        <v>1546</v>
      </c>
      <c r="F1" s="30" t="s">
        <v>1547</v>
      </c>
      <c r="G1" s="28" t="s">
        <v>1548</v>
      </c>
      <c r="H1" s="29" t="s">
        <v>1589</v>
      </c>
      <c r="I1" s="29" t="s">
        <v>1550</v>
      </c>
      <c r="J1" s="29" t="s">
        <v>1551</v>
      </c>
      <c r="K1" s="29" t="s">
        <v>1552</v>
      </c>
      <c r="L1" s="29" t="s">
        <v>2535</v>
      </c>
      <c r="M1" s="29" t="s">
        <v>1554</v>
      </c>
      <c r="N1" s="29" t="s">
        <v>2536</v>
      </c>
      <c r="O1" s="29" t="s">
        <v>1556</v>
      </c>
      <c r="P1" s="29" t="s">
        <v>1557</v>
      </c>
      <c r="Q1" s="28" t="s">
        <v>2537</v>
      </c>
      <c r="R1" s="29" t="s">
        <v>1559</v>
      </c>
      <c r="S1" s="31" t="s">
        <v>1560</v>
      </c>
      <c r="T1" s="29" t="s">
        <v>1561</v>
      </c>
      <c r="U1" s="28" t="s">
        <v>1562</v>
      </c>
      <c r="V1" s="28" t="s">
        <v>2060</v>
      </c>
      <c r="W1" s="29" t="s">
        <v>1563</v>
      </c>
      <c r="X1" s="29" t="s">
        <v>1564</v>
      </c>
      <c r="Y1" s="29" t="s">
        <v>1565</v>
      </c>
      <c r="Z1" s="29" t="s">
        <v>1566</v>
      </c>
      <c r="AA1" s="31" t="s">
        <v>1567</v>
      </c>
      <c r="AB1" s="31" t="s">
        <v>1568</v>
      </c>
      <c r="AC1" s="29" t="s">
        <v>1569</v>
      </c>
      <c r="AD1" s="29" t="s">
        <v>1570</v>
      </c>
      <c r="AE1" s="29" t="s">
        <v>1571</v>
      </c>
      <c r="AF1" s="29" t="s">
        <v>1572</v>
      </c>
      <c r="AG1" s="32" t="s">
        <v>1573</v>
      </c>
      <c r="AH1" s="194" t="s">
        <v>1574</v>
      </c>
      <c r="AI1" s="194" t="s">
        <v>1575</v>
      </c>
      <c r="AJ1" s="156" t="s">
        <v>1576</v>
      </c>
      <c r="AK1" s="29" t="s">
        <v>1577</v>
      </c>
      <c r="AL1" s="29" t="s">
        <v>2538</v>
      </c>
      <c r="AM1" s="44" t="s">
        <v>2539</v>
      </c>
    </row>
    <row r="2">
      <c r="A2" s="158">
        <f t="shared" ref="A2:A114" si="1">IFERROR(LEFT(V2,LEN(V2)-2)*1,"")</f>
        <v>14156475</v>
      </c>
      <c r="B2" s="236">
        <v>1.0</v>
      </c>
      <c r="C2" s="236"/>
      <c r="D2" s="184" t="str">
        <f>IFERROR(VLOOKUP(E2,INFORMACION!D:E,2,0),"INGRESAR CENTRO DE COSTO A LA DERECHA")</f>
        <v>INGRESAR CENTRO DE COSTO A LA DERECHA</v>
      </c>
      <c r="E2" s="184" t="s">
        <v>2883</v>
      </c>
      <c r="F2" s="195" t="s">
        <v>2802</v>
      </c>
      <c r="G2" s="186" t="s">
        <v>1862</v>
      </c>
      <c r="H2" s="186">
        <v>17.0</v>
      </c>
      <c r="I2" s="186" t="s">
        <v>2541</v>
      </c>
      <c r="J2" s="184" t="s">
        <v>112</v>
      </c>
      <c r="K2" s="184" t="s">
        <v>125</v>
      </c>
      <c r="L2" s="184" t="s">
        <v>117</v>
      </c>
      <c r="M2" s="184">
        <v>1.0</v>
      </c>
      <c r="N2" s="184" t="s">
        <v>116</v>
      </c>
      <c r="O2" s="184">
        <v>12.0</v>
      </c>
      <c r="P2" s="184">
        <v>1.0</v>
      </c>
      <c r="Q2" s="184">
        <v>2.0</v>
      </c>
      <c r="R2" s="184" t="s">
        <v>121</v>
      </c>
      <c r="S2" s="218">
        <v>42471.0</v>
      </c>
      <c r="T2" s="241"/>
      <c r="U2" s="105" t="s">
        <v>2884</v>
      </c>
      <c r="V2" s="184" t="s">
        <v>2885</v>
      </c>
      <c r="W2" s="184" t="s">
        <v>122</v>
      </c>
      <c r="X2" s="170"/>
      <c r="Y2" s="170"/>
      <c r="Z2" s="170"/>
      <c r="AA2" s="219">
        <v>42431.0</v>
      </c>
      <c r="AB2" s="219">
        <v>42438.0</v>
      </c>
      <c r="AC2" s="4"/>
      <c r="AD2" s="4"/>
      <c r="AE2" s="4"/>
      <c r="AF2" s="4"/>
      <c r="AG2" s="4"/>
      <c r="AH2" s="216" t="s">
        <v>2071</v>
      </c>
      <c r="AI2" s="216" t="s">
        <v>2510</v>
      </c>
      <c r="AJ2" s="184"/>
      <c r="AK2" s="184" t="s">
        <v>1612</v>
      </c>
      <c r="AL2" s="200">
        <f>IF(AB2="","",IF(AND(NETWORKDAYS(AB2,S2)&gt;1000,NETWORKDAYS(AB2,S2)&lt;1),"",(NETWORKDAYS(AB2,S2))))</f>
        <v>24</v>
      </c>
      <c r="AM2" s="201">
        <v>2016.0</v>
      </c>
    </row>
    <row r="3">
      <c r="A3" s="158">
        <f t="shared" si="1"/>
        <v>15623289</v>
      </c>
      <c r="B3" s="236">
        <v>2.0</v>
      </c>
      <c r="C3" s="236"/>
      <c r="D3" s="184" t="str">
        <f>IFERROR(VLOOKUP(E3,INFORMACION!D:E,2,0),"INGRESAR CENTRO DE COSTO A LA DERECHA")</f>
        <v>INGRESAR CENTRO DE COSTO A LA DERECHA</v>
      </c>
      <c r="E3" s="184" t="s">
        <v>2886</v>
      </c>
      <c r="F3" s="195" t="s">
        <v>2552</v>
      </c>
      <c r="G3" s="186" t="s">
        <v>2118</v>
      </c>
      <c r="H3" s="186">
        <v>11.0</v>
      </c>
      <c r="I3" s="186" t="s">
        <v>2541</v>
      </c>
      <c r="J3" s="184" t="s">
        <v>112</v>
      </c>
      <c r="K3" s="184" t="s">
        <v>114</v>
      </c>
      <c r="L3" s="184" t="s">
        <v>117</v>
      </c>
      <c r="M3" s="184">
        <v>1.0</v>
      </c>
      <c r="N3" s="184" t="s">
        <v>122</v>
      </c>
      <c r="O3" s="4"/>
      <c r="P3" s="184">
        <v>1.0</v>
      </c>
      <c r="Q3" s="184">
        <v>0.0</v>
      </c>
      <c r="R3" s="184" t="s">
        <v>115</v>
      </c>
      <c r="S3" s="218">
        <v>42496.0</v>
      </c>
      <c r="T3" s="105" t="s">
        <v>779</v>
      </c>
      <c r="U3" s="105"/>
      <c r="V3" s="184" t="s">
        <v>2887</v>
      </c>
      <c r="W3" s="184" t="s">
        <v>122</v>
      </c>
      <c r="X3" s="170"/>
      <c r="Y3" s="170"/>
      <c r="Z3" s="170"/>
      <c r="AA3" s="219">
        <v>42485.0</v>
      </c>
      <c r="AB3" s="219">
        <v>42487.0</v>
      </c>
      <c r="AC3" s="4"/>
      <c r="AD3" s="4"/>
      <c r="AE3" s="184" t="s">
        <v>2888</v>
      </c>
      <c r="AF3" s="4"/>
      <c r="AG3" s="4"/>
      <c r="AH3" s="216" t="s">
        <v>2071</v>
      </c>
      <c r="AJ3" s="171"/>
      <c r="AK3" s="184" t="s">
        <v>1612</v>
      </c>
      <c r="AL3" s="200">
        <f>IF(AB2="","",IF(AND(NETWORKDAYS(AB2,S3)&gt;1000,NETWORKDAYS(AB2,S3)&lt;1),"",(NETWORKDAYS(AB2,S3))))</f>
        <v>43</v>
      </c>
      <c r="AM3" s="201">
        <v>2016.0</v>
      </c>
    </row>
    <row r="4">
      <c r="A4" s="158">
        <f t="shared" si="1"/>
        <v>10974588</v>
      </c>
      <c r="B4" s="242">
        <v>3.0</v>
      </c>
      <c r="C4" s="242"/>
      <c r="D4" s="184" t="str">
        <f>IFERROR(VLOOKUP(E4,INFORMACION!D:E,2,0),"INGRESAR CENTRO DE COSTO A LA DERECHA")</f>
        <v>INGRESAR CENTRO DE COSTO A LA DERECHA</v>
      </c>
      <c r="E4" s="243" t="s">
        <v>1618</v>
      </c>
      <c r="F4" s="195" t="s">
        <v>2552</v>
      </c>
      <c r="G4" s="186" t="s">
        <v>2118</v>
      </c>
      <c r="H4" s="186">
        <v>11.0</v>
      </c>
      <c r="I4" s="186" t="s">
        <v>2541</v>
      </c>
      <c r="J4" s="184" t="s">
        <v>112</v>
      </c>
      <c r="K4" s="184" t="s">
        <v>114</v>
      </c>
      <c r="L4" s="184" t="s">
        <v>117</v>
      </c>
      <c r="M4" s="184">
        <v>2.0</v>
      </c>
      <c r="N4" s="184" t="s">
        <v>122</v>
      </c>
      <c r="O4" s="184">
        <v>0.0</v>
      </c>
      <c r="P4" s="184">
        <v>1.0</v>
      </c>
      <c r="Q4" s="184">
        <v>0.0</v>
      </c>
      <c r="R4" s="184" t="s">
        <v>115</v>
      </c>
      <c r="S4" s="218">
        <v>42492.0</v>
      </c>
      <c r="T4" s="105" t="s">
        <v>436</v>
      </c>
      <c r="U4" s="105"/>
      <c r="V4" s="184" t="s">
        <v>2889</v>
      </c>
      <c r="W4" s="184" t="s">
        <v>122</v>
      </c>
      <c r="X4" s="170"/>
      <c r="Y4" s="170"/>
      <c r="Z4" s="170"/>
      <c r="AA4" s="219">
        <v>42436.0</v>
      </c>
      <c r="AB4" s="219">
        <v>42439.0</v>
      </c>
      <c r="AC4" s="184">
        <v>18.0</v>
      </c>
      <c r="AD4" s="184" t="s">
        <v>125</v>
      </c>
      <c r="AE4" s="184" t="s">
        <v>2890</v>
      </c>
      <c r="AF4" s="184" t="s">
        <v>1618</v>
      </c>
      <c r="AG4" s="4"/>
      <c r="AH4" s="216" t="s">
        <v>2071</v>
      </c>
      <c r="AI4" s="216" t="s">
        <v>2597</v>
      </c>
      <c r="AJ4" s="184"/>
      <c r="AK4" s="184" t="s">
        <v>1612</v>
      </c>
      <c r="AL4" s="200">
        <f t="shared" ref="AL4:AL12" si="2">IF(AB4="","",IF(AND(NETWORKDAYS(AB4,S4)&gt;1000,NETWORKDAYS(AB4,S4)&lt;1),"",(NETWORKDAYS(AB4,S4))))</f>
        <v>38</v>
      </c>
      <c r="AM4" s="201">
        <v>2016.0</v>
      </c>
    </row>
    <row r="5">
      <c r="A5" s="158">
        <f t="shared" si="1"/>
        <v>12798257</v>
      </c>
      <c r="B5" s="242">
        <v>4.0</v>
      </c>
      <c r="C5" s="242"/>
      <c r="D5" s="184" t="str">
        <f>IFERROR(VLOOKUP(E5,INFORMACION!D:E,2,0),"INGRESAR CENTRO DE COSTO A LA DERECHA")</f>
        <v>INGRESAR CENTRO DE COSTO A LA DERECHA</v>
      </c>
      <c r="E5" s="184" t="s">
        <v>2891</v>
      </c>
      <c r="F5" s="195" t="s">
        <v>2710</v>
      </c>
      <c r="G5" s="186" t="s">
        <v>2711</v>
      </c>
      <c r="H5" s="186">
        <v>11.0</v>
      </c>
      <c r="I5" s="186" t="s">
        <v>2541</v>
      </c>
      <c r="J5" s="184" t="s">
        <v>112</v>
      </c>
      <c r="K5" s="184" t="s">
        <v>114</v>
      </c>
      <c r="L5" s="184" t="s">
        <v>122</v>
      </c>
      <c r="M5" s="184">
        <v>0.0</v>
      </c>
      <c r="N5" s="184" t="s">
        <v>116</v>
      </c>
      <c r="O5" s="184">
        <v>7.0</v>
      </c>
      <c r="P5" s="184">
        <v>1.0</v>
      </c>
      <c r="Q5" s="184">
        <v>1.0</v>
      </c>
      <c r="R5" s="184" t="s">
        <v>115</v>
      </c>
      <c r="S5" s="218">
        <v>42493.0</v>
      </c>
      <c r="T5" s="105"/>
      <c r="U5" s="105" t="s">
        <v>2892</v>
      </c>
      <c r="V5" s="184" t="s">
        <v>2893</v>
      </c>
      <c r="W5" s="184" t="s">
        <v>122</v>
      </c>
      <c r="X5" s="170"/>
      <c r="Y5" s="170"/>
      <c r="Z5" s="170"/>
      <c r="AA5" s="219">
        <v>42520.0</v>
      </c>
      <c r="AB5" s="219">
        <v>42466.0</v>
      </c>
      <c r="AC5" s="4"/>
      <c r="AD5" s="4"/>
      <c r="AE5" s="184"/>
      <c r="AF5" s="4"/>
      <c r="AG5" s="4"/>
      <c r="AH5" s="216" t="s">
        <v>2071</v>
      </c>
      <c r="AI5" s="216" t="s">
        <v>2597</v>
      </c>
      <c r="AJ5" s="184"/>
      <c r="AK5" s="184" t="s">
        <v>1612</v>
      </c>
      <c r="AL5" s="200">
        <f t="shared" si="2"/>
        <v>20</v>
      </c>
      <c r="AM5" s="201">
        <v>2016.0</v>
      </c>
    </row>
    <row r="6">
      <c r="A6" s="158">
        <f t="shared" si="1"/>
        <v>16141569</v>
      </c>
      <c r="B6" s="236">
        <v>5.0</v>
      </c>
      <c r="C6" s="236"/>
      <c r="D6" s="184" t="str">
        <f>IFERROR(VLOOKUP(E6,INFORMACION!D:E,2,0),"INGRESAR CENTRO DE COSTO A LA DERECHA")</f>
        <v>INGRESAR CENTRO DE COSTO A LA DERECHA</v>
      </c>
      <c r="E6" s="244" t="s">
        <v>1975</v>
      </c>
      <c r="F6" s="195" t="s">
        <v>2774</v>
      </c>
      <c r="G6" s="186" t="s">
        <v>1611</v>
      </c>
      <c r="H6" s="186">
        <v>14.0</v>
      </c>
      <c r="I6" s="186" t="s">
        <v>2541</v>
      </c>
      <c r="J6" s="184" t="s">
        <v>112</v>
      </c>
      <c r="K6" s="184" t="s">
        <v>114</v>
      </c>
      <c r="L6" s="184" t="s">
        <v>117</v>
      </c>
      <c r="M6" s="184">
        <v>1.0</v>
      </c>
      <c r="N6" s="184" t="s">
        <v>122</v>
      </c>
      <c r="O6" s="184">
        <v>0.0</v>
      </c>
      <c r="P6" s="184">
        <v>1.0</v>
      </c>
      <c r="Q6" s="184">
        <v>0.0</v>
      </c>
      <c r="R6" s="184" t="s">
        <v>121</v>
      </c>
      <c r="S6" s="218">
        <v>42485.0</v>
      </c>
      <c r="T6" s="105" t="s">
        <v>1137</v>
      </c>
      <c r="U6" s="105"/>
      <c r="V6" s="184" t="s">
        <v>2894</v>
      </c>
      <c r="W6" s="184" t="s">
        <v>122</v>
      </c>
      <c r="X6" s="170"/>
      <c r="Y6" s="170"/>
      <c r="Z6" s="170"/>
      <c r="AA6" s="219">
        <v>42433.0</v>
      </c>
      <c r="AB6" s="219">
        <v>42436.0</v>
      </c>
      <c r="AC6" s="184">
        <v>14.0</v>
      </c>
      <c r="AD6" s="184" t="s">
        <v>114</v>
      </c>
      <c r="AE6" s="184" t="s">
        <v>2895</v>
      </c>
      <c r="AF6" s="184" t="s">
        <v>2027</v>
      </c>
      <c r="AG6" s="4"/>
      <c r="AH6" s="216" t="s">
        <v>2071</v>
      </c>
      <c r="AI6" s="216" t="s">
        <v>2597</v>
      </c>
      <c r="AJ6" s="184"/>
      <c r="AK6" s="184" t="s">
        <v>1612</v>
      </c>
      <c r="AL6" s="200">
        <f t="shared" si="2"/>
        <v>36</v>
      </c>
      <c r="AM6" s="201">
        <v>2016.0</v>
      </c>
    </row>
    <row r="7">
      <c r="A7" s="158">
        <f t="shared" si="1"/>
        <v>16696867</v>
      </c>
      <c r="B7" s="236">
        <v>6.0</v>
      </c>
      <c r="C7" s="236"/>
      <c r="D7" s="184" t="str">
        <f>IFERROR(VLOOKUP(E7,INFORMACION!D:E,2,0),"INGRESAR CENTRO DE COSTO A LA DERECHA")</f>
        <v>INGRESAR CENTRO DE COSTO A LA DERECHA</v>
      </c>
      <c r="E7" s="184" t="s">
        <v>1618</v>
      </c>
      <c r="F7" s="195" t="s">
        <v>2794</v>
      </c>
      <c r="G7" s="186" t="s">
        <v>2795</v>
      </c>
      <c r="H7" s="186">
        <v>20.0</v>
      </c>
      <c r="I7" s="186" t="s">
        <v>2541</v>
      </c>
      <c r="J7" s="184" t="s">
        <v>112</v>
      </c>
      <c r="K7" s="184" t="s">
        <v>120</v>
      </c>
      <c r="L7" s="184" t="s">
        <v>122</v>
      </c>
      <c r="M7" s="184">
        <v>0.0</v>
      </c>
      <c r="N7" s="184" t="s">
        <v>116</v>
      </c>
      <c r="O7" s="184">
        <v>19.0</v>
      </c>
      <c r="P7" s="184">
        <v>2.0</v>
      </c>
      <c r="Q7" s="184">
        <v>3.0</v>
      </c>
      <c r="R7" s="184" t="s">
        <v>115</v>
      </c>
      <c r="S7" s="218">
        <v>42472.0</v>
      </c>
      <c r="T7" s="105"/>
      <c r="U7" s="105" t="s">
        <v>2896</v>
      </c>
      <c r="V7" s="184" t="s">
        <v>2897</v>
      </c>
      <c r="W7" s="184" t="s">
        <v>118</v>
      </c>
      <c r="X7" s="197" t="s">
        <v>2140</v>
      </c>
      <c r="Y7" s="197" t="s">
        <v>2435</v>
      </c>
      <c r="Z7" s="170"/>
      <c r="AA7" s="219">
        <v>42431.0</v>
      </c>
      <c r="AB7" s="219">
        <v>42438.0</v>
      </c>
      <c r="AC7" s="4"/>
      <c r="AD7" s="4"/>
      <c r="AE7" s="184"/>
      <c r="AF7" s="4"/>
      <c r="AG7" s="4"/>
      <c r="AH7" s="216" t="s">
        <v>2071</v>
      </c>
      <c r="AI7" s="216" t="s">
        <v>2898</v>
      </c>
      <c r="AJ7" s="184"/>
      <c r="AK7" s="184" t="s">
        <v>2163</v>
      </c>
      <c r="AL7" s="200">
        <f t="shared" si="2"/>
        <v>25</v>
      </c>
      <c r="AM7" s="201">
        <v>2016.0</v>
      </c>
    </row>
    <row r="8">
      <c r="A8" s="158">
        <f t="shared" si="1"/>
        <v>9127516</v>
      </c>
      <c r="B8" s="242">
        <v>7.0</v>
      </c>
      <c r="C8" s="242"/>
      <c r="D8" s="184" t="str">
        <f>IFERROR(VLOOKUP(E8,INFORMACION!D:E,2,0),"INGRESAR CENTRO DE COSTO A LA DERECHA")</f>
        <v>INGRESAR CENTRO DE COSTO A LA DERECHA</v>
      </c>
      <c r="E8" s="244" t="s">
        <v>2899</v>
      </c>
      <c r="F8" s="195" t="s">
        <v>1970</v>
      </c>
      <c r="G8" s="245" t="s">
        <v>1638</v>
      </c>
      <c r="H8" s="245">
        <v>23.0</v>
      </c>
      <c r="I8" s="245" t="s">
        <v>2541</v>
      </c>
      <c r="J8" s="244" t="s">
        <v>112</v>
      </c>
      <c r="K8" s="244" t="s">
        <v>127</v>
      </c>
      <c r="L8" s="244" t="s">
        <v>122</v>
      </c>
      <c r="M8" s="244">
        <v>0.0</v>
      </c>
      <c r="N8" s="244" t="s">
        <v>116</v>
      </c>
      <c r="O8" s="244">
        <v>8.0</v>
      </c>
      <c r="P8" s="244">
        <v>3.0</v>
      </c>
      <c r="Q8" s="244">
        <v>0.0</v>
      </c>
      <c r="R8" s="244" t="s">
        <v>121</v>
      </c>
      <c r="S8" s="246">
        <v>42492.0</v>
      </c>
      <c r="T8" s="247"/>
      <c r="U8" s="247" t="s">
        <v>2900</v>
      </c>
      <c r="V8" s="244" t="s">
        <v>2901</v>
      </c>
      <c r="W8" s="244" t="s">
        <v>118</v>
      </c>
      <c r="X8" s="248" t="s">
        <v>2405</v>
      </c>
      <c r="Y8" s="249"/>
      <c r="Z8" s="249"/>
      <c r="AA8" s="250">
        <v>42453.0</v>
      </c>
      <c r="AB8" s="250">
        <v>42460.0</v>
      </c>
      <c r="AC8" s="251"/>
      <c r="AD8" s="251"/>
      <c r="AE8" s="244"/>
      <c r="AF8" s="251"/>
      <c r="AG8" s="251"/>
      <c r="AH8" s="244" t="s">
        <v>2071</v>
      </c>
      <c r="AI8" s="244" t="s">
        <v>2350</v>
      </c>
      <c r="AJ8" s="244"/>
      <c r="AK8" s="244" t="s">
        <v>2163</v>
      </c>
      <c r="AL8" s="252">
        <f t="shared" si="2"/>
        <v>23</v>
      </c>
      <c r="AM8" s="201">
        <v>2016.0</v>
      </c>
    </row>
    <row r="9">
      <c r="A9" s="158">
        <f t="shared" si="1"/>
        <v>13092635</v>
      </c>
      <c r="B9" s="242">
        <v>8.0</v>
      </c>
      <c r="C9" s="242"/>
      <c r="D9" s="184" t="str">
        <f>IFERROR(VLOOKUP(E9,INFORMACION!D:E,2,0),"INGRESAR CENTRO DE COSTO A LA DERECHA")</f>
        <v>INGRESAR CENTRO DE COSTO A LA DERECHA</v>
      </c>
      <c r="E9" s="244" t="s">
        <v>2495</v>
      </c>
      <c r="F9" s="195" t="s">
        <v>2609</v>
      </c>
      <c r="G9" s="245" t="s">
        <v>1591</v>
      </c>
      <c r="H9" s="245">
        <v>20.0</v>
      </c>
      <c r="I9" s="245" t="s">
        <v>2541</v>
      </c>
      <c r="J9" s="244" t="s">
        <v>112</v>
      </c>
      <c r="K9" s="244" t="s">
        <v>120</v>
      </c>
      <c r="L9" s="244" t="s">
        <v>122</v>
      </c>
      <c r="M9" s="244">
        <v>0.0</v>
      </c>
      <c r="N9" s="244" t="s">
        <v>116</v>
      </c>
      <c r="O9" s="244">
        <v>3.0</v>
      </c>
      <c r="P9" s="244">
        <v>3.0</v>
      </c>
      <c r="Q9" s="244">
        <v>1.0</v>
      </c>
      <c r="R9" s="244" t="s">
        <v>121</v>
      </c>
      <c r="S9" s="246">
        <v>42467.0</v>
      </c>
      <c r="T9" s="247"/>
      <c r="U9" s="247" t="s">
        <v>2902</v>
      </c>
      <c r="V9" s="244" t="s">
        <v>2903</v>
      </c>
      <c r="W9" s="244" t="s">
        <v>122</v>
      </c>
      <c r="X9" s="249"/>
      <c r="Y9" s="249"/>
      <c r="Z9" s="249"/>
      <c r="AA9" s="250">
        <v>42431.0</v>
      </c>
      <c r="AB9" s="250">
        <v>42438.0</v>
      </c>
      <c r="AC9" s="251"/>
      <c r="AD9" s="251"/>
      <c r="AE9" s="244"/>
      <c r="AF9" s="251"/>
      <c r="AG9" s="251"/>
      <c r="AH9" s="244" t="s">
        <v>2071</v>
      </c>
      <c r="AI9" s="244" t="s">
        <v>2904</v>
      </c>
      <c r="AJ9" s="244"/>
      <c r="AK9" s="244" t="s">
        <v>2163</v>
      </c>
      <c r="AL9" s="252">
        <f t="shared" si="2"/>
        <v>22</v>
      </c>
      <c r="AM9" s="201">
        <v>2016.0</v>
      </c>
    </row>
    <row r="10">
      <c r="A10" s="158">
        <f t="shared" si="1"/>
        <v>7411329</v>
      </c>
      <c r="B10" s="236">
        <v>9.0</v>
      </c>
      <c r="C10" s="236"/>
      <c r="D10" s="184" t="str">
        <f>IFERROR(VLOOKUP(E10,INFORMACION!D:E,2,0),"INGRESAR CENTRO DE COSTO A LA DERECHA")</f>
        <v>INGRESAR CENTRO DE COSTO A LA DERECHA</v>
      </c>
      <c r="E10" s="244" t="s">
        <v>2905</v>
      </c>
      <c r="F10" s="195" t="s">
        <v>2540</v>
      </c>
      <c r="G10" s="245" t="s">
        <v>1898</v>
      </c>
      <c r="H10" s="245">
        <v>17.0</v>
      </c>
      <c r="I10" s="245" t="s">
        <v>2541</v>
      </c>
      <c r="J10" s="244" t="s">
        <v>112</v>
      </c>
      <c r="K10" s="244" t="s">
        <v>120</v>
      </c>
      <c r="L10" s="244" t="s">
        <v>117</v>
      </c>
      <c r="M10" s="244">
        <v>2.0</v>
      </c>
      <c r="N10" s="244" t="s">
        <v>122</v>
      </c>
      <c r="O10" s="244">
        <v>0.0</v>
      </c>
      <c r="P10" s="244">
        <v>1.0</v>
      </c>
      <c r="Q10" s="244">
        <v>0.0</v>
      </c>
      <c r="R10" s="244" t="s">
        <v>121</v>
      </c>
      <c r="S10" s="246">
        <v>42468.0</v>
      </c>
      <c r="T10" s="247" t="s">
        <v>1048</v>
      </c>
      <c r="U10" s="247"/>
      <c r="V10" s="244" t="s">
        <v>2906</v>
      </c>
      <c r="W10" s="244" t="s">
        <v>122</v>
      </c>
      <c r="X10" s="249"/>
      <c r="Y10" s="249"/>
      <c r="Z10" s="249"/>
      <c r="AA10" s="250">
        <v>42430.0</v>
      </c>
      <c r="AB10" s="250">
        <v>42432.0</v>
      </c>
      <c r="AC10" s="244">
        <v>20.0</v>
      </c>
      <c r="AD10" s="244" t="s">
        <v>120</v>
      </c>
      <c r="AE10" s="244" t="s">
        <v>2907</v>
      </c>
      <c r="AF10" s="244" t="s">
        <v>1740</v>
      </c>
      <c r="AG10" s="251"/>
      <c r="AH10" s="244" t="s">
        <v>2071</v>
      </c>
      <c r="AI10" s="244" t="s">
        <v>2908</v>
      </c>
      <c r="AJ10" s="244"/>
      <c r="AK10" s="244" t="s">
        <v>2157</v>
      </c>
      <c r="AL10" s="252">
        <f t="shared" si="2"/>
        <v>27</v>
      </c>
      <c r="AM10" s="201">
        <v>2016.0</v>
      </c>
    </row>
    <row r="11">
      <c r="A11" s="158">
        <f t="shared" si="1"/>
        <v>13839647</v>
      </c>
      <c r="B11" s="236">
        <v>10.0</v>
      </c>
      <c r="C11" s="236"/>
      <c r="D11" s="184" t="str">
        <f>IFERROR(VLOOKUP(E11,INFORMACION!D:E,2,0),"INGRESAR CENTRO DE COSTO A LA DERECHA")</f>
        <v>INGRESAR CENTRO DE COSTO A LA DERECHA</v>
      </c>
      <c r="E11" s="184" t="s">
        <v>2886</v>
      </c>
      <c r="F11" s="195" t="s">
        <v>2540</v>
      </c>
      <c r="G11" s="186" t="s">
        <v>1898</v>
      </c>
      <c r="H11" s="186">
        <v>17.0</v>
      </c>
      <c r="I11" s="186" t="s">
        <v>2541</v>
      </c>
      <c r="J11" s="184" t="s">
        <v>112</v>
      </c>
      <c r="K11" s="184" t="s">
        <v>120</v>
      </c>
      <c r="L11" s="184" t="s">
        <v>117</v>
      </c>
      <c r="M11" s="184">
        <v>4.0</v>
      </c>
      <c r="N11" s="184" t="s">
        <v>116</v>
      </c>
      <c r="O11" s="184">
        <v>9.0</v>
      </c>
      <c r="P11" s="184">
        <v>1.0</v>
      </c>
      <c r="Q11" s="184">
        <v>1.0</v>
      </c>
      <c r="R11" s="184" t="s">
        <v>121</v>
      </c>
      <c r="S11" s="218">
        <v>42499.0</v>
      </c>
      <c r="T11" s="105"/>
      <c r="U11" s="105" t="s">
        <v>2909</v>
      </c>
      <c r="V11" s="184" t="s">
        <v>2910</v>
      </c>
      <c r="W11" s="184" t="s">
        <v>122</v>
      </c>
      <c r="X11" s="170"/>
      <c r="Y11" s="170"/>
      <c r="Z11" s="170"/>
      <c r="AA11" s="219">
        <v>42472.0</v>
      </c>
      <c r="AB11" s="219">
        <v>42475.0</v>
      </c>
      <c r="AC11" s="4"/>
      <c r="AD11" s="4"/>
      <c r="AE11" s="184"/>
      <c r="AF11" s="4"/>
      <c r="AG11" s="4"/>
      <c r="AH11" s="216" t="s">
        <v>2071</v>
      </c>
      <c r="AI11" s="216" t="s">
        <v>2597</v>
      </c>
      <c r="AJ11" s="184"/>
      <c r="AK11" s="184" t="s">
        <v>2163</v>
      </c>
      <c r="AL11" s="200">
        <f t="shared" si="2"/>
        <v>17</v>
      </c>
      <c r="AM11" s="201">
        <v>2016.0</v>
      </c>
    </row>
    <row r="12">
      <c r="A12" s="158">
        <f t="shared" si="1"/>
        <v>18671900</v>
      </c>
      <c r="B12" s="242">
        <v>11.0</v>
      </c>
      <c r="C12" s="242"/>
      <c r="D12" s="184" t="str">
        <f>IFERROR(VLOOKUP(E12,INFORMACION!D:E,2,0),"INGRESAR CENTRO DE COSTO A LA DERECHA")</f>
        <v>INGRESAR CENTRO DE COSTO A LA DERECHA</v>
      </c>
      <c r="E12" s="184" t="s">
        <v>2911</v>
      </c>
      <c r="F12" s="195" t="s">
        <v>2679</v>
      </c>
      <c r="G12" s="186" t="s">
        <v>1816</v>
      </c>
      <c r="H12" s="186">
        <v>20.0</v>
      </c>
      <c r="I12" s="186" t="s">
        <v>2541</v>
      </c>
      <c r="J12" s="184" t="s">
        <v>112</v>
      </c>
      <c r="K12" s="184" t="s">
        <v>120</v>
      </c>
      <c r="L12" s="184" t="s">
        <v>122</v>
      </c>
      <c r="M12" s="184">
        <v>0.0</v>
      </c>
      <c r="N12" s="184" t="s">
        <v>116</v>
      </c>
      <c r="O12" s="184">
        <v>3.0</v>
      </c>
      <c r="P12" s="184">
        <v>2.0</v>
      </c>
      <c r="Q12" s="184">
        <v>1.0</v>
      </c>
      <c r="R12" s="184" t="s">
        <v>121</v>
      </c>
      <c r="S12" s="218">
        <v>42479.0</v>
      </c>
      <c r="T12" s="105"/>
      <c r="U12" s="105" t="s">
        <v>2912</v>
      </c>
      <c r="V12" s="184" t="s">
        <v>2913</v>
      </c>
      <c r="W12" s="184" t="s">
        <v>122</v>
      </c>
      <c r="X12" s="170"/>
      <c r="Y12" s="170"/>
      <c r="Z12" s="170"/>
      <c r="AA12" s="219">
        <v>42450.0</v>
      </c>
      <c r="AB12" s="219">
        <v>42457.0</v>
      </c>
      <c r="AC12" s="4"/>
      <c r="AD12" s="4"/>
      <c r="AE12" s="184"/>
      <c r="AF12" s="4"/>
      <c r="AG12" s="4"/>
      <c r="AH12" s="216" t="s">
        <v>2071</v>
      </c>
      <c r="AI12" s="216" t="s">
        <v>2225</v>
      </c>
      <c r="AJ12" s="184"/>
      <c r="AK12" s="184" t="s">
        <v>2163</v>
      </c>
      <c r="AL12" s="200">
        <f t="shared" si="2"/>
        <v>17</v>
      </c>
      <c r="AM12" s="201">
        <v>2016.0</v>
      </c>
    </row>
    <row r="13">
      <c r="A13" s="158">
        <f t="shared" si="1"/>
        <v>12005782</v>
      </c>
      <c r="B13" s="242">
        <v>12.0</v>
      </c>
      <c r="C13" s="242"/>
      <c r="D13" s="184" t="str">
        <f>IFERROR(VLOOKUP(E13,INFORMACION!D:E,2,0),"INGRESAR CENTRO DE COSTO A LA DERECHA")</f>
        <v>INGRESAR CENTRO DE COSTO A LA DERECHA</v>
      </c>
      <c r="E13" s="115" t="s">
        <v>2914</v>
      </c>
      <c r="F13" s="195" t="s">
        <v>2915</v>
      </c>
      <c r="G13" s="186" t="s">
        <v>2916</v>
      </c>
      <c r="H13" s="186">
        <v>20.0</v>
      </c>
      <c r="I13" s="186" t="s">
        <v>2541</v>
      </c>
      <c r="J13" s="184" t="s">
        <v>112</v>
      </c>
      <c r="K13" s="184" t="s">
        <v>125</v>
      </c>
      <c r="L13" s="184" t="s">
        <v>122</v>
      </c>
      <c r="M13" s="184">
        <v>0.0</v>
      </c>
      <c r="N13" s="184" t="s">
        <v>116</v>
      </c>
      <c r="O13" s="184">
        <v>26.0</v>
      </c>
      <c r="P13" s="184">
        <v>3.0</v>
      </c>
      <c r="Q13" s="184">
        <v>4.0</v>
      </c>
      <c r="R13" s="184" t="s">
        <v>115</v>
      </c>
      <c r="S13" s="218">
        <v>42507.0</v>
      </c>
      <c r="T13" s="105"/>
      <c r="U13" s="105" t="s">
        <v>2917</v>
      </c>
      <c r="V13" s="184" t="s">
        <v>2918</v>
      </c>
      <c r="W13" s="184" t="s">
        <v>122</v>
      </c>
      <c r="X13" s="170"/>
      <c r="Y13" s="170"/>
      <c r="Z13" s="170"/>
      <c r="AA13" s="219">
        <v>42482.0</v>
      </c>
      <c r="AB13" s="219">
        <v>42488.0</v>
      </c>
      <c r="AC13" s="4"/>
      <c r="AD13" s="4"/>
      <c r="AE13" s="184"/>
      <c r="AF13" s="4"/>
      <c r="AG13" s="4"/>
      <c r="AH13" s="216" t="s">
        <v>2071</v>
      </c>
      <c r="AI13" s="216" t="s">
        <v>2919</v>
      </c>
      <c r="AJ13" s="184"/>
      <c r="AK13" s="184" t="s">
        <v>2163</v>
      </c>
      <c r="AL13" s="200">
        <f t="shared" ref="AL13:AL14" si="3">IF(AB13="","",IF(AND(NETWORKDAYS(AB13,S13)&gt;1000,NETWORKDAYS(AB13,S13)&lt;1),"",(NETWORKDAYS(AB13,S13))))</f>
        <v>14</v>
      </c>
      <c r="AM13" s="201">
        <v>2016.0</v>
      </c>
    </row>
    <row r="14">
      <c r="A14" s="158">
        <f t="shared" si="1"/>
        <v>11390994</v>
      </c>
      <c r="B14" s="236">
        <v>13.0</v>
      </c>
      <c r="C14" s="236"/>
      <c r="D14" s="184" t="str">
        <f>IFERROR(VLOOKUP(E14,INFORMACION!D:E,2,0),"INGRESAR CENTRO DE COSTO A LA DERECHA")</f>
        <v>INGRESAR CENTRO DE COSTO A LA DERECHA</v>
      </c>
      <c r="E14" s="184" t="s">
        <v>1618</v>
      </c>
      <c r="F14" s="195" t="s">
        <v>2679</v>
      </c>
      <c r="G14" s="186" t="s">
        <v>1816</v>
      </c>
      <c r="H14" s="186">
        <v>20.0</v>
      </c>
      <c r="I14" s="186" t="s">
        <v>2541</v>
      </c>
      <c r="J14" s="184" t="s">
        <v>112</v>
      </c>
      <c r="K14" s="184" t="s">
        <v>120</v>
      </c>
      <c r="L14" s="184" t="s">
        <v>117</v>
      </c>
      <c r="M14" s="184">
        <v>0.0</v>
      </c>
      <c r="N14" s="184" t="s">
        <v>116</v>
      </c>
      <c r="O14" s="184">
        <v>13.0</v>
      </c>
      <c r="P14" s="184">
        <v>1.0</v>
      </c>
      <c r="Q14" s="184">
        <v>1.0</v>
      </c>
      <c r="R14" s="184" t="s">
        <v>121</v>
      </c>
      <c r="S14" s="218">
        <v>42527.0</v>
      </c>
      <c r="T14" s="105"/>
      <c r="U14" s="105" t="s">
        <v>2920</v>
      </c>
      <c r="V14" s="184" t="s">
        <v>2921</v>
      </c>
      <c r="W14" s="184" t="s">
        <v>118</v>
      </c>
      <c r="X14" s="197" t="s">
        <v>2405</v>
      </c>
      <c r="Y14" s="170"/>
      <c r="Z14" s="170"/>
      <c r="AA14" s="219">
        <v>42450.0</v>
      </c>
      <c r="AB14" s="219">
        <v>42457.0</v>
      </c>
      <c r="AC14" s="184"/>
      <c r="AD14" s="4"/>
      <c r="AE14" s="184"/>
      <c r="AF14" s="4"/>
      <c r="AG14" s="4"/>
      <c r="AH14" s="216" t="s">
        <v>2071</v>
      </c>
      <c r="AI14" s="216" t="s">
        <v>2922</v>
      </c>
      <c r="AJ14" s="184"/>
      <c r="AK14" s="184" t="s">
        <v>2163</v>
      </c>
      <c r="AL14" s="200">
        <f t="shared" si="3"/>
        <v>51</v>
      </c>
      <c r="AM14" s="201">
        <v>2016.0</v>
      </c>
    </row>
    <row r="15">
      <c r="A15" s="158">
        <f t="shared" si="1"/>
        <v>13282283</v>
      </c>
      <c r="B15" s="236">
        <v>14.0</v>
      </c>
      <c r="C15" s="236"/>
      <c r="D15" s="184" t="str">
        <f>IFERROR(VLOOKUP(E15,INFORMACION!D:E,2,0),"INGRESAR CENTRO DE COSTO A LA DERECHA")</f>
        <v>INGRESAR CENTRO DE COSTO A LA DERECHA</v>
      </c>
      <c r="E15" s="184" t="s">
        <v>2495</v>
      </c>
      <c r="F15" s="195" t="s">
        <v>2923</v>
      </c>
      <c r="G15" s="186" t="s">
        <v>2078</v>
      </c>
      <c r="H15" s="186">
        <v>8.0</v>
      </c>
      <c r="I15" s="186" t="s">
        <v>2541</v>
      </c>
      <c r="J15" s="184" t="s">
        <v>112</v>
      </c>
      <c r="K15" s="184" t="s">
        <v>114</v>
      </c>
      <c r="L15" s="184" t="s">
        <v>117</v>
      </c>
      <c r="M15" s="184">
        <v>0.0</v>
      </c>
      <c r="N15" s="184" t="s">
        <v>116</v>
      </c>
      <c r="O15" s="184">
        <v>24.0</v>
      </c>
      <c r="P15" s="184">
        <v>2.0</v>
      </c>
      <c r="Q15" s="184">
        <v>2.0</v>
      </c>
      <c r="R15" s="184" t="s">
        <v>115</v>
      </c>
      <c r="S15" s="218">
        <v>42471.0</v>
      </c>
      <c r="T15" s="105"/>
      <c r="U15" s="105" t="s">
        <v>2924</v>
      </c>
      <c r="V15" s="184" t="s">
        <v>2925</v>
      </c>
      <c r="W15" s="184" t="s">
        <v>118</v>
      </c>
      <c r="X15" s="197" t="s">
        <v>2102</v>
      </c>
      <c r="Y15" s="197" t="s">
        <v>2523</v>
      </c>
      <c r="Z15" s="170"/>
      <c r="AA15" s="219">
        <v>42431.0</v>
      </c>
      <c r="AB15" s="219">
        <v>42438.0</v>
      </c>
      <c r="AC15" s="4"/>
      <c r="AD15" s="4"/>
      <c r="AE15" s="184"/>
      <c r="AF15" s="4"/>
      <c r="AG15" s="4"/>
      <c r="AH15" s="216" t="s">
        <v>2071</v>
      </c>
      <c r="AI15" s="216" t="s">
        <v>2524</v>
      </c>
      <c r="AJ15" s="184"/>
      <c r="AK15" s="184" t="s">
        <v>2163</v>
      </c>
      <c r="AL15" s="200">
        <f t="shared" ref="AL15:AL114" si="4">IF(AB15="","",IF(AND(NETWORKDAYS(AB15,S15)&gt;1000,NETWORKDAYS(AB15,S15)&lt;1),"",(NETWORKDAYS(AB15,S15))))</f>
        <v>24</v>
      </c>
      <c r="AM15" s="201">
        <v>2016.0</v>
      </c>
    </row>
    <row r="16">
      <c r="A16" s="158">
        <f t="shared" si="1"/>
        <v>16067829</v>
      </c>
      <c r="B16" s="242">
        <v>15.0</v>
      </c>
      <c r="C16" s="242"/>
      <c r="D16" s="184" t="str">
        <f>IFERROR(VLOOKUP(E16,INFORMACION!D:E,2,0),"INGRESAR CENTRO DE COSTO A LA DERECHA")</f>
        <v>INGRESAR CENTRO DE COSTO A LA DERECHA</v>
      </c>
      <c r="E16" s="184" t="s">
        <v>1618</v>
      </c>
      <c r="F16" s="195" t="s">
        <v>2635</v>
      </c>
      <c r="G16" s="186" t="s">
        <v>2418</v>
      </c>
      <c r="H16" s="186">
        <v>13.0</v>
      </c>
      <c r="I16" s="186" t="s">
        <v>2582</v>
      </c>
      <c r="J16" s="184" t="s">
        <v>112</v>
      </c>
      <c r="K16" s="184" t="s">
        <v>114</v>
      </c>
      <c r="L16" s="184" t="s">
        <v>117</v>
      </c>
      <c r="M16" s="184">
        <v>0.0</v>
      </c>
      <c r="N16" s="184" t="s">
        <v>116</v>
      </c>
      <c r="O16" s="184">
        <v>11.0</v>
      </c>
      <c r="P16" s="184">
        <v>2.0</v>
      </c>
      <c r="Q16" s="184">
        <v>1.0</v>
      </c>
      <c r="R16" s="184" t="s">
        <v>115</v>
      </c>
      <c r="S16" s="218">
        <v>42527.0</v>
      </c>
      <c r="T16" s="105"/>
      <c r="U16" s="105" t="s">
        <v>2926</v>
      </c>
      <c r="V16" s="184" t="s">
        <v>2927</v>
      </c>
      <c r="W16" s="184" t="s">
        <v>118</v>
      </c>
      <c r="X16" s="197" t="s">
        <v>2102</v>
      </c>
      <c r="Y16" s="170"/>
      <c r="Z16" s="170"/>
      <c r="AA16" s="219">
        <v>42444.0</v>
      </c>
      <c r="AB16" s="219">
        <v>42451.0</v>
      </c>
      <c r="AC16" s="4"/>
      <c r="AD16" s="4"/>
      <c r="AE16" s="184"/>
      <c r="AF16" s="4"/>
      <c r="AG16" s="4"/>
      <c r="AH16" s="216" t="s">
        <v>2071</v>
      </c>
      <c r="AI16" s="216" t="s">
        <v>2928</v>
      </c>
      <c r="AJ16" s="184"/>
      <c r="AK16" s="184" t="s">
        <v>1612</v>
      </c>
      <c r="AL16" s="200">
        <f t="shared" si="4"/>
        <v>55</v>
      </c>
      <c r="AM16" s="201">
        <v>2016.0</v>
      </c>
    </row>
    <row r="17">
      <c r="A17" s="158">
        <f t="shared" si="1"/>
        <v>15644487</v>
      </c>
      <c r="B17" s="242">
        <v>16.0</v>
      </c>
      <c r="C17" s="242"/>
      <c r="D17" s="184" t="str">
        <f>IFERROR(VLOOKUP(E17,INFORMACION!D:E,2,0),"INGRESAR CENTRO DE COSTO A LA DERECHA")</f>
        <v>INGRESAR CENTRO DE COSTO A LA DERECHA</v>
      </c>
      <c r="E17" s="184" t="s">
        <v>1602</v>
      </c>
      <c r="F17" s="195" t="s">
        <v>2642</v>
      </c>
      <c r="G17" s="186" t="s">
        <v>1907</v>
      </c>
      <c r="H17" s="186">
        <v>13.0</v>
      </c>
      <c r="I17" s="186" t="s">
        <v>2541</v>
      </c>
      <c r="J17" s="184" t="s">
        <v>112</v>
      </c>
      <c r="K17" s="184" t="s">
        <v>114</v>
      </c>
      <c r="L17" s="184" t="s">
        <v>117</v>
      </c>
      <c r="M17" s="184">
        <v>1.0</v>
      </c>
      <c r="N17" s="184" t="s">
        <v>116</v>
      </c>
      <c r="O17" s="184">
        <v>14.0</v>
      </c>
      <c r="P17" s="184">
        <v>1.0</v>
      </c>
      <c r="Q17" s="184">
        <v>1.0</v>
      </c>
      <c r="R17" s="184" t="s">
        <v>115</v>
      </c>
      <c r="S17" s="218">
        <v>42522.0</v>
      </c>
      <c r="T17" s="105"/>
      <c r="U17" s="105" t="s">
        <v>2929</v>
      </c>
      <c r="V17" s="184" t="s">
        <v>2930</v>
      </c>
      <c r="W17" s="184" t="s">
        <v>118</v>
      </c>
      <c r="X17" s="197" t="s">
        <v>2523</v>
      </c>
      <c r="Y17" s="170"/>
      <c r="Z17" s="170"/>
      <c r="AA17" s="219">
        <v>42468.0</v>
      </c>
      <c r="AB17" s="219">
        <v>42475.0</v>
      </c>
      <c r="AC17" s="4"/>
      <c r="AD17" s="4"/>
      <c r="AE17" s="184"/>
      <c r="AF17" s="4"/>
      <c r="AG17" s="4"/>
      <c r="AH17" s="216" t="s">
        <v>2071</v>
      </c>
      <c r="AI17" s="216" t="s">
        <v>2839</v>
      </c>
      <c r="AJ17" s="184"/>
      <c r="AK17" s="184" t="s">
        <v>2157</v>
      </c>
      <c r="AL17" s="200">
        <f t="shared" si="4"/>
        <v>34</v>
      </c>
      <c r="AM17" s="201">
        <v>2016.0</v>
      </c>
    </row>
    <row r="18">
      <c r="A18" s="158">
        <f t="shared" si="1"/>
        <v>17284001</v>
      </c>
      <c r="B18" s="236">
        <v>17.0</v>
      </c>
      <c r="C18" s="236"/>
      <c r="D18" s="184" t="str">
        <f>IFERROR(VLOOKUP(E18,INFORMACION!D:E,2,0),"INGRESAR CENTRO DE COSTO A LA DERECHA")</f>
        <v>INGRESAR CENTRO DE COSTO A LA DERECHA</v>
      </c>
      <c r="E18" s="184" t="s">
        <v>2121</v>
      </c>
      <c r="F18" s="195" t="s">
        <v>2576</v>
      </c>
      <c r="G18" s="186" t="s">
        <v>1741</v>
      </c>
      <c r="H18" s="186">
        <v>21.0</v>
      </c>
      <c r="I18" s="186" t="s">
        <v>2541</v>
      </c>
      <c r="J18" s="184" t="s">
        <v>112</v>
      </c>
      <c r="K18" s="184" t="s">
        <v>127</v>
      </c>
      <c r="L18" s="184" t="s">
        <v>117</v>
      </c>
      <c r="M18" s="184">
        <v>1.0</v>
      </c>
      <c r="N18" s="184" t="s">
        <v>116</v>
      </c>
      <c r="O18" s="184">
        <v>4.0</v>
      </c>
      <c r="P18" s="184">
        <v>2.0</v>
      </c>
      <c r="Q18" s="184">
        <v>1.0</v>
      </c>
      <c r="R18" s="184" t="s">
        <v>115</v>
      </c>
      <c r="S18" s="218">
        <v>42485.0</v>
      </c>
      <c r="T18" s="105"/>
      <c r="U18" s="105" t="s">
        <v>2931</v>
      </c>
      <c r="V18" s="184" t="s">
        <v>2932</v>
      </c>
      <c r="W18" s="184" t="s">
        <v>122</v>
      </c>
      <c r="X18" s="170"/>
      <c r="Y18" s="170"/>
      <c r="Z18" s="170"/>
      <c r="AA18" s="219">
        <v>42461.0</v>
      </c>
      <c r="AB18" s="219">
        <v>42466.0</v>
      </c>
      <c r="AC18" s="4"/>
      <c r="AD18" s="4"/>
      <c r="AE18" s="184"/>
      <c r="AF18" s="4"/>
      <c r="AG18" s="4"/>
      <c r="AH18" s="216" t="s">
        <v>2071</v>
      </c>
      <c r="AI18" s="216" t="s">
        <v>2933</v>
      </c>
      <c r="AJ18" s="184"/>
      <c r="AK18" s="184" t="s">
        <v>2163</v>
      </c>
      <c r="AL18" s="200">
        <f t="shared" si="4"/>
        <v>14</v>
      </c>
      <c r="AM18" s="201">
        <v>2016.0</v>
      </c>
    </row>
    <row r="19">
      <c r="A19" s="158">
        <f t="shared" si="1"/>
        <v>12640960</v>
      </c>
      <c r="B19" s="236">
        <v>18.0</v>
      </c>
      <c r="C19" s="236"/>
      <c r="D19" s="184" t="str">
        <f>IFERROR(VLOOKUP(E19,INFORMACION!D:E,2,0),"INGRESAR CENTRO DE COSTO A LA DERECHA")</f>
        <v>INGRESAR CENTRO DE COSTO A LA DERECHA</v>
      </c>
      <c r="E19" s="184" t="s">
        <v>2934</v>
      </c>
      <c r="F19" s="195" t="s">
        <v>2540</v>
      </c>
      <c r="G19" s="186" t="s">
        <v>1898</v>
      </c>
      <c r="H19" s="186">
        <v>17.0</v>
      </c>
      <c r="I19" s="186" t="s">
        <v>2541</v>
      </c>
      <c r="J19" s="184" t="s">
        <v>112</v>
      </c>
      <c r="K19" s="184" t="s">
        <v>120</v>
      </c>
      <c r="L19" s="184" t="s">
        <v>117</v>
      </c>
      <c r="M19" s="184">
        <v>0.0</v>
      </c>
      <c r="N19" s="184" t="s">
        <v>116</v>
      </c>
      <c r="O19" s="184">
        <v>13.0</v>
      </c>
      <c r="P19" s="184">
        <v>3.0</v>
      </c>
      <c r="Q19" s="184">
        <v>1.0</v>
      </c>
      <c r="R19" s="184" t="s">
        <v>121</v>
      </c>
      <c r="S19" s="218">
        <v>42522.0</v>
      </c>
      <c r="T19" s="105"/>
      <c r="U19" s="105" t="s">
        <v>2935</v>
      </c>
      <c r="V19" s="184" t="s">
        <v>2936</v>
      </c>
      <c r="W19" s="184" t="s">
        <v>122</v>
      </c>
      <c r="X19" s="170"/>
      <c r="Y19" s="170"/>
      <c r="Z19" s="170"/>
      <c r="AA19" s="219">
        <v>42507.0</v>
      </c>
      <c r="AB19" s="219">
        <v>42513.0</v>
      </c>
      <c r="AC19" s="4"/>
      <c r="AD19" s="4"/>
      <c r="AE19" s="184"/>
      <c r="AF19" s="4"/>
      <c r="AG19" s="4"/>
      <c r="AH19" s="216" t="s">
        <v>2071</v>
      </c>
      <c r="AI19" s="216" t="s">
        <v>2326</v>
      </c>
      <c r="AJ19" s="184"/>
      <c r="AK19" s="184" t="s">
        <v>2163</v>
      </c>
      <c r="AL19" s="200">
        <f t="shared" si="4"/>
        <v>8</v>
      </c>
      <c r="AM19" s="201">
        <v>2016.0</v>
      </c>
    </row>
    <row r="20">
      <c r="A20" s="158">
        <f t="shared" si="1"/>
        <v>18082414</v>
      </c>
      <c r="B20" s="242">
        <v>19.0</v>
      </c>
      <c r="C20" s="242"/>
      <c r="D20" s="184" t="str">
        <f>IFERROR(VLOOKUP(E20,INFORMACION!D:E,2,0),"INGRESAR CENTRO DE COSTO A LA DERECHA")</f>
        <v>INGRESAR CENTRO DE COSTO A LA DERECHA</v>
      </c>
      <c r="E20" s="184" t="s">
        <v>2937</v>
      </c>
      <c r="F20" s="195" t="s">
        <v>2650</v>
      </c>
      <c r="G20" s="186" t="s">
        <v>2938</v>
      </c>
      <c r="H20" s="186">
        <v>17.0</v>
      </c>
      <c r="I20" s="186" t="s">
        <v>2541</v>
      </c>
      <c r="J20" s="184" t="s">
        <v>112</v>
      </c>
      <c r="K20" s="184" t="s">
        <v>120</v>
      </c>
      <c r="L20" s="184" t="s">
        <v>117</v>
      </c>
      <c r="M20" s="184">
        <v>0.0</v>
      </c>
      <c r="N20" s="184" t="s">
        <v>116</v>
      </c>
      <c r="O20" s="184">
        <v>34.0</v>
      </c>
      <c r="P20" s="184">
        <v>1.0</v>
      </c>
      <c r="Q20" s="184">
        <v>3.0</v>
      </c>
      <c r="R20" s="184" t="s">
        <v>121</v>
      </c>
      <c r="S20" s="218">
        <v>42515.0</v>
      </c>
      <c r="T20" s="105"/>
      <c r="U20" s="105" t="s">
        <v>2939</v>
      </c>
      <c r="V20" s="184" t="s">
        <v>2940</v>
      </c>
      <c r="W20" s="184" t="s">
        <v>122</v>
      </c>
      <c r="X20" s="170"/>
      <c r="Y20" s="170"/>
      <c r="Z20" s="170"/>
      <c r="AA20" s="219">
        <v>42492.0</v>
      </c>
      <c r="AB20" s="219">
        <v>42496.0</v>
      </c>
      <c r="AC20" s="4"/>
      <c r="AD20" s="4"/>
      <c r="AE20" s="184"/>
      <c r="AF20" s="4"/>
      <c r="AG20" s="4"/>
      <c r="AH20" s="216" t="s">
        <v>2071</v>
      </c>
      <c r="AI20" s="216" t="s">
        <v>2941</v>
      </c>
      <c r="AJ20" s="184"/>
      <c r="AK20" s="184" t="s">
        <v>2163</v>
      </c>
      <c r="AL20" s="200">
        <f t="shared" si="4"/>
        <v>14</v>
      </c>
      <c r="AM20" s="201">
        <v>2016.0</v>
      </c>
    </row>
    <row r="21">
      <c r="A21" s="158">
        <f t="shared" si="1"/>
        <v>15327094</v>
      </c>
      <c r="B21" s="242">
        <v>20.0</v>
      </c>
      <c r="C21" s="242"/>
      <c r="D21" s="184" t="str">
        <f>IFERROR(VLOOKUP(E21,INFORMACION!D:E,2,0),"INGRESAR CENTRO DE COSTO A LA DERECHA")</f>
        <v>INGRESAR CENTRO DE COSTO A LA DERECHA</v>
      </c>
      <c r="E21" s="184" t="s">
        <v>1975</v>
      </c>
      <c r="F21" s="195" t="s">
        <v>2613</v>
      </c>
      <c r="G21" s="186" t="s">
        <v>1821</v>
      </c>
      <c r="H21" s="186">
        <v>18.0</v>
      </c>
      <c r="I21" s="186" t="s">
        <v>2541</v>
      </c>
      <c r="J21" s="184" t="s">
        <v>112</v>
      </c>
      <c r="K21" s="184" t="s">
        <v>125</v>
      </c>
      <c r="L21" s="184" t="s">
        <v>117</v>
      </c>
      <c r="M21" s="184">
        <v>0.0</v>
      </c>
      <c r="N21" s="184" t="s">
        <v>116</v>
      </c>
      <c r="O21" s="184">
        <v>3.0</v>
      </c>
      <c r="P21" s="184">
        <v>1.0</v>
      </c>
      <c r="Q21" s="184">
        <v>1.0</v>
      </c>
      <c r="R21" s="184" t="s">
        <v>121</v>
      </c>
      <c r="S21" s="218">
        <v>42520.0</v>
      </c>
      <c r="T21" s="105"/>
      <c r="U21" s="105" t="s">
        <v>2942</v>
      </c>
      <c r="V21" s="184" t="s">
        <v>2943</v>
      </c>
      <c r="W21" s="184" t="s">
        <v>122</v>
      </c>
      <c r="X21" s="170"/>
      <c r="Y21" s="170"/>
      <c r="Z21" s="170"/>
      <c r="AA21" s="219">
        <v>42437.0</v>
      </c>
      <c r="AB21" s="219">
        <v>42444.0</v>
      </c>
      <c r="AC21" s="4"/>
      <c r="AD21" s="4"/>
      <c r="AE21" s="184"/>
      <c r="AF21" s="4"/>
      <c r="AG21" s="4"/>
      <c r="AH21" s="216" t="s">
        <v>2071</v>
      </c>
      <c r="AI21" s="216" t="s">
        <v>2941</v>
      </c>
      <c r="AJ21" s="184"/>
      <c r="AK21" s="184" t="s">
        <v>2163</v>
      </c>
      <c r="AL21" s="200">
        <f t="shared" si="4"/>
        <v>55</v>
      </c>
      <c r="AM21" s="201">
        <v>2016.0</v>
      </c>
    </row>
    <row r="22">
      <c r="A22" s="158">
        <f t="shared" si="1"/>
        <v>17031660</v>
      </c>
      <c r="B22" s="236">
        <v>21.0</v>
      </c>
      <c r="C22" s="236"/>
      <c r="D22" s="184" t="str">
        <f>IFERROR(VLOOKUP(E22,INFORMACION!D:E,2,0),"INGRESAR CENTRO DE COSTO A LA DERECHA")</f>
        <v>INGRESAR CENTRO DE COSTO A LA DERECHA</v>
      </c>
      <c r="E22" s="184" t="s">
        <v>1618</v>
      </c>
      <c r="F22" s="195" t="s">
        <v>2545</v>
      </c>
      <c r="G22" s="186" t="s">
        <v>1625</v>
      </c>
      <c r="H22" s="186">
        <v>17.0</v>
      </c>
      <c r="I22" s="186" t="s">
        <v>2582</v>
      </c>
      <c r="J22" s="184" t="s">
        <v>112</v>
      </c>
      <c r="K22" s="184" t="s">
        <v>125</v>
      </c>
      <c r="L22" s="184" t="s">
        <v>117</v>
      </c>
      <c r="M22" s="184">
        <v>0.0</v>
      </c>
      <c r="N22" s="184" t="s">
        <v>116</v>
      </c>
      <c r="O22" s="184">
        <v>4.0</v>
      </c>
      <c r="P22" s="184">
        <v>1.0</v>
      </c>
      <c r="Q22" s="184">
        <v>1.0</v>
      </c>
      <c r="R22" s="184" t="s">
        <v>115</v>
      </c>
      <c r="S22" s="218">
        <v>42527.0</v>
      </c>
      <c r="T22" s="105"/>
      <c r="U22" s="105" t="s">
        <v>2944</v>
      </c>
      <c r="V22" s="184" t="s">
        <v>2945</v>
      </c>
      <c r="W22" s="184" t="s">
        <v>118</v>
      </c>
      <c r="X22" s="197" t="s">
        <v>2523</v>
      </c>
      <c r="Y22" s="170"/>
      <c r="Z22" s="170"/>
      <c r="AA22" s="219">
        <v>42444.0</v>
      </c>
      <c r="AB22" s="219">
        <v>42451.0</v>
      </c>
      <c r="AC22" s="4"/>
      <c r="AD22" s="4"/>
      <c r="AE22" s="184"/>
      <c r="AF22" s="4"/>
      <c r="AG22" s="4"/>
      <c r="AH22" s="216" t="s">
        <v>2071</v>
      </c>
      <c r="AI22" s="216" t="s">
        <v>2946</v>
      </c>
      <c r="AJ22" s="184"/>
      <c r="AK22" s="184" t="s">
        <v>2163</v>
      </c>
      <c r="AL22" s="200">
        <f t="shared" si="4"/>
        <v>55</v>
      </c>
      <c r="AM22" s="201">
        <v>2016.0</v>
      </c>
    </row>
    <row r="23">
      <c r="A23" s="158">
        <f t="shared" si="1"/>
        <v>13207216</v>
      </c>
      <c r="B23" s="236">
        <v>22.0</v>
      </c>
      <c r="C23" s="236"/>
      <c r="D23" s="184" t="str">
        <f>IFERROR(VLOOKUP(E23,INFORMACION!D:E,2,0),"INGRESAR CENTRO DE COSTO A LA DERECHA")</f>
        <v>INGRESAR CENTRO DE COSTO A LA DERECHA</v>
      </c>
      <c r="E23" s="184" t="s">
        <v>1602</v>
      </c>
      <c r="F23" s="195" t="s">
        <v>2609</v>
      </c>
      <c r="G23" s="186" t="s">
        <v>1591</v>
      </c>
      <c r="H23" s="186">
        <v>20.0</v>
      </c>
      <c r="I23" s="186" t="s">
        <v>2541</v>
      </c>
      <c r="J23" s="184" t="s">
        <v>112</v>
      </c>
      <c r="K23" s="184" t="s">
        <v>120</v>
      </c>
      <c r="L23" s="184" t="s">
        <v>117</v>
      </c>
      <c r="M23" s="184">
        <v>0.0</v>
      </c>
      <c r="N23" s="184" t="s">
        <v>116</v>
      </c>
      <c r="O23" s="184">
        <v>11.0</v>
      </c>
      <c r="P23" s="184">
        <v>1.0</v>
      </c>
      <c r="Q23" s="184">
        <v>1.0</v>
      </c>
      <c r="R23" s="184" t="s">
        <v>121</v>
      </c>
      <c r="S23" s="218">
        <v>42552.0</v>
      </c>
      <c r="T23" s="105"/>
      <c r="U23" s="105" t="s">
        <v>2947</v>
      </c>
      <c r="V23" s="184" t="s">
        <v>2948</v>
      </c>
      <c r="W23" s="184" t="s">
        <v>122</v>
      </c>
      <c r="X23" s="170"/>
      <c r="Y23" s="170"/>
      <c r="Z23" s="170"/>
      <c r="AA23" s="219">
        <v>42482.0</v>
      </c>
      <c r="AB23" s="219">
        <v>42489.0</v>
      </c>
      <c r="AC23" s="4"/>
      <c r="AD23" s="4"/>
      <c r="AE23" s="184"/>
      <c r="AF23" s="4"/>
      <c r="AG23" s="4"/>
      <c r="AH23" s="216" t="s">
        <v>2071</v>
      </c>
      <c r="AI23" s="216" t="s">
        <v>2949</v>
      </c>
      <c r="AJ23" s="184"/>
      <c r="AK23" s="184" t="s">
        <v>2163</v>
      </c>
      <c r="AL23" s="200">
        <f t="shared" si="4"/>
        <v>46</v>
      </c>
      <c r="AM23" s="201">
        <v>2016.0</v>
      </c>
    </row>
    <row r="24">
      <c r="A24" s="158">
        <f t="shared" si="1"/>
        <v>16953840</v>
      </c>
      <c r="B24" s="242">
        <v>23.0</v>
      </c>
      <c r="C24" s="242"/>
      <c r="D24" s="184" t="str">
        <f>IFERROR(VLOOKUP(E24,INFORMACION!D:E,2,0),"INGRESAR CENTRO DE COSTO A LA DERECHA")</f>
        <v>INGRESAR CENTRO DE COSTO A LA DERECHA</v>
      </c>
      <c r="E24" s="184" t="s">
        <v>1975</v>
      </c>
      <c r="F24" s="195" t="s">
        <v>2774</v>
      </c>
      <c r="G24" s="186" t="s">
        <v>1611</v>
      </c>
      <c r="H24" s="186">
        <v>14.0</v>
      </c>
      <c r="I24" s="186" t="s">
        <v>2541</v>
      </c>
      <c r="J24" s="184" t="s">
        <v>112</v>
      </c>
      <c r="K24" s="184" t="s">
        <v>114</v>
      </c>
      <c r="L24" s="184" t="s">
        <v>117</v>
      </c>
      <c r="M24" s="184">
        <v>0.0</v>
      </c>
      <c r="N24" s="184" t="s">
        <v>116</v>
      </c>
      <c r="O24" s="184">
        <v>2.0</v>
      </c>
      <c r="P24" s="184">
        <v>1.0</v>
      </c>
      <c r="Q24" s="184">
        <v>1.0</v>
      </c>
      <c r="R24" s="184" t="s">
        <v>121</v>
      </c>
      <c r="S24" s="218">
        <v>42522.0</v>
      </c>
      <c r="T24" s="105"/>
      <c r="U24" s="105" t="s">
        <v>2950</v>
      </c>
      <c r="V24" s="184" t="s">
        <v>2951</v>
      </c>
      <c r="W24" s="184" t="s">
        <v>122</v>
      </c>
      <c r="X24" s="170"/>
      <c r="Y24" s="170"/>
      <c r="Z24" s="170"/>
      <c r="AA24" s="219">
        <v>42510.0</v>
      </c>
      <c r="AB24" s="219">
        <v>42514.0</v>
      </c>
      <c r="AC24" s="4"/>
      <c r="AD24" s="4"/>
      <c r="AE24" s="184"/>
      <c r="AF24" s="4"/>
      <c r="AG24" s="4"/>
      <c r="AH24" s="216" t="s">
        <v>2071</v>
      </c>
      <c r="AI24" s="216" t="s">
        <v>2952</v>
      </c>
      <c r="AJ24" s="184"/>
      <c r="AK24" s="184" t="s">
        <v>2163</v>
      </c>
      <c r="AL24" s="200">
        <f t="shared" si="4"/>
        <v>7</v>
      </c>
      <c r="AM24" s="201">
        <v>2016.0</v>
      </c>
    </row>
    <row r="25">
      <c r="A25" s="158">
        <f t="shared" si="1"/>
        <v>18050994</v>
      </c>
      <c r="B25" s="242">
        <v>24.0</v>
      </c>
      <c r="C25" s="242"/>
      <c r="D25" s="184" t="str">
        <f>IFERROR(VLOOKUP(E25,INFORMACION!D:E,2,0),"INGRESAR CENTRO DE COSTO A LA DERECHA")</f>
        <v>INGRESAR CENTRO DE COSTO A LA DERECHA</v>
      </c>
      <c r="E25" s="184" t="s">
        <v>2953</v>
      </c>
      <c r="F25" s="195" t="s">
        <v>2576</v>
      </c>
      <c r="G25" s="186" t="s">
        <v>1741</v>
      </c>
      <c r="H25" s="186">
        <v>21.0</v>
      </c>
      <c r="I25" s="186" t="s">
        <v>2541</v>
      </c>
      <c r="J25" s="184" t="s">
        <v>112</v>
      </c>
      <c r="K25" s="184" t="s">
        <v>127</v>
      </c>
      <c r="L25" s="184" t="s">
        <v>117</v>
      </c>
      <c r="M25" s="184">
        <v>1.0</v>
      </c>
      <c r="N25" s="184" t="s">
        <v>116</v>
      </c>
      <c r="O25" s="184">
        <v>6.0</v>
      </c>
      <c r="P25" s="184">
        <v>2.0</v>
      </c>
      <c r="Q25" s="184">
        <v>1.0</v>
      </c>
      <c r="R25" s="184" t="s">
        <v>115</v>
      </c>
      <c r="S25" s="218">
        <v>42555.0</v>
      </c>
      <c r="T25" s="105"/>
      <c r="U25" s="105" t="s">
        <v>2954</v>
      </c>
      <c r="V25" s="184" t="s">
        <v>2955</v>
      </c>
      <c r="W25" s="184" t="s">
        <v>122</v>
      </c>
      <c r="X25" s="170"/>
      <c r="Y25" s="170"/>
      <c r="Z25" s="170"/>
      <c r="AA25" s="219">
        <v>42527.0</v>
      </c>
      <c r="AB25" s="219">
        <v>42530.0</v>
      </c>
      <c r="AC25" s="4"/>
      <c r="AD25" s="4"/>
      <c r="AE25" s="184"/>
      <c r="AF25" s="4"/>
      <c r="AG25" s="4"/>
      <c r="AH25" s="216" t="s">
        <v>2071</v>
      </c>
      <c r="AI25" s="216" t="s">
        <v>2956</v>
      </c>
      <c r="AJ25" s="184"/>
      <c r="AK25" s="184" t="s">
        <v>2163</v>
      </c>
      <c r="AL25" s="200">
        <f t="shared" si="4"/>
        <v>18</v>
      </c>
      <c r="AM25" s="201">
        <v>2016.0</v>
      </c>
    </row>
    <row r="26">
      <c r="A26" s="158">
        <f t="shared" si="1"/>
        <v>17030357</v>
      </c>
      <c r="B26" s="236">
        <v>25.0</v>
      </c>
      <c r="C26" s="236"/>
      <c r="D26" s="184" t="str">
        <f>IFERROR(VLOOKUP(E26,INFORMACION!D:E,2,0),"INGRESAR CENTRO DE COSTO A LA DERECHA")</f>
        <v>INGRESAR CENTRO DE COSTO A LA DERECHA</v>
      </c>
      <c r="E26" s="184" t="s">
        <v>1602</v>
      </c>
      <c r="F26" s="195" t="s">
        <v>2094</v>
      </c>
      <c r="G26" s="186" t="s">
        <v>2095</v>
      </c>
      <c r="H26" s="186">
        <v>10.0</v>
      </c>
      <c r="I26" s="186" t="s">
        <v>2541</v>
      </c>
      <c r="J26" s="184" t="s">
        <v>112</v>
      </c>
      <c r="K26" s="184" t="s">
        <v>114</v>
      </c>
      <c r="L26" s="184" t="s">
        <v>117</v>
      </c>
      <c r="M26" s="184">
        <v>6.0</v>
      </c>
      <c r="N26" s="184" t="s">
        <v>116</v>
      </c>
      <c r="O26" s="184">
        <v>15.0</v>
      </c>
      <c r="P26" s="184">
        <v>2.0</v>
      </c>
      <c r="Q26" s="184">
        <v>1.0</v>
      </c>
      <c r="R26" s="184" t="s">
        <v>115</v>
      </c>
      <c r="S26" s="218">
        <v>42543.0</v>
      </c>
      <c r="T26" s="105"/>
      <c r="U26" s="105" t="s">
        <v>2957</v>
      </c>
      <c r="V26" s="184" t="s">
        <v>2958</v>
      </c>
      <c r="W26" s="184" t="s">
        <v>122</v>
      </c>
      <c r="X26" s="170"/>
      <c r="Y26" s="170"/>
      <c r="Z26" s="170"/>
      <c r="AA26" s="219">
        <v>42466.0</v>
      </c>
      <c r="AB26" s="219">
        <v>42473.0</v>
      </c>
      <c r="AC26" s="4"/>
      <c r="AD26" s="4"/>
      <c r="AE26" s="184"/>
      <c r="AF26" s="4"/>
      <c r="AG26" s="4"/>
      <c r="AH26" s="216" t="s">
        <v>2071</v>
      </c>
      <c r="AI26" s="216" t="s">
        <v>2414</v>
      </c>
      <c r="AJ26" s="184"/>
      <c r="AK26" s="184" t="s">
        <v>1612</v>
      </c>
      <c r="AL26" s="200">
        <f t="shared" si="4"/>
        <v>51</v>
      </c>
      <c r="AM26" s="201">
        <v>2016.0</v>
      </c>
    </row>
    <row r="27">
      <c r="A27" s="158">
        <f t="shared" si="1"/>
        <v>12506937</v>
      </c>
      <c r="B27" s="236">
        <v>26.0</v>
      </c>
      <c r="C27" s="236"/>
      <c r="D27" s="184" t="str">
        <f>IFERROR(VLOOKUP(E27,INFORMACION!D:E,2,0),"INGRESAR CENTRO DE COSTO A LA DERECHA")</f>
        <v>INGRESAR CENTRO DE COSTO A LA DERECHA</v>
      </c>
      <c r="E27" s="184" t="s">
        <v>1602</v>
      </c>
      <c r="F27" s="195" t="s">
        <v>1970</v>
      </c>
      <c r="G27" s="186" t="s">
        <v>1638</v>
      </c>
      <c r="H27" s="186">
        <v>23.0</v>
      </c>
      <c r="I27" s="186" t="s">
        <v>2541</v>
      </c>
      <c r="J27" s="184" t="s">
        <v>112</v>
      </c>
      <c r="K27" s="184" t="s">
        <v>127</v>
      </c>
      <c r="L27" s="184" t="s">
        <v>117</v>
      </c>
      <c r="M27" s="184">
        <v>0.0</v>
      </c>
      <c r="N27" s="184" t="s">
        <v>116</v>
      </c>
      <c r="O27" s="184">
        <v>13.0</v>
      </c>
      <c r="P27" s="184">
        <v>1.0</v>
      </c>
      <c r="Q27" s="184">
        <v>1.0</v>
      </c>
      <c r="R27" s="184" t="s">
        <v>115</v>
      </c>
      <c r="S27" s="218">
        <v>42544.0</v>
      </c>
      <c r="T27" s="105"/>
      <c r="U27" s="105" t="s">
        <v>2959</v>
      </c>
      <c r="V27" s="184" t="s">
        <v>2960</v>
      </c>
      <c r="W27" s="184" t="s">
        <v>122</v>
      </c>
      <c r="X27" s="170"/>
      <c r="Y27" s="170"/>
      <c r="Z27" s="170"/>
      <c r="AA27" s="219">
        <v>42482.0</v>
      </c>
      <c r="AB27" s="219">
        <v>42489.0</v>
      </c>
      <c r="AC27" s="4"/>
      <c r="AD27" s="4"/>
      <c r="AE27" s="184"/>
      <c r="AF27" s="4"/>
      <c r="AG27" s="4"/>
      <c r="AH27" s="216" t="s">
        <v>2071</v>
      </c>
      <c r="AI27" s="216" t="s">
        <v>2024</v>
      </c>
      <c r="AJ27" s="184"/>
      <c r="AK27" s="184" t="s">
        <v>2163</v>
      </c>
      <c r="AL27" s="200">
        <f t="shared" si="4"/>
        <v>40</v>
      </c>
      <c r="AM27" s="201">
        <v>2016.0</v>
      </c>
    </row>
    <row r="28">
      <c r="A28" s="158">
        <f t="shared" si="1"/>
        <v>15916447</v>
      </c>
      <c r="B28" s="242">
        <v>27.0</v>
      </c>
      <c r="C28" s="242"/>
      <c r="D28" s="184" t="str">
        <f>IFERROR(VLOOKUP(E28,INFORMACION!D:E,2,0),"INGRESAR CENTRO DE COSTO A LA DERECHA")</f>
        <v>INGRESAR CENTRO DE COSTO A LA DERECHA</v>
      </c>
      <c r="E28" s="184" t="s">
        <v>2961</v>
      </c>
      <c r="F28" s="195" t="s">
        <v>2962</v>
      </c>
      <c r="G28" s="186" t="s">
        <v>2963</v>
      </c>
      <c r="H28" s="186">
        <v>13.0</v>
      </c>
      <c r="I28" s="186" t="s">
        <v>2541</v>
      </c>
      <c r="J28" s="184" t="s">
        <v>112</v>
      </c>
      <c r="K28" s="184" t="s">
        <v>114</v>
      </c>
      <c r="L28" s="184" t="s">
        <v>117</v>
      </c>
      <c r="M28" s="184">
        <v>1.0</v>
      </c>
      <c r="N28" s="184" t="s">
        <v>116</v>
      </c>
      <c r="O28" s="184">
        <v>34.0</v>
      </c>
      <c r="P28" s="184">
        <v>1.0</v>
      </c>
      <c r="Q28" s="184">
        <v>2.0</v>
      </c>
      <c r="R28" s="184" t="s">
        <v>121</v>
      </c>
      <c r="S28" s="218">
        <v>42541.0</v>
      </c>
      <c r="T28" s="105"/>
      <c r="U28" s="105" t="s">
        <v>2964</v>
      </c>
      <c r="V28" s="184" t="s">
        <v>2965</v>
      </c>
      <c r="W28" s="184" t="s">
        <v>122</v>
      </c>
      <c r="X28" s="170"/>
      <c r="Y28" s="170"/>
      <c r="Z28" s="170"/>
      <c r="AA28" s="219">
        <v>42500.0</v>
      </c>
      <c r="AB28" s="219">
        <v>42507.0</v>
      </c>
      <c r="AC28" s="4"/>
      <c r="AD28" s="4"/>
      <c r="AE28" s="184"/>
      <c r="AF28" s="4"/>
      <c r="AG28" s="4"/>
      <c r="AH28" s="216" t="s">
        <v>2071</v>
      </c>
      <c r="AI28" s="216" t="s">
        <v>2966</v>
      </c>
      <c r="AJ28" s="184"/>
      <c r="AK28" s="184" t="s">
        <v>2163</v>
      </c>
      <c r="AL28" s="200">
        <f t="shared" si="4"/>
        <v>25</v>
      </c>
      <c r="AM28" s="201">
        <v>2016.0</v>
      </c>
    </row>
    <row r="29">
      <c r="A29" s="158">
        <f t="shared" si="1"/>
        <v>12234367</v>
      </c>
      <c r="B29" s="242">
        <v>28.0</v>
      </c>
      <c r="C29" s="242"/>
      <c r="D29" s="184" t="str">
        <f>IFERROR(VLOOKUP(E29,INFORMACION!D:E,2,0),"INGRESAR CENTRO DE COSTO A LA DERECHA")</f>
        <v>INGRESAR CENTRO DE COSTO A LA DERECHA</v>
      </c>
      <c r="E29" s="184" t="s">
        <v>1623</v>
      </c>
      <c r="F29" s="195" t="s">
        <v>2774</v>
      </c>
      <c r="G29" s="186" t="s">
        <v>1611</v>
      </c>
      <c r="H29" s="186">
        <v>14.0</v>
      </c>
      <c r="I29" s="186" t="s">
        <v>2541</v>
      </c>
      <c r="J29" s="184" t="s">
        <v>112</v>
      </c>
      <c r="K29" s="184" t="s">
        <v>114</v>
      </c>
      <c r="L29" s="184" t="s">
        <v>117</v>
      </c>
      <c r="M29" s="184">
        <v>0.0</v>
      </c>
      <c r="N29" s="184" t="s">
        <v>116</v>
      </c>
      <c r="O29" s="184">
        <v>20.0</v>
      </c>
      <c r="P29" s="184">
        <v>2.0</v>
      </c>
      <c r="Q29" s="184">
        <v>1.0</v>
      </c>
      <c r="R29" s="184" t="s">
        <v>121</v>
      </c>
      <c r="S29" s="218">
        <v>42527.0</v>
      </c>
      <c r="T29" s="105"/>
      <c r="U29" s="105" t="s">
        <v>2967</v>
      </c>
      <c r="V29" s="184" t="s">
        <v>2968</v>
      </c>
      <c r="W29" s="184" t="s">
        <v>118</v>
      </c>
      <c r="X29" s="197" t="s">
        <v>2102</v>
      </c>
      <c r="Y29" s="170"/>
      <c r="Z29" s="170"/>
      <c r="AA29" s="219">
        <v>42437.0</v>
      </c>
      <c r="AB29" s="219">
        <v>42444.0</v>
      </c>
      <c r="AC29" s="4"/>
      <c r="AD29" s="4"/>
      <c r="AE29" s="184"/>
      <c r="AF29" s="4"/>
      <c r="AG29" s="4"/>
      <c r="AH29" s="216" t="s">
        <v>2071</v>
      </c>
      <c r="AI29" s="216" t="s">
        <v>2941</v>
      </c>
      <c r="AJ29" s="184"/>
      <c r="AK29" s="184" t="s">
        <v>2163</v>
      </c>
      <c r="AL29" s="200">
        <f t="shared" si="4"/>
        <v>60</v>
      </c>
      <c r="AM29" s="201">
        <v>2016.0</v>
      </c>
    </row>
    <row r="30">
      <c r="A30" s="158">
        <f t="shared" si="1"/>
        <v>17051053</v>
      </c>
      <c r="B30" s="236">
        <v>29.0</v>
      </c>
      <c r="C30" s="236"/>
      <c r="D30" s="184" t="str">
        <f>IFERROR(VLOOKUP(E30,INFORMACION!D:E,2,0),"INGRESAR CENTRO DE COSTO A LA DERECHA")</f>
        <v>INGRESAR CENTRO DE COSTO A LA DERECHA</v>
      </c>
      <c r="E30" s="184" t="s">
        <v>2969</v>
      </c>
      <c r="F30" s="195" t="s">
        <v>2576</v>
      </c>
      <c r="G30" s="186" t="s">
        <v>1741</v>
      </c>
      <c r="H30" s="186">
        <v>21.0</v>
      </c>
      <c r="I30" s="186" t="s">
        <v>2970</v>
      </c>
      <c r="J30" s="184" t="s">
        <v>112</v>
      </c>
      <c r="K30" s="184" t="s">
        <v>127</v>
      </c>
      <c r="L30" s="184" t="s">
        <v>117</v>
      </c>
      <c r="M30" s="184">
        <v>0.0</v>
      </c>
      <c r="N30" s="184" t="s">
        <v>116</v>
      </c>
      <c r="O30" s="184">
        <v>2.0</v>
      </c>
      <c r="P30" s="184">
        <v>1.0</v>
      </c>
      <c r="Q30" s="184">
        <v>2.0</v>
      </c>
      <c r="R30" s="184" t="s">
        <v>115</v>
      </c>
      <c r="S30" s="218">
        <v>42552.0</v>
      </c>
      <c r="T30" s="105"/>
      <c r="U30" s="105" t="s">
        <v>2971</v>
      </c>
      <c r="V30" s="184" t="s">
        <v>2972</v>
      </c>
      <c r="W30" s="184" t="s">
        <v>122</v>
      </c>
      <c r="X30" s="170"/>
      <c r="Y30" s="170"/>
      <c r="Z30" s="170"/>
      <c r="AA30" s="219">
        <v>42468.0</v>
      </c>
      <c r="AB30" s="219">
        <v>42475.0</v>
      </c>
      <c r="AC30" s="4"/>
      <c r="AD30" s="4"/>
      <c r="AE30" s="184"/>
      <c r="AF30" s="4"/>
      <c r="AG30" s="4"/>
      <c r="AH30" s="216" t="s">
        <v>2071</v>
      </c>
      <c r="AI30" s="216" t="s">
        <v>2973</v>
      </c>
      <c r="AJ30" s="184"/>
      <c r="AK30" s="184" t="s">
        <v>2163</v>
      </c>
      <c r="AL30" s="200">
        <f t="shared" si="4"/>
        <v>56</v>
      </c>
      <c r="AM30" s="201">
        <v>2016.0</v>
      </c>
    </row>
    <row r="31">
      <c r="A31" s="158">
        <f t="shared" si="1"/>
        <v>7987386</v>
      </c>
      <c r="B31" s="236">
        <v>30.0</v>
      </c>
      <c r="C31" s="236"/>
      <c r="D31" s="184" t="str">
        <f>IFERROR(VLOOKUP(E31,INFORMACION!D:E,2,0),"INGRESAR CENTRO DE COSTO A LA DERECHA")</f>
        <v>INGRESAR CENTRO DE COSTO A LA DERECHA</v>
      </c>
      <c r="E31" s="184" t="s">
        <v>2974</v>
      </c>
      <c r="F31" s="195" t="s">
        <v>2540</v>
      </c>
      <c r="G31" s="186" t="s">
        <v>1898</v>
      </c>
      <c r="H31" s="186">
        <v>17.0</v>
      </c>
      <c r="I31" s="186" t="s">
        <v>2541</v>
      </c>
      <c r="J31" s="184" t="s">
        <v>112</v>
      </c>
      <c r="K31" s="184" t="s">
        <v>120</v>
      </c>
      <c r="L31" s="184" t="s">
        <v>117</v>
      </c>
      <c r="M31" s="184">
        <v>2.0</v>
      </c>
      <c r="N31" s="184" t="s">
        <v>116</v>
      </c>
      <c r="O31" s="184">
        <v>10.0</v>
      </c>
      <c r="P31" s="184">
        <v>5.0</v>
      </c>
      <c r="Q31" s="184">
        <v>1.0</v>
      </c>
      <c r="R31" s="184" t="s">
        <v>121</v>
      </c>
      <c r="S31" s="218">
        <v>42555.0</v>
      </c>
      <c r="T31" s="105"/>
      <c r="U31" s="105" t="s">
        <v>2975</v>
      </c>
      <c r="V31" s="184" t="s">
        <v>2976</v>
      </c>
      <c r="W31" s="184" t="s">
        <v>122</v>
      </c>
      <c r="X31" s="170"/>
      <c r="Y31" s="170"/>
      <c r="Z31" s="170"/>
      <c r="AA31" s="219">
        <v>42527.0</v>
      </c>
      <c r="AB31" s="219">
        <v>42531.0</v>
      </c>
      <c r="AC31" s="4"/>
      <c r="AD31" s="4"/>
      <c r="AE31" s="184"/>
      <c r="AF31" s="4"/>
      <c r="AG31" s="4"/>
      <c r="AH31" s="216" t="s">
        <v>2071</v>
      </c>
      <c r="AI31" s="216" t="s">
        <v>2941</v>
      </c>
      <c r="AJ31" s="184"/>
      <c r="AK31" s="184" t="s">
        <v>2163</v>
      </c>
      <c r="AL31" s="200">
        <f t="shared" si="4"/>
        <v>17</v>
      </c>
      <c r="AM31" s="201">
        <v>2016.0</v>
      </c>
    </row>
    <row r="32">
      <c r="A32" s="158">
        <f t="shared" si="1"/>
        <v>13924244</v>
      </c>
      <c r="B32" s="242">
        <v>31.0</v>
      </c>
      <c r="C32" s="242"/>
      <c r="D32" s="184" t="str">
        <f>IFERROR(VLOOKUP(E32,INFORMACION!D:E,2,0),"INGRESAR CENTRO DE COSTO A LA DERECHA")</f>
        <v>INGRESAR CENTRO DE COSTO A LA DERECHA</v>
      </c>
      <c r="E32" s="184" t="s">
        <v>2891</v>
      </c>
      <c r="F32" s="195" t="s">
        <v>2977</v>
      </c>
      <c r="G32" s="186" t="s">
        <v>2099</v>
      </c>
      <c r="H32" s="186">
        <v>6.0</v>
      </c>
      <c r="I32" s="186" t="s">
        <v>2541</v>
      </c>
      <c r="J32" s="184" t="s">
        <v>112</v>
      </c>
      <c r="K32" s="184" t="s">
        <v>114</v>
      </c>
      <c r="L32" s="184" t="s">
        <v>122</v>
      </c>
      <c r="M32" s="184">
        <v>0.0</v>
      </c>
      <c r="N32" s="184" t="s">
        <v>122</v>
      </c>
      <c r="O32" s="184">
        <v>0.0</v>
      </c>
      <c r="P32" s="184">
        <v>1.0</v>
      </c>
      <c r="Q32" s="184">
        <v>0.0</v>
      </c>
      <c r="R32" s="184" t="s">
        <v>121</v>
      </c>
      <c r="S32" s="218">
        <v>42430.0</v>
      </c>
      <c r="T32" s="105"/>
      <c r="U32" s="105" t="s">
        <v>2978</v>
      </c>
      <c r="V32" s="184" t="s">
        <v>2979</v>
      </c>
      <c r="W32" s="184" t="s">
        <v>122</v>
      </c>
      <c r="X32" s="170"/>
      <c r="Y32" s="170"/>
      <c r="Z32" s="170"/>
      <c r="AA32" s="219"/>
      <c r="AB32" s="219"/>
      <c r="AC32" s="4"/>
      <c r="AD32" s="4"/>
      <c r="AE32" s="184"/>
      <c r="AF32" s="4"/>
      <c r="AG32" s="4"/>
      <c r="AH32" s="216" t="s">
        <v>2065</v>
      </c>
      <c r="AI32" s="216" t="s">
        <v>2597</v>
      </c>
      <c r="AJ32" s="184"/>
      <c r="AK32" s="184"/>
      <c r="AL32" s="200" t="str">
        <f t="shared" si="4"/>
        <v/>
      </c>
      <c r="AM32" s="201">
        <v>2016.0</v>
      </c>
    </row>
    <row r="33">
      <c r="A33" s="158">
        <f t="shared" si="1"/>
        <v>14091964</v>
      </c>
      <c r="B33" s="242">
        <v>32.0</v>
      </c>
      <c r="C33" s="242"/>
      <c r="D33" s="184" t="str">
        <f>IFERROR(VLOOKUP(E33,INFORMACION!D:E,2,0),"INGRESAR CENTRO DE COSTO A LA DERECHA")</f>
        <v>INGRESAR CENTRO DE COSTO A LA DERECHA</v>
      </c>
      <c r="E33" s="184" t="s">
        <v>2980</v>
      </c>
      <c r="F33" s="195" t="s">
        <v>2650</v>
      </c>
      <c r="G33" s="186" t="s">
        <v>2981</v>
      </c>
      <c r="H33" s="186">
        <v>17.0</v>
      </c>
      <c r="I33" s="186" t="s">
        <v>2541</v>
      </c>
      <c r="J33" s="184" t="s">
        <v>112</v>
      </c>
      <c r="K33" s="184" t="s">
        <v>120</v>
      </c>
      <c r="L33" s="184" t="s">
        <v>122</v>
      </c>
      <c r="M33" s="184">
        <v>0.0</v>
      </c>
      <c r="N33" s="184" t="s">
        <v>122</v>
      </c>
      <c r="O33" s="184">
        <v>0.0</v>
      </c>
      <c r="P33" s="184">
        <v>1.0</v>
      </c>
      <c r="Q33" s="184">
        <v>0.0</v>
      </c>
      <c r="R33" s="184" t="s">
        <v>121</v>
      </c>
      <c r="S33" s="218">
        <v>42370.0</v>
      </c>
      <c r="T33" s="105"/>
      <c r="U33" s="105" t="s">
        <v>2982</v>
      </c>
      <c r="V33" s="184" t="s">
        <v>2983</v>
      </c>
      <c r="W33" s="184" t="s">
        <v>118</v>
      </c>
      <c r="X33" s="197" t="s">
        <v>2102</v>
      </c>
      <c r="Y33" s="170"/>
      <c r="Z33" s="170"/>
      <c r="AA33" s="219"/>
      <c r="AB33" s="219"/>
      <c r="AC33" s="4"/>
      <c r="AD33" s="4"/>
      <c r="AE33" s="184"/>
      <c r="AF33" s="4"/>
      <c r="AG33" s="4"/>
      <c r="AH33" s="216" t="s">
        <v>2065</v>
      </c>
      <c r="AI33" s="216" t="s">
        <v>2597</v>
      </c>
      <c r="AJ33" s="184"/>
      <c r="AK33" s="184"/>
      <c r="AL33" s="200" t="str">
        <f t="shared" si="4"/>
        <v/>
      </c>
      <c r="AM33" s="201">
        <v>2016.0</v>
      </c>
    </row>
    <row r="34">
      <c r="A34" s="158">
        <f t="shared" si="1"/>
        <v>18079595</v>
      </c>
      <c r="B34" s="236">
        <v>33.0</v>
      </c>
      <c r="C34" s="236"/>
      <c r="D34" s="184" t="str">
        <f>IFERROR(VLOOKUP(E34,INFORMACION!D:E,2,0),"INGRESAR CENTRO DE COSTO A LA DERECHA")</f>
        <v>INGRESAR CENTRO DE COSTO A LA DERECHA</v>
      </c>
      <c r="E34" s="184" t="s">
        <v>2980</v>
      </c>
      <c r="F34" s="195" t="s">
        <v>2984</v>
      </c>
      <c r="G34" s="186" t="s">
        <v>2062</v>
      </c>
      <c r="H34" s="186">
        <v>17.0</v>
      </c>
      <c r="I34" s="186" t="s">
        <v>2541</v>
      </c>
      <c r="J34" s="184" t="s">
        <v>112</v>
      </c>
      <c r="K34" s="184" t="s">
        <v>120</v>
      </c>
      <c r="L34" s="184" t="s">
        <v>122</v>
      </c>
      <c r="M34" s="184">
        <v>0.0</v>
      </c>
      <c r="N34" s="184" t="s">
        <v>122</v>
      </c>
      <c r="O34" s="184">
        <v>0.0</v>
      </c>
      <c r="P34" s="184">
        <v>1.0</v>
      </c>
      <c r="Q34" s="184">
        <v>0.0</v>
      </c>
      <c r="R34" s="184" t="s">
        <v>121</v>
      </c>
      <c r="S34" s="218">
        <v>42370.0</v>
      </c>
      <c r="T34" s="105"/>
      <c r="U34" s="105" t="s">
        <v>2985</v>
      </c>
      <c r="V34" s="184" t="s">
        <v>2986</v>
      </c>
      <c r="W34" s="184" t="s">
        <v>118</v>
      </c>
      <c r="X34" s="197" t="s">
        <v>2102</v>
      </c>
      <c r="Y34" s="170"/>
      <c r="Z34" s="170"/>
      <c r="AA34" s="219"/>
      <c r="AB34" s="219"/>
      <c r="AC34" s="4"/>
      <c r="AD34" s="4"/>
      <c r="AE34" s="184"/>
      <c r="AF34" s="4"/>
      <c r="AG34" s="4"/>
      <c r="AH34" s="216" t="s">
        <v>2065</v>
      </c>
      <c r="AI34" s="216" t="s">
        <v>2597</v>
      </c>
      <c r="AJ34" s="184"/>
      <c r="AK34" s="184"/>
      <c r="AL34" s="200" t="str">
        <f t="shared" si="4"/>
        <v/>
      </c>
      <c r="AM34" s="201">
        <v>2016.0</v>
      </c>
    </row>
    <row r="35">
      <c r="A35" s="158">
        <f t="shared" si="1"/>
        <v>17633977</v>
      </c>
      <c r="B35" s="236">
        <v>34.0</v>
      </c>
      <c r="C35" s="236"/>
      <c r="D35" s="184" t="str">
        <f>IFERROR(VLOOKUP(E35,INFORMACION!D:E,2,0),"INGRESAR CENTRO DE COSTO A LA DERECHA")</f>
        <v>INGRESAR CENTRO DE COSTO A LA DERECHA</v>
      </c>
      <c r="E35" s="184" t="s">
        <v>2883</v>
      </c>
      <c r="F35" s="195" t="s">
        <v>2848</v>
      </c>
      <c r="G35" s="186" t="s">
        <v>2849</v>
      </c>
      <c r="H35" s="186">
        <v>13.0</v>
      </c>
      <c r="I35" s="186" t="s">
        <v>2541</v>
      </c>
      <c r="J35" s="184" t="s">
        <v>112</v>
      </c>
      <c r="K35" s="184" t="s">
        <v>114</v>
      </c>
      <c r="L35" s="184" t="s">
        <v>122</v>
      </c>
      <c r="M35" s="184">
        <v>0.0</v>
      </c>
      <c r="N35" s="184" t="s">
        <v>122</v>
      </c>
      <c r="O35" s="184">
        <v>0.0</v>
      </c>
      <c r="P35" s="184">
        <v>1.0</v>
      </c>
      <c r="Q35" s="184">
        <v>0.0</v>
      </c>
      <c r="R35" s="184" t="s">
        <v>121</v>
      </c>
      <c r="S35" s="218">
        <v>42370.0</v>
      </c>
      <c r="T35" s="105"/>
      <c r="U35" s="105" t="s">
        <v>2987</v>
      </c>
      <c r="V35" s="184" t="s">
        <v>2988</v>
      </c>
      <c r="W35" s="184" t="s">
        <v>122</v>
      </c>
      <c r="X35" s="170"/>
      <c r="Y35" s="170"/>
      <c r="Z35" s="170"/>
      <c r="AA35" s="219"/>
      <c r="AB35" s="219"/>
      <c r="AC35" s="4"/>
      <c r="AD35" s="4"/>
      <c r="AE35" s="184"/>
      <c r="AF35" s="4"/>
      <c r="AG35" s="4"/>
      <c r="AH35" s="216" t="s">
        <v>2065</v>
      </c>
      <c r="AI35" s="216" t="s">
        <v>2597</v>
      </c>
      <c r="AJ35" s="184"/>
      <c r="AK35" s="184"/>
      <c r="AL35" s="200" t="str">
        <f t="shared" si="4"/>
        <v/>
      </c>
      <c r="AM35" s="201">
        <v>2016.0</v>
      </c>
    </row>
    <row r="36">
      <c r="A36" s="158">
        <f t="shared" si="1"/>
        <v>18702008</v>
      </c>
      <c r="B36" s="242">
        <v>35.0</v>
      </c>
      <c r="C36" s="242"/>
      <c r="D36" s="184" t="str">
        <f>IFERROR(VLOOKUP(E36,INFORMACION!D:E,2,0),"INGRESAR CENTRO DE COSTO A LA DERECHA")</f>
        <v>INGRESAR CENTRO DE COSTO A LA DERECHA</v>
      </c>
      <c r="E36" s="184" t="s">
        <v>2883</v>
      </c>
      <c r="F36" s="195" t="s">
        <v>2802</v>
      </c>
      <c r="G36" s="186" t="s">
        <v>1862</v>
      </c>
      <c r="H36" s="186">
        <v>17.0</v>
      </c>
      <c r="I36" s="186" t="s">
        <v>2541</v>
      </c>
      <c r="J36" s="184" t="s">
        <v>112</v>
      </c>
      <c r="K36" s="184" t="s">
        <v>120</v>
      </c>
      <c r="L36" s="184" t="s">
        <v>122</v>
      </c>
      <c r="M36" s="184">
        <v>0.0</v>
      </c>
      <c r="N36" s="184" t="s">
        <v>122</v>
      </c>
      <c r="O36" s="184">
        <v>0.0</v>
      </c>
      <c r="P36" s="184">
        <v>1.0</v>
      </c>
      <c r="Q36" s="184">
        <v>0.0</v>
      </c>
      <c r="R36" s="184" t="s">
        <v>121</v>
      </c>
      <c r="S36" s="218">
        <v>42370.0</v>
      </c>
      <c r="T36" s="105"/>
      <c r="U36" s="105" t="s">
        <v>2989</v>
      </c>
      <c r="V36" s="184" t="s">
        <v>2990</v>
      </c>
      <c r="W36" s="184" t="s">
        <v>118</v>
      </c>
      <c r="X36" s="197" t="s">
        <v>2102</v>
      </c>
      <c r="Y36" s="170"/>
      <c r="Z36" s="170"/>
      <c r="AA36" s="219"/>
      <c r="AB36" s="219"/>
      <c r="AC36" s="4"/>
      <c r="AD36" s="4"/>
      <c r="AE36" s="184"/>
      <c r="AF36" s="4"/>
      <c r="AG36" s="4"/>
      <c r="AH36" s="216" t="s">
        <v>2065</v>
      </c>
      <c r="AI36" s="216" t="s">
        <v>2597</v>
      </c>
      <c r="AJ36" s="184"/>
      <c r="AK36" s="184"/>
      <c r="AL36" s="200" t="str">
        <f t="shared" si="4"/>
        <v/>
      </c>
      <c r="AM36" s="201">
        <v>2016.0</v>
      </c>
    </row>
    <row r="37">
      <c r="A37" s="158">
        <f t="shared" si="1"/>
        <v>8739132</v>
      </c>
      <c r="B37" s="242">
        <v>36.0</v>
      </c>
      <c r="C37" s="242"/>
      <c r="D37" s="184" t="str">
        <f>IFERROR(VLOOKUP(E37,INFORMACION!D:E,2,0),"INGRESAR CENTRO DE COSTO A LA DERECHA")</f>
        <v>INGRESAR CENTRO DE COSTO A LA DERECHA</v>
      </c>
      <c r="E37" s="184" t="s">
        <v>1627</v>
      </c>
      <c r="F37" s="184" t="s">
        <v>2736</v>
      </c>
      <c r="G37" s="186" t="s">
        <v>2148</v>
      </c>
      <c r="H37" s="186">
        <v>6.0</v>
      </c>
      <c r="I37" s="186" t="s">
        <v>2541</v>
      </c>
      <c r="J37" s="184" t="s">
        <v>112</v>
      </c>
      <c r="K37" s="184" t="s">
        <v>114</v>
      </c>
      <c r="L37" s="184" t="s">
        <v>122</v>
      </c>
      <c r="M37" s="184">
        <v>0.0</v>
      </c>
      <c r="N37" s="184" t="s">
        <v>122</v>
      </c>
      <c r="O37" s="184">
        <v>0.0</v>
      </c>
      <c r="P37" s="184">
        <v>1.0</v>
      </c>
      <c r="Q37" s="184">
        <v>0.0</v>
      </c>
      <c r="R37" s="184" t="s">
        <v>121</v>
      </c>
      <c r="S37" s="218">
        <v>42445.0</v>
      </c>
      <c r="T37" s="105"/>
      <c r="U37" s="105" t="s">
        <v>2991</v>
      </c>
      <c r="V37" s="184" t="s">
        <v>2992</v>
      </c>
      <c r="W37" s="184" t="s">
        <v>122</v>
      </c>
      <c r="X37" s="170"/>
      <c r="Y37" s="170"/>
      <c r="Z37" s="170"/>
      <c r="AA37" s="219"/>
      <c r="AB37" s="219"/>
      <c r="AC37" s="4"/>
      <c r="AD37" s="4"/>
      <c r="AE37" s="184"/>
      <c r="AF37" s="4"/>
      <c r="AG37" s="4"/>
      <c r="AH37" s="216" t="s">
        <v>2065</v>
      </c>
      <c r="AI37" s="216" t="s">
        <v>2597</v>
      </c>
      <c r="AJ37" s="184"/>
      <c r="AK37" s="184"/>
      <c r="AL37" s="200" t="str">
        <f t="shared" si="4"/>
        <v/>
      </c>
      <c r="AM37" s="201">
        <v>2016.0</v>
      </c>
    </row>
    <row r="38">
      <c r="A38" s="158">
        <f t="shared" si="1"/>
        <v>13992685</v>
      </c>
      <c r="B38" s="236">
        <v>37.0</v>
      </c>
      <c r="C38" s="236"/>
      <c r="D38" s="184" t="str">
        <f>IFERROR(VLOOKUP(E38,INFORMACION!D:E,2,0),"INGRESAR CENTRO DE COSTO A LA DERECHA")</f>
        <v>INGRESAR CENTRO DE COSTO A LA DERECHA</v>
      </c>
      <c r="E38" s="184" t="s">
        <v>2891</v>
      </c>
      <c r="F38" s="195" t="s">
        <v>2752</v>
      </c>
      <c r="G38" s="186" t="s">
        <v>2993</v>
      </c>
      <c r="H38" s="186">
        <v>8.0</v>
      </c>
      <c r="I38" s="186" t="s">
        <v>2541</v>
      </c>
      <c r="J38" s="184" t="s">
        <v>112</v>
      </c>
      <c r="K38" s="184" t="s">
        <v>114</v>
      </c>
      <c r="L38" s="184" t="s">
        <v>122</v>
      </c>
      <c r="M38" s="184">
        <v>0.0</v>
      </c>
      <c r="N38" s="184" t="s">
        <v>122</v>
      </c>
      <c r="O38" s="184">
        <v>0.0</v>
      </c>
      <c r="P38" s="184">
        <v>1.0</v>
      </c>
      <c r="Q38" s="184">
        <v>0.0</v>
      </c>
      <c r="R38" s="184" t="s">
        <v>121</v>
      </c>
      <c r="S38" s="218">
        <v>42370.0</v>
      </c>
      <c r="T38" s="105"/>
      <c r="U38" s="105" t="s">
        <v>2994</v>
      </c>
      <c r="V38" s="184" t="s">
        <v>2995</v>
      </c>
      <c r="W38" s="184" t="s">
        <v>122</v>
      </c>
      <c r="X38" s="170"/>
      <c r="Y38" s="170"/>
      <c r="Z38" s="170"/>
      <c r="AA38" s="219"/>
      <c r="AB38" s="219"/>
      <c r="AC38" s="4"/>
      <c r="AD38" s="4"/>
      <c r="AE38" s="184"/>
      <c r="AF38" s="4"/>
      <c r="AG38" s="4"/>
      <c r="AH38" s="216" t="s">
        <v>2065</v>
      </c>
      <c r="AI38" s="216" t="s">
        <v>2597</v>
      </c>
      <c r="AJ38" s="184"/>
      <c r="AK38" s="184"/>
      <c r="AL38" s="200" t="str">
        <f t="shared" si="4"/>
        <v/>
      </c>
      <c r="AM38" s="201">
        <v>2016.0</v>
      </c>
    </row>
    <row r="39">
      <c r="A39" s="158">
        <f t="shared" si="1"/>
        <v>17730421</v>
      </c>
      <c r="B39" s="236">
        <v>38.0</v>
      </c>
      <c r="C39" s="236"/>
      <c r="D39" s="184" t="str">
        <f>IFERROR(VLOOKUP(E39,INFORMACION!D:E,2,0),"INGRESAR CENTRO DE COSTO A LA DERECHA")</f>
        <v>INGRESAR CENTRO DE COSTO A LA DERECHA</v>
      </c>
      <c r="E39" s="184" t="s">
        <v>2980</v>
      </c>
      <c r="F39" s="195" t="s">
        <v>2679</v>
      </c>
      <c r="G39" s="186" t="s">
        <v>1816</v>
      </c>
      <c r="H39" s="186">
        <v>20.0</v>
      </c>
      <c r="I39" s="186" t="s">
        <v>2541</v>
      </c>
      <c r="J39" s="184" t="s">
        <v>112</v>
      </c>
      <c r="K39" s="184" t="s">
        <v>120</v>
      </c>
      <c r="L39" s="184" t="s">
        <v>122</v>
      </c>
      <c r="M39" s="184">
        <v>0.0</v>
      </c>
      <c r="N39" s="184" t="s">
        <v>122</v>
      </c>
      <c r="O39" s="184">
        <v>0.0</v>
      </c>
      <c r="P39" s="184">
        <v>1.0</v>
      </c>
      <c r="Q39" s="184">
        <v>0.0</v>
      </c>
      <c r="R39" s="184" t="s">
        <v>121</v>
      </c>
      <c r="S39" s="218">
        <v>42370.0</v>
      </c>
      <c r="T39" s="105"/>
      <c r="U39" s="105" t="s">
        <v>2996</v>
      </c>
      <c r="V39" s="184" t="s">
        <v>2997</v>
      </c>
      <c r="W39" s="184" t="s">
        <v>118</v>
      </c>
      <c r="X39" s="197" t="s">
        <v>2405</v>
      </c>
      <c r="Y39" s="170"/>
      <c r="Z39" s="170"/>
      <c r="AA39" s="219"/>
      <c r="AB39" s="219"/>
      <c r="AC39" s="4"/>
      <c r="AD39" s="4"/>
      <c r="AE39" s="184"/>
      <c r="AF39" s="4"/>
      <c r="AG39" s="4"/>
      <c r="AH39" s="216" t="s">
        <v>2065</v>
      </c>
      <c r="AI39" s="216" t="s">
        <v>2597</v>
      </c>
      <c r="AJ39" s="184"/>
      <c r="AK39" s="184"/>
      <c r="AL39" s="200" t="str">
        <f t="shared" si="4"/>
        <v/>
      </c>
      <c r="AM39" s="201">
        <v>2016.0</v>
      </c>
    </row>
    <row r="40">
      <c r="A40" s="158">
        <f t="shared" si="1"/>
        <v>12655092</v>
      </c>
      <c r="B40" s="242">
        <v>39.0</v>
      </c>
      <c r="C40" s="242"/>
      <c r="D40" s="184" t="str">
        <f>IFERROR(VLOOKUP(E40,INFORMACION!D:E,2,0),"INGRESAR CENTRO DE COSTO A LA DERECHA")</f>
        <v>INGRESAR CENTRO DE COSTO A LA DERECHA</v>
      </c>
      <c r="E40" s="184" t="s">
        <v>2980</v>
      </c>
      <c r="F40" s="195" t="s">
        <v>2802</v>
      </c>
      <c r="G40" s="186" t="s">
        <v>1862</v>
      </c>
      <c r="H40" s="186">
        <v>16.0</v>
      </c>
      <c r="I40" s="186" t="s">
        <v>2541</v>
      </c>
      <c r="J40" s="184" t="s">
        <v>112</v>
      </c>
      <c r="K40" s="184" t="s">
        <v>120</v>
      </c>
      <c r="L40" s="184" t="s">
        <v>122</v>
      </c>
      <c r="M40" s="184">
        <v>0.0</v>
      </c>
      <c r="N40" s="184" t="s">
        <v>122</v>
      </c>
      <c r="O40" s="184">
        <v>0.0</v>
      </c>
      <c r="P40" s="184">
        <v>1.0</v>
      </c>
      <c r="Q40" s="184">
        <v>0.0</v>
      </c>
      <c r="R40" s="184" t="s">
        <v>121</v>
      </c>
      <c r="S40" s="218">
        <v>42370.0</v>
      </c>
      <c r="T40" s="105"/>
      <c r="U40" s="105" t="s">
        <v>2998</v>
      </c>
      <c r="V40" s="184" t="s">
        <v>2999</v>
      </c>
      <c r="W40" s="184" t="s">
        <v>122</v>
      </c>
      <c r="X40" s="170"/>
      <c r="Y40" s="170"/>
      <c r="Z40" s="170"/>
      <c r="AA40" s="219"/>
      <c r="AB40" s="219"/>
      <c r="AC40" s="4"/>
      <c r="AD40" s="4"/>
      <c r="AE40" s="184"/>
      <c r="AF40" s="4"/>
      <c r="AG40" s="4"/>
      <c r="AH40" s="216" t="s">
        <v>2065</v>
      </c>
      <c r="AI40" s="216" t="s">
        <v>2597</v>
      </c>
      <c r="AJ40" s="184"/>
      <c r="AK40" s="184"/>
      <c r="AL40" s="200" t="str">
        <f t="shared" si="4"/>
        <v/>
      </c>
      <c r="AM40" s="201">
        <v>2016.0</v>
      </c>
    </row>
    <row r="41">
      <c r="A41" s="158">
        <f t="shared" si="1"/>
        <v>13336696</v>
      </c>
      <c r="B41" s="242">
        <v>40.0</v>
      </c>
      <c r="C41" s="242"/>
      <c r="D41" s="184" t="str">
        <f>IFERROR(VLOOKUP(E41,INFORMACION!D:E,2,0),"INGRESAR CENTRO DE COSTO A LA DERECHA")</f>
        <v>INGRESAR CENTRO DE COSTO A LA DERECHA</v>
      </c>
      <c r="E41" s="184" t="s">
        <v>3000</v>
      </c>
      <c r="F41" s="195" t="s">
        <v>2842</v>
      </c>
      <c r="G41" s="186" t="s">
        <v>2843</v>
      </c>
      <c r="H41" s="186">
        <v>15.0</v>
      </c>
      <c r="I41" s="186" t="s">
        <v>2541</v>
      </c>
      <c r="J41" s="184" t="s">
        <v>112</v>
      </c>
      <c r="K41" s="184" t="s">
        <v>125</v>
      </c>
      <c r="L41" s="184" t="s">
        <v>122</v>
      </c>
      <c r="M41" s="184">
        <v>0.0</v>
      </c>
      <c r="N41" s="184" t="s">
        <v>122</v>
      </c>
      <c r="O41" s="184">
        <v>0.0</v>
      </c>
      <c r="P41" s="184">
        <v>1.0</v>
      </c>
      <c r="Q41" s="184">
        <v>0.0</v>
      </c>
      <c r="R41" s="184" t="s">
        <v>115</v>
      </c>
      <c r="S41" s="218">
        <v>42552.0</v>
      </c>
      <c r="T41" s="105"/>
      <c r="U41" s="105" t="s">
        <v>2847</v>
      </c>
      <c r="V41" s="184" t="s">
        <v>3001</v>
      </c>
      <c r="W41" s="184" t="s">
        <v>122</v>
      </c>
      <c r="X41" s="170"/>
      <c r="Y41" s="170"/>
      <c r="Z41" s="170"/>
      <c r="AA41" s="219"/>
      <c r="AB41" s="219"/>
      <c r="AC41" s="4"/>
      <c r="AD41" s="4"/>
      <c r="AE41" s="184"/>
      <c r="AF41" s="4"/>
      <c r="AG41" s="4"/>
      <c r="AH41" s="216" t="s">
        <v>2065</v>
      </c>
      <c r="AI41" s="216" t="s">
        <v>2597</v>
      </c>
      <c r="AJ41" s="184"/>
      <c r="AK41" s="184"/>
      <c r="AL41" s="200" t="str">
        <f t="shared" si="4"/>
        <v/>
      </c>
      <c r="AM41" s="201">
        <v>2016.0</v>
      </c>
    </row>
    <row r="42">
      <c r="A42" s="158">
        <f t="shared" si="1"/>
        <v>18060136</v>
      </c>
      <c r="B42" s="236">
        <v>41.0</v>
      </c>
      <c r="C42" s="236"/>
      <c r="D42" s="184" t="str">
        <f>IFERROR(VLOOKUP(E42,INFORMACION!D:E,2,0),"INGRESAR CENTRO DE COSTO A LA DERECHA")</f>
        <v>INGRESAR CENTRO DE COSTO A LA DERECHA</v>
      </c>
      <c r="E42" s="184" t="s">
        <v>2883</v>
      </c>
      <c r="F42" s="195" t="s">
        <v>2031</v>
      </c>
      <c r="G42" s="186" t="s">
        <v>3002</v>
      </c>
      <c r="H42" s="186">
        <v>13.0</v>
      </c>
      <c r="I42" s="186" t="s">
        <v>2541</v>
      </c>
      <c r="J42" s="184" t="s">
        <v>112</v>
      </c>
      <c r="K42" s="184" t="s">
        <v>114</v>
      </c>
      <c r="L42" s="184" t="s">
        <v>122</v>
      </c>
      <c r="M42" s="184">
        <v>0.0</v>
      </c>
      <c r="N42" s="184" t="s">
        <v>122</v>
      </c>
      <c r="O42" s="184">
        <v>0.0</v>
      </c>
      <c r="P42" s="184">
        <v>1.0</v>
      </c>
      <c r="Q42" s="184">
        <v>0.0</v>
      </c>
      <c r="R42" s="184" t="s">
        <v>121</v>
      </c>
      <c r="S42" s="218">
        <v>42552.0</v>
      </c>
      <c r="T42" s="105"/>
      <c r="U42" s="105" t="s">
        <v>3003</v>
      </c>
      <c r="V42" s="184" t="s">
        <v>3004</v>
      </c>
      <c r="W42" s="184" t="s">
        <v>122</v>
      </c>
      <c r="X42" s="170"/>
      <c r="Y42" s="170"/>
      <c r="Z42" s="170"/>
      <c r="AA42" s="219"/>
      <c r="AB42" s="219"/>
      <c r="AC42" s="4"/>
      <c r="AD42" s="4"/>
      <c r="AE42" s="184"/>
      <c r="AF42" s="4"/>
      <c r="AG42" s="4"/>
      <c r="AH42" s="216" t="s">
        <v>2065</v>
      </c>
      <c r="AI42" s="216" t="s">
        <v>2597</v>
      </c>
      <c r="AJ42" s="184"/>
      <c r="AK42" s="184"/>
      <c r="AL42" s="200" t="str">
        <f t="shared" si="4"/>
        <v/>
      </c>
      <c r="AM42" s="201">
        <v>2016.0</v>
      </c>
    </row>
    <row r="43">
      <c r="A43" s="158">
        <f t="shared" si="1"/>
        <v>18121889</v>
      </c>
      <c r="B43" s="236">
        <v>42.0</v>
      </c>
      <c r="C43" s="236"/>
      <c r="D43" s="184" t="str">
        <f>IFERROR(VLOOKUP(E43,INFORMACION!D:E,2,0),"INGRESAR CENTRO DE COSTO A LA DERECHA")</f>
        <v>INGRESAR CENTRO DE COSTO A LA DERECHA</v>
      </c>
      <c r="E43" s="184" t="s">
        <v>2495</v>
      </c>
      <c r="F43" s="195" t="s">
        <v>2674</v>
      </c>
      <c r="G43" s="186" t="s">
        <v>3005</v>
      </c>
      <c r="H43" s="186">
        <v>13.0</v>
      </c>
      <c r="I43" s="186" t="s">
        <v>2541</v>
      </c>
      <c r="J43" s="184" t="s">
        <v>112</v>
      </c>
      <c r="K43" s="184" t="s">
        <v>114</v>
      </c>
      <c r="L43" s="184" t="s">
        <v>122</v>
      </c>
      <c r="M43" s="184">
        <v>0.0</v>
      </c>
      <c r="N43" s="184" t="s">
        <v>122</v>
      </c>
      <c r="O43" s="184">
        <v>0.0</v>
      </c>
      <c r="P43" s="184">
        <v>1.0</v>
      </c>
      <c r="Q43" s="184">
        <v>0.0</v>
      </c>
      <c r="R43" s="184" t="s">
        <v>115</v>
      </c>
      <c r="S43" s="218">
        <v>42552.0</v>
      </c>
      <c r="T43" s="105"/>
      <c r="U43" s="105" t="s">
        <v>3006</v>
      </c>
      <c r="V43" s="184" t="s">
        <v>3007</v>
      </c>
      <c r="W43" s="184" t="s">
        <v>122</v>
      </c>
      <c r="X43" s="170"/>
      <c r="Y43" s="170"/>
      <c r="Z43" s="170"/>
      <c r="AA43" s="219"/>
      <c r="AB43" s="219"/>
      <c r="AC43" s="4"/>
      <c r="AD43" s="4"/>
      <c r="AE43" s="184"/>
      <c r="AF43" s="4"/>
      <c r="AG43" s="4"/>
      <c r="AH43" s="216" t="s">
        <v>2065</v>
      </c>
      <c r="AI43" s="216" t="s">
        <v>2597</v>
      </c>
      <c r="AJ43" s="184"/>
      <c r="AK43" s="184"/>
      <c r="AL43" s="200" t="str">
        <f t="shared" si="4"/>
        <v/>
      </c>
      <c r="AM43" s="201">
        <v>2016.0</v>
      </c>
    </row>
    <row r="44">
      <c r="A44" s="158">
        <f t="shared" si="1"/>
        <v>17376319</v>
      </c>
      <c r="B44" s="242">
        <v>43.0</v>
      </c>
      <c r="C44" s="242"/>
      <c r="D44" s="184" t="str">
        <f>IFERROR(VLOOKUP(E44,INFORMACION!D:E,2,0),"INGRESAR CENTRO DE COSTO A LA DERECHA")</f>
        <v>INGRESAR CENTRO DE COSTO A LA DERECHA</v>
      </c>
      <c r="E44" s="184" t="s">
        <v>1601</v>
      </c>
      <c r="F44" s="195" t="s">
        <v>1915</v>
      </c>
      <c r="G44" s="186" t="s">
        <v>1916</v>
      </c>
      <c r="H44" s="186">
        <v>20.0</v>
      </c>
      <c r="I44" s="186" t="s">
        <v>2541</v>
      </c>
      <c r="J44" s="184" t="s">
        <v>112</v>
      </c>
      <c r="K44" s="184" t="s">
        <v>125</v>
      </c>
      <c r="L44" s="184" t="s">
        <v>117</v>
      </c>
      <c r="M44" s="184">
        <v>0.0</v>
      </c>
      <c r="N44" s="184" t="s">
        <v>116</v>
      </c>
      <c r="O44" s="184">
        <v>12.0</v>
      </c>
      <c r="P44" s="184">
        <v>2.0</v>
      </c>
      <c r="Q44" s="184">
        <v>2.0</v>
      </c>
      <c r="R44" s="184" t="s">
        <v>121</v>
      </c>
      <c r="S44" s="218">
        <v>42569.0</v>
      </c>
      <c r="T44" s="105"/>
      <c r="U44" s="105" t="s">
        <v>3008</v>
      </c>
      <c r="V44" s="184" t="s">
        <v>3009</v>
      </c>
      <c r="W44" s="184" t="s">
        <v>122</v>
      </c>
      <c r="X44" s="170"/>
      <c r="Y44" s="170"/>
      <c r="Z44" s="170"/>
      <c r="AA44" s="219">
        <v>42509.0</v>
      </c>
      <c r="AB44" s="219">
        <v>42516.0</v>
      </c>
      <c r="AC44" s="4"/>
      <c r="AD44" s="4"/>
      <c r="AE44" s="184"/>
      <c r="AF44" s="4"/>
      <c r="AG44" s="4"/>
      <c r="AH44" s="216" t="s">
        <v>2071</v>
      </c>
      <c r="AI44" s="216" t="s">
        <v>3010</v>
      </c>
      <c r="AJ44" s="184"/>
      <c r="AK44" s="184" t="s">
        <v>2163</v>
      </c>
      <c r="AL44" s="200">
        <f t="shared" si="4"/>
        <v>38</v>
      </c>
      <c r="AM44" s="201">
        <v>2016.0</v>
      </c>
    </row>
    <row r="45">
      <c r="A45" s="158">
        <f t="shared" si="1"/>
        <v>13925927</v>
      </c>
      <c r="B45" s="242">
        <v>44.0</v>
      </c>
      <c r="C45" s="242"/>
      <c r="D45" s="184" t="str">
        <f>IFERROR(VLOOKUP(E45,INFORMACION!D:E,2,0),"INGRESAR CENTRO DE COSTO A LA DERECHA")</f>
        <v>INGRESAR CENTRO DE COSTO A LA DERECHA</v>
      </c>
      <c r="E45" s="184" t="s">
        <v>3011</v>
      </c>
      <c r="F45" s="195" t="s">
        <v>3012</v>
      </c>
      <c r="G45" s="186" t="s">
        <v>3013</v>
      </c>
      <c r="H45" s="186">
        <v>13.0</v>
      </c>
      <c r="I45" s="186" t="s">
        <v>2541</v>
      </c>
      <c r="J45" s="184" t="s">
        <v>112</v>
      </c>
      <c r="K45" s="184" t="s">
        <v>114</v>
      </c>
      <c r="L45" s="184" t="s">
        <v>117</v>
      </c>
      <c r="M45" s="184">
        <v>0.0</v>
      </c>
      <c r="N45" s="184" t="s">
        <v>116</v>
      </c>
      <c r="O45" s="184">
        <v>6.0</v>
      </c>
      <c r="P45" s="184">
        <v>1.0</v>
      </c>
      <c r="Q45" s="184">
        <v>1.0</v>
      </c>
      <c r="R45" s="184" t="s">
        <v>115</v>
      </c>
      <c r="S45" s="218">
        <v>42555.0</v>
      </c>
      <c r="T45" s="105"/>
      <c r="U45" s="105" t="s">
        <v>3014</v>
      </c>
      <c r="V45" s="184" t="s">
        <v>3015</v>
      </c>
      <c r="W45" s="184" t="s">
        <v>122</v>
      </c>
      <c r="X45" s="170"/>
      <c r="Y45" s="170"/>
      <c r="Z45" s="170"/>
      <c r="AA45" s="219">
        <v>42500.0</v>
      </c>
      <c r="AB45" s="219">
        <v>42507.0</v>
      </c>
      <c r="AC45" s="4"/>
      <c r="AD45" s="4"/>
      <c r="AE45" s="184"/>
      <c r="AF45" s="4"/>
      <c r="AG45" s="4"/>
      <c r="AH45" s="216" t="s">
        <v>2071</v>
      </c>
      <c r="AI45" s="216" t="s">
        <v>3016</v>
      </c>
      <c r="AJ45" s="184"/>
      <c r="AK45" s="184" t="s">
        <v>1612</v>
      </c>
      <c r="AL45" s="200">
        <f t="shared" si="4"/>
        <v>35</v>
      </c>
      <c r="AM45" s="201">
        <v>2016.0</v>
      </c>
    </row>
    <row r="46">
      <c r="A46" s="158">
        <f t="shared" si="1"/>
        <v>17412257</v>
      </c>
      <c r="B46" s="236">
        <v>45.0</v>
      </c>
      <c r="C46" s="236"/>
      <c r="D46" s="184" t="str">
        <f>IFERROR(VLOOKUP(E46,INFORMACION!D:E,2,0),"INGRESAR CENTRO DE COSTO A LA DERECHA")</f>
        <v>INGRESAR CENTRO DE COSTO A LA DERECHA</v>
      </c>
      <c r="E46" s="184" t="s">
        <v>2015</v>
      </c>
      <c r="F46" s="195" t="s">
        <v>2690</v>
      </c>
      <c r="G46" s="161" t="s">
        <v>2073</v>
      </c>
      <c r="H46" s="160" t="s">
        <v>113</v>
      </c>
      <c r="I46" s="186" t="s">
        <v>3017</v>
      </c>
      <c r="J46" s="184" t="s">
        <v>112</v>
      </c>
      <c r="K46" s="184" t="s">
        <v>114</v>
      </c>
      <c r="L46" s="184" t="s">
        <v>122</v>
      </c>
      <c r="M46" s="184">
        <v>0.0</v>
      </c>
      <c r="N46" s="184" t="s">
        <v>116</v>
      </c>
      <c r="O46" s="184">
        <v>15.0</v>
      </c>
      <c r="P46" s="184">
        <v>3.0</v>
      </c>
      <c r="Q46" s="184">
        <v>1.0</v>
      </c>
      <c r="R46" s="184" t="s">
        <v>121</v>
      </c>
      <c r="S46" s="218">
        <v>42552.0</v>
      </c>
      <c r="T46" s="105"/>
      <c r="U46" s="105" t="s">
        <v>3018</v>
      </c>
      <c r="V46" s="184" t="s">
        <v>3019</v>
      </c>
      <c r="W46" s="184" t="s">
        <v>122</v>
      </c>
      <c r="X46" s="170"/>
      <c r="Y46" s="170"/>
      <c r="Z46" s="170"/>
      <c r="AA46" s="219">
        <v>42493.0</v>
      </c>
      <c r="AB46" s="219">
        <v>42503.0</v>
      </c>
      <c r="AC46" s="4"/>
      <c r="AD46" s="4"/>
      <c r="AE46" s="184"/>
      <c r="AF46" s="4"/>
      <c r="AG46" s="4"/>
      <c r="AH46" s="216" t="s">
        <v>2071</v>
      </c>
      <c r="AI46" s="216" t="s">
        <v>3020</v>
      </c>
      <c r="AJ46" s="184"/>
      <c r="AK46" s="184" t="s">
        <v>2163</v>
      </c>
      <c r="AL46" s="200">
        <f t="shared" si="4"/>
        <v>36</v>
      </c>
      <c r="AM46" s="201">
        <v>2016.0</v>
      </c>
    </row>
    <row r="47">
      <c r="A47" s="158">
        <f t="shared" si="1"/>
        <v>13656668</v>
      </c>
      <c r="B47" s="236">
        <v>46.0</v>
      </c>
      <c r="C47" s="236"/>
      <c r="D47" s="184" t="str">
        <f>IFERROR(VLOOKUP(E47,INFORMACION!D:E,2,0),"INGRESAR CENTRO DE COSTO A LA DERECHA")</f>
        <v>INGRESAR CENTRO DE COSTO A LA DERECHA</v>
      </c>
      <c r="E47" s="184" t="s">
        <v>1601</v>
      </c>
      <c r="F47" s="195" t="s">
        <v>2540</v>
      </c>
      <c r="G47" s="186" t="s">
        <v>1898</v>
      </c>
      <c r="H47" s="186">
        <v>17.0</v>
      </c>
      <c r="I47" s="186" t="s">
        <v>2541</v>
      </c>
      <c r="J47" s="184" t="s">
        <v>112</v>
      </c>
      <c r="K47" s="184" t="s">
        <v>120</v>
      </c>
      <c r="L47" s="184" t="s">
        <v>117</v>
      </c>
      <c r="M47" s="184">
        <v>1.0</v>
      </c>
      <c r="N47" s="184" t="s">
        <v>122</v>
      </c>
      <c r="O47" s="184">
        <v>0.0</v>
      </c>
      <c r="P47" s="184">
        <v>1.0</v>
      </c>
      <c r="Q47" s="184">
        <v>0.0</v>
      </c>
      <c r="R47" s="184" t="s">
        <v>121</v>
      </c>
      <c r="S47" s="218">
        <v>42557.0</v>
      </c>
      <c r="T47" s="105" t="s">
        <v>256</v>
      </c>
      <c r="V47" s="184" t="s">
        <v>2238</v>
      </c>
      <c r="W47" s="184" t="s">
        <v>122</v>
      </c>
      <c r="X47" s="170"/>
      <c r="Y47" s="170"/>
      <c r="Z47" s="170"/>
      <c r="AA47" s="219">
        <v>42517.0</v>
      </c>
      <c r="AB47" s="219">
        <v>42521.0</v>
      </c>
      <c r="AC47" s="4"/>
      <c r="AD47" s="4"/>
      <c r="AE47" s="184"/>
      <c r="AF47" s="4"/>
      <c r="AG47" s="4"/>
      <c r="AH47" s="216" t="s">
        <v>2071</v>
      </c>
      <c r="AI47" s="216" t="s">
        <v>3021</v>
      </c>
      <c r="AJ47" s="184"/>
      <c r="AK47" s="184" t="s">
        <v>1612</v>
      </c>
      <c r="AL47" s="200">
        <f t="shared" si="4"/>
        <v>27</v>
      </c>
      <c r="AM47" s="201">
        <v>2016.0</v>
      </c>
    </row>
    <row r="48">
      <c r="A48" s="158">
        <f t="shared" si="1"/>
        <v>17767326</v>
      </c>
      <c r="B48" s="242">
        <v>47.0</v>
      </c>
      <c r="C48" s="242"/>
      <c r="D48" s="184" t="str">
        <f>IFERROR(VLOOKUP(E48,INFORMACION!D:E,2,0),"INGRESAR CENTRO DE COSTO A LA DERECHA")</f>
        <v>INGRESAR CENTRO DE COSTO A LA DERECHA</v>
      </c>
      <c r="E48" s="184" t="s">
        <v>2213</v>
      </c>
      <c r="F48" s="195" t="s">
        <v>2540</v>
      </c>
      <c r="G48" s="186" t="s">
        <v>1898</v>
      </c>
      <c r="H48" s="186">
        <v>17.0</v>
      </c>
      <c r="I48" s="186" t="s">
        <v>2541</v>
      </c>
      <c r="J48" s="184" t="s">
        <v>112</v>
      </c>
      <c r="K48" s="184" t="s">
        <v>120</v>
      </c>
      <c r="L48" s="184" t="s">
        <v>117</v>
      </c>
      <c r="M48" s="184">
        <v>3.0</v>
      </c>
      <c r="N48" s="184" t="s">
        <v>122</v>
      </c>
      <c r="O48" s="184">
        <v>0.0</v>
      </c>
      <c r="P48" s="184">
        <v>1.0</v>
      </c>
      <c r="Q48" s="184">
        <v>0.0</v>
      </c>
      <c r="R48" s="184" t="s">
        <v>121</v>
      </c>
      <c r="S48" s="218">
        <v>42520.0</v>
      </c>
      <c r="T48" s="105" t="s">
        <v>1511</v>
      </c>
      <c r="U48" s="105"/>
      <c r="V48" s="184" t="s">
        <v>2327</v>
      </c>
      <c r="W48" s="184" t="s">
        <v>122</v>
      </c>
      <c r="X48" s="170"/>
      <c r="Y48" s="170"/>
      <c r="Z48" s="170"/>
      <c r="AA48" s="219">
        <v>42468.0</v>
      </c>
      <c r="AB48" s="219">
        <v>42472.0</v>
      </c>
      <c r="AC48" s="4"/>
      <c r="AD48" s="4"/>
      <c r="AE48" s="184"/>
      <c r="AF48" s="4"/>
      <c r="AG48" s="4"/>
      <c r="AH48" s="216" t="s">
        <v>2071</v>
      </c>
      <c r="AI48" s="216" t="s">
        <v>2425</v>
      </c>
      <c r="AJ48" s="184"/>
      <c r="AK48" s="184" t="s">
        <v>1612</v>
      </c>
      <c r="AL48" s="200">
        <f t="shared" si="4"/>
        <v>35</v>
      </c>
      <c r="AM48" s="201">
        <v>2016.0</v>
      </c>
    </row>
    <row r="49">
      <c r="A49" s="158">
        <f t="shared" si="1"/>
        <v>15314535</v>
      </c>
      <c r="B49" s="242">
        <v>48.0</v>
      </c>
      <c r="C49" s="242"/>
      <c r="D49" s="184" t="str">
        <f>IFERROR(VLOOKUP(E49,INFORMACION!D:E,2,0),"INGRESAR CENTRO DE COSTO A LA DERECHA")</f>
        <v>INGRESAR CENTRO DE COSTO A LA DERECHA</v>
      </c>
      <c r="E49" s="184" t="s">
        <v>1618</v>
      </c>
      <c r="F49" s="195" t="s">
        <v>2635</v>
      </c>
      <c r="G49" s="186" t="s">
        <v>2418</v>
      </c>
      <c r="H49" s="186">
        <v>12.0</v>
      </c>
      <c r="I49" s="186" t="s">
        <v>2541</v>
      </c>
      <c r="J49" s="184" t="s">
        <v>112</v>
      </c>
      <c r="K49" s="184" t="s">
        <v>114</v>
      </c>
      <c r="L49" s="184" t="s">
        <v>117</v>
      </c>
      <c r="M49" s="184">
        <v>1.0</v>
      </c>
      <c r="N49" s="184" t="s">
        <v>122</v>
      </c>
      <c r="O49" s="184">
        <v>0.0</v>
      </c>
      <c r="P49" s="184">
        <v>1.0</v>
      </c>
      <c r="Q49" s="184">
        <v>0.0</v>
      </c>
      <c r="R49" s="184" t="s">
        <v>121</v>
      </c>
      <c r="S49" s="218">
        <v>42555.0</v>
      </c>
      <c r="T49" s="105" t="s">
        <v>1318</v>
      </c>
      <c r="U49" s="105"/>
      <c r="V49" s="184" t="s">
        <v>3022</v>
      </c>
      <c r="W49" s="184" t="s">
        <v>122</v>
      </c>
      <c r="X49" s="170"/>
      <c r="Y49" s="170"/>
      <c r="Z49" s="170"/>
      <c r="AA49" s="219">
        <v>42500.0</v>
      </c>
      <c r="AB49" s="219">
        <v>42502.0</v>
      </c>
      <c r="AC49" s="4"/>
      <c r="AD49" s="4"/>
      <c r="AE49" s="184"/>
      <c r="AF49" s="4"/>
      <c r="AG49" s="4"/>
      <c r="AH49" s="216" t="s">
        <v>2071</v>
      </c>
      <c r="AI49" s="216" t="s">
        <v>2941</v>
      </c>
      <c r="AJ49" s="184"/>
      <c r="AK49" s="184" t="s">
        <v>1612</v>
      </c>
      <c r="AL49" s="200">
        <f t="shared" si="4"/>
        <v>38</v>
      </c>
      <c r="AM49" s="201">
        <v>2016.0</v>
      </c>
    </row>
    <row r="50">
      <c r="A50" s="158">
        <f t="shared" si="1"/>
        <v>16075522</v>
      </c>
      <c r="B50" s="236">
        <v>49.0</v>
      </c>
      <c r="C50" s="236"/>
      <c r="D50" s="184" t="str">
        <f>IFERROR(VLOOKUP(E50,INFORMACION!D:E,2,0),"INGRESAR CENTRO DE COSTO A LA DERECHA")</f>
        <v>INGRESAR CENTRO DE COSTO A LA DERECHA</v>
      </c>
      <c r="E50" s="184" t="s">
        <v>2495</v>
      </c>
      <c r="F50" s="195" t="s">
        <v>3023</v>
      </c>
      <c r="G50" s="186" t="s">
        <v>3024</v>
      </c>
      <c r="H50" s="186">
        <v>13.0</v>
      </c>
      <c r="I50" s="186" t="s">
        <v>2541</v>
      </c>
      <c r="J50" s="184" t="s">
        <v>112</v>
      </c>
      <c r="K50" s="184" t="s">
        <v>114</v>
      </c>
      <c r="L50" s="184" t="s">
        <v>122</v>
      </c>
      <c r="M50" s="184">
        <v>0.0</v>
      </c>
      <c r="N50" s="184" t="s">
        <v>116</v>
      </c>
      <c r="O50" s="184">
        <v>17.0</v>
      </c>
      <c r="P50" s="184">
        <v>2.0</v>
      </c>
      <c r="Q50" s="184">
        <v>1.0</v>
      </c>
      <c r="R50" s="184" t="s">
        <v>121</v>
      </c>
      <c r="S50" s="218">
        <v>42569.0</v>
      </c>
      <c r="T50" s="105"/>
      <c r="U50" s="105" t="s">
        <v>3025</v>
      </c>
      <c r="V50" s="184" t="s">
        <v>3026</v>
      </c>
      <c r="W50" s="184" t="s">
        <v>122</v>
      </c>
      <c r="X50" s="170"/>
      <c r="Y50" s="170"/>
      <c r="Z50" s="170"/>
      <c r="AA50" s="219">
        <v>42527.0</v>
      </c>
      <c r="AB50" s="219">
        <v>42534.0</v>
      </c>
      <c r="AC50" s="4"/>
      <c r="AD50" s="4"/>
      <c r="AE50" s="184"/>
      <c r="AF50" s="4"/>
      <c r="AG50" s="4"/>
      <c r="AH50" s="216" t="s">
        <v>2071</v>
      </c>
      <c r="AI50" s="216" t="s">
        <v>2941</v>
      </c>
      <c r="AJ50" s="184"/>
      <c r="AK50" s="184" t="s">
        <v>2163</v>
      </c>
      <c r="AL50" s="200">
        <f t="shared" si="4"/>
        <v>26</v>
      </c>
      <c r="AM50" s="201">
        <v>2016.0</v>
      </c>
    </row>
    <row r="51">
      <c r="A51" s="158">
        <f t="shared" si="1"/>
        <v>18251296</v>
      </c>
      <c r="B51" s="236">
        <v>50.0</v>
      </c>
      <c r="C51" s="236"/>
      <c r="D51" s="184" t="str">
        <f>IFERROR(VLOOKUP(E51,INFORMACION!D:E,2,0),"INGRESAR CENTRO DE COSTO A LA DERECHA")</f>
        <v>INGRESAR CENTRO DE COSTO A LA DERECHA</v>
      </c>
      <c r="E51" s="184" t="s">
        <v>2495</v>
      </c>
      <c r="F51" s="195" t="s">
        <v>2031</v>
      </c>
      <c r="G51" s="186" t="s">
        <v>2032</v>
      </c>
      <c r="H51" s="186">
        <v>13.0</v>
      </c>
      <c r="I51" s="186" t="s">
        <v>2541</v>
      </c>
      <c r="J51" s="184" t="s">
        <v>112</v>
      </c>
      <c r="K51" s="184" t="s">
        <v>114</v>
      </c>
      <c r="L51" s="184" t="s">
        <v>117</v>
      </c>
      <c r="M51" s="184">
        <v>5.0</v>
      </c>
      <c r="N51" s="184" t="s">
        <v>122</v>
      </c>
      <c r="O51" s="184">
        <v>0.0</v>
      </c>
      <c r="P51" s="184">
        <v>1.0</v>
      </c>
      <c r="Q51" s="184">
        <v>0.0</v>
      </c>
      <c r="R51" s="184" t="s">
        <v>121</v>
      </c>
      <c r="S51" s="218">
        <v>42569.0</v>
      </c>
      <c r="T51" s="105" t="s">
        <v>511</v>
      </c>
      <c r="U51" s="105"/>
      <c r="V51" s="184" t="s">
        <v>3027</v>
      </c>
      <c r="W51" s="184" t="s">
        <v>118</v>
      </c>
      <c r="X51" s="197" t="s">
        <v>2523</v>
      </c>
      <c r="Y51" s="170"/>
      <c r="Z51" s="170"/>
      <c r="AA51" s="219">
        <v>42543.0</v>
      </c>
      <c r="AB51" s="219">
        <v>42550.0</v>
      </c>
      <c r="AC51" s="4"/>
      <c r="AD51" s="4"/>
      <c r="AE51" s="184"/>
      <c r="AF51" s="4"/>
      <c r="AG51" s="4"/>
      <c r="AH51" s="216" t="s">
        <v>2071</v>
      </c>
      <c r="AI51" s="216" t="s">
        <v>3028</v>
      </c>
      <c r="AJ51" s="184"/>
      <c r="AK51" s="184" t="s">
        <v>1612</v>
      </c>
      <c r="AL51" s="200">
        <f t="shared" si="4"/>
        <v>14</v>
      </c>
      <c r="AM51" s="201">
        <v>2016.0</v>
      </c>
    </row>
    <row r="52">
      <c r="A52" s="158">
        <f t="shared" si="1"/>
        <v>10405955</v>
      </c>
      <c r="B52" s="242">
        <v>51.0</v>
      </c>
      <c r="C52" s="242"/>
      <c r="D52" s="184" t="str">
        <f>IFERROR(VLOOKUP(E52,INFORMACION!D:E,2,0),"INGRESAR CENTRO DE COSTO A LA DERECHA")</f>
        <v>INGRESAR CENTRO DE COSTO A LA DERECHA</v>
      </c>
      <c r="E52" s="184" t="s">
        <v>1618</v>
      </c>
      <c r="F52" s="195" t="s">
        <v>2576</v>
      </c>
      <c r="G52" s="186" t="s">
        <v>1741</v>
      </c>
      <c r="H52" s="186">
        <v>21.0</v>
      </c>
      <c r="I52" s="186" t="s">
        <v>2541</v>
      </c>
      <c r="J52" s="184" t="s">
        <v>112</v>
      </c>
      <c r="K52" s="184" t="s">
        <v>127</v>
      </c>
      <c r="L52" s="184" t="s">
        <v>122</v>
      </c>
      <c r="M52" s="184">
        <v>0.0</v>
      </c>
      <c r="N52" s="184" t="s">
        <v>116</v>
      </c>
      <c r="O52" s="184">
        <v>5.0</v>
      </c>
      <c r="P52" s="184">
        <v>1.0</v>
      </c>
      <c r="Q52" s="184">
        <v>2.0</v>
      </c>
      <c r="R52" s="184" t="s">
        <v>115</v>
      </c>
      <c r="S52" s="218">
        <v>42506.0</v>
      </c>
      <c r="T52" s="105"/>
      <c r="U52" s="105" t="s">
        <v>3029</v>
      </c>
      <c r="V52" s="184" t="s">
        <v>3030</v>
      </c>
      <c r="W52" s="184" t="s">
        <v>122</v>
      </c>
      <c r="X52" s="170"/>
      <c r="Y52" s="170"/>
      <c r="Z52" s="170"/>
      <c r="AA52" s="219">
        <v>42499.0</v>
      </c>
      <c r="AB52" s="219">
        <v>42501.0</v>
      </c>
      <c r="AC52" s="4"/>
      <c r="AD52" s="4"/>
      <c r="AE52" s="184"/>
      <c r="AF52" s="4"/>
      <c r="AG52" s="4"/>
      <c r="AH52" s="216" t="s">
        <v>2071</v>
      </c>
      <c r="AI52" s="216" t="s">
        <v>3031</v>
      </c>
      <c r="AJ52" s="184"/>
      <c r="AK52" s="184" t="s">
        <v>1612</v>
      </c>
      <c r="AL52" s="200">
        <f t="shared" si="4"/>
        <v>4</v>
      </c>
      <c r="AM52" s="201">
        <v>2016.0</v>
      </c>
    </row>
    <row r="53">
      <c r="A53" s="158">
        <f t="shared" si="1"/>
        <v>19088083</v>
      </c>
      <c r="B53" s="242">
        <v>52.0</v>
      </c>
      <c r="C53" s="242"/>
      <c r="D53" s="184" t="str">
        <f>IFERROR(VLOOKUP(E53,INFORMACION!D:E,2,0),"INGRESAR CENTRO DE COSTO A LA DERECHA")</f>
        <v>INGRESAR CENTRO DE COSTO A LA DERECHA</v>
      </c>
      <c r="E53" s="184" t="s">
        <v>3032</v>
      </c>
      <c r="F53" s="195" t="s">
        <v>1947</v>
      </c>
      <c r="G53" s="186" t="s">
        <v>1687</v>
      </c>
      <c r="H53" s="186">
        <v>23.0</v>
      </c>
      <c r="I53" s="186" t="s">
        <v>2541</v>
      </c>
      <c r="J53" s="184" t="s">
        <v>112</v>
      </c>
      <c r="K53" s="184" t="s">
        <v>127</v>
      </c>
      <c r="L53" s="184" t="s">
        <v>117</v>
      </c>
      <c r="M53" s="184">
        <v>0.0</v>
      </c>
      <c r="N53" s="184" t="s">
        <v>116</v>
      </c>
      <c r="O53" s="184">
        <v>5.0</v>
      </c>
      <c r="P53" s="184">
        <v>2.0</v>
      </c>
      <c r="Q53" s="184">
        <v>1.0</v>
      </c>
      <c r="R53" s="184" t="s">
        <v>115</v>
      </c>
      <c r="S53" s="218">
        <v>42527.0</v>
      </c>
      <c r="T53" s="105"/>
      <c r="U53" s="105" t="s">
        <v>3033</v>
      </c>
      <c r="V53" s="184" t="s">
        <v>3034</v>
      </c>
      <c r="W53" s="184" t="s">
        <v>118</v>
      </c>
      <c r="X53" s="197" t="s">
        <v>2102</v>
      </c>
      <c r="Y53" s="170"/>
      <c r="Z53" s="170"/>
      <c r="AA53" s="219">
        <v>42482.0</v>
      </c>
      <c r="AB53" s="219">
        <v>42489.0</v>
      </c>
      <c r="AC53" s="4"/>
      <c r="AD53" s="4"/>
      <c r="AE53" s="184"/>
      <c r="AF53" s="4"/>
      <c r="AG53" s="4"/>
      <c r="AH53" s="216" t="s">
        <v>2071</v>
      </c>
      <c r="AI53" s="216" t="s">
        <v>3035</v>
      </c>
      <c r="AJ53" s="184"/>
      <c r="AK53" s="184" t="s">
        <v>1612</v>
      </c>
      <c r="AL53" s="200">
        <f t="shared" si="4"/>
        <v>27</v>
      </c>
      <c r="AM53" s="201">
        <v>2016.0</v>
      </c>
    </row>
    <row r="54">
      <c r="A54" s="158">
        <f t="shared" si="1"/>
        <v>16041081</v>
      </c>
      <c r="B54" s="236">
        <v>53.0</v>
      </c>
      <c r="C54" s="236"/>
      <c r="D54" s="184" t="str">
        <f>IFERROR(VLOOKUP(E54,INFORMACION!D:E,2,0),"INGRESAR CENTRO DE COSTO A LA DERECHA")</f>
        <v>INGRESAR CENTRO DE COSTO A LA DERECHA</v>
      </c>
      <c r="E54" s="184" t="s">
        <v>2980</v>
      </c>
      <c r="F54" s="195" t="s">
        <v>2625</v>
      </c>
      <c r="G54" s="186" t="s">
        <v>3036</v>
      </c>
      <c r="H54" s="186">
        <v>10.0</v>
      </c>
      <c r="I54" s="186" t="s">
        <v>2541</v>
      </c>
      <c r="J54" s="184" t="s">
        <v>112</v>
      </c>
      <c r="K54" s="184" t="s">
        <v>114</v>
      </c>
      <c r="L54" s="184" t="s">
        <v>117</v>
      </c>
      <c r="M54" s="184">
        <v>0.0</v>
      </c>
      <c r="N54" s="184" t="s">
        <v>116</v>
      </c>
      <c r="O54" s="184">
        <v>7.0</v>
      </c>
      <c r="P54" s="184">
        <v>2.0</v>
      </c>
      <c r="Q54" s="184">
        <v>1.0</v>
      </c>
      <c r="R54" s="184" t="s">
        <v>115</v>
      </c>
      <c r="S54" s="218">
        <v>42564.0</v>
      </c>
      <c r="T54" s="105"/>
      <c r="U54" s="105" t="s">
        <v>3037</v>
      </c>
      <c r="V54" s="184" t="s">
        <v>3038</v>
      </c>
      <c r="W54" s="184" t="s">
        <v>118</v>
      </c>
      <c r="X54" s="197" t="s">
        <v>2102</v>
      </c>
      <c r="Y54" s="170"/>
      <c r="Z54" s="170"/>
      <c r="AA54" s="219">
        <v>42510.0</v>
      </c>
      <c r="AB54" s="219">
        <v>42517.0</v>
      </c>
      <c r="AC54" s="4"/>
      <c r="AD54" s="4"/>
      <c r="AE54" s="184"/>
      <c r="AF54" s="4"/>
      <c r="AG54" s="4"/>
      <c r="AH54" s="216" t="s">
        <v>2071</v>
      </c>
      <c r="AI54" s="216" t="s">
        <v>3028</v>
      </c>
      <c r="AJ54" s="184"/>
      <c r="AK54" s="184" t="s">
        <v>2163</v>
      </c>
      <c r="AL54" s="200">
        <f t="shared" si="4"/>
        <v>34</v>
      </c>
      <c r="AM54" s="201">
        <v>2016.0</v>
      </c>
    </row>
    <row r="55">
      <c r="A55" s="158">
        <f t="shared" si="1"/>
        <v>17051027</v>
      </c>
      <c r="B55" s="236">
        <v>54.0</v>
      </c>
      <c r="C55" s="236"/>
      <c r="D55" s="184" t="str">
        <f>IFERROR(VLOOKUP(E55,INFORMACION!D:E,2,0),"INGRESAR CENTRO DE COSTO A LA DERECHA")</f>
        <v>INGRESAR CENTRO DE COSTO A LA DERECHA</v>
      </c>
      <c r="E55" s="184" t="s">
        <v>3039</v>
      </c>
      <c r="F55" s="195" t="s">
        <v>2613</v>
      </c>
      <c r="G55" s="186" t="s">
        <v>1821</v>
      </c>
      <c r="H55" s="186">
        <v>18.0</v>
      </c>
      <c r="I55" s="186" t="s">
        <v>2541</v>
      </c>
      <c r="J55" s="184" t="s">
        <v>112</v>
      </c>
      <c r="K55" s="184" t="s">
        <v>125</v>
      </c>
      <c r="L55" s="184" t="s">
        <v>117</v>
      </c>
      <c r="M55" s="184">
        <v>0.0</v>
      </c>
      <c r="N55" s="184" t="s">
        <v>116</v>
      </c>
      <c r="O55" s="184">
        <v>11.0</v>
      </c>
      <c r="P55" s="184">
        <v>5.0</v>
      </c>
      <c r="Q55" s="184">
        <v>4.0</v>
      </c>
      <c r="R55" s="184" t="s">
        <v>115</v>
      </c>
      <c r="S55" s="218">
        <v>42565.0</v>
      </c>
      <c r="T55" s="105"/>
      <c r="U55" s="105" t="s">
        <v>3040</v>
      </c>
      <c r="V55" s="184" t="s">
        <v>3041</v>
      </c>
      <c r="W55" s="184" t="s">
        <v>122</v>
      </c>
      <c r="X55" s="170"/>
      <c r="Y55" s="170"/>
      <c r="Z55" s="170"/>
      <c r="AA55" s="219">
        <v>42551.0</v>
      </c>
      <c r="AB55" s="219">
        <v>42556.0</v>
      </c>
      <c r="AC55" s="4"/>
      <c r="AD55" s="4"/>
      <c r="AE55" s="184"/>
      <c r="AF55" s="4"/>
      <c r="AG55" s="4"/>
      <c r="AH55" s="216" t="s">
        <v>2071</v>
      </c>
      <c r="AI55" s="216" t="s">
        <v>2941</v>
      </c>
      <c r="AJ55" s="184"/>
      <c r="AK55" s="184" t="s">
        <v>2163</v>
      </c>
      <c r="AL55" s="200">
        <f t="shared" si="4"/>
        <v>8</v>
      </c>
      <c r="AM55" s="201">
        <v>2016.0</v>
      </c>
    </row>
    <row r="56">
      <c r="A56" s="158">
        <f t="shared" si="1"/>
        <v>9976220</v>
      </c>
      <c r="B56" s="242">
        <v>55.0</v>
      </c>
      <c r="C56" s="242"/>
      <c r="D56" s="184" t="str">
        <f>IFERROR(VLOOKUP(E56,INFORMACION!D:E,2,0),"INGRESAR CENTRO DE COSTO A LA DERECHA")</f>
        <v>INGRESAR CENTRO DE COSTO A LA DERECHA</v>
      </c>
      <c r="E56" s="184" t="s">
        <v>3042</v>
      </c>
      <c r="F56" s="195" t="s">
        <v>1970</v>
      </c>
      <c r="G56" s="186" t="s">
        <v>1638</v>
      </c>
      <c r="H56" s="186">
        <v>23.0</v>
      </c>
      <c r="I56" s="186" t="s">
        <v>2541</v>
      </c>
      <c r="J56" s="184" t="s">
        <v>112</v>
      </c>
      <c r="K56" s="184" t="s">
        <v>127</v>
      </c>
      <c r="L56" s="184" t="s">
        <v>117</v>
      </c>
      <c r="M56" s="184">
        <v>1.0</v>
      </c>
      <c r="N56" s="184" t="s">
        <v>116</v>
      </c>
      <c r="O56" s="184">
        <v>15.0</v>
      </c>
      <c r="P56" s="184">
        <v>2.0</v>
      </c>
      <c r="Q56" s="184">
        <v>1.0</v>
      </c>
      <c r="R56" s="184" t="s">
        <v>121</v>
      </c>
      <c r="S56" s="218">
        <v>42541.0</v>
      </c>
      <c r="T56" s="105"/>
      <c r="U56" s="105" t="s">
        <v>3043</v>
      </c>
      <c r="V56" s="184" t="s">
        <v>3044</v>
      </c>
      <c r="W56" s="184" t="s">
        <v>122</v>
      </c>
      <c r="X56" s="170"/>
      <c r="Y56" s="170"/>
      <c r="Z56" s="170"/>
      <c r="AA56" s="219">
        <v>42488.0</v>
      </c>
      <c r="AB56" s="219">
        <v>42495.0</v>
      </c>
      <c r="AC56" s="4"/>
      <c r="AD56" s="4"/>
      <c r="AE56" s="184"/>
      <c r="AF56" s="4"/>
      <c r="AG56" s="4"/>
      <c r="AH56" s="216" t="s">
        <v>2071</v>
      </c>
      <c r="AI56" s="216" t="s">
        <v>3045</v>
      </c>
      <c r="AJ56" s="184"/>
      <c r="AK56" s="184" t="s">
        <v>2163</v>
      </c>
      <c r="AL56" s="200">
        <f t="shared" si="4"/>
        <v>33</v>
      </c>
      <c r="AM56" s="201">
        <v>2016.0</v>
      </c>
    </row>
    <row r="57">
      <c r="A57" s="158">
        <f t="shared" si="1"/>
        <v>16734688</v>
      </c>
      <c r="B57" s="242">
        <v>56.0</v>
      </c>
      <c r="C57" s="242"/>
      <c r="D57" s="184" t="str">
        <f>IFERROR(VLOOKUP(E57,INFORMACION!D:E,2,0),"INGRESAR CENTRO DE COSTO A LA DERECHA")</f>
        <v>INGRESAR CENTRO DE COSTO A LA DERECHA</v>
      </c>
      <c r="E57" s="184" t="s">
        <v>2015</v>
      </c>
      <c r="F57" s="195" t="s">
        <v>2247</v>
      </c>
      <c r="G57" s="186" t="s">
        <v>2248</v>
      </c>
      <c r="H57" s="186">
        <v>17.0</v>
      </c>
      <c r="I57" s="186" t="s">
        <v>2541</v>
      </c>
      <c r="J57" s="184" t="s">
        <v>112</v>
      </c>
      <c r="K57" s="184" t="s">
        <v>125</v>
      </c>
      <c r="L57" s="184" t="s">
        <v>117</v>
      </c>
      <c r="M57" s="184">
        <v>0.0</v>
      </c>
      <c r="N57" s="184" t="s">
        <v>116</v>
      </c>
      <c r="O57" s="184">
        <v>9.0</v>
      </c>
      <c r="P57" s="184">
        <v>2.0</v>
      </c>
      <c r="Q57" s="184">
        <v>1.0</v>
      </c>
      <c r="R57" s="184" t="s">
        <v>121</v>
      </c>
      <c r="S57" s="218">
        <v>42506.0</v>
      </c>
      <c r="T57" s="105"/>
      <c r="U57" s="105" t="s">
        <v>3046</v>
      </c>
      <c r="V57" s="184" t="s">
        <v>3047</v>
      </c>
      <c r="W57" s="184" t="s">
        <v>122</v>
      </c>
      <c r="X57" s="170"/>
      <c r="Y57" s="170"/>
      <c r="Z57" s="170"/>
      <c r="AA57" s="219">
        <v>42457.0</v>
      </c>
      <c r="AB57" s="219">
        <v>42464.0</v>
      </c>
      <c r="AC57" s="4"/>
      <c r="AD57" s="4"/>
      <c r="AE57" s="184"/>
      <c r="AF57" s="4"/>
      <c r="AG57" s="4"/>
      <c r="AH57" s="216" t="s">
        <v>2071</v>
      </c>
      <c r="AI57" s="216" t="s">
        <v>3048</v>
      </c>
      <c r="AJ57" s="184"/>
      <c r="AK57" s="184" t="s">
        <v>2163</v>
      </c>
      <c r="AL57" s="200">
        <f t="shared" si="4"/>
        <v>31</v>
      </c>
      <c r="AM57" s="201">
        <v>2016.0</v>
      </c>
    </row>
    <row r="58">
      <c r="A58" s="158">
        <f t="shared" si="1"/>
        <v>13082118</v>
      </c>
      <c r="B58" s="236">
        <v>57.0</v>
      </c>
      <c r="C58" s="236"/>
      <c r="D58" s="184" t="str">
        <f>IFERROR(VLOOKUP(E58,INFORMACION!D:E,2,0),"INGRESAR CENTRO DE COSTO A LA DERECHA")</f>
        <v>INGRESAR CENTRO DE COSTO A LA DERECHA</v>
      </c>
      <c r="E58" s="184" t="s">
        <v>3049</v>
      </c>
      <c r="F58" s="195" t="s">
        <v>2609</v>
      </c>
      <c r="G58" s="186" t="s">
        <v>1591</v>
      </c>
      <c r="H58" s="186">
        <v>20.0</v>
      </c>
      <c r="I58" s="186" t="s">
        <v>2541</v>
      </c>
      <c r="J58" s="184" t="s">
        <v>112</v>
      </c>
      <c r="K58" s="184" t="s">
        <v>120</v>
      </c>
      <c r="L58" s="184" t="s">
        <v>117</v>
      </c>
      <c r="M58" s="184">
        <v>0.0</v>
      </c>
      <c r="N58" s="184" t="s">
        <v>116</v>
      </c>
      <c r="O58" s="184">
        <v>13.0</v>
      </c>
      <c r="P58" s="184">
        <v>1.0</v>
      </c>
      <c r="Q58" s="184">
        <v>1.0</v>
      </c>
      <c r="R58" s="184" t="s">
        <v>121</v>
      </c>
      <c r="S58" s="218">
        <v>42569.0</v>
      </c>
      <c r="T58" s="105"/>
      <c r="U58" s="105" t="s">
        <v>3050</v>
      </c>
      <c r="V58" s="184" t="s">
        <v>3051</v>
      </c>
      <c r="W58" s="184" t="s">
        <v>122</v>
      </c>
      <c r="X58" s="170"/>
      <c r="Y58" s="170"/>
      <c r="Z58" s="170"/>
      <c r="AA58" s="219">
        <v>42510.0</v>
      </c>
      <c r="AB58" s="219">
        <v>42517.0</v>
      </c>
      <c r="AC58" s="4"/>
      <c r="AD58" s="4"/>
      <c r="AE58" s="184"/>
      <c r="AF58" s="4"/>
      <c r="AG58" s="4"/>
      <c r="AH58" s="216" t="s">
        <v>2071</v>
      </c>
      <c r="AI58" s="216" t="s">
        <v>3028</v>
      </c>
      <c r="AJ58" s="184"/>
      <c r="AK58" s="184" t="s">
        <v>2163</v>
      </c>
      <c r="AL58" s="200">
        <f t="shared" si="4"/>
        <v>37</v>
      </c>
      <c r="AM58" s="201">
        <v>2016.0</v>
      </c>
    </row>
    <row r="59">
      <c r="A59" s="158">
        <f t="shared" si="1"/>
        <v>17305149</v>
      </c>
      <c r="B59" s="236">
        <v>58.0</v>
      </c>
      <c r="C59" s="236"/>
      <c r="D59" s="184" t="str">
        <f>IFERROR(VLOOKUP(E59,INFORMACION!D:E,2,0),"INGRESAR CENTRO DE COSTO A LA DERECHA")</f>
        <v>INGRESAR CENTRO DE COSTO A LA DERECHA</v>
      </c>
      <c r="E59" s="184" t="s">
        <v>1830</v>
      </c>
      <c r="F59" s="195" t="s">
        <v>1947</v>
      </c>
      <c r="G59" s="186" t="s">
        <v>1687</v>
      </c>
      <c r="H59" s="186">
        <v>23.0</v>
      </c>
      <c r="I59" s="186" t="s">
        <v>2541</v>
      </c>
      <c r="J59" s="184" t="s">
        <v>112</v>
      </c>
      <c r="K59" s="184" t="s">
        <v>127</v>
      </c>
      <c r="L59" s="184" t="s">
        <v>117</v>
      </c>
      <c r="M59" s="184">
        <v>0.0</v>
      </c>
      <c r="N59" s="184" t="s">
        <v>116</v>
      </c>
      <c r="O59" s="184">
        <v>6.0</v>
      </c>
      <c r="P59" s="184">
        <v>2.0</v>
      </c>
      <c r="Q59" s="184">
        <v>2.0</v>
      </c>
      <c r="R59" s="184" t="s">
        <v>121</v>
      </c>
      <c r="S59" s="218">
        <v>42552.0</v>
      </c>
      <c r="T59" s="105"/>
      <c r="U59" s="105" t="s">
        <v>3052</v>
      </c>
      <c r="V59" s="184" t="s">
        <v>3053</v>
      </c>
      <c r="W59" s="184" t="s">
        <v>118</v>
      </c>
      <c r="X59" s="197" t="s">
        <v>2405</v>
      </c>
      <c r="Y59" s="170"/>
      <c r="Z59" s="170"/>
      <c r="AA59" s="219">
        <v>42466.0</v>
      </c>
      <c r="AB59" s="219">
        <v>42473.0</v>
      </c>
      <c r="AC59" s="4"/>
      <c r="AD59" s="4"/>
      <c r="AE59" s="184"/>
      <c r="AF59" s="4"/>
      <c r="AG59" s="4"/>
      <c r="AH59" s="216" t="s">
        <v>2071</v>
      </c>
      <c r="AI59" s="216" t="s">
        <v>2941</v>
      </c>
      <c r="AJ59" s="184"/>
      <c r="AK59" s="184" t="s">
        <v>1612</v>
      </c>
      <c r="AL59" s="200">
        <f t="shared" si="4"/>
        <v>58</v>
      </c>
      <c r="AM59" s="201">
        <v>2016.0</v>
      </c>
    </row>
    <row r="60">
      <c r="A60" s="158">
        <f t="shared" si="1"/>
        <v>10629652</v>
      </c>
      <c r="B60" s="242">
        <v>59.0</v>
      </c>
      <c r="C60" s="242"/>
      <c r="D60" s="184" t="str">
        <f>IFERROR(VLOOKUP(E60,INFORMACION!D:E,2,0),"INGRESAR CENTRO DE COSTO A LA DERECHA")</f>
        <v>INGRESAR CENTRO DE COSTO A LA DERECHA</v>
      </c>
      <c r="E60" s="184" t="s">
        <v>1615</v>
      </c>
      <c r="F60" s="195" t="s">
        <v>2679</v>
      </c>
      <c r="G60" s="186" t="s">
        <v>1816</v>
      </c>
      <c r="H60" s="186">
        <v>20.0</v>
      </c>
      <c r="I60" s="186" t="s">
        <v>2541</v>
      </c>
      <c r="J60" s="184" t="s">
        <v>112</v>
      </c>
      <c r="K60" s="184" t="s">
        <v>120</v>
      </c>
      <c r="L60" s="184" t="s">
        <v>117</v>
      </c>
      <c r="M60" s="184">
        <v>1.0</v>
      </c>
      <c r="N60" s="184" t="s">
        <v>116</v>
      </c>
      <c r="O60" s="184">
        <v>10.0</v>
      </c>
      <c r="P60" s="184">
        <v>1.0</v>
      </c>
      <c r="Q60" s="184">
        <v>1.0</v>
      </c>
      <c r="R60" s="184" t="s">
        <v>121</v>
      </c>
      <c r="S60" s="218">
        <v>42576.0</v>
      </c>
      <c r="T60" s="105"/>
      <c r="U60" s="105" t="s">
        <v>3054</v>
      </c>
      <c r="V60" s="184" t="s">
        <v>3055</v>
      </c>
      <c r="W60" s="184" t="s">
        <v>118</v>
      </c>
      <c r="X60" s="197" t="s">
        <v>2405</v>
      </c>
      <c r="Y60" s="170"/>
      <c r="Z60" s="170"/>
      <c r="AA60" s="219">
        <v>42509.0</v>
      </c>
      <c r="AB60" s="219">
        <v>42516.0</v>
      </c>
      <c r="AC60" s="4"/>
      <c r="AD60" s="4"/>
      <c r="AE60" s="184"/>
      <c r="AF60" s="4"/>
      <c r="AG60" s="4"/>
      <c r="AH60" s="216" t="s">
        <v>2071</v>
      </c>
      <c r="AI60" s="216" t="s">
        <v>3056</v>
      </c>
      <c r="AJ60" s="184"/>
      <c r="AK60" s="184" t="s">
        <v>1612</v>
      </c>
      <c r="AL60" s="200">
        <f t="shared" si="4"/>
        <v>43</v>
      </c>
      <c r="AM60" s="201">
        <v>2016.0</v>
      </c>
    </row>
    <row r="61">
      <c r="A61" s="158">
        <f t="shared" si="1"/>
        <v>15563432</v>
      </c>
      <c r="B61" s="242">
        <v>60.0</v>
      </c>
      <c r="C61" s="242"/>
      <c r="D61" s="184" t="str">
        <f>IFERROR(VLOOKUP(E61,INFORMACION!D:E,2,0),"INGRESAR CENTRO DE COSTO A LA DERECHA")</f>
        <v>INGRESAR CENTRO DE COSTO A LA DERECHA</v>
      </c>
      <c r="E61" s="184" t="s">
        <v>2883</v>
      </c>
      <c r="F61" s="195" t="s">
        <v>3057</v>
      </c>
      <c r="G61" s="186" t="s">
        <v>2304</v>
      </c>
      <c r="H61" s="186">
        <v>14.0</v>
      </c>
      <c r="I61" s="186" t="s">
        <v>2541</v>
      </c>
      <c r="J61" s="184" t="s">
        <v>112</v>
      </c>
      <c r="K61" s="184" t="s">
        <v>125</v>
      </c>
      <c r="L61" s="184" t="s">
        <v>117</v>
      </c>
      <c r="M61" s="184">
        <v>1.0</v>
      </c>
      <c r="N61" s="184" t="s">
        <v>122</v>
      </c>
      <c r="O61" s="184">
        <v>0.0</v>
      </c>
      <c r="P61" s="184">
        <v>1.0</v>
      </c>
      <c r="Q61" s="184">
        <v>0.0</v>
      </c>
      <c r="R61" s="184" t="s">
        <v>121</v>
      </c>
      <c r="S61" s="218">
        <v>42585.0</v>
      </c>
      <c r="T61" s="105" t="s">
        <v>185</v>
      </c>
      <c r="U61" s="105"/>
      <c r="V61" s="184" t="s">
        <v>2481</v>
      </c>
      <c r="W61" s="184" t="s">
        <v>122</v>
      </c>
      <c r="X61" s="170"/>
      <c r="Y61" s="170"/>
      <c r="Z61" s="170"/>
      <c r="AA61" s="219">
        <v>42558.0</v>
      </c>
      <c r="AB61" s="219">
        <v>42565.0</v>
      </c>
      <c r="AC61" s="4"/>
      <c r="AD61" s="4"/>
      <c r="AE61" s="184"/>
      <c r="AF61" s="4"/>
      <c r="AG61" s="4"/>
      <c r="AH61" s="216" t="s">
        <v>2071</v>
      </c>
      <c r="AI61" s="216" t="s">
        <v>3058</v>
      </c>
      <c r="AJ61" s="184"/>
      <c r="AK61" s="184" t="s">
        <v>1612</v>
      </c>
      <c r="AL61" s="200">
        <f t="shared" si="4"/>
        <v>15</v>
      </c>
      <c r="AM61" s="201">
        <v>2016.0</v>
      </c>
    </row>
    <row r="62">
      <c r="A62" s="158">
        <f t="shared" si="1"/>
        <v>19482281</v>
      </c>
      <c r="B62" s="236">
        <v>61.0</v>
      </c>
      <c r="C62" s="236"/>
      <c r="D62" s="184" t="str">
        <f>IFERROR(VLOOKUP(E62,INFORMACION!D:E,2,0),"INGRESAR CENTRO DE COSTO A LA DERECHA")</f>
        <v>INGRESAR CENTRO DE COSTO A LA DERECHA</v>
      </c>
      <c r="E62" s="184" t="s">
        <v>3042</v>
      </c>
      <c r="F62" s="184" t="s">
        <v>2736</v>
      </c>
      <c r="G62" s="186" t="s">
        <v>1816</v>
      </c>
      <c r="H62" s="186">
        <v>20.0</v>
      </c>
      <c r="I62" s="186" t="s">
        <v>2541</v>
      </c>
      <c r="J62" s="184" t="s">
        <v>112</v>
      </c>
      <c r="K62" s="184" t="s">
        <v>120</v>
      </c>
      <c r="L62" s="184" t="s">
        <v>117</v>
      </c>
      <c r="M62" s="184">
        <v>0.0</v>
      </c>
      <c r="N62" s="184" t="s">
        <v>116</v>
      </c>
      <c r="O62" s="184">
        <v>7.0</v>
      </c>
      <c r="P62" s="184">
        <v>3.0</v>
      </c>
      <c r="Q62" s="184">
        <v>1.0</v>
      </c>
      <c r="R62" s="184" t="s">
        <v>121</v>
      </c>
      <c r="S62" s="218">
        <v>42598.0</v>
      </c>
      <c r="T62" s="105"/>
      <c r="U62" s="105" t="s">
        <v>3059</v>
      </c>
      <c r="V62" s="184" t="s">
        <v>3060</v>
      </c>
      <c r="W62" s="184" t="s">
        <v>122</v>
      </c>
      <c r="X62" s="170"/>
      <c r="Y62" s="170"/>
      <c r="Z62" s="170"/>
      <c r="AA62" s="219">
        <v>42559.0</v>
      </c>
      <c r="AB62" s="219">
        <v>42566.0</v>
      </c>
      <c r="AC62" s="4"/>
      <c r="AD62" s="4"/>
      <c r="AE62" s="184"/>
      <c r="AF62" s="4"/>
      <c r="AG62" s="4"/>
      <c r="AH62" s="216" t="s">
        <v>2071</v>
      </c>
      <c r="AI62" s="216" t="s">
        <v>3028</v>
      </c>
      <c r="AJ62" s="184"/>
      <c r="AK62" s="184" t="s">
        <v>2163</v>
      </c>
      <c r="AL62" s="200">
        <f t="shared" si="4"/>
        <v>23</v>
      </c>
      <c r="AM62" s="201">
        <v>2016.0</v>
      </c>
    </row>
    <row r="63">
      <c r="A63" s="158">
        <f t="shared" si="1"/>
        <v>17286770</v>
      </c>
      <c r="B63" s="236">
        <v>62.0</v>
      </c>
      <c r="C63" s="236"/>
      <c r="D63" s="184" t="str">
        <f>IFERROR(VLOOKUP(E63,INFORMACION!D:E,2,0),"INGRESAR CENTRO DE COSTO A LA DERECHA")</f>
        <v>INGRESAR CENTRO DE COSTO A LA DERECHA</v>
      </c>
      <c r="E63" s="184" t="s">
        <v>1830</v>
      </c>
      <c r="F63" s="195" t="s">
        <v>2609</v>
      </c>
      <c r="G63" s="186" t="s">
        <v>1591</v>
      </c>
      <c r="H63" s="186">
        <v>20.0</v>
      </c>
      <c r="I63" s="186" t="s">
        <v>2541</v>
      </c>
      <c r="J63" s="184" t="s">
        <v>112</v>
      </c>
      <c r="K63" s="184" t="s">
        <v>120</v>
      </c>
      <c r="L63" s="184" t="s">
        <v>117</v>
      </c>
      <c r="M63" s="184">
        <v>0.0</v>
      </c>
      <c r="N63" s="184" t="s">
        <v>116</v>
      </c>
      <c r="O63" s="184">
        <v>24.0</v>
      </c>
      <c r="P63" s="184">
        <v>1.0</v>
      </c>
      <c r="Q63" s="184">
        <v>4.0</v>
      </c>
      <c r="R63" s="184" t="s">
        <v>121</v>
      </c>
      <c r="S63" s="218">
        <v>42576.0</v>
      </c>
      <c r="T63" s="105"/>
      <c r="U63" s="105" t="s">
        <v>3061</v>
      </c>
      <c r="V63" s="184" t="s">
        <v>3062</v>
      </c>
      <c r="W63" s="184" t="s">
        <v>118</v>
      </c>
      <c r="X63" s="197" t="s">
        <v>2523</v>
      </c>
      <c r="Y63" s="170"/>
      <c r="Z63" s="170"/>
      <c r="AA63" s="219">
        <v>42531.0</v>
      </c>
      <c r="AB63" s="219">
        <v>42536.0</v>
      </c>
      <c r="AC63" s="4"/>
      <c r="AD63" s="4"/>
      <c r="AE63" s="184"/>
      <c r="AF63" s="4"/>
      <c r="AG63" s="4"/>
      <c r="AH63" s="216" t="s">
        <v>2071</v>
      </c>
      <c r="AI63" s="216" t="s">
        <v>2941</v>
      </c>
      <c r="AJ63" s="184"/>
      <c r="AK63" s="184" t="s">
        <v>2163</v>
      </c>
      <c r="AL63" s="200">
        <f t="shared" si="4"/>
        <v>29</v>
      </c>
      <c r="AM63" s="201">
        <v>2016.0</v>
      </c>
    </row>
    <row r="64">
      <c r="A64" s="158">
        <f t="shared" si="1"/>
        <v>14534753</v>
      </c>
      <c r="B64" s="242">
        <v>63.0</v>
      </c>
      <c r="C64" s="242"/>
      <c r="D64" s="184" t="str">
        <f>IFERROR(VLOOKUP(E64,INFORMACION!D:E,2,0),"INGRESAR CENTRO DE COSTO A LA DERECHA")</f>
        <v>INGRESAR CENTRO DE COSTO A LA DERECHA</v>
      </c>
      <c r="E64" s="184" t="s">
        <v>3042</v>
      </c>
      <c r="F64" s="195" t="s">
        <v>2650</v>
      </c>
      <c r="G64" s="186" t="s">
        <v>3063</v>
      </c>
      <c r="H64" s="186">
        <v>17.0</v>
      </c>
      <c r="I64" s="186" t="s">
        <v>2541</v>
      </c>
      <c r="J64" s="184" t="s">
        <v>112</v>
      </c>
      <c r="K64" s="184" t="s">
        <v>120</v>
      </c>
      <c r="L64" s="184" t="s">
        <v>117</v>
      </c>
      <c r="M64" s="184">
        <v>1.0</v>
      </c>
      <c r="N64" s="184" t="s">
        <v>116</v>
      </c>
      <c r="O64" s="184">
        <v>9.0</v>
      </c>
      <c r="P64" s="184">
        <v>1.0</v>
      </c>
      <c r="Q64" s="184">
        <v>1.0</v>
      </c>
      <c r="R64" s="184" t="s">
        <v>121</v>
      </c>
      <c r="S64" s="218">
        <v>42604.0</v>
      </c>
      <c r="T64" s="105"/>
      <c r="U64" s="105" t="s">
        <v>3064</v>
      </c>
      <c r="V64" s="184" t="s">
        <v>3065</v>
      </c>
      <c r="W64" s="184" t="s">
        <v>122</v>
      </c>
      <c r="X64" s="170"/>
      <c r="Y64" s="170"/>
      <c r="Z64" s="170"/>
      <c r="AA64" s="219">
        <v>42572.0</v>
      </c>
      <c r="AB64" s="219">
        <v>42579.0</v>
      </c>
      <c r="AC64" s="4"/>
      <c r="AD64" s="4"/>
      <c r="AE64" s="184"/>
      <c r="AF64" s="4"/>
      <c r="AG64" s="4"/>
      <c r="AH64" s="216" t="s">
        <v>2071</v>
      </c>
      <c r="AI64" s="216" t="s">
        <v>3028</v>
      </c>
      <c r="AJ64" s="184"/>
      <c r="AK64" s="184" t="s">
        <v>2163</v>
      </c>
      <c r="AL64" s="200">
        <f t="shared" si="4"/>
        <v>18</v>
      </c>
      <c r="AM64" s="201">
        <v>2016.0</v>
      </c>
    </row>
    <row r="65">
      <c r="A65" s="158">
        <f t="shared" si="1"/>
        <v>8121793</v>
      </c>
      <c r="B65" s="242">
        <v>64.0</v>
      </c>
      <c r="C65" s="242"/>
      <c r="D65" s="184" t="str">
        <f>IFERROR(VLOOKUP(E65,INFORMACION!D:E,2,0),"INGRESAR CENTRO DE COSTO A LA DERECHA")</f>
        <v>INGRESAR CENTRO DE COSTO A LA DERECHA</v>
      </c>
      <c r="E65" s="184" t="s">
        <v>2015</v>
      </c>
      <c r="F65" s="195" t="s">
        <v>3066</v>
      </c>
      <c r="G65" s="186" t="s">
        <v>3067</v>
      </c>
      <c r="H65" s="186">
        <v>17.0</v>
      </c>
      <c r="I65" s="186" t="s">
        <v>2541</v>
      </c>
      <c r="J65" s="184" t="s">
        <v>112</v>
      </c>
      <c r="K65" s="184" t="s">
        <v>125</v>
      </c>
      <c r="L65" s="184" t="s">
        <v>122</v>
      </c>
      <c r="M65" s="184">
        <v>0.0</v>
      </c>
      <c r="N65" s="184" t="s">
        <v>116</v>
      </c>
      <c r="O65" s="184">
        <v>5.0</v>
      </c>
      <c r="P65" s="184">
        <v>2.0</v>
      </c>
      <c r="Q65" s="184">
        <v>1.0</v>
      </c>
      <c r="R65" s="184" t="s">
        <v>121</v>
      </c>
      <c r="S65" s="218">
        <v>42593.0</v>
      </c>
      <c r="T65" s="105"/>
      <c r="U65" s="105" t="s">
        <v>3068</v>
      </c>
      <c r="V65" s="184" t="s">
        <v>3069</v>
      </c>
      <c r="W65" s="184" t="s">
        <v>122</v>
      </c>
      <c r="X65" s="170"/>
      <c r="Y65" s="170"/>
      <c r="Z65" s="170"/>
      <c r="AA65" s="219">
        <v>42578.0</v>
      </c>
      <c r="AB65" s="219">
        <v>42583.0</v>
      </c>
      <c r="AC65" s="4"/>
      <c r="AD65" s="4"/>
      <c r="AE65" s="184"/>
      <c r="AF65" s="4"/>
      <c r="AG65" s="4"/>
      <c r="AH65" s="216" t="s">
        <v>2071</v>
      </c>
      <c r="AI65" s="216" t="s">
        <v>3070</v>
      </c>
      <c r="AJ65" s="184"/>
      <c r="AK65" s="184" t="s">
        <v>2163</v>
      </c>
      <c r="AL65" s="200">
        <f t="shared" si="4"/>
        <v>9</v>
      </c>
      <c r="AM65" s="201">
        <v>2016.0</v>
      </c>
    </row>
    <row r="66">
      <c r="A66" s="158">
        <f t="shared" si="1"/>
        <v>15476569</v>
      </c>
      <c r="B66" s="236">
        <v>65.0</v>
      </c>
      <c r="C66" s="236"/>
      <c r="D66" s="184" t="str">
        <f>IFERROR(VLOOKUP(E66,INFORMACION!D:E,2,0),"INGRESAR CENTRO DE COSTO A LA DERECHA")</f>
        <v>INGRESAR CENTRO DE COSTO A LA DERECHA</v>
      </c>
      <c r="E66" s="184" t="s">
        <v>2495</v>
      </c>
      <c r="F66" s="195" t="s">
        <v>3071</v>
      </c>
      <c r="G66" s="186" t="s">
        <v>3072</v>
      </c>
      <c r="H66" s="186">
        <v>17.0</v>
      </c>
      <c r="I66" s="186" t="s">
        <v>2541</v>
      </c>
      <c r="J66" s="184" t="s">
        <v>112</v>
      </c>
      <c r="K66" s="184" t="s">
        <v>125</v>
      </c>
      <c r="L66" s="184" t="s">
        <v>122</v>
      </c>
      <c r="M66" s="184">
        <v>0.0</v>
      </c>
      <c r="N66" s="184" t="s">
        <v>116</v>
      </c>
      <c r="O66" s="184">
        <v>12.0</v>
      </c>
      <c r="P66" s="184">
        <v>1.0</v>
      </c>
      <c r="Q66" s="184">
        <v>2.0</v>
      </c>
      <c r="R66" s="184" t="s">
        <v>115</v>
      </c>
      <c r="S66" s="218">
        <v>42611.0</v>
      </c>
      <c r="T66" s="105"/>
      <c r="U66" s="105" t="s">
        <v>3073</v>
      </c>
      <c r="V66" s="184" t="s">
        <v>3074</v>
      </c>
      <c r="W66" s="184" t="s">
        <v>122</v>
      </c>
      <c r="X66" s="170"/>
      <c r="Y66" s="170"/>
      <c r="Z66" s="170"/>
      <c r="AA66" s="219">
        <v>42570.0</v>
      </c>
      <c r="AB66" s="219">
        <v>42577.0</v>
      </c>
      <c r="AC66" s="4"/>
      <c r="AD66" s="4"/>
      <c r="AE66" s="184"/>
      <c r="AF66" s="4"/>
      <c r="AG66" s="4"/>
      <c r="AH66" s="216" t="s">
        <v>2071</v>
      </c>
      <c r="AI66" s="216" t="s">
        <v>3075</v>
      </c>
      <c r="AJ66" s="184"/>
      <c r="AK66" s="184" t="s">
        <v>2163</v>
      </c>
      <c r="AL66" s="200">
        <f t="shared" si="4"/>
        <v>25</v>
      </c>
      <c r="AM66" s="201">
        <v>2016.0</v>
      </c>
    </row>
    <row r="67">
      <c r="A67" s="158">
        <f t="shared" si="1"/>
        <v>16675958</v>
      </c>
      <c r="B67" s="236">
        <v>66.0</v>
      </c>
      <c r="C67" s="236"/>
      <c r="D67" s="184" t="str">
        <f>IFERROR(VLOOKUP(E67,INFORMACION!D:E,2,0),"INGRESAR CENTRO DE COSTO A LA DERECHA")</f>
        <v>INGRESAR CENTRO DE COSTO A LA DERECHA</v>
      </c>
      <c r="E67" s="184" t="s">
        <v>2495</v>
      </c>
      <c r="F67" s="195" t="s">
        <v>2572</v>
      </c>
      <c r="G67" s="186" t="s">
        <v>2573</v>
      </c>
      <c r="H67" s="186">
        <v>17.0</v>
      </c>
      <c r="I67" s="186" t="s">
        <v>2541</v>
      </c>
      <c r="J67" s="184" t="s">
        <v>112</v>
      </c>
      <c r="K67" s="184" t="s">
        <v>125</v>
      </c>
      <c r="L67" s="184" t="s">
        <v>117</v>
      </c>
      <c r="M67" s="184">
        <v>0.0</v>
      </c>
      <c r="N67" s="184" t="s">
        <v>116</v>
      </c>
      <c r="O67" s="184">
        <v>3.0</v>
      </c>
      <c r="P67" s="184">
        <v>1.0</v>
      </c>
      <c r="Q67" s="184">
        <v>3.0</v>
      </c>
      <c r="R67" s="184" t="s">
        <v>115</v>
      </c>
      <c r="S67" s="218">
        <v>42611.0</v>
      </c>
      <c r="T67" s="105"/>
      <c r="U67" s="105" t="s">
        <v>3076</v>
      </c>
      <c r="V67" s="184" t="s">
        <v>3077</v>
      </c>
      <c r="W67" s="184" t="s">
        <v>122</v>
      </c>
      <c r="X67" s="170"/>
      <c r="Y67" s="170"/>
      <c r="Z67" s="170"/>
      <c r="AA67" s="219">
        <v>42559.0</v>
      </c>
      <c r="AB67" s="219">
        <v>42566.0</v>
      </c>
      <c r="AC67" s="4"/>
      <c r="AD67" s="4"/>
      <c r="AE67" s="184"/>
      <c r="AF67" s="4"/>
      <c r="AG67" s="4"/>
      <c r="AH67" s="216" t="s">
        <v>2071</v>
      </c>
      <c r="AI67" s="216" t="s">
        <v>3078</v>
      </c>
      <c r="AJ67" s="184"/>
      <c r="AK67" s="184" t="s">
        <v>2163</v>
      </c>
      <c r="AL67" s="200">
        <f t="shared" si="4"/>
        <v>32</v>
      </c>
      <c r="AM67" s="201">
        <v>2016.0</v>
      </c>
    </row>
    <row r="68">
      <c r="A68" s="158">
        <f t="shared" si="1"/>
        <v>15045222</v>
      </c>
      <c r="B68" s="242">
        <v>67.0</v>
      </c>
      <c r="C68" s="242"/>
      <c r="D68" s="184" t="str">
        <f>IFERROR(VLOOKUP(E68,INFORMACION!D:E,2,0),"INGRESAR CENTRO DE COSTO A LA DERECHA")</f>
        <v>INGRESAR CENTRO DE COSTO A LA DERECHA</v>
      </c>
      <c r="E68" s="184" t="s">
        <v>1637</v>
      </c>
      <c r="F68" s="195" t="s">
        <v>2679</v>
      </c>
      <c r="G68" s="186" t="s">
        <v>1816</v>
      </c>
      <c r="H68" s="186">
        <v>20.0</v>
      </c>
      <c r="I68" s="186" t="s">
        <v>2541</v>
      </c>
      <c r="J68" s="184" t="s">
        <v>112</v>
      </c>
      <c r="K68" s="184" t="s">
        <v>120</v>
      </c>
      <c r="L68" s="184" t="s">
        <v>117</v>
      </c>
      <c r="M68" s="184">
        <v>0.0</v>
      </c>
      <c r="N68" s="184" t="s">
        <v>116</v>
      </c>
      <c r="O68" s="184">
        <v>16.0</v>
      </c>
      <c r="P68" s="184">
        <v>2.0</v>
      </c>
      <c r="Q68" s="184">
        <v>2.0</v>
      </c>
      <c r="R68" s="184" t="s">
        <v>121</v>
      </c>
      <c r="S68" s="218">
        <v>42515.0</v>
      </c>
      <c r="T68" s="105"/>
      <c r="U68" s="105" t="s">
        <v>3079</v>
      </c>
      <c r="V68" s="184" t="s">
        <v>3080</v>
      </c>
      <c r="W68" s="184" t="s">
        <v>122</v>
      </c>
      <c r="X68" s="170"/>
      <c r="Y68" s="170"/>
      <c r="Z68" s="170"/>
      <c r="AA68" s="219">
        <v>42453.0</v>
      </c>
      <c r="AB68" s="219">
        <v>42460.0</v>
      </c>
      <c r="AC68" s="4"/>
      <c r="AD68" s="4"/>
      <c r="AE68" s="184"/>
      <c r="AF68" s="4"/>
      <c r="AG68" s="4"/>
      <c r="AH68" s="216" t="s">
        <v>2071</v>
      </c>
      <c r="AI68" s="216" t="s">
        <v>2941</v>
      </c>
      <c r="AJ68" s="184"/>
      <c r="AK68" s="184" t="s">
        <v>2163</v>
      </c>
      <c r="AL68" s="200">
        <f t="shared" si="4"/>
        <v>40</v>
      </c>
      <c r="AM68" s="201">
        <v>2016.0</v>
      </c>
    </row>
    <row r="69">
      <c r="A69" s="158">
        <f t="shared" si="1"/>
        <v>7683909</v>
      </c>
      <c r="B69" s="242">
        <v>68.0</v>
      </c>
      <c r="C69" s="242"/>
      <c r="D69" s="184" t="str">
        <f>IFERROR(VLOOKUP(E69,INFORMACION!D:E,2,0),"INGRESAR CENTRO DE COSTO A LA DERECHA")</f>
        <v>INGRESAR CENTRO DE COSTO A LA DERECHA</v>
      </c>
      <c r="E69" s="184" t="s">
        <v>3081</v>
      </c>
      <c r="F69" s="195" t="s">
        <v>2558</v>
      </c>
      <c r="G69" s="186" t="s">
        <v>1926</v>
      </c>
      <c r="H69" s="186">
        <v>17.0</v>
      </c>
      <c r="I69" s="186" t="s">
        <v>2541</v>
      </c>
      <c r="J69" s="184" t="s">
        <v>112</v>
      </c>
      <c r="K69" s="184" t="s">
        <v>120</v>
      </c>
      <c r="L69" s="184" t="s">
        <v>117</v>
      </c>
      <c r="M69" s="184">
        <v>7.0</v>
      </c>
      <c r="N69" s="184" t="s">
        <v>116</v>
      </c>
      <c r="O69" s="184">
        <v>14.0</v>
      </c>
      <c r="P69" s="184">
        <v>2.0</v>
      </c>
      <c r="Q69" s="184">
        <v>2.0</v>
      </c>
      <c r="R69" s="184" t="s">
        <v>121</v>
      </c>
      <c r="S69" s="218">
        <v>42541.0</v>
      </c>
      <c r="T69" s="105"/>
      <c r="U69" s="105" t="s">
        <v>3082</v>
      </c>
      <c r="V69" s="184" t="s">
        <v>3083</v>
      </c>
      <c r="W69" s="184" t="s">
        <v>122</v>
      </c>
      <c r="X69" s="170"/>
      <c r="Y69" s="170"/>
      <c r="Z69" s="170"/>
      <c r="AA69" s="219">
        <v>42439.0</v>
      </c>
      <c r="AB69" s="219">
        <v>42446.0</v>
      </c>
      <c r="AC69" s="4"/>
      <c r="AD69" s="4"/>
      <c r="AE69" s="184"/>
      <c r="AF69" s="4"/>
      <c r="AG69" s="4"/>
      <c r="AH69" s="216" t="s">
        <v>2071</v>
      </c>
      <c r="AI69" s="216" t="s">
        <v>3084</v>
      </c>
      <c r="AJ69" s="184"/>
      <c r="AK69" s="184" t="s">
        <v>1612</v>
      </c>
      <c r="AL69" s="200">
        <f t="shared" si="4"/>
        <v>68</v>
      </c>
      <c r="AM69" s="201">
        <v>2016.0</v>
      </c>
    </row>
    <row r="70">
      <c r="A70" s="158">
        <f t="shared" si="1"/>
        <v>14197589</v>
      </c>
      <c r="B70" s="236">
        <v>69.0</v>
      </c>
      <c r="C70" s="236"/>
      <c r="D70" s="184" t="str">
        <f>IFERROR(VLOOKUP(E70,INFORMACION!D:E,2,0),"INGRESAR CENTRO DE COSTO A LA DERECHA")</f>
        <v>INGRESAR CENTRO DE COSTO A LA DERECHA</v>
      </c>
      <c r="E70" s="184" t="s">
        <v>3081</v>
      </c>
      <c r="F70" s="195" t="s">
        <v>1915</v>
      </c>
      <c r="G70" s="186" t="s">
        <v>1916</v>
      </c>
      <c r="H70" s="186">
        <v>20.0</v>
      </c>
      <c r="I70" s="186" t="s">
        <v>2541</v>
      </c>
      <c r="J70" s="184" t="s">
        <v>112</v>
      </c>
      <c r="K70" s="184" t="s">
        <v>125</v>
      </c>
      <c r="L70" s="184" t="s">
        <v>117</v>
      </c>
      <c r="M70" s="184">
        <v>0.0</v>
      </c>
      <c r="N70" s="184" t="s">
        <v>116</v>
      </c>
      <c r="O70" s="184">
        <v>13.0</v>
      </c>
      <c r="P70" s="184">
        <v>2.0</v>
      </c>
      <c r="Q70" s="184">
        <v>3.0</v>
      </c>
      <c r="R70" s="184" t="s">
        <v>121</v>
      </c>
      <c r="S70" s="218">
        <v>42614.0</v>
      </c>
      <c r="T70" s="105"/>
      <c r="U70" s="105" t="s">
        <v>3085</v>
      </c>
      <c r="V70" s="184" t="s">
        <v>3086</v>
      </c>
      <c r="W70" s="184" t="s">
        <v>118</v>
      </c>
      <c r="X70" s="197" t="s">
        <v>2102</v>
      </c>
      <c r="Y70" s="170"/>
      <c r="Z70" s="170"/>
      <c r="AA70" s="219">
        <v>42559.0</v>
      </c>
      <c r="AB70" s="219">
        <v>42566.0</v>
      </c>
      <c r="AC70" s="4"/>
      <c r="AD70" s="4"/>
      <c r="AE70" s="184"/>
      <c r="AF70" s="4"/>
      <c r="AG70" s="4"/>
      <c r="AH70" s="216" t="s">
        <v>2071</v>
      </c>
      <c r="AI70" s="216" t="s">
        <v>3087</v>
      </c>
      <c r="AJ70" s="184"/>
      <c r="AK70" s="184" t="s">
        <v>2163</v>
      </c>
      <c r="AL70" s="200">
        <f t="shared" si="4"/>
        <v>35</v>
      </c>
      <c r="AM70" s="201">
        <v>2016.0</v>
      </c>
    </row>
    <row r="71">
      <c r="A71" s="158">
        <f t="shared" si="1"/>
        <v>8860929</v>
      </c>
      <c r="B71" s="236">
        <v>70.0</v>
      </c>
      <c r="C71" s="236"/>
      <c r="D71" s="184" t="str">
        <f>IFERROR(VLOOKUP(E71,INFORMACION!D:E,2,0),"INGRESAR CENTRO DE COSTO A LA DERECHA")</f>
        <v>INGRESAR CENTRO DE COSTO A LA DERECHA</v>
      </c>
      <c r="E71" s="184" t="s">
        <v>1618</v>
      </c>
      <c r="F71" s="195" t="s">
        <v>2576</v>
      </c>
      <c r="G71" s="186" t="s">
        <v>1741</v>
      </c>
      <c r="H71" s="186">
        <v>21.0</v>
      </c>
      <c r="I71" s="186" t="s">
        <v>2541</v>
      </c>
      <c r="J71" s="184" t="s">
        <v>112</v>
      </c>
      <c r="K71" s="184" t="s">
        <v>127</v>
      </c>
      <c r="L71" s="184" t="s">
        <v>117</v>
      </c>
      <c r="M71" s="184">
        <v>0.0</v>
      </c>
      <c r="N71" s="184" t="s">
        <v>116</v>
      </c>
      <c r="O71" s="184">
        <v>7.0</v>
      </c>
      <c r="P71" s="184">
        <v>1.0</v>
      </c>
      <c r="Q71" s="184">
        <v>1.0</v>
      </c>
      <c r="R71" s="184" t="s">
        <v>115</v>
      </c>
      <c r="S71" s="218">
        <v>42606.0</v>
      </c>
      <c r="T71" s="105"/>
      <c r="U71" s="105" t="s">
        <v>3088</v>
      </c>
      <c r="V71" s="184" t="s">
        <v>3089</v>
      </c>
      <c r="W71" s="184" t="s">
        <v>122</v>
      </c>
      <c r="X71" s="170"/>
      <c r="Y71" s="170"/>
      <c r="Z71" s="170"/>
      <c r="AA71" s="219">
        <v>42516.0</v>
      </c>
      <c r="AB71" s="219">
        <v>42523.0</v>
      </c>
      <c r="AC71" s="4"/>
      <c r="AD71" s="4"/>
      <c r="AE71" s="184"/>
      <c r="AF71" s="4"/>
      <c r="AG71" s="4"/>
      <c r="AH71" s="216" t="s">
        <v>2071</v>
      </c>
      <c r="AI71" s="216" t="s">
        <v>3090</v>
      </c>
      <c r="AJ71" s="184"/>
      <c r="AK71" s="184" t="s">
        <v>2163</v>
      </c>
      <c r="AL71" s="200">
        <f t="shared" si="4"/>
        <v>60</v>
      </c>
      <c r="AM71" s="201">
        <v>2016.0</v>
      </c>
    </row>
    <row r="72">
      <c r="A72" s="158">
        <f t="shared" si="1"/>
        <v>19171399</v>
      </c>
      <c r="B72" s="242">
        <v>71.0</v>
      </c>
      <c r="C72" s="242"/>
      <c r="D72" s="184" t="str">
        <f>IFERROR(VLOOKUP(E72,INFORMACION!D:E,2,0),"INGRESAR CENTRO DE COSTO A LA DERECHA")</f>
        <v>INGRESAR CENTRO DE COSTO A LA DERECHA</v>
      </c>
      <c r="E72" s="184" t="s">
        <v>2495</v>
      </c>
      <c r="F72" s="195" t="s">
        <v>2780</v>
      </c>
      <c r="G72" s="186" t="s">
        <v>2781</v>
      </c>
      <c r="H72" s="186">
        <v>17.0</v>
      </c>
      <c r="I72" s="186" t="s">
        <v>2541</v>
      </c>
      <c r="J72" s="184" t="s">
        <v>112</v>
      </c>
      <c r="K72" s="184" t="s">
        <v>125</v>
      </c>
      <c r="L72" s="184" t="s">
        <v>117</v>
      </c>
      <c r="M72" s="184">
        <v>0.0</v>
      </c>
      <c r="N72" s="184" t="s">
        <v>116</v>
      </c>
      <c r="O72" s="184">
        <v>1.0</v>
      </c>
      <c r="P72" s="184">
        <v>1.0</v>
      </c>
      <c r="Q72" s="184">
        <v>2.0</v>
      </c>
      <c r="R72" s="184" t="s">
        <v>115</v>
      </c>
      <c r="S72" s="218">
        <v>42614.0</v>
      </c>
      <c r="T72" s="105"/>
      <c r="U72" s="105" t="s">
        <v>3091</v>
      </c>
      <c r="V72" s="184" t="s">
        <v>3092</v>
      </c>
      <c r="W72" s="184" t="s">
        <v>122</v>
      </c>
      <c r="X72" s="170"/>
      <c r="Y72" s="170"/>
      <c r="Z72" s="170"/>
      <c r="AA72" s="219">
        <v>42569.0</v>
      </c>
      <c r="AB72" s="219">
        <v>42583.0</v>
      </c>
      <c r="AC72" s="4"/>
      <c r="AD72" s="4"/>
      <c r="AE72" s="184"/>
      <c r="AF72" s="4"/>
      <c r="AG72" s="4"/>
      <c r="AH72" s="216" t="s">
        <v>2071</v>
      </c>
      <c r="AI72" s="216" t="s">
        <v>3028</v>
      </c>
      <c r="AJ72" s="184"/>
      <c r="AK72" s="184" t="s">
        <v>2163</v>
      </c>
      <c r="AL72" s="200">
        <f t="shared" si="4"/>
        <v>24</v>
      </c>
      <c r="AM72" s="201">
        <v>2016.0</v>
      </c>
    </row>
    <row r="73">
      <c r="A73" s="158">
        <f t="shared" si="1"/>
        <v>9982687</v>
      </c>
      <c r="B73" s="242">
        <v>72.0</v>
      </c>
      <c r="C73" s="242"/>
      <c r="D73" s="184" t="str">
        <f>IFERROR(VLOOKUP(E73,INFORMACION!D:E,2,0),"INGRESAR CENTRO DE COSTO A LA DERECHA")</f>
        <v>INGRESAR CENTRO DE COSTO A LA DERECHA</v>
      </c>
      <c r="E73" s="184" t="s">
        <v>1699</v>
      </c>
      <c r="F73" s="195" t="s">
        <v>3093</v>
      </c>
      <c r="G73" s="186" t="s">
        <v>2148</v>
      </c>
      <c r="H73" s="186">
        <v>6.0</v>
      </c>
      <c r="I73" s="186" t="s">
        <v>2541</v>
      </c>
      <c r="J73" s="184" t="s">
        <v>112</v>
      </c>
      <c r="K73" s="184" t="s">
        <v>114</v>
      </c>
      <c r="L73" s="184" t="s">
        <v>117</v>
      </c>
      <c r="M73" s="184">
        <v>0.0</v>
      </c>
      <c r="N73" s="184" t="s">
        <v>116</v>
      </c>
      <c r="O73" s="184">
        <v>40.0</v>
      </c>
      <c r="P73" s="184">
        <v>2.0</v>
      </c>
      <c r="Q73" s="184">
        <v>2.0</v>
      </c>
      <c r="R73" s="184" t="s">
        <v>115</v>
      </c>
      <c r="S73" s="218">
        <v>42618.0</v>
      </c>
      <c r="T73" s="105"/>
      <c r="U73" s="20" t="s">
        <v>2839</v>
      </c>
      <c r="V73" s="184" t="s">
        <v>3094</v>
      </c>
      <c r="W73" s="184" t="s">
        <v>118</v>
      </c>
      <c r="X73" s="197" t="s">
        <v>2471</v>
      </c>
      <c r="Y73" s="197" t="s">
        <v>2381</v>
      </c>
      <c r="Z73" s="170"/>
      <c r="AA73" s="219">
        <v>42599.0</v>
      </c>
      <c r="AB73" s="219">
        <v>42601.0</v>
      </c>
      <c r="AC73" s="4"/>
      <c r="AD73" s="4"/>
      <c r="AE73" s="184"/>
      <c r="AF73" s="4"/>
      <c r="AG73" s="4"/>
      <c r="AH73" s="216" t="s">
        <v>2071</v>
      </c>
      <c r="AI73" s="216" t="s">
        <v>3028</v>
      </c>
      <c r="AJ73" s="184"/>
      <c r="AK73" s="184" t="s">
        <v>2163</v>
      </c>
      <c r="AL73" s="200">
        <f t="shared" si="4"/>
        <v>12</v>
      </c>
      <c r="AM73" s="201">
        <v>2016.0</v>
      </c>
    </row>
    <row r="74">
      <c r="A74" s="158">
        <f t="shared" si="1"/>
        <v>13438026</v>
      </c>
      <c r="B74" s="236">
        <v>73.0</v>
      </c>
      <c r="C74" s="236"/>
      <c r="D74" s="184" t="str">
        <f>IFERROR(VLOOKUP(E74,INFORMACION!D:E,2,0),"INGRESAR CENTRO DE COSTO A LA DERECHA")</f>
        <v>INGRESAR CENTRO DE COSTO A LA DERECHA</v>
      </c>
      <c r="E74" s="184" t="s">
        <v>3095</v>
      </c>
      <c r="F74" s="195" t="s">
        <v>2031</v>
      </c>
      <c r="G74" s="186" t="s">
        <v>2032</v>
      </c>
      <c r="H74" s="186">
        <v>13.0</v>
      </c>
      <c r="I74" s="186" t="s">
        <v>2541</v>
      </c>
      <c r="J74" s="184" t="s">
        <v>112</v>
      </c>
      <c r="K74" s="184" t="s">
        <v>114</v>
      </c>
      <c r="L74" s="184" t="s">
        <v>117</v>
      </c>
      <c r="M74" s="184">
        <v>5.0</v>
      </c>
      <c r="N74" s="184" t="s">
        <v>122</v>
      </c>
      <c r="O74" s="184">
        <v>0.0</v>
      </c>
      <c r="P74" s="184">
        <v>3.0</v>
      </c>
      <c r="Q74" s="184">
        <v>1.0</v>
      </c>
      <c r="R74" s="184" t="s">
        <v>121</v>
      </c>
      <c r="S74" s="218">
        <v>42614.0</v>
      </c>
      <c r="T74" s="105" t="s">
        <v>179</v>
      </c>
      <c r="U74" s="105"/>
      <c r="V74" s="184" t="s">
        <v>2608</v>
      </c>
      <c r="W74" s="184" t="s">
        <v>118</v>
      </c>
      <c r="X74" s="197" t="s">
        <v>2523</v>
      </c>
      <c r="Y74" s="170"/>
      <c r="Z74" s="170"/>
      <c r="AA74" s="219">
        <v>42545.0</v>
      </c>
      <c r="AB74" s="219">
        <v>42552.0</v>
      </c>
      <c r="AC74" s="4"/>
      <c r="AD74" s="4"/>
      <c r="AE74" s="184"/>
      <c r="AF74" s="4"/>
      <c r="AG74" s="4"/>
      <c r="AH74" s="216" t="s">
        <v>2071</v>
      </c>
      <c r="AI74" s="216" t="s">
        <v>3028</v>
      </c>
      <c r="AJ74" s="184"/>
      <c r="AK74" s="184" t="s">
        <v>1612</v>
      </c>
      <c r="AL74" s="200">
        <f t="shared" si="4"/>
        <v>45</v>
      </c>
      <c r="AM74" s="201">
        <v>2016.0</v>
      </c>
    </row>
    <row r="75">
      <c r="A75" s="158">
        <f t="shared" si="1"/>
        <v>9864987</v>
      </c>
      <c r="B75" s="236">
        <v>74.0</v>
      </c>
      <c r="C75" s="236"/>
      <c r="D75" s="184" t="str">
        <f>IFERROR(VLOOKUP(E75,INFORMACION!D:E,2,0),"INGRESAR CENTRO DE COSTO A LA DERECHA")</f>
        <v>INGRESAR CENTRO DE COSTO A LA DERECHA</v>
      </c>
      <c r="E75" s="184" t="s">
        <v>2015</v>
      </c>
      <c r="F75" s="195" t="s">
        <v>3096</v>
      </c>
      <c r="G75" s="186" t="s">
        <v>3097</v>
      </c>
      <c r="H75" s="186">
        <v>20.0</v>
      </c>
      <c r="I75" s="186" t="s">
        <v>2541</v>
      </c>
      <c r="J75" s="184" t="s">
        <v>112</v>
      </c>
      <c r="K75" s="184" t="s">
        <v>125</v>
      </c>
      <c r="L75" s="184" t="s">
        <v>117</v>
      </c>
      <c r="M75" s="184">
        <v>0.0</v>
      </c>
      <c r="N75" s="184" t="s">
        <v>116</v>
      </c>
      <c r="O75" s="184">
        <v>31.0</v>
      </c>
      <c r="P75" s="184">
        <v>3.0</v>
      </c>
      <c r="Q75" s="184">
        <v>6.0</v>
      </c>
      <c r="R75" s="184" t="s">
        <v>115</v>
      </c>
      <c r="S75" s="218">
        <v>42634.0</v>
      </c>
      <c r="T75" s="105"/>
      <c r="U75" s="105" t="s">
        <v>3098</v>
      </c>
      <c r="V75" s="184" t="s">
        <v>3099</v>
      </c>
      <c r="W75" s="184" t="s">
        <v>122</v>
      </c>
      <c r="X75" s="170"/>
      <c r="Y75" s="170"/>
      <c r="Z75" s="170"/>
      <c r="AA75" s="219">
        <v>42607.0</v>
      </c>
      <c r="AB75" s="219">
        <v>42614.0</v>
      </c>
      <c r="AC75" s="4"/>
      <c r="AD75" s="4"/>
      <c r="AE75" s="184"/>
      <c r="AF75" s="4"/>
      <c r="AG75" s="4"/>
      <c r="AH75" s="216" t="s">
        <v>2071</v>
      </c>
      <c r="AI75" s="216" t="s">
        <v>3100</v>
      </c>
      <c r="AJ75" s="184"/>
      <c r="AK75" s="184" t="s">
        <v>2163</v>
      </c>
      <c r="AL75" s="200">
        <f t="shared" si="4"/>
        <v>15</v>
      </c>
      <c r="AM75" s="201">
        <v>2016.0</v>
      </c>
    </row>
    <row r="76">
      <c r="A76" s="158">
        <f t="shared" si="1"/>
        <v>14521348</v>
      </c>
      <c r="B76" s="242">
        <v>75.0</v>
      </c>
      <c r="C76" s="242"/>
      <c r="D76" s="184" t="str">
        <f>IFERROR(VLOOKUP(E76,INFORMACION!D:E,2,0),"INGRESAR CENTRO DE COSTO A LA DERECHA")</f>
        <v>INGRESAR CENTRO DE COSTO A LA DERECHA</v>
      </c>
      <c r="E76" s="184" t="s">
        <v>2495</v>
      </c>
      <c r="F76" s="195" t="s">
        <v>3096</v>
      </c>
      <c r="G76" s="186" t="s">
        <v>3097</v>
      </c>
      <c r="H76" s="186">
        <v>20.0</v>
      </c>
      <c r="I76" s="186" t="s">
        <v>2541</v>
      </c>
      <c r="J76" s="184" t="s">
        <v>112</v>
      </c>
      <c r="K76" s="184" t="s">
        <v>125</v>
      </c>
      <c r="L76" s="184" t="s">
        <v>117</v>
      </c>
      <c r="M76" s="184">
        <v>1.0</v>
      </c>
      <c r="N76" s="184" t="s">
        <v>122</v>
      </c>
      <c r="O76" s="184">
        <v>0.0</v>
      </c>
      <c r="P76" s="184">
        <v>1.0</v>
      </c>
      <c r="Q76" s="184">
        <v>0.0</v>
      </c>
      <c r="R76" s="184" t="s">
        <v>115</v>
      </c>
      <c r="S76" s="218">
        <v>42633.0</v>
      </c>
      <c r="T76" s="105" t="s">
        <v>284</v>
      </c>
      <c r="U76" s="105"/>
      <c r="V76" s="184" t="s">
        <v>3101</v>
      </c>
      <c r="W76" s="184" t="s">
        <v>122</v>
      </c>
      <c r="X76" s="170"/>
      <c r="Y76" s="170"/>
      <c r="Z76" s="170"/>
      <c r="AA76" s="219">
        <v>42558.0</v>
      </c>
      <c r="AB76" s="219">
        <v>42565.0</v>
      </c>
      <c r="AC76" s="4"/>
      <c r="AD76" s="4"/>
      <c r="AE76" s="184"/>
      <c r="AF76" s="4"/>
      <c r="AG76" s="4"/>
      <c r="AH76" s="216" t="s">
        <v>2071</v>
      </c>
      <c r="AI76" s="216" t="s">
        <v>3028</v>
      </c>
      <c r="AJ76" s="184"/>
      <c r="AK76" s="184" t="s">
        <v>2157</v>
      </c>
      <c r="AL76" s="200">
        <f t="shared" si="4"/>
        <v>49</v>
      </c>
      <c r="AM76" s="201">
        <v>2016.0</v>
      </c>
    </row>
    <row r="77">
      <c r="A77" s="158">
        <f t="shared" si="1"/>
        <v>7980395</v>
      </c>
      <c r="B77" s="242">
        <v>76.0</v>
      </c>
      <c r="C77" s="242"/>
      <c r="D77" s="184" t="str">
        <f>IFERROR(VLOOKUP(E77,INFORMACION!D:E,2,0),"INGRESAR CENTRO DE COSTO A LA DERECHA")</f>
        <v>INGRESAR CENTRO DE COSTO A LA DERECHA</v>
      </c>
      <c r="E77" s="184" t="s">
        <v>1627</v>
      </c>
      <c r="F77" s="195" t="s">
        <v>3102</v>
      </c>
      <c r="G77" s="186" t="s">
        <v>3103</v>
      </c>
      <c r="H77" s="186">
        <v>11.0</v>
      </c>
      <c r="I77" s="186" t="s">
        <v>2541</v>
      </c>
      <c r="J77" s="184" t="s">
        <v>112</v>
      </c>
      <c r="K77" s="184" t="s">
        <v>120</v>
      </c>
      <c r="L77" s="184" t="s">
        <v>117</v>
      </c>
      <c r="M77" s="184">
        <v>12.0</v>
      </c>
      <c r="N77" s="184" t="s">
        <v>122</v>
      </c>
      <c r="O77" s="184">
        <v>0.0</v>
      </c>
      <c r="P77" s="184">
        <v>5.0</v>
      </c>
      <c r="Q77" s="184">
        <v>0.0</v>
      </c>
      <c r="R77" s="184" t="s">
        <v>121</v>
      </c>
      <c r="S77" s="218">
        <v>42633.0</v>
      </c>
      <c r="T77" s="105" t="s">
        <v>1410</v>
      </c>
      <c r="U77" s="105"/>
      <c r="V77" s="184" t="s">
        <v>3104</v>
      </c>
      <c r="W77" s="184" t="s">
        <v>118</v>
      </c>
      <c r="X77" s="197" t="s">
        <v>150</v>
      </c>
      <c r="Y77" s="197"/>
      <c r="Z77" s="197"/>
      <c r="AA77" s="219">
        <v>42593.0</v>
      </c>
      <c r="AB77" s="219">
        <v>42600.0</v>
      </c>
      <c r="AC77" s="4"/>
      <c r="AD77" s="4"/>
      <c r="AE77" s="184"/>
      <c r="AF77" s="4"/>
      <c r="AG77" s="4"/>
      <c r="AH77" s="216" t="s">
        <v>2071</v>
      </c>
      <c r="AI77" s="216" t="s">
        <v>3105</v>
      </c>
      <c r="AJ77" s="184"/>
      <c r="AK77" s="184" t="s">
        <v>2157</v>
      </c>
      <c r="AL77" s="200">
        <f t="shared" si="4"/>
        <v>24</v>
      </c>
      <c r="AM77" s="201">
        <v>2016.0</v>
      </c>
    </row>
    <row r="78">
      <c r="A78" s="158">
        <f t="shared" si="1"/>
        <v>15601230</v>
      </c>
      <c r="B78" s="236">
        <v>77.0</v>
      </c>
      <c r="C78" s="236"/>
      <c r="D78" s="184" t="str">
        <f>IFERROR(VLOOKUP(E78,INFORMACION!D:E,2,0),"INGRESAR CENTRO DE COSTO A LA DERECHA")</f>
        <v>INGRESAR CENTRO DE COSTO A LA DERECHA</v>
      </c>
      <c r="E78" s="184" t="s">
        <v>2883</v>
      </c>
      <c r="F78" s="195" t="s">
        <v>2848</v>
      </c>
      <c r="G78" s="186" t="s">
        <v>3106</v>
      </c>
      <c r="H78" s="186">
        <v>13.0</v>
      </c>
      <c r="I78" s="186" t="s">
        <v>2541</v>
      </c>
      <c r="J78" s="184" t="s">
        <v>112</v>
      </c>
      <c r="K78" s="184" t="s">
        <v>114</v>
      </c>
      <c r="L78" s="184" t="s">
        <v>117</v>
      </c>
      <c r="M78" s="184">
        <v>0.0</v>
      </c>
      <c r="N78" s="184" t="s">
        <v>116</v>
      </c>
      <c r="O78" s="184">
        <v>22.0</v>
      </c>
      <c r="P78" s="184">
        <v>2.0</v>
      </c>
      <c r="Q78" s="184">
        <v>3.0</v>
      </c>
      <c r="R78" s="184" t="s">
        <v>115</v>
      </c>
      <c r="S78" s="218">
        <v>42646.0</v>
      </c>
      <c r="T78" s="105"/>
      <c r="U78" s="105" t="s">
        <v>3107</v>
      </c>
      <c r="V78" s="184" t="s">
        <v>3108</v>
      </c>
      <c r="W78" s="184" t="s">
        <v>122</v>
      </c>
      <c r="X78" s="170"/>
      <c r="Y78" s="170"/>
      <c r="Z78" s="170"/>
      <c r="AA78" s="219">
        <v>42618.0</v>
      </c>
      <c r="AB78" s="219">
        <v>42621.0</v>
      </c>
      <c r="AC78" s="4"/>
      <c r="AD78" s="4"/>
      <c r="AE78" s="184"/>
      <c r="AF78" s="4"/>
      <c r="AG78" s="4"/>
      <c r="AH78" s="216" t="s">
        <v>2071</v>
      </c>
      <c r="AI78" s="253" t="s">
        <v>2941</v>
      </c>
      <c r="AJ78" s="184"/>
      <c r="AK78" s="184" t="s">
        <v>2163</v>
      </c>
      <c r="AL78" s="200">
        <f t="shared" si="4"/>
        <v>18</v>
      </c>
      <c r="AM78" s="201">
        <v>2016.0</v>
      </c>
    </row>
    <row r="79">
      <c r="A79" s="158">
        <f t="shared" si="1"/>
        <v>15617477</v>
      </c>
      <c r="B79" s="236">
        <v>78.0</v>
      </c>
      <c r="C79" s="236"/>
      <c r="D79" s="184" t="str">
        <f>IFERROR(VLOOKUP(E79,INFORMACION!D:E,2,0),"INGRESAR CENTRO DE COSTO A LA DERECHA")</f>
        <v>INGRESAR CENTRO DE COSTO A LA DERECHA</v>
      </c>
      <c r="E79" s="184" t="s">
        <v>2841</v>
      </c>
      <c r="F79" s="195" t="s">
        <v>1937</v>
      </c>
      <c r="G79" s="186" t="s">
        <v>1711</v>
      </c>
      <c r="H79" s="186">
        <v>13.0</v>
      </c>
      <c r="I79" s="186" t="s">
        <v>2541</v>
      </c>
      <c r="J79" s="184" t="s">
        <v>112</v>
      </c>
      <c r="K79" s="184" t="s">
        <v>114</v>
      </c>
      <c r="L79" s="184" t="s">
        <v>117</v>
      </c>
      <c r="M79" s="184">
        <v>0.0</v>
      </c>
      <c r="N79" s="184" t="s">
        <v>116</v>
      </c>
      <c r="O79" s="184">
        <v>10.0</v>
      </c>
      <c r="P79" s="184">
        <v>3.0</v>
      </c>
      <c r="Q79" s="184">
        <v>1.0</v>
      </c>
      <c r="R79" s="184" t="s">
        <v>121</v>
      </c>
      <c r="S79" s="218">
        <v>42604.0</v>
      </c>
      <c r="T79" s="105"/>
      <c r="U79" s="105" t="s">
        <v>3109</v>
      </c>
      <c r="V79" s="184" t="s">
        <v>3110</v>
      </c>
      <c r="W79" s="184" t="s">
        <v>118</v>
      </c>
      <c r="X79" s="197" t="s">
        <v>2523</v>
      </c>
      <c r="Y79" s="170"/>
      <c r="Z79" s="170"/>
      <c r="AA79" s="219">
        <v>42537.0</v>
      </c>
      <c r="AB79" s="219">
        <v>42544.0</v>
      </c>
      <c r="AC79" s="4"/>
      <c r="AD79" s="4"/>
      <c r="AE79" s="184"/>
      <c r="AF79" s="4"/>
      <c r="AG79" s="4"/>
      <c r="AH79" s="216" t="s">
        <v>2071</v>
      </c>
      <c r="AI79" s="216" t="s">
        <v>3028</v>
      </c>
      <c r="AJ79" s="184"/>
      <c r="AK79" s="184" t="s">
        <v>2163</v>
      </c>
      <c r="AL79" s="200">
        <f t="shared" si="4"/>
        <v>43</v>
      </c>
      <c r="AM79" s="201">
        <v>2016.0</v>
      </c>
    </row>
    <row r="80">
      <c r="A80" s="158">
        <f t="shared" si="1"/>
        <v>17817645</v>
      </c>
      <c r="B80" s="242">
        <v>79.0</v>
      </c>
      <c r="C80" s="242"/>
      <c r="D80" s="184" t="str">
        <f>IFERROR(VLOOKUP(E80,INFORMACION!D:E,2,0),"INGRESAR CENTRO DE COSTO A LA DERECHA")</f>
        <v>INGRESAR CENTRO DE COSTO A LA DERECHA</v>
      </c>
      <c r="E80" s="184" t="s">
        <v>3000</v>
      </c>
      <c r="F80" s="195" t="s">
        <v>1937</v>
      </c>
      <c r="G80" s="186" t="s">
        <v>1711</v>
      </c>
      <c r="H80" s="186">
        <v>13.0</v>
      </c>
      <c r="I80" s="186" t="s">
        <v>2541</v>
      </c>
      <c r="J80" s="184" t="s">
        <v>112</v>
      </c>
      <c r="K80" s="184" t="s">
        <v>114</v>
      </c>
      <c r="L80" s="184" t="s">
        <v>117</v>
      </c>
      <c r="M80" s="184">
        <v>0.0</v>
      </c>
      <c r="N80" s="184" t="s">
        <v>116</v>
      </c>
      <c r="O80" s="184">
        <v>25.0</v>
      </c>
      <c r="P80" s="184">
        <v>3.0</v>
      </c>
      <c r="Q80" s="184">
        <v>2.0</v>
      </c>
      <c r="R80" s="184" t="s">
        <v>121</v>
      </c>
      <c r="S80" s="218">
        <v>42614.0</v>
      </c>
      <c r="T80" s="105"/>
      <c r="U80" s="105" t="s">
        <v>3111</v>
      </c>
      <c r="V80" s="184" t="s">
        <v>3112</v>
      </c>
      <c r="W80" s="184" t="s">
        <v>122</v>
      </c>
      <c r="X80" s="170"/>
      <c r="Y80" s="170"/>
      <c r="Z80" s="170"/>
      <c r="AA80" s="219">
        <v>42551.0</v>
      </c>
      <c r="AB80" s="219">
        <v>42558.0</v>
      </c>
      <c r="AC80" s="4"/>
      <c r="AD80" s="4"/>
      <c r="AE80" s="184"/>
      <c r="AF80" s="4"/>
      <c r="AG80" s="4"/>
      <c r="AH80" s="216" t="s">
        <v>2071</v>
      </c>
      <c r="AI80" s="216" t="s">
        <v>3028</v>
      </c>
      <c r="AJ80" s="184"/>
      <c r="AK80" s="184" t="s">
        <v>2163</v>
      </c>
      <c r="AL80" s="200">
        <f t="shared" si="4"/>
        <v>41</v>
      </c>
      <c r="AM80" s="201">
        <v>2016.0</v>
      </c>
    </row>
    <row r="81">
      <c r="A81" s="158">
        <f t="shared" si="1"/>
        <v>15067539</v>
      </c>
      <c r="B81" s="242">
        <v>80.0</v>
      </c>
      <c r="C81" s="242"/>
      <c r="D81" s="184" t="str">
        <f>IFERROR(VLOOKUP(E81,INFORMACION!D:E,2,0),"INGRESAR CENTRO DE COSTO A LA DERECHA")</f>
        <v>INGRESAR CENTRO DE COSTO A LA DERECHA</v>
      </c>
      <c r="E81" s="184" t="s">
        <v>3000</v>
      </c>
      <c r="F81" s="195" t="s">
        <v>1937</v>
      </c>
      <c r="G81" s="186" t="s">
        <v>2088</v>
      </c>
      <c r="H81" s="186">
        <v>13.0</v>
      </c>
      <c r="I81" s="186" t="s">
        <v>2541</v>
      </c>
      <c r="J81" s="184" t="s">
        <v>112</v>
      </c>
      <c r="K81" s="184" t="s">
        <v>114</v>
      </c>
      <c r="L81" s="184" t="s">
        <v>117</v>
      </c>
      <c r="M81" s="184">
        <v>1.0</v>
      </c>
      <c r="N81" s="184" t="s">
        <v>116</v>
      </c>
      <c r="O81" s="184">
        <v>22.0</v>
      </c>
      <c r="P81" s="184">
        <v>2.0</v>
      </c>
      <c r="Q81" s="184">
        <v>1.0</v>
      </c>
      <c r="R81" s="184" t="s">
        <v>115</v>
      </c>
      <c r="S81" s="218">
        <v>42646.0</v>
      </c>
      <c r="T81" s="105"/>
      <c r="U81" s="105" t="s">
        <v>3113</v>
      </c>
      <c r="V81" s="184" t="s">
        <v>3114</v>
      </c>
      <c r="W81" s="184" t="s">
        <v>118</v>
      </c>
      <c r="X81" s="197" t="s">
        <v>2523</v>
      </c>
      <c r="Y81" s="170"/>
      <c r="Z81" s="170"/>
      <c r="AA81" s="219">
        <v>42614.0</v>
      </c>
      <c r="AB81" s="219">
        <v>42621.0</v>
      </c>
      <c r="AC81" s="4"/>
      <c r="AD81" s="4"/>
      <c r="AE81" s="184"/>
      <c r="AF81" s="4"/>
      <c r="AG81" s="4"/>
      <c r="AH81" s="216" t="s">
        <v>2071</v>
      </c>
      <c r="AI81" s="216" t="s">
        <v>2089</v>
      </c>
      <c r="AJ81" s="184"/>
      <c r="AK81" s="184" t="s">
        <v>2163</v>
      </c>
      <c r="AL81" s="200">
        <f t="shared" si="4"/>
        <v>18</v>
      </c>
      <c r="AM81" s="201">
        <v>2016.0</v>
      </c>
    </row>
    <row r="82">
      <c r="A82" s="158">
        <f t="shared" si="1"/>
        <v>17138870</v>
      </c>
      <c r="B82" s="236">
        <v>81.0</v>
      </c>
      <c r="C82" s="236"/>
      <c r="D82" s="184" t="str">
        <f>IFERROR(VLOOKUP(E82,INFORMACION!D:E,2,0),"INGRESAR CENTRO DE COSTO A LA DERECHA")</f>
        <v>INGRESAR CENTRO DE COSTO A LA DERECHA</v>
      </c>
      <c r="E82" s="184" t="s">
        <v>2307</v>
      </c>
      <c r="F82" s="195" t="s">
        <v>3115</v>
      </c>
      <c r="G82" s="186" t="s">
        <v>2569</v>
      </c>
      <c r="H82" s="186">
        <v>17.0</v>
      </c>
      <c r="I82" s="186" t="s">
        <v>2541</v>
      </c>
      <c r="J82" s="184" t="s">
        <v>112</v>
      </c>
      <c r="K82" s="184" t="s">
        <v>125</v>
      </c>
      <c r="L82" s="184" t="s">
        <v>117</v>
      </c>
      <c r="M82" s="184">
        <v>0.0</v>
      </c>
      <c r="N82" s="184" t="s">
        <v>116</v>
      </c>
      <c r="O82" s="184">
        <v>10.0</v>
      </c>
      <c r="P82" s="184">
        <v>3.0</v>
      </c>
      <c r="Q82" s="184">
        <v>1.0</v>
      </c>
      <c r="R82" s="184" t="s">
        <v>121</v>
      </c>
      <c r="S82" s="218">
        <v>42646.0</v>
      </c>
      <c r="T82" s="105"/>
      <c r="U82" s="105" t="s">
        <v>3116</v>
      </c>
      <c r="V82" s="184" t="s">
        <v>3117</v>
      </c>
      <c r="W82" s="184" t="s">
        <v>118</v>
      </c>
      <c r="X82" s="197" t="s">
        <v>174</v>
      </c>
      <c r="Y82" s="170"/>
      <c r="Z82" s="170"/>
      <c r="AA82" s="219">
        <v>42534.0</v>
      </c>
      <c r="AB82" s="219">
        <v>42541.0</v>
      </c>
      <c r="AC82" s="4"/>
      <c r="AD82" s="4"/>
      <c r="AE82" s="184"/>
      <c r="AF82" s="4"/>
      <c r="AG82" s="4"/>
      <c r="AH82" s="216" t="s">
        <v>2071</v>
      </c>
      <c r="AI82" s="216" t="s">
        <v>3028</v>
      </c>
      <c r="AJ82" s="184"/>
      <c r="AK82" s="184" t="s">
        <v>2163</v>
      </c>
      <c r="AL82" s="200">
        <f t="shared" si="4"/>
        <v>76</v>
      </c>
      <c r="AM82" s="201">
        <v>2016.0</v>
      </c>
    </row>
    <row r="83">
      <c r="A83" s="158">
        <f t="shared" si="1"/>
        <v>9662880</v>
      </c>
      <c r="B83" s="236">
        <v>82.0</v>
      </c>
      <c r="C83" s="236"/>
      <c r="D83" s="184" t="str">
        <f>IFERROR(VLOOKUP(E83,INFORMACION!D:E,2,0),"INGRESAR CENTRO DE COSTO A LA DERECHA")</f>
        <v>INGRESAR CENTRO DE COSTO A LA DERECHA</v>
      </c>
      <c r="E83" s="184" t="s">
        <v>3118</v>
      </c>
      <c r="F83" s="195" t="s">
        <v>1947</v>
      </c>
      <c r="G83" s="186" t="s">
        <v>1687</v>
      </c>
      <c r="H83" s="186">
        <v>23.0</v>
      </c>
      <c r="I83" s="186" t="s">
        <v>2541</v>
      </c>
      <c r="J83" s="184" t="s">
        <v>112</v>
      </c>
      <c r="K83" s="184" t="s">
        <v>127</v>
      </c>
      <c r="L83" s="184" t="s">
        <v>117</v>
      </c>
      <c r="M83" s="184">
        <v>0.0</v>
      </c>
      <c r="N83" s="184" t="s">
        <v>116</v>
      </c>
      <c r="O83" s="184">
        <v>8.0</v>
      </c>
      <c r="P83" s="184">
        <v>2.0</v>
      </c>
      <c r="Q83" s="184">
        <v>1.0</v>
      </c>
      <c r="R83" s="184" t="s">
        <v>115</v>
      </c>
      <c r="S83" s="218">
        <v>42660.0</v>
      </c>
      <c r="T83" s="105"/>
      <c r="U83" s="105" t="s">
        <v>3119</v>
      </c>
      <c r="V83" s="184" t="s">
        <v>3120</v>
      </c>
      <c r="W83" s="184" t="s">
        <v>118</v>
      </c>
      <c r="X83" s="197" t="s">
        <v>2405</v>
      </c>
      <c r="Y83" s="170"/>
      <c r="Z83" s="170"/>
      <c r="AA83" s="219">
        <v>42634.0</v>
      </c>
      <c r="AB83" s="219">
        <v>42641.0</v>
      </c>
      <c r="AC83" s="4"/>
      <c r="AD83" s="4"/>
      <c r="AE83" s="184"/>
      <c r="AF83" s="4"/>
      <c r="AG83" s="4"/>
      <c r="AH83" s="216" t="s">
        <v>2071</v>
      </c>
      <c r="AI83" s="216" t="s">
        <v>3121</v>
      </c>
      <c r="AJ83" s="184"/>
      <c r="AK83" s="184" t="s">
        <v>2163</v>
      </c>
      <c r="AL83" s="200">
        <f t="shared" si="4"/>
        <v>14</v>
      </c>
      <c r="AM83" s="201">
        <v>2016.0</v>
      </c>
    </row>
    <row r="84">
      <c r="A84" s="158">
        <f t="shared" si="1"/>
        <v>19208931</v>
      </c>
      <c r="B84" s="242">
        <v>83.0</v>
      </c>
      <c r="C84" s="242"/>
      <c r="D84" s="184" t="str">
        <f>IFERROR(VLOOKUP(E84,INFORMACION!D:E,2,0),"INGRESAR CENTRO DE COSTO A LA DERECHA")</f>
        <v>INGRESAR CENTRO DE COSTO A LA DERECHA</v>
      </c>
      <c r="E84" s="184" t="s">
        <v>1695</v>
      </c>
      <c r="F84" s="195" t="s">
        <v>2679</v>
      </c>
      <c r="G84" s="186" t="s">
        <v>1816</v>
      </c>
      <c r="H84" s="186">
        <v>20.0</v>
      </c>
      <c r="I84" s="186" t="s">
        <v>2541</v>
      </c>
      <c r="J84" s="184" t="s">
        <v>112</v>
      </c>
      <c r="K84" s="184" t="s">
        <v>120</v>
      </c>
      <c r="L84" s="184" t="s">
        <v>117</v>
      </c>
      <c r="M84" s="184">
        <v>1.0</v>
      </c>
      <c r="N84" s="184" t="s">
        <v>116</v>
      </c>
      <c r="O84" s="184">
        <v>12.0</v>
      </c>
      <c r="P84" s="184">
        <v>3.0</v>
      </c>
      <c r="Q84" s="184">
        <v>1.0</v>
      </c>
      <c r="R84" s="184" t="s">
        <v>121</v>
      </c>
      <c r="S84" s="218">
        <v>42660.0</v>
      </c>
      <c r="T84" s="105"/>
      <c r="U84" s="105" t="s">
        <v>3122</v>
      </c>
      <c r="V84" s="184" t="s">
        <v>3123</v>
      </c>
      <c r="W84" s="184" t="s">
        <v>118</v>
      </c>
      <c r="X84" s="170"/>
      <c r="Y84" s="170"/>
      <c r="Z84" s="170"/>
      <c r="AA84" s="219">
        <v>42607.0</v>
      </c>
      <c r="AB84" s="219">
        <v>42614.0</v>
      </c>
      <c r="AC84" s="4"/>
      <c r="AD84" s="4"/>
      <c r="AE84" s="184"/>
      <c r="AF84" s="4"/>
      <c r="AG84" s="4"/>
      <c r="AH84" s="216" t="s">
        <v>2071</v>
      </c>
      <c r="AI84" s="216" t="s">
        <v>2680</v>
      </c>
      <c r="AJ84" s="184"/>
      <c r="AK84" s="184" t="s">
        <v>1612</v>
      </c>
      <c r="AL84" s="200">
        <f t="shared" si="4"/>
        <v>33</v>
      </c>
      <c r="AM84" s="201">
        <v>2016.0</v>
      </c>
    </row>
    <row r="85">
      <c r="A85" s="158">
        <f t="shared" si="1"/>
        <v>11299063</v>
      </c>
      <c r="B85" s="242">
        <v>84.0</v>
      </c>
      <c r="C85" s="242"/>
      <c r="D85" s="184" t="str">
        <f>IFERROR(VLOOKUP(E85,INFORMACION!D:E,2,0),"INGRESAR CENTRO DE COSTO A LA DERECHA")</f>
        <v>INGRESAR CENTRO DE COSTO A LA DERECHA</v>
      </c>
      <c r="E85" s="184" t="s">
        <v>2495</v>
      </c>
      <c r="F85" s="195" t="s">
        <v>3124</v>
      </c>
      <c r="G85" s="186" t="s">
        <v>3125</v>
      </c>
      <c r="H85" s="186">
        <v>21.0</v>
      </c>
      <c r="I85" s="186" t="s">
        <v>2541</v>
      </c>
      <c r="J85" s="184" t="s">
        <v>112</v>
      </c>
      <c r="K85" s="184" t="s">
        <v>127</v>
      </c>
      <c r="L85" s="184" t="s">
        <v>117</v>
      </c>
      <c r="M85" s="184">
        <v>0.0</v>
      </c>
      <c r="N85" s="184" t="s">
        <v>116</v>
      </c>
      <c r="O85" s="184">
        <v>16.0</v>
      </c>
      <c r="P85" s="184">
        <v>1.0</v>
      </c>
      <c r="Q85" s="184">
        <v>2.0</v>
      </c>
      <c r="R85" s="184" t="s">
        <v>115</v>
      </c>
      <c r="S85" s="218">
        <v>42654.0</v>
      </c>
      <c r="T85" s="105"/>
      <c r="U85" s="105" t="s">
        <v>3126</v>
      </c>
      <c r="V85" s="184" t="s">
        <v>3127</v>
      </c>
      <c r="W85" s="184" t="s">
        <v>122</v>
      </c>
      <c r="X85" s="170"/>
      <c r="Y85" s="170"/>
      <c r="Z85" s="170"/>
      <c r="AA85" s="219">
        <v>42558.0</v>
      </c>
      <c r="AB85" s="219">
        <v>42572.0</v>
      </c>
      <c r="AC85" s="4"/>
      <c r="AD85" s="4"/>
      <c r="AE85" s="184"/>
      <c r="AF85" s="4"/>
      <c r="AG85" s="4"/>
      <c r="AH85" s="216" t="s">
        <v>2071</v>
      </c>
      <c r="AI85" s="216" t="s">
        <v>3028</v>
      </c>
      <c r="AJ85" s="184"/>
      <c r="AK85" s="184" t="s">
        <v>2163</v>
      </c>
      <c r="AL85" s="200">
        <f t="shared" si="4"/>
        <v>59</v>
      </c>
      <c r="AM85" s="201">
        <v>2016.0</v>
      </c>
    </row>
    <row r="86">
      <c r="A86" s="158">
        <f t="shared" si="1"/>
        <v>15352848</v>
      </c>
      <c r="B86" s="236">
        <v>85.0</v>
      </c>
      <c r="C86" s="236"/>
      <c r="D86" s="184" t="str">
        <f>IFERROR(VLOOKUP(E86,INFORMACION!D:E,2,0),"INGRESAR CENTRO DE COSTO A LA DERECHA")</f>
        <v>INGRESAR CENTRO DE COSTO A LA DERECHA</v>
      </c>
      <c r="E86" s="184" t="s">
        <v>2877</v>
      </c>
      <c r="F86" s="195" t="s">
        <v>1970</v>
      </c>
      <c r="G86" s="186" t="s">
        <v>1638</v>
      </c>
      <c r="H86" s="186">
        <v>23.0</v>
      </c>
      <c r="I86" s="186" t="s">
        <v>2541</v>
      </c>
      <c r="J86" s="184" t="s">
        <v>112</v>
      </c>
      <c r="K86" s="184" t="s">
        <v>127</v>
      </c>
      <c r="L86" s="184" t="s">
        <v>117</v>
      </c>
      <c r="M86" s="184">
        <v>0.0</v>
      </c>
      <c r="N86" s="184" t="s">
        <v>116</v>
      </c>
      <c r="O86" s="184">
        <v>10.0</v>
      </c>
      <c r="P86" s="184">
        <v>3.0</v>
      </c>
      <c r="Q86" s="184">
        <v>1.0</v>
      </c>
      <c r="R86" s="184" t="s">
        <v>115</v>
      </c>
      <c r="S86" s="218">
        <v>42656.0</v>
      </c>
      <c r="T86" s="105"/>
      <c r="U86" s="105" t="s">
        <v>3128</v>
      </c>
      <c r="V86" s="184" t="s">
        <v>3129</v>
      </c>
      <c r="W86" s="184" t="s">
        <v>122</v>
      </c>
      <c r="X86" s="170"/>
      <c r="Y86" s="170"/>
      <c r="Z86" s="170"/>
      <c r="AA86" s="219">
        <v>42437.0</v>
      </c>
      <c r="AB86" s="219">
        <v>42444.0</v>
      </c>
      <c r="AC86" s="4"/>
      <c r="AD86" s="4"/>
      <c r="AE86" s="184"/>
      <c r="AF86" s="4"/>
      <c r="AG86" s="4"/>
      <c r="AH86" s="216" t="s">
        <v>2071</v>
      </c>
      <c r="AI86" s="216" t="s">
        <v>3130</v>
      </c>
      <c r="AJ86" s="184"/>
      <c r="AK86" s="184" t="s">
        <v>1612</v>
      </c>
      <c r="AL86" s="200">
        <f t="shared" si="4"/>
        <v>153</v>
      </c>
      <c r="AM86" s="201">
        <v>2016.0</v>
      </c>
    </row>
    <row r="87">
      <c r="A87" s="158">
        <f t="shared" si="1"/>
        <v>19385989</v>
      </c>
      <c r="B87" s="236">
        <v>86.0</v>
      </c>
      <c r="C87" s="236"/>
      <c r="D87" s="184" t="str">
        <f>IFERROR(VLOOKUP(E87,INFORMACION!D:E,2,0),"INGRESAR CENTRO DE COSTO A LA DERECHA")</f>
        <v>INGRESAR CENTRO DE COSTO A LA DERECHA</v>
      </c>
      <c r="E87" s="184" t="s">
        <v>1975</v>
      </c>
      <c r="F87" s="195" t="s">
        <v>2043</v>
      </c>
      <c r="G87" s="186" t="s">
        <v>1824</v>
      </c>
      <c r="H87" s="186">
        <v>20.0</v>
      </c>
      <c r="I87" s="186" t="s">
        <v>2541</v>
      </c>
      <c r="J87" s="184" t="s">
        <v>112</v>
      </c>
      <c r="K87" s="184" t="s">
        <v>120</v>
      </c>
      <c r="L87" s="184" t="s">
        <v>117</v>
      </c>
      <c r="M87" s="184">
        <v>0.0</v>
      </c>
      <c r="N87" s="184" t="s">
        <v>116</v>
      </c>
      <c r="O87" s="184">
        <v>39.0</v>
      </c>
      <c r="P87" s="184">
        <v>2.0</v>
      </c>
      <c r="Q87" s="184">
        <v>4.0</v>
      </c>
      <c r="R87" s="184" t="s">
        <v>121</v>
      </c>
      <c r="S87" s="218">
        <v>42668.0</v>
      </c>
      <c r="T87" s="105"/>
      <c r="U87" s="105" t="s">
        <v>3131</v>
      </c>
      <c r="V87" s="184" t="s">
        <v>3132</v>
      </c>
      <c r="W87" s="184" t="s">
        <v>122</v>
      </c>
      <c r="X87" s="170"/>
      <c r="Y87" s="170"/>
      <c r="Z87" s="170"/>
      <c r="AA87" s="219">
        <v>42648.0</v>
      </c>
      <c r="AB87" s="219">
        <v>42655.0</v>
      </c>
      <c r="AC87" s="4"/>
      <c r="AD87" s="4"/>
      <c r="AE87" s="184"/>
      <c r="AF87" s="4"/>
      <c r="AG87" s="4"/>
      <c r="AH87" s="216" t="s">
        <v>2071</v>
      </c>
      <c r="AI87" s="216" t="s">
        <v>2629</v>
      </c>
      <c r="AJ87" s="184"/>
      <c r="AK87" s="184" t="s">
        <v>1612</v>
      </c>
      <c r="AL87" s="200">
        <f t="shared" si="4"/>
        <v>10</v>
      </c>
      <c r="AM87" s="201">
        <v>2016.0</v>
      </c>
    </row>
    <row r="88">
      <c r="A88" s="158">
        <f t="shared" si="1"/>
        <v>13938161</v>
      </c>
      <c r="B88" s="242">
        <v>87.0</v>
      </c>
      <c r="C88" s="242"/>
      <c r="D88" s="184" t="str">
        <f>IFERROR(VLOOKUP(E88,INFORMACION!D:E,2,0),"INGRESAR CENTRO DE COSTO A LA DERECHA")</f>
        <v>INGRESAR CENTRO DE COSTO A LA DERECHA</v>
      </c>
      <c r="E88" s="184" t="s">
        <v>2937</v>
      </c>
      <c r="F88" s="195" t="s">
        <v>2774</v>
      </c>
      <c r="G88" s="186" t="s">
        <v>1611</v>
      </c>
      <c r="H88" s="186">
        <v>14.0</v>
      </c>
      <c r="I88" s="186" t="s">
        <v>2541</v>
      </c>
      <c r="J88" s="184" t="s">
        <v>112</v>
      </c>
      <c r="K88" s="184" t="s">
        <v>114</v>
      </c>
      <c r="L88" s="184" t="s">
        <v>117</v>
      </c>
      <c r="M88" s="184">
        <v>1.0</v>
      </c>
      <c r="N88" s="184" t="s">
        <v>122</v>
      </c>
      <c r="O88" s="184">
        <v>0.0</v>
      </c>
      <c r="P88" s="184">
        <v>1.0</v>
      </c>
      <c r="Q88" s="184">
        <v>0.0</v>
      </c>
      <c r="R88" s="184" t="s">
        <v>121</v>
      </c>
      <c r="S88" s="218">
        <v>42646.0</v>
      </c>
      <c r="T88" s="105" t="s">
        <v>3133</v>
      </c>
      <c r="U88" s="105"/>
      <c r="V88" s="184" t="s">
        <v>3134</v>
      </c>
      <c r="W88" s="184" t="s">
        <v>122</v>
      </c>
      <c r="X88" s="170"/>
      <c r="Y88" s="170"/>
      <c r="Z88" s="170"/>
      <c r="AA88" s="219">
        <v>42492.0</v>
      </c>
      <c r="AB88" s="219">
        <v>42495.0</v>
      </c>
      <c r="AC88" s="4"/>
      <c r="AD88" s="4"/>
      <c r="AE88" s="184"/>
      <c r="AF88" s="4"/>
      <c r="AG88" s="4"/>
      <c r="AH88" s="216" t="s">
        <v>2071</v>
      </c>
      <c r="AI88" s="216" t="s">
        <v>3135</v>
      </c>
      <c r="AJ88" s="184"/>
      <c r="AK88" s="184" t="s">
        <v>1612</v>
      </c>
      <c r="AL88" s="200">
        <f t="shared" si="4"/>
        <v>108</v>
      </c>
      <c r="AM88" s="201">
        <v>2016.0</v>
      </c>
    </row>
    <row r="89">
      <c r="A89" s="158">
        <f t="shared" si="1"/>
        <v>8039104</v>
      </c>
      <c r="B89" s="242">
        <v>88.0</v>
      </c>
      <c r="C89" s="242"/>
      <c r="D89" s="184" t="str">
        <f>IFERROR(VLOOKUP(E89,INFORMACION!D:E,2,0),"INGRESAR CENTRO DE COSTO A LA DERECHA")</f>
        <v>INGRESAR CENTRO DE COSTO A LA DERECHA</v>
      </c>
      <c r="E89" s="184" t="s">
        <v>2213</v>
      </c>
      <c r="F89" s="195" t="s">
        <v>2596</v>
      </c>
      <c r="G89" s="186" t="s">
        <v>3136</v>
      </c>
      <c r="H89" s="186">
        <v>17.0</v>
      </c>
      <c r="I89" s="186" t="s">
        <v>2541</v>
      </c>
      <c r="J89" s="184" t="s">
        <v>112</v>
      </c>
      <c r="K89" s="184" t="s">
        <v>120</v>
      </c>
      <c r="L89" s="184" t="s">
        <v>117</v>
      </c>
      <c r="M89" s="184">
        <v>1.0</v>
      </c>
      <c r="N89" s="184" t="s">
        <v>122</v>
      </c>
      <c r="O89" s="184">
        <v>0.0</v>
      </c>
      <c r="P89" s="184">
        <v>1.0</v>
      </c>
      <c r="Q89" s="184">
        <v>0.0</v>
      </c>
      <c r="R89" s="184" t="s">
        <v>121</v>
      </c>
      <c r="S89" s="218">
        <v>42594.0</v>
      </c>
      <c r="T89" s="105" t="s">
        <v>3137</v>
      </c>
      <c r="U89" s="105"/>
      <c r="V89" s="184" t="s">
        <v>3138</v>
      </c>
      <c r="W89" s="184" t="s">
        <v>118</v>
      </c>
      <c r="X89" s="197" t="s">
        <v>2102</v>
      </c>
      <c r="Y89" s="197" t="s">
        <v>170</v>
      </c>
      <c r="Z89" s="197" t="s">
        <v>2381</v>
      </c>
      <c r="AA89" s="219">
        <v>42538.0</v>
      </c>
      <c r="AB89" s="219">
        <v>42548.0</v>
      </c>
      <c r="AC89" s="4"/>
      <c r="AD89" s="4"/>
      <c r="AE89" s="184"/>
      <c r="AF89" s="4"/>
      <c r="AG89" s="4"/>
      <c r="AH89" s="216" t="s">
        <v>2071</v>
      </c>
      <c r="AI89" s="216" t="s">
        <v>3139</v>
      </c>
      <c r="AJ89" s="184"/>
      <c r="AK89" s="184" t="s">
        <v>2157</v>
      </c>
      <c r="AL89" s="200">
        <f t="shared" si="4"/>
        <v>35</v>
      </c>
      <c r="AM89" s="201">
        <v>2016.0</v>
      </c>
    </row>
    <row r="90">
      <c r="A90" s="158">
        <f t="shared" si="1"/>
        <v>14179988</v>
      </c>
      <c r="B90" s="236">
        <v>89.0</v>
      </c>
      <c r="C90" s="236"/>
      <c r="D90" s="184" t="str">
        <f>IFERROR(VLOOKUP(E90,INFORMACION!D:E,2,0),"INGRESAR CENTRO DE COSTO A LA DERECHA")</f>
        <v>INGRESAR CENTRO DE COSTO A LA DERECHA</v>
      </c>
      <c r="E90" s="184" t="s">
        <v>1975</v>
      </c>
      <c r="F90" s="195" t="s">
        <v>2043</v>
      </c>
      <c r="G90" s="186" t="s">
        <v>1824</v>
      </c>
      <c r="H90" s="186">
        <v>20.0</v>
      </c>
      <c r="I90" s="186" t="s">
        <v>2541</v>
      </c>
      <c r="J90" s="184" t="s">
        <v>112</v>
      </c>
      <c r="K90" s="184" t="s">
        <v>120</v>
      </c>
      <c r="L90" s="184" t="s">
        <v>117</v>
      </c>
      <c r="M90" s="184">
        <v>1.0</v>
      </c>
      <c r="N90" s="184" t="s">
        <v>122</v>
      </c>
      <c r="O90" s="184">
        <v>0.0</v>
      </c>
      <c r="P90" s="184">
        <v>1.0</v>
      </c>
      <c r="Q90" s="184">
        <v>0.0</v>
      </c>
      <c r="R90" s="184" t="s">
        <v>115</v>
      </c>
      <c r="S90" s="218">
        <v>42705.0</v>
      </c>
      <c r="T90" s="105" t="s">
        <v>891</v>
      </c>
      <c r="U90" s="105"/>
      <c r="V90" s="184" t="s">
        <v>3140</v>
      </c>
      <c r="W90" s="184" t="s">
        <v>118</v>
      </c>
      <c r="X90" s="197" t="s">
        <v>2405</v>
      </c>
      <c r="Y90" s="170"/>
      <c r="Z90" s="170"/>
      <c r="AA90" s="219">
        <v>42667.0</v>
      </c>
      <c r="AB90" s="219">
        <v>42674.0</v>
      </c>
      <c r="AC90" s="4"/>
      <c r="AD90" s="4"/>
      <c r="AE90" s="184"/>
      <c r="AF90" s="4"/>
      <c r="AG90" s="4"/>
      <c r="AH90" s="216" t="s">
        <v>2071</v>
      </c>
      <c r="AI90" s="216" t="s">
        <v>3141</v>
      </c>
      <c r="AJ90" s="184"/>
      <c r="AK90" s="184" t="s">
        <v>1612</v>
      </c>
      <c r="AL90" s="200">
        <f t="shared" si="4"/>
        <v>24</v>
      </c>
      <c r="AM90" s="201">
        <v>2016.0</v>
      </c>
    </row>
    <row r="91">
      <c r="A91" s="158">
        <f t="shared" si="1"/>
        <v>15139053</v>
      </c>
      <c r="B91" s="236">
        <v>90.0</v>
      </c>
      <c r="C91" s="236"/>
      <c r="D91" s="184">
        <v>15.0</v>
      </c>
      <c r="E91" s="184" t="s">
        <v>2195</v>
      </c>
      <c r="F91" s="195" t="s">
        <v>2650</v>
      </c>
      <c r="G91" s="186" t="s">
        <v>3142</v>
      </c>
      <c r="H91" s="186">
        <v>17.0</v>
      </c>
      <c r="I91" s="186" t="s">
        <v>2541</v>
      </c>
      <c r="J91" s="184" t="s">
        <v>112</v>
      </c>
      <c r="K91" s="184" t="s">
        <v>120</v>
      </c>
      <c r="L91" s="184" t="s">
        <v>117</v>
      </c>
      <c r="M91" s="184">
        <v>1.0</v>
      </c>
      <c r="N91" s="184" t="s">
        <v>116</v>
      </c>
      <c r="O91" s="184">
        <v>16.0</v>
      </c>
      <c r="P91" s="184">
        <v>1.0</v>
      </c>
      <c r="Q91" s="184">
        <v>1.0</v>
      </c>
      <c r="R91" s="184" t="s">
        <v>121</v>
      </c>
      <c r="S91" s="218">
        <v>42705.0</v>
      </c>
      <c r="T91" s="105"/>
      <c r="U91" s="105" t="s">
        <v>3143</v>
      </c>
      <c r="V91" s="184" t="s">
        <v>3144</v>
      </c>
      <c r="W91" s="184" t="s">
        <v>122</v>
      </c>
      <c r="X91" s="170"/>
      <c r="Y91" s="170"/>
      <c r="Z91" s="170"/>
      <c r="AA91" s="219">
        <v>42648.0</v>
      </c>
      <c r="AB91" s="219">
        <v>42655.0</v>
      </c>
      <c r="AC91" s="4"/>
      <c r="AD91" s="4"/>
      <c r="AE91" s="184"/>
      <c r="AF91" s="4"/>
      <c r="AG91" s="4"/>
      <c r="AH91" s="216" t="s">
        <v>2071</v>
      </c>
      <c r="AI91" s="216" t="s">
        <v>3145</v>
      </c>
      <c r="AJ91" s="184"/>
      <c r="AK91" s="184" t="s">
        <v>2163</v>
      </c>
      <c r="AL91" s="200">
        <f t="shared" si="4"/>
        <v>37</v>
      </c>
      <c r="AM91" s="201">
        <v>2016.0</v>
      </c>
    </row>
    <row r="92">
      <c r="A92" s="158">
        <f t="shared" si="1"/>
        <v>15365361</v>
      </c>
      <c r="B92" s="242">
        <v>91.0</v>
      </c>
      <c r="C92" s="242"/>
      <c r="D92" s="184" t="str">
        <f>IFERROR(VLOOKUP(E92,INFORMACION!D:E,2,0),"INGRESAR CENTRO DE COSTO A LA DERECHA")</f>
        <v>INGRESAR CENTRO DE COSTO A LA DERECHA</v>
      </c>
      <c r="E92" s="184" t="s">
        <v>3146</v>
      </c>
      <c r="F92" s="195" t="s">
        <v>2650</v>
      </c>
      <c r="G92" s="186" t="s">
        <v>3147</v>
      </c>
      <c r="H92" s="186">
        <v>17.0</v>
      </c>
      <c r="I92" s="186" t="s">
        <v>2541</v>
      </c>
      <c r="J92" s="184" t="s">
        <v>112</v>
      </c>
      <c r="K92" s="184" t="s">
        <v>120</v>
      </c>
      <c r="L92" s="184" t="s">
        <v>117</v>
      </c>
      <c r="M92" s="184">
        <v>0.0</v>
      </c>
      <c r="N92" s="184" t="s">
        <v>116</v>
      </c>
      <c r="O92" s="184">
        <v>15.0</v>
      </c>
      <c r="P92" s="184">
        <v>1.0</v>
      </c>
      <c r="Q92" s="184">
        <v>1.0</v>
      </c>
      <c r="R92" s="184" t="s">
        <v>121</v>
      </c>
      <c r="S92" s="218">
        <v>42583.0</v>
      </c>
      <c r="T92" s="105"/>
      <c r="U92" s="105" t="s">
        <v>3148</v>
      </c>
      <c r="V92" s="184" t="s">
        <v>3149</v>
      </c>
      <c r="W92" s="184" t="s">
        <v>118</v>
      </c>
      <c r="X92" s="197" t="s">
        <v>150</v>
      </c>
      <c r="Y92" s="197"/>
      <c r="Z92" s="197"/>
      <c r="AA92" s="219">
        <v>42510.0</v>
      </c>
      <c r="AB92" s="219">
        <v>42517.0</v>
      </c>
      <c r="AC92" s="4"/>
      <c r="AD92" s="4"/>
      <c r="AE92" s="184"/>
      <c r="AF92" s="4"/>
      <c r="AG92" s="4"/>
      <c r="AH92" s="216" t="s">
        <v>2071</v>
      </c>
      <c r="AI92" s="216" t="s">
        <v>3028</v>
      </c>
      <c r="AJ92" s="184"/>
      <c r="AK92" s="184" t="s">
        <v>2163</v>
      </c>
      <c r="AL92" s="200">
        <f t="shared" si="4"/>
        <v>47</v>
      </c>
      <c r="AM92" s="201">
        <v>2016.0</v>
      </c>
    </row>
    <row r="93">
      <c r="A93" s="158">
        <f t="shared" si="1"/>
        <v>8451850</v>
      </c>
      <c r="B93" s="242">
        <v>92.0</v>
      </c>
      <c r="C93" s="242"/>
      <c r="D93" s="184" t="str">
        <f>IFERROR(VLOOKUP(E93,INFORMACION!D:E,2,0),"INGRESAR CENTRO DE COSTO A LA DERECHA")</f>
        <v>INGRESAR CENTRO DE COSTO A LA DERECHA</v>
      </c>
      <c r="E93" s="184" t="s">
        <v>3042</v>
      </c>
      <c r="F93" s="195" t="s">
        <v>2606</v>
      </c>
      <c r="G93" s="186" t="s">
        <v>3150</v>
      </c>
      <c r="H93" s="186">
        <v>17.0</v>
      </c>
      <c r="I93" s="186" t="s">
        <v>2541</v>
      </c>
      <c r="J93" s="184" t="s">
        <v>112</v>
      </c>
      <c r="K93" s="184" t="s">
        <v>120</v>
      </c>
      <c r="L93" s="184" t="s">
        <v>117</v>
      </c>
      <c r="M93" s="184">
        <v>1.0</v>
      </c>
      <c r="N93" s="184" t="s">
        <v>116</v>
      </c>
      <c r="O93" s="184">
        <v>17.0</v>
      </c>
      <c r="P93" s="184">
        <v>2.0</v>
      </c>
      <c r="Q93" s="184">
        <v>1.0</v>
      </c>
      <c r="R93" s="184" t="s">
        <v>121</v>
      </c>
      <c r="S93" s="218">
        <v>42706.0</v>
      </c>
      <c r="T93" s="105"/>
      <c r="U93" s="105" t="s">
        <v>3151</v>
      </c>
      <c r="V93" s="184" t="s">
        <v>3152</v>
      </c>
      <c r="W93" s="184" t="s">
        <v>118</v>
      </c>
      <c r="X93" s="197" t="s">
        <v>2413</v>
      </c>
      <c r="Y93" s="170"/>
      <c r="Z93" s="170"/>
      <c r="AA93" s="219">
        <v>42634.0</v>
      </c>
      <c r="AB93" s="219">
        <v>42641.0</v>
      </c>
      <c r="AC93" s="4"/>
      <c r="AD93" s="4"/>
      <c r="AE93" s="184"/>
      <c r="AF93" s="4"/>
      <c r="AG93" s="4"/>
      <c r="AH93" s="216" t="s">
        <v>2071</v>
      </c>
      <c r="AI93" s="216" t="s">
        <v>2880</v>
      </c>
      <c r="AJ93" s="184"/>
      <c r="AK93" s="184" t="s">
        <v>2163</v>
      </c>
      <c r="AL93" s="200">
        <f t="shared" si="4"/>
        <v>48</v>
      </c>
      <c r="AM93" s="201">
        <v>2016.0</v>
      </c>
    </row>
    <row r="94">
      <c r="A94" s="158">
        <f t="shared" si="1"/>
        <v>16407416</v>
      </c>
      <c r="B94" s="236">
        <v>93.0</v>
      </c>
      <c r="C94" s="236"/>
      <c r="D94" s="184" t="str">
        <f>IFERROR(VLOOKUP(E94,INFORMACION!D:E,2,0),"INGRESAR CENTRO DE COSTO A LA DERECHA")</f>
        <v>INGRESAR CENTRO DE COSTO A LA DERECHA</v>
      </c>
      <c r="E94" s="184" t="s">
        <v>3000</v>
      </c>
      <c r="F94" s="195" t="s">
        <v>2382</v>
      </c>
      <c r="G94" s="186" t="s">
        <v>2383</v>
      </c>
      <c r="H94" s="186">
        <v>20.0</v>
      </c>
      <c r="I94" s="186" t="s">
        <v>2541</v>
      </c>
      <c r="J94" s="184" t="s">
        <v>112</v>
      </c>
      <c r="K94" s="184" t="s">
        <v>125</v>
      </c>
      <c r="L94" s="184" t="s">
        <v>117</v>
      </c>
      <c r="M94" s="184">
        <v>0.0</v>
      </c>
      <c r="N94" s="184" t="s">
        <v>116</v>
      </c>
      <c r="O94" s="184">
        <v>3.0</v>
      </c>
      <c r="P94" s="184">
        <v>1.0</v>
      </c>
      <c r="Q94" s="184">
        <v>1.0</v>
      </c>
      <c r="R94" s="184" t="s">
        <v>115</v>
      </c>
      <c r="S94" s="218">
        <v>42705.0</v>
      </c>
      <c r="T94" s="105"/>
      <c r="U94" s="105" t="s">
        <v>3153</v>
      </c>
      <c r="V94" s="184" t="s">
        <v>3154</v>
      </c>
      <c r="W94" s="184" t="s">
        <v>122</v>
      </c>
      <c r="X94" s="170"/>
      <c r="Y94" s="170"/>
      <c r="Z94" s="170"/>
      <c r="AA94" s="219">
        <v>42634.0</v>
      </c>
      <c r="AB94" s="219">
        <v>42641.0</v>
      </c>
      <c r="AC94" s="4"/>
      <c r="AD94" s="4"/>
      <c r="AE94" s="184"/>
      <c r="AF94" s="4"/>
      <c r="AG94" s="4"/>
      <c r="AH94" s="216" t="s">
        <v>2071</v>
      </c>
      <c r="AI94" s="216" t="s">
        <v>3155</v>
      </c>
      <c r="AJ94" s="184"/>
      <c r="AK94" s="184" t="s">
        <v>1612</v>
      </c>
      <c r="AL94" s="200">
        <f t="shared" si="4"/>
        <v>47</v>
      </c>
      <c r="AM94" s="201">
        <v>2016.0</v>
      </c>
    </row>
    <row r="95">
      <c r="A95" s="158">
        <f t="shared" si="1"/>
        <v>16390180</v>
      </c>
      <c r="B95" s="236">
        <v>94.0</v>
      </c>
      <c r="C95" s="236"/>
      <c r="D95" s="184" t="str">
        <f>IFERROR(VLOOKUP(E95,INFORMACION!D:E,2,0),"INGRESAR CENTRO DE COSTO A LA DERECHA")</f>
        <v>INGRESAR CENTRO DE COSTO A LA DERECHA</v>
      </c>
      <c r="E95" s="184" t="s">
        <v>3156</v>
      </c>
      <c r="F95" s="195" t="s">
        <v>3102</v>
      </c>
      <c r="G95" s="186" t="s">
        <v>3157</v>
      </c>
      <c r="H95" s="186">
        <v>13.0</v>
      </c>
      <c r="I95" s="186" t="s">
        <v>2541</v>
      </c>
      <c r="J95" s="184" t="s">
        <v>112</v>
      </c>
      <c r="K95" s="184" t="s">
        <v>120</v>
      </c>
      <c r="L95" s="184" t="s">
        <v>117</v>
      </c>
      <c r="M95" s="184">
        <v>10.0</v>
      </c>
      <c r="N95" s="184" t="s">
        <v>122</v>
      </c>
      <c r="O95" s="184">
        <v>0.0</v>
      </c>
      <c r="P95" s="184">
        <v>2.0</v>
      </c>
      <c r="Q95" s="184">
        <v>1.0</v>
      </c>
      <c r="R95" s="184" t="s">
        <v>121</v>
      </c>
      <c r="S95" s="218">
        <v>42719.0</v>
      </c>
      <c r="T95" s="105" t="s">
        <v>987</v>
      </c>
      <c r="U95" s="105"/>
      <c r="V95" s="184" t="s">
        <v>3158</v>
      </c>
      <c r="W95" s="184" t="s">
        <v>122</v>
      </c>
      <c r="X95" s="170"/>
      <c r="Y95" s="170"/>
      <c r="Z95" s="170"/>
      <c r="AA95" s="219">
        <v>42662.0</v>
      </c>
      <c r="AB95" s="219">
        <v>42669.0</v>
      </c>
      <c r="AC95" s="4"/>
      <c r="AD95" s="4"/>
      <c r="AE95" s="184"/>
      <c r="AF95" s="4"/>
      <c r="AG95" s="4"/>
      <c r="AH95" s="216" t="s">
        <v>2071</v>
      </c>
      <c r="AI95" s="216" t="s">
        <v>3028</v>
      </c>
      <c r="AJ95" s="184"/>
      <c r="AK95" s="184" t="s">
        <v>1612</v>
      </c>
      <c r="AL95" s="200">
        <f t="shared" si="4"/>
        <v>37</v>
      </c>
      <c r="AM95" s="201">
        <v>2016.0</v>
      </c>
    </row>
    <row r="96">
      <c r="A96" s="158">
        <f t="shared" si="1"/>
        <v>17005536</v>
      </c>
      <c r="B96" s="242">
        <v>95.0</v>
      </c>
      <c r="C96" s="242"/>
      <c r="D96" s="184" t="str">
        <f>IFERROR(VLOOKUP(E96,INFORMACION!D:E,2,0),"INGRESAR CENTRO DE COSTO A LA DERECHA")</f>
        <v>INGRESAR CENTRO DE COSTO A LA DERECHA</v>
      </c>
      <c r="E96" s="184" t="s">
        <v>2841</v>
      </c>
      <c r="F96" s="195" t="s">
        <v>1970</v>
      </c>
      <c r="G96" s="186" t="s">
        <v>1638</v>
      </c>
      <c r="H96" s="186">
        <v>23.0</v>
      </c>
      <c r="I96" s="186" t="s">
        <v>2541</v>
      </c>
      <c r="J96" s="184" t="s">
        <v>112</v>
      </c>
      <c r="K96" s="184" t="s">
        <v>127</v>
      </c>
      <c r="L96" s="184" t="s">
        <v>117</v>
      </c>
      <c r="M96" s="184">
        <v>1.0</v>
      </c>
      <c r="N96" s="184" t="s">
        <v>116</v>
      </c>
      <c r="O96" s="184">
        <v>13.0</v>
      </c>
      <c r="P96" s="184">
        <v>1.0</v>
      </c>
      <c r="Q96" s="184">
        <v>1.0</v>
      </c>
      <c r="R96" s="184" t="s">
        <v>115</v>
      </c>
      <c r="S96" s="218">
        <v>42695.0</v>
      </c>
      <c r="T96" s="105"/>
      <c r="U96" s="105" t="s">
        <v>3159</v>
      </c>
      <c r="V96" s="184" t="s">
        <v>3160</v>
      </c>
      <c r="W96" s="184" t="s">
        <v>118</v>
      </c>
      <c r="X96" s="197" t="s">
        <v>2405</v>
      </c>
      <c r="Y96" s="170"/>
      <c r="Z96" s="170"/>
      <c r="AA96" s="219">
        <v>42655.0</v>
      </c>
      <c r="AB96" s="219">
        <v>42662.0</v>
      </c>
      <c r="AC96" s="4"/>
      <c r="AD96" s="4"/>
      <c r="AE96" s="184"/>
      <c r="AF96" s="4"/>
      <c r="AG96" s="4"/>
      <c r="AH96" s="216" t="s">
        <v>2071</v>
      </c>
      <c r="AI96" s="216" t="s">
        <v>3161</v>
      </c>
      <c r="AJ96" s="184"/>
      <c r="AK96" s="184" t="s">
        <v>1612</v>
      </c>
      <c r="AL96" s="200">
        <f t="shared" si="4"/>
        <v>24</v>
      </c>
      <c r="AM96" s="201">
        <v>2016.0</v>
      </c>
    </row>
    <row r="97">
      <c r="A97" s="158">
        <f t="shared" si="1"/>
        <v>13636345</v>
      </c>
      <c r="B97" s="242">
        <v>96.0</v>
      </c>
      <c r="C97" s="242"/>
      <c r="D97" s="184" t="str">
        <f>IFERROR(VLOOKUP(E97,INFORMACION!D:E,2,0),"INGRESAR CENTRO DE COSTO A LA DERECHA")</f>
        <v>INGRESAR CENTRO DE COSTO A LA DERECHA</v>
      </c>
      <c r="E97" s="184" t="s">
        <v>3162</v>
      </c>
      <c r="F97" s="195" t="s">
        <v>2625</v>
      </c>
      <c r="G97" s="186" t="s">
        <v>3163</v>
      </c>
      <c r="H97" s="186">
        <v>10.0</v>
      </c>
      <c r="I97" s="186" t="s">
        <v>2541</v>
      </c>
      <c r="J97" s="184" t="s">
        <v>112</v>
      </c>
      <c r="K97" s="184" t="s">
        <v>114</v>
      </c>
      <c r="L97" s="184" t="s">
        <v>122</v>
      </c>
      <c r="M97" s="184">
        <v>0.0</v>
      </c>
      <c r="N97" s="184" t="s">
        <v>116</v>
      </c>
      <c r="O97" s="184">
        <v>3.0</v>
      </c>
      <c r="P97" s="184">
        <v>3.0</v>
      </c>
      <c r="Q97" s="184">
        <v>1.0</v>
      </c>
      <c r="R97" s="184" t="s">
        <v>115</v>
      </c>
      <c r="S97" s="218">
        <v>42522.0</v>
      </c>
      <c r="T97" s="105"/>
      <c r="U97" s="105" t="s">
        <v>3164</v>
      </c>
      <c r="V97" s="184" t="s">
        <v>3165</v>
      </c>
      <c r="W97" s="184" t="s">
        <v>118</v>
      </c>
      <c r="X97" s="197" t="s">
        <v>2141</v>
      </c>
      <c r="Y97" s="170"/>
      <c r="Z97" s="170"/>
      <c r="AA97" s="219">
        <v>42459.0</v>
      </c>
      <c r="AB97" s="219">
        <v>42466.0</v>
      </c>
      <c r="AC97" s="4"/>
      <c r="AD97" s="4"/>
      <c r="AE97" s="184"/>
      <c r="AF97" s="4"/>
      <c r="AG97" s="4"/>
      <c r="AH97" s="216" t="s">
        <v>2071</v>
      </c>
      <c r="AI97" s="216" t="s">
        <v>3166</v>
      </c>
      <c r="AJ97" s="184"/>
      <c r="AK97" s="184" t="s">
        <v>2163</v>
      </c>
      <c r="AL97" s="200">
        <f t="shared" si="4"/>
        <v>41</v>
      </c>
      <c r="AM97" s="201">
        <v>2016.0</v>
      </c>
    </row>
    <row r="98">
      <c r="A98" s="158">
        <f t="shared" si="1"/>
        <v>11925652</v>
      </c>
      <c r="B98" s="254">
        <v>97.0</v>
      </c>
      <c r="C98" s="254"/>
      <c r="D98" s="184" t="str">
        <f>IFERROR(VLOOKUP(E98,INFORMACION!D:E,2,0),"INGRESAR CENTRO DE COSTO A LA DERECHA")</f>
        <v>INGRESAR CENTRO DE COSTO A LA DERECHA</v>
      </c>
      <c r="E98" s="184" t="s">
        <v>3162</v>
      </c>
      <c r="F98" s="195" t="s">
        <v>3102</v>
      </c>
      <c r="G98" s="186" t="s">
        <v>3167</v>
      </c>
      <c r="H98" s="186">
        <v>17.0</v>
      </c>
      <c r="I98" s="186" t="s">
        <v>2541</v>
      </c>
      <c r="J98" s="184" t="s">
        <v>112</v>
      </c>
      <c r="K98" s="184" t="s">
        <v>120</v>
      </c>
      <c r="L98" s="184" t="s">
        <v>122</v>
      </c>
      <c r="M98" s="184">
        <v>0.0</v>
      </c>
      <c r="N98" s="184" t="s">
        <v>116</v>
      </c>
      <c r="O98" s="184">
        <v>1.0</v>
      </c>
      <c r="P98" s="184">
        <v>1.0</v>
      </c>
      <c r="Q98" s="184">
        <v>1.0</v>
      </c>
      <c r="R98" s="184" t="s">
        <v>121</v>
      </c>
      <c r="S98" s="218">
        <v>42436.0</v>
      </c>
      <c r="T98" s="105"/>
      <c r="U98" s="105" t="s">
        <v>3168</v>
      </c>
      <c r="V98" s="184" t="s">
        <v>3169</v>
      </c>
      <c r="W98" s="184" t="s">
        <v>122</v>
      </c>
      <c r="X98" s="170"/>
      <c r="Y98" s="170"/>
      <c r="Z98" s="170"/>
      <c r="AA98" s="219"/>
      <c r="AB98" s="219"/>
      <c r="AC98" s="4"/>
      <c r="AD98" s="4"/>
      <c r="AE98" s="184"/>
      <c r="AF98" s="4"/>
      <c r="AG98" s="4"/>
      <c r="AH98" s="216" t="s">
        <v>3170</v>
      </c>
      <c r="AI98" s="216" t="s">
        <v>3171</v>
      </c>
      <c r="AJ98" s="184"/>
      <c r="AK98" s="184" t="s">
        <v>2163</v>
      </c>
      <c r="AL98" s="200" t="str">
        <f t="shared" si="4"/>
        <v/>
      </c>
      <c r="AM98" s="201">
        <v>2016.0</v>
      </c>
    </row>
    <row r="99">
      <c r="A99" s="158">
        <f t="shared" si="1"/>
        <v>15293811</v>
      </c>
      <c r="B99" s="236">
        <v>98.0</v>
      </c>
      <c r="C99" s="236"/>
      <c r="D99" s="184" t="str">
        <f>IFERROR(VLOOKUP(E99,INFORMACION!D:E,2,0),"INGRESAR CENTRO DE COSTO A LA DERECHA")</f>
        <v>INGRESAR CENTRO DE COSTO A LA DERECHA</v>
      </c>
      <c r="E99" s="184" t="s">
        <v>3162</v>
      </c>
      <c r="F99" s="195" t="s">
        <v>2635</v>
      </c>
      <c r="G99" s="186" t="s">
        <v>2418</v>
      </c>
      <c r="H99" s="186">
        <v>13.0</v>
      </c>
      <c r="I99" s="186" t="s">
        <v>2541</v>
      </c>
      <c r="J99" s="184" t="s">
        <v>112</v>
      </c>
      <c r="K99" s="184" t="s">
        <v>114</v>
      </c>
      <c r="L99" s="184" t="s">
        <v>122</v>
      </c>
      <c r="M99" s="184">
        <v>0.0</v>
      </c>
      <c r="N99" s="184" t="s">
        <v>116</v>
      </c>
      <c r="O99" s="184">
        <v>3.0</v>
      </c>
      <c r="P99" s="184">
        <v>3.0</v>
      </c>
      <c r="Q99" s="184">
        <v>1.0</v>
      </c>
      <c r="R99" s="184" t="s">
        <v>121</v>
      </c>
      <c r="S99" s="218">
        <v>42583.0</v>
      </c>
      <c r="T99" s="105"/>
      <c r="U99" s="105" t="s">
        <v>3172</v>
      </c>
      <c r="V99" s="184" t="s">
        <v>3173</v>
      </c>
      <c r="W99" s="184" t="s">
        <v>122</v>
      </c>
      <c r="X99" s="170"/>
      <c r="Y99" s="170"/>
      <c r="Z99" s="170"/>
      <c r="AA99" s="219">
        <v>42498.0</v>
      </c>
      <c r="AB99" s="219">
        <v>42526.0</v>
      </c>
      <c r="AC99" s="4"/>
      <c r="AD99" s="4"/>
      <c r="AE99" s="184"/>
      <c r="AF99" s="4"/>
      <c r="AG99" s="4"/>
      <c r="AH99" s="216" t="s">
        <v>2071</v>
      </c>
      <c r="AI99" s="216" t="s">
        <v>2645</v>
      </c>
      <c r="AJ99" s="184"/>
      <c r="AK99" s="184" t="s">
        <v>2163</v>
      </c>
      <c r="AL99" s="200">
        <f t="shared" si="4"/>
        <v>41</v>
      </c>
      <c r="AM99" s="201">
        <v>2016.0</v>
      </c>
    </row>
    <row r="100">
      <c r="A100" s="158">
        <f t="shared" si="1"/>
        <v>15566567</v>
      </c>
      <c r="B100" s="254">
        <v>99.0</v>
      </c>
      <c r="C100" s="254"/>
      <c r="D100" s="184" t="str">
        <f>IFERROR(VLOOKUP(E100,INFORMACION!D:E,2,0),"INGRESAR CENTRO DE COSTO A LA DERECHA")</f>
        <v>INGRESAR CENTRO DE COSTO A LA DERECHA</v>
      </c>
      <c r="E100" s="184" t="s">
        <v>3011</v>
      </c>
      <c r="F100" s="195" t="s">
        <v>2977</v>
      </c>
      <c r="G100" s="186" t="s">
        <v>3174</v>
      </c>
      <c r="H100" s="186">
        <v>8.0</v>
      </c>
      <c r="I100" s="186" t="s">
        <v>2541</v>
      </c>
      <c r="J100" s="184" t="s">
        <v>112</v>
      </c>
      <c r="K100" s="184" t="s">
        <v>114</v>
      </c>
      <c r="L100" s="184" t="s">
        <v>117</v>
      </c>
      <c r="M100" s="184">
        <v>4.0</v>
      </c>
      <c r="N100" s="184" t="s">
        <v>122</v>
      </c>
      <c r="O100" s="184">
        <v>0.0</v>
      </c>
      <c r="P100" s="184">
        <v>2.0</v>
      </c>
      <c r="Q100" s="184">
        <v>0.0</v>
      </c>
      <c r="R100" s="184" t="s">
        <v>115</v>
      </c>
      <c r="S100" s="218">
        <v>42748.0</v>
      </c>
      <c r="T100" s="105" t="s">
        <v>1533</v>
      </c>
      <c r="U100" s="105"/>
      <c r="V100" s="184" t="s">
        <v>2087</v>
      </c>
      <c r="W100" s="184" t="s">
        <v>122</v>
      </c>
      <c r="X100" s="170"/>
      <c r="Y100" s="170"/>
      <c r="Z100" s="170"/>
      <c r="AA100" s="219">
        <v>42705.0</v>
      </c>
      <c r="AB100" s="219">
        <v>42583.0</v>
      </c>
      <c r="AC100" s="4"/>
      <c r="AD100" s="4"/>
      <c r="AE100" s="184"/>
      <c r="AF100" s="4"/>
      <c r="AG100" s="4"/>
      <c r="AH100" s="216" t="s">
        <v>2071</v>
      </c>
      <c r="AI100" s="216" t="s">
        <v>3175</v>
      </c>
      <c r="AJ100" s="184"/>
      <c r="AK100" s="184" t="s">
        <v>1612</v>
      </c>
      <c r="AL100" s="200">
        <f t="shared" si="4"/>
        <v>120</v>
      </c>
      <c r="AM100" s="201">
        <v>2016.0</v>
      </c>
    </row>
    <row r="101">
      <c r="A101" s="158">
        <f t="shared" si="1"/>
        <v>17244200</v>
      </c>
      <c r="B101" s="242">
        <v>100.0</v>
      </c>
      <c r="C101" s="242"/>
      <c r="D101" s="184" t="str">
        <f>IFERROR(VLOOKUP(E101,INFORMACION!D:E,2,0),"INGRESAR CENTRO DE COSTO A LA DERECHA")</f>
        <v>INGRESAR CENTRO DE COSTO A LA DERECHA</v>
      </c>
      <c r="E101" s="184" t="s">
        <v>3176</v>
      </c>
      <c r="F101" s="195" t="s">
        <v>1915</v>
      </c>
      <c r="G101" s="186" t="s">
        <v>1916</v>
      </c>
      <c r="H101" s="186">
        <v>20.0</v>
      </c>
      <c r="I101" s="186" t="s">
        <v>2541</v>
      </c>
      <c r="J101" s="184" t="s">
        <v>112</v>
      </c>
      <c r="K101" s="184" t="s">
        <v>125</v>
      </c>
      <c r="L101" s="184" t="s">
        <v>117</v>
      </c>
      <c r="M101" s="184">
        <v>0.0</v>
      </c>
      <c r="N101" s="184" t="s">
        <v>116</v>
      </c>
      <c r="O101" s="184">
        <v>5.0</v>
      </c>
      <c r="P101" s="184">
        <v>2.0</v>
      </c>
      <c r="Q101" s="184">
        <v>1.0</v>
      </c>
      <c r="R101" s="184" t="s">
        <v>115</v>
      </c>
      <c r="S101" s="218">
        <v>42795.0</v>
      </c>
      <c r="T101" s="105"/>
      <c r="U101" s="105" t="s">
        <v>3177</v>
      </c>
      <c r="V101" s="184" t="s">
        <v>3178</v>
      </c>
      <c r="W101" s="184" t="s">
        <v>118</v>
      </c>
      <c r="X101" s="197" t="s">
        <v>2102</v>
      </c>
      <c r="Y101" s="170"/>
      <c r="Z101" s="170"/>
      <c r="AA101" s="219">
        <v>42649.0</v>
      </c>
      <c r="AB101" s="219">
        <v>42656.0</v>
      </c>
      <c r="AC101" s="4"/>
      <c r="AD101" s="4"/>
      <c r="AE101" s="184"/>
      <c r="AF101" s="4"/>
      <c r="AG101" s="4"/>
      <c r="AH101" s="216" t="s">
        <v>2071</v>
      </c>
      <c r="AI101" s="216" t="s">
        <v>3179</v>
      </c>
      <c r="AJ101" s="184"/>
      <c r="AK101" s="184" t="s">
        <v>1612</v>
      </c>
      <c r="AL101" s="200">
        <f t="shared" si="4"/>
        <v>100</v>
      </c>
      <c r="AM101" s="201">
        <v>2016.0</v>
      </c>
    </row>
    <row r="102">
      <c r="A102" s="158">
        <f t="shared" si="1"/>
        <v>16875601</v>
      </c>
      <c r="B102" s="254">
        <v>101.0</v>
      </c>
      <c r="C102" s="254"/>
      <c r="D102" s="184" t="str">
        <f>IFERROR(VLOOKUP(E102,INFORMACION!D:E,2,0),"INGRESAR CENTRO DE COSTO A LA DERECHA")</f>
        <v>INGRESAR CENTRO DE COSTO A LA DERECHA</v>
      </c>
      <c r="E102" s="184" t="s">
        <v>3180</v>
      </c>
      <c r="F102" s="195" t="s">
        <v>2835</v>
      </c>
      <c r="G102" s="186" t="s">
        <v>3181</v>
      </c>
      <c r="H102" s="186">
        <v>10.0</v>
      </c>
      <c r="I102" s="186" t="s">
        <v>2541</v>
      </c>
      <c r="J102" s="184" t="s">
        <v>112</v>
      </c>
      <c r="K102" s="184" t="s">
        <v>114</v>
      </c>
      <c r="L102" s="184" t="s">
        <v>117</v>
      </c>
      <c r="M102" s="184">
        <v>2.0</v>
      </c>
      <c r="N102" s="184" t="s">
        <v>116</v>
      </c>
      <c r="O102" s="184">
        <v>16.0</v>
      </c>
      <c r="P102" s="184">
        <v>2.0</v>
      </c>
      <c r="Q102" s="184">
        <v>1.0</v>
      </c>
      <c r="R102" s="184" t="s">
        <v>115</v>
      </c>
      <c r="S102" s="218">
        <v>42795.0</v>
      </c>
      <c r="T102" s="105"/>
      <c r="U102" s="105" t="s">
        <v>3182</v>
      </c>
      <c r="V102" s="184" t="s">
        <v>3183</v>
      </c>
      <c r="W102" s="184" t="s">
        <v>118</v>
      </c>
      <c r="X102" s="197" t="s">
        <v>2523</v>
      </c>
      <c r="Y102" s="197" t="s">
        <v>2102</v>
      </c>
      <c r="Z102" s="197" t="s">
        <v>174</v>
      </c>
      <c r="AA102" s="219">
        <v>42691.0</v>
      </c>
      <c r="AB102" s="219">
        <v>42698.0</v>
      </c>
      <c r="AC102" s="4"/>
      <c r="AD102" s="4"/>
      <c r="AE102" s="184"/>
      <c r="AF102" s="4"/>
      <c r="AG102" s="4"/>
      <c r="AH102" s="216" t="s">
        <v>2071</v>
      </c>
      <c r="AI102" s="216" t="s">
        <v>3184</v>
      </c>
      <c r="AJ102" s="184"/>
      <c r="AK102" s="184" t="s">
        <v>2163</v>
      </c>
      <c r="AL102" s="200">
        <f t="shared" si="4"/>
        <v>70</v>
      </c>
      <c r="AM102" s="201">
        <v>2016.0</v>
      </c>
    </row>
    <row r="103">
      <c r="A103" s="158">
        <f t="shared" si="1"/>
        <v>17050435</v>
      </c>
      <c r="B103" s="236">
        <v>102.0</v>
      </c>
      <c r="C103" s="236"/>
      <c r="D103" s="184" t="str">
        <f>IFERROR(VLOOKUP(E103,INFORMACION!D:E,2,0),"INGRESAR CENTRO DE COSTO A LA DERECHA")</f>
        <v>INGRESAR CENTRO DE COSTO A LA DERECHA</v>
      </c>
      <c r="E103" s="184" t="s">
        <v>1740</v>
      </c>
      <c r="F103" s="195" t="s">
        <v>2606</v>
      </c>
      <c r="G103" s="186" t="s">
        <v>1930</v>
      </c>
      <c r="H103" s="186">
        <v>17.0</v>
      </c>
      <c r="I103" s="186" t="s">
        <v>2541</v>
      </c>
      <c r="J103" s="184" t="s">
        <v>112</v>
      </c>
      <c r="K103" s="184" t="s">
        <v>120</v>
      </c>
      <c r="L103" s="184" t="s">
        <v>117</v>
      </c>
      <c r="M103" s="184">
        <v>1.0</v>
      </c>
      <c r="N103" s="184" t="s">
        <v>122</v>
      </c>
      <c r="O103" s="184">
        <v>0.0</v>
      </c>
      <c r="P103" s="184">
        <v>1.0</v>
      </c>
      <c r="Q103" s="184">
        <v>0.0</v>
      </c>
      <c r="R103" s="184" t="s">
        <v>121</v>
      </c>
      <c r="S103" s="218">
        <v>42826.0</v>
      </c>
      <c r="T103" s="105" t="s">
        <v>1407</v>
      </c>
      <c r="U103" s="105"/>
      <c r="V103" s="184" t="s">
        <v>2678</v>
      </c>
      <c r="W103" s="184" t="s">
        <v>122</v>
      </c>
      <c r="X103" s="170"/>
      <c r="Y103" s="170"/>
      <c r="Z103" s="170"/>
      <c r="AA103" s="219">
        <v>42719.0</v>
      </c>
      <c r="AB103" s="219">
        <v>42726.0</v>
      </c>
      <c r="AC103" s="4"/>
      <c r="AD103" s="4"/>
      <c r="AE103" s="184"/>
      <c r="AF103" s="4"/>
      <c r="AG103" s="4"/>
      <c r="AH103" s="216" t="s">
        <v>2071</v>
      </c>
      <c r="AI103" s="216" t="s">
        <v>3185</v>
      </c>
      <c r="AJ103" s="184"/>
      <c r="AK103" s="184" t="s">
        <v>1612</v>
      </c>
      <c r="AL103" s="200">
        <f t="shared" si="4"/>
        <v>72</v>
      </c>
      <c r="AM103" s="201">
        <v>2016.0</v>
      </c>
    </row>
    <row r="104">
      <c r="A104" s="158">
        <f t="shared" si="1"/>
        <v>13042684</v>
      </c>
      <c r="B104" s="254">
        <v>103.0</v>
      </c>
      <c r="C104" s="254"/>
      <c r="D104" s="184" t="str">
        <f>IFERROR(VLOOKUP(E104,INFORMACION!D:E,2,0),"INGRESAR CENTRO DE COSTO A LA DERECHA")</f>
        <v>INGRESAR CENTRO DE COSTO A LA DERECHA</v>
      </c>
      <c r="E104" s="184" t="s">
        <v>3095</v>
      </c>
      <c r="F104" s="195" t="s">
        <v>3186</v>
      </c>
      <c r="G104" s="186" t="s">
        <v>3187</v>
      </c>
      <c r="H104" s="186">
        <v>10.0</v>
      </c>
      <c r="I104" s="186" t="s">
        <v>2541</v>
      </c>
      <c r="J104" s="184" t="s">
        <v>112</v>
      </c>
      <c r="K104" s="184" t="s">
        <v>120</v>
      </c>
      <c r="L104" s="184" t="s">
        <v>117</v>
      </c>
      <c r="M104" s="184">
        <v>1.0</v>
      </c>
      <c r="N104" s="184" t="s">
        <v>122</v>
      </c>
      <c r="O104" s="184">
        <v>0.0</v>
      </c>
      <c r="P104" s="184">
        <v>1.0</v>
      </c>
      <c r="Q104" s="184">
        <v>0.0</v>
      </c>
      <c r="R104" s="184" t="s">
        <v>121</v>
      </c>
      <c r="S104" s="218">
        <v>42614.0</v>
      </c>
      <c r="T104" s="105" t="s">
        <v>822</v>
      </c>
      <c r="U104" s="105"/>
      <c r="V104" s="184" t="s">
        <v>2706</v>
      </c>
      <c r="W104" s="184" t="s">
        <v>122</v>
      </c>
      <c r="X104" s="170"/>
      <c r="Y104" s="170"/>
      <c r="Z104" s="170"/>
      <c r="AA104" s="219">
        <v>42544.0</v>
      </c>
      <c r="AB104" s="219">
        <v>42551.0</v>
      </c>
      <c r="AC104" s="4"/>
      <c r="AD104" s="4"/>
      <c r="AE104" s="184"/>
      <c r="AF104" s="4"/>
      <c r="AG104" s="4"/>
      <c r="AH104" s="216" t="s">
        <v>2071</v>
      </c>
      <c r="AI104" s="216" t="s">
        <v>3028</v>
      </c>
      <c r="AJ104" s="184"/>
      <c r="AK104" s="184" t="s">
        <v>2157</v>
      </c>
      <c r="AL104" s="200">
        <f t="shared" si="4"/>
        <v>46</v>
      </c>
      <c r="AM104" s="201">
        <v>2016.0</v>
      </c>
    </row>
    <row r="105">
      <c r="A105" s="158">
        <f t="shared" si="1"/>
        <v>18051229</v>
      </c>
      <c r="B105" s="242">
        <v>104.0</v>
      </c>
      <c r="C105" s="242"/>
      <c r="D105" s="184" t="str">
        <f>IFERROR(VLOOKUP(E105,INFORMACION!D:E,2,0),"INGRESAR CENTRO DE COSTO A LA DERECHA")</f>
        <v>INGRESAR CENTRO DE COSTO A LA DERECHA</v>
      </c>
      <c r="E105" s="184" t="s">
        <v>3095</v>
      </c>
      <c r="F105" s="195" t="s">
        <v>3186</v>
      </c>
      <c r="G105" s="186" t="s">
        <v>3187</v>
      </c>
      <c r="H105" s="186">
        <v>12.0</v>
      </c>
      <c r="I105" s="186" t="s">
        <v>2541</v>
      </c>
      <c r="J105" s="184" t="s">
        <v>112</v>
      </c>
      <c r="K105" s="184" t="s">
        <v>120</v>
      </c>
      <c r="L105" s="184" t="s">
        <v>117</v>
      </c>
      <c r="M105" s="184">
        <v>3.0</v>
      </c>
      <c r="N105" s="184" t="s">
        <v>116</v>
      </c>
      <c r="O105" s="184">
        <v>3.0</v>
      </c>
      <c r="P105" s="184">
        <v>2.0</v>
      </c>
      <c r="Q105" s="184">
        <v>1.0</v>
      </c>
      <c r="R105" s="184" t="s">
        <v>121</v>
      </c>
      <c r="S105" s="218">
        <v>42646.0</v>
      </c>
      <c r="T105" s="105"/>
      <c r="U105" s="105" t="s">
        <v>3188</v>
      </c>
      <c r="V105" s="184" t="s">
        <v>3189</v>
      </c>
      <c r="W105" s="184" t="s">
        <v>122</v>
      </c>
      <c r="X105" s="170"/>
      <c r="Y105" s="170"/>
      <c r="Z105" s="170"/>
      <c r="AA105" s="219">
        <v>42593.0</v>
      </c>
      <c r="AB105" s="219">
        <v>42600.0</v>
      </c>
      <c r="AC105" s="4"/>
      <c r="AD105" s="4"/>
      <c r="AE105" s="184"/>
      <c r="AF105" s="4"/>
      <c r="AG105" s="4"/>
      <c r="AH105" s="216" t="s">
        <v>2071</v>
      </c>
      <c r="AI105" s="216" t="s">
        <v>3028</v>
      </c>
      <c r="AJ105" s="184"/>
      <c r="AK105" s="184" t="s">
        <v>2163</v>
      </c>
      <c r="AL105" s="200">
        <f t="shared" si="4"/>
        <v>33</v>
      </c>
      <c r="AM105" s="201">
        <v>2016.0</v>
      </c>
    </row>
    <row r="106">
      <c r="A106" s="158">
        <f t="shared" si="1"/>
        <v>12366304</v>
      </c>
      <c r="B106" s="254">
        <v>105.0</v>
      </c>
      <c r="C106" s="254"/>
      <c r="D106" s="184" t="str">
        <f>IFERROR(VLOOKUP(E106,INFORMACION!D:E,2,0),"INGRESAR CENTRO DE COSTO A LA DERECHA")</f>
        <v>INGRESAR CENTRO DE COSTO A LA DERECHA</v>
      </c>
      <c r="E106" s="184" t="s">
        <v>2891</v>
      </c>
      <c r="F106" s="195" t="s">
        <v>1970</v>
      </c>
      <c r="G106" s="186" t="s">
        <v>1638</v>
      </c>
      <c r="H106" s="186">
        <v>23.0</v>
      </c>
      <c r="I106" s="186" t="s">
        <v>2541</v>
      </c>
      <c r="J106" s="184" t="s">
        <v>112</v>
      </c>
      <c r="K106" s="184" t="s">
        <v>127</v>
      </c>
      <c r="L106" s="184" t="s">
        <v>117</v>
      </c>
      <c r="M106" s="184">
        <v>0.0</v>
      </c>
      <c r="N106" s="184" t="s">
        <v>116</v>
      </c>
      <c r="O106" s="184">
        <v>19.0</v>
      </c>
      <c r="P106" s="184">
        <v>2.0</v>
      </c>
      <c r="Q106" s="184">
        <v>2.0</v>
      </c>
      <c r="R106" s="184" t="s">
        <v>121</v>
      </c>
      <c r="S106" s="218">
        <v>42614.0</v>
      </c>
      <c r="U106" s="105" t="s">
        <v>3190</v>
      </c>
      <c r="V106" s="184" t="s">
        <v>3191</v>
      </c>
      <c r="W106" s="184" t="s">
        <v>122</v>
      </c>
      <c r="X106" s="170"/>
      <c r="Y106" s="170"/>
      <c r="Z106" s="170"/>
      <c r="AA106" s="219">
        <v>42572.0</v>
      </c>
      <c r="AB106" s="219">
        <v>42576.0</v>
      </c>
      <c r="AC106" s="4"/>
      <c r="AD106" s="4"/>
      <c r="AE106" s="184"/>
      <c r="AF106" s="4"/>
      <c r="AG106" s="4"/>
      <c r="AH106" s="216" t="s">
        <v>2071</v>
      </c>
      <c r="AI106" s="216" t="s">
        <v>3192</v>
      </c>
      <c r="AJ106" s="184"/>
      <c r="AK106" s="184" t="s">
        <v>1612</v>
      </c>
      <c r="AL106" s="200">
        <f t="shared" si="4"/>
        <v>29</v>
      </c>
      <c r="AM106" s="201">
        <v>2016.0</v>
      </c>
    </row>
    <row r="107">
      <c r="A107" s="158">
        <f t="shared" si="1"/>
        <v>11047452</v>
      </c>
      <c r="B107" s="254">
        <v>106.0</v>
      </c>
      <c r="C107" s="254"/>
      <c r="D107" s="184" t="str">
        <f>IFERROR(VLOOKUP(E107,INFORMACION!D:E,2,0),"INGRESAR CENTRO DE COSTO A LA DERECHA")</f>
        <v>INGRESAR CENTRO DE COSTO A LA DERECHA</v>
      </c>
      <c r="E107" s="184" t="s">
        <v>3193</v>
      </c>
      <c r="F107" s="195" t="s">
        <v>3102</v>
      </c>
      <c r="G107" s="186" t="s">
        <v>3194</v>
      </c>
      <c r="H107" s="186">
        <v>17.0</v>
      </c>
      <c r="I107" s="186" t="s">
        <v>2541</v>
      </c>
      <c r="J107" s="184" t="s">
        <v>112</v>
      </c>
      <c r="K107" s="184" t="s">
        <v>120</v>
      </c>
      <c r="L107" s="184" t="s">
        <v>117</v>
      </c>
      <c r="M107" s="184">
        <v>1.0</v>
      </c>
      <c r="N107" s="184" t="s">
        <v>122</v>
      </c>
      <c r="O107" s="184">
        <v>0.0</v>
      </c>
      <c r="P107" s="184">
        <v>1.0</v>
      </c>
      <c r="Q107" s="184">
        <v>0.0</v>
      </c>
      <c r="R107" s="184" t="s">
        <v>121</v>
      </c>
      <c r="S107" s="218">
        <v>42842.0</v>
      </c>
      <c r="T107" s="105" t="s">
        <v>257</v>
      </c>
      <c r="U107" s="105"/>
      <c r="V107" s="184" t="s">
        <v>2662</v>
      </c>
      <c r="W107" s="184" t="s">
        <v>122</v>
      </c>
      <c r="X107" s="170"/>
      <c r="Y107" s="170"/>
      <c r="Z107" s="170"/>
      <c r="AA107" s="219">
        <v>42723.0</v>
      </c>
      <c r="AB107" s="219">
        <v>42730.0</v>
      </c>
      <c r="AC107" s="4"/>
      <c r="AD107" s="4"/>
      <c r="AE107" s="184"/>
      <c r="AF107" s="4"/>
      <c r="AG107" s="4"/>
      <c r="AH107" s="216" t="s">
        <v>2071</v>
      </c>
      <c r="AI107" s="216" t="s">
        <v>3195</v>
      </c>
      <c r="AJ107" s="184"/>
      <c r="AK107" s="184" t="s">
        <v>2157</v>
      </c>
      <c r="AL107" s="200">
        <f t="shared" si="4"/>
        <v>81</v>
      </c>
      <c r="AM107" s="201">
        <v>2016.0</v>
      </c>
    </row>
    <row r="108">
      <c r="A108" s="158">
        <f t="shared" si="1"/>
        <v>16716589</v>
      </c>
      <c r="B108" s="254">
        <v>107.0</v>
      </c>
      <c r="C108" s="254"/>
      <c r="D108" s="184" t="str">
        <f>IFERROR(VLOOKUP(E108,INFORMACION!D:E,2,0),"INGRESAR CENTRO DE COSTO A LA DERECHA")</f>
        <v>INGRESAR CENTRO DE COSTO A LA DERECHA</v>
      </c>
      <c r="E108" s="184" t="s">
        <v>1601</v>
      </c>
      <c r="F108" s="195" t="s">
        <v>1947</v>
      </c>
      <c r="G108" s="186" t="s">
        <v>3196</v>
      </c>
      <c r="H108" s="186">
        <v>23.0</v>
      </c>
      <c r="I108" s="186" t="s">
        <v>2541</v>
      </c>
      <c r="J108" s="184" t="s">
        <v>112</v>
      </c>
      <c r="K108" s="184" t="s">
        <v>127</v>
      </c>
      <c r="L108" s="184" t="s">
        <v>117</v>
      </c>
      <c r="M108" s="184">
        <v>0.0</v>
      </c>
      <c r="N108" s="184" t="s">
        <v>116</v>
      </c>
      <c r="O108" s="184">
        <v>15.0</v>
      </c>
      <c r="P108" s="184">
        <v>4.0</v>
      </c>
      <c r="Q108" s="184">
        <v>3.0</v>
      </c>
      <c r="R108" s="184" t="s">
        <v>121</v>
      </c>
      <c r="S108" s="218">
        <v>42836.0</v>
      </c>
      <c r="U108" s="105" t="s">
        <v>3197</v>
      </c>
      <c r="V108" s="184" t="s">
        <v>3198</v>
      </c>
      <c r="W108" s="184" t="s">
        <v>122</v>
      </c>
      <c r="X108" s="170"/>
      <c r="Y108" s="170"/>
      <c r="Z108" s="170"/>
      <c r="AA108" s="219">
        <v>42794.0</v>
      </c>
      <c r="AB108" s="219">
        <v>42801.0</v>
      </c>
      <c r="AC108" s="4"/>
      <c r="AD108" s="4"/>
      <c r="AE108" s="184"/>
      <c r="AF108" s="4"/>
      <c r="AG108" s="4"/>
      <c r="AH108" s="216" t="s">
        <v>2071</v>
      </c>
      <c r="AI108" s="216" t="s">
        <v>2237</v>
      </c>
      <c r="AJ108" s="184"/>
      <c r="AK108" s="184" t="s">
        <v>1612</v>
      </c>
      <c r="AL108" s="200">
        <f t="shared" si="4"/>
        <v>26</v>
      </c>
      <c r="AM108" s="201">
        <v>2016.0</v>
      </c>
    </row>
    <row r="109">
      <c r="A109" s="158">
        <f t="shared" si="1"/>
        <v>18698519</v>
      </c>
      <c r="B109" s="242">
        <v>108.0</v>
      </c>
      <c r="C109" s="242"/>
      <c r="D109" s="184" t="str">
        <f>IFERROR(VLOOKUP(E109,INFORMACION!D:E,2,0),"INGRESAR CENTRO DE COSTO A LA DERECHA")</f>
        <v>INGRESAR CENTRO DE COSTO A LA DERECHA</v>
      </c>
      <c r="E109" s="184" t="s">
        <v>3039</v>
      </c>
      <c r="F109" s="195" t="s">
        <v>2679</v>
      </c>
      <c r="G109" s="186" t="s">
        <v>1816</v>
      </c>
      <c r="H109" s="186">
        <v>20.0</v>
      </c>
      <c r="I109" s="186" t="s">
        <v>2541</v>
      </c>
      <c r="J109" s="184" t="s">
        <v>112</v>
      </c>
      <c r="K109" s="184" t="s">
        <v>120</v>
      </c>
      <c r="L109" s="184" t="s">
        <v>117</v>
      </c>
      <c r="M109" s="184">
        <v>0.0</v>
      </c>
      <c r="N109" s="184" t="s">
        <v>116</v>
      </c>
      <c r="O109" s="184">
        <v>6.0</v>
      </c>
      <c r="P109" s="184">
        <v>3.0</v>
      </c>
      <c r="Q109" s="184">
        <v>1.0</v>
      </c>
      <c r="R109" s="184" t="s">
        <v>121</v>
      </c>
      <c r="S109" s="218">
        <v>42836.0</v>
      </c>
      <c r="T109" s="105"/>
      <c r="U109" s="105" t="s">
        <v>3199</v>
      </c>
      <c r="V109" s="184" t="s">
        <v>3200</v>
      </c>
      <c r="W109" s="184" t="s">
        <v>122</v>
      </c>
      <c r="X109" s="170"/>
      <c r="Y109" s="170"/>
      <c r="Z109" s="170"/>
      <c r="AA109" s="219">
        <v>42794.0</v>
      </c>
      <c r="AB109" s="219">
        <v>42801.0</v>
      </c>
      <c r="AC109" s="184"/>
      <c r="AD109" s="184"/>
      <c r="AE109" s="184"/>
      <c r="AF109" s="184"/>
      <c r="AG109" s="4"/>
      <c r="AH109" s="216" t="s">
        <v>2071</v>
      </c>
      <c r="AI109" s="216" t="s">
        <v>3201</v>
      </c>
      <c r="AJ109" s="184"/>
      <c r="AK109" s="184" t="s">
        <v>2157</v>
      </c>
      <c r="AL109" s="200">
        <f t="shared" si="4"/>
        <v>26</v>
      </c>
      <c r="AM109" s="201">
        <v>2016.0</v>
      </c>
    </row>
    <row r="110">
      <c r="A110" s="158">
        <f t="shared" si="1"/>
        <v>17924331</v>
      </c>
      <c r="B110" s="254">
        <v>109.0</v>
      </c>
      <c r="C110" s="254"/>
      <c r="D110" s="184" t="str">
        <f>IFERROR(VLOOKUP(E110,INFORMACION!D:E,2,0),"INGRESAR CENTRO DE COSTO A LA DERECHA")</f>
        <v>INGRESAR CENTRO DE COSTO A LA DERECHA</v>
      </c>
      <c r="E110" s="184" t="s">
        <v>2914</v>
      </c>
      <c r="F110" s="195" t="s">
        <v>1947</v>
      </c>
      <c r="G110" s="186" t="s">
        <v>1687</v>
      </c>
      <c r="H110" s="186">
        <v>23.0</v>
      </c>
      <c r="I110" s="186" t="s">
        <v>2541</v>
      </c>
      <c r="J110" s="184" t="s">
        <v>112</v>
      </c>
      <c r="K110" s="184" t="s">
        <v>127</v>
      </c>
      <c r="L110" s="184" t="s">
        <v>117</v>
      </c>
      <c r="M110" s="184">
        <v>0.0</v>
      </c>
      <c r="N110" s="184" t="s">
        <v>116</v>
      </c>
      <c r="O110" s="184">
        <v>10.0</v>
      </c>
      <c r="P110" s="184">
        <v>1.0</v>
      </c>
      <c r="Q110" s="184">
        <v>1.0</v>
      </c>
      <c r="R110" s="184" t="s">
        <v>115</v>
      </c>
      <c r="S110" s="218">
        <v>42829.0</v>
      </c>
      <c r="T110" s="105"/>
      <c r="U110" s="105" t="s">
        <v>3202</v>
      </c>
      <c r="V110" s="184" t="s">
        <v>3203</v>
      </c>
      <c r="W110" s="184" t="s">
        <v>122</v>
      </c>
      <c r="X110" s="170"/>
      <c r="Y110" s="170"/>
      <c r="Z110" s="170"/>
      <c r="AA110" s="219">
        <v>42794.0</v>
      </c>
      <c r="AB110" s="219">
        <v>42801.0</v>
      </c>
      <c r="AC110" s="4"/>
      <c r="AD110" s="4"/>
      <c r="AE110" s="184"/>
      <c r="AF110" s="4"/>
      <c r="AG110" s="4"/>
      <c r="AH110" s="216" t="s">
        <v>2071</v>
      </c>
      <c r="AI110" s="216" t="s">
        <v>3204</v>
      </c>
      <c r="AJ110" s="184"/>
      <c r="AK110" s="184" t="s">
        <v>2163</v>
      </c>
      <c r="AL110" s="200">
        <f t="shared" si="4"/>
        <v>21</v>
      </c>
      <c r="AM110" s="201">
        <v>2016.0</v>
      </c>
    </row>
    <row r="111">
      <c r="A111" s="158">
        <f t="shared" si="1"/>
        <v>15505340</v>
      </c>
      <c r="B111" s="242">
        <v>110.0</v>
      </c>
      <c r="C111" s="242"/>
      <c r="D111" s="184" t="str">
        <f>IFERROR(VLOOKUP(E111,INFORMACION!D:E,2,0),"INGRESAR CENTRO DE COSTO A LA DERECHA")</f>
        <v>INGRESAR CENTRO DE COSTO A LA DERECHA</v>
      </c>
      <c r="E111" s="184" t="s">
        <v>3156</v>
      </c>
      <c r="F111" s="195" t="s">
        <v>1970</v>
      </c>
      <c r="G111" s="186" t="s">
        <v>1638</v>
      </c>
      <c r="H111" s="186">
        <v>23.0</v>
      </c>
      <c r="I111" s="186" t="s">
        <v>2541</v>
      </c>
      <c r="J111" s="184" t="s">
        <v>112</v>
      </c>
      <c r="K111" s="184" t="s">
        <v>127</v>
      </c>
      <c r="L111" s="184" t="s">
        <v>117</v>
      </c>
      <c r="M111" s="184">
        <v>1.0</v>
      </c>
      <c r="N111" s="184" t="s">
        <v>116</v>
      </c>
      <c r="O111" s="184">
        <v>14.0</v>
      </c>
      <c r="P111" s="184">
        <v>2.0</v>
      </c>
      <c r="Q111" s="184">
        <v>1.0</v>
      </c>
      <c r="R111" s="184" t="s">
        <v>115</v>
      </c>
      <c r="S111" s="218">
        <v>42933.0</v>
      </c>
      <c r="T111" s="105"/>
      <c r="U111" s="105" t="s">
        <v>3205</v>
      </c>
      <c r="V111" s="184" t="s">
        <v>3206</v>
      </c>
      <c r="W111" s="184" t="s">
        <v>122</v>
      </c>
      <c r="X111" s="170"/>
      <c r="Y111" s="170"/>
      <c r="Z111" s="170"/>
      <c r="AA111" s="219">
        <v>42794.0</v>
      </c>
      <c r="AB111" s="219">
        <v>42797.0</v>
      </c>
      <c r="AC111" s="4"/>
      <c r="AD111" s="4"/>
      <c r="AE111" s="184"/>
      <c r="AF111" s="4"/>
      <c r="AG111" s="4"/>
      <c r="AH111" s="216" t="s">
        <v>2071</v>
      </c>
      <c r="AI111" s="216" t="s">
        <v>3028</v>
      </c>
      <c r="AJ111" s="184"/>
      <c r="AK111" s="184" t="s">
        <v>2163</v>
      </c>
      <c r="AL111" s="200">
        <f t="shared" si="4"/>
        <v>97</v>
      </c>
      <c r="AM111" s="201">
        <v>2016.0</v>
      </c>
    </row>
    <row r="112">
      <c r="A112" s="158">
        <f t="shared" si="1"/>
        <v>15851883</v>
      </c>
      <c r="B112" s="254">
        <v>111.0</v>
      </c>
      <c r="C112" s="254"/>
      <c r="D112" s="184" t="str">
        <f>IFERROR(VLOOKUP(E112,INFORMACION!D:E,2,0),"INGRESAR CENTRO DE COSTO A LA DERECHA")</f>
        <v>INGRESAR CENTRO DE COSTO A LA DERECHA</v>
      </c>
      <c r="E112" s="184" t="s">
        <v>1740</v>
      </c>
      <c r="F112" s="195" t="s">
        <v>2094</v>
      </c>
      <c r="G112" s="186" t="s">
        <v>3207</v>
      </c>
      <c r="H112" s="186">
        <v>10.0</v>
      </c>
      <c r="I112" s="186" t="s">
        <v>2541</v>
      </c>
      <c r="J112" s="184" t="s">
        <v>112</v>
      </c>
      <c r="K112" s="184" t="s">
        <v>114</v>
      </c>
      <c r="L112" s="184" t="s">
        <v>117</v>
      </c>
      <c r="M112" s="184">
        <v>6.0</v>
      </c>
      <c r="N112" s="184" t="s">
        <v>122</v>
      </c>
      <c r="O112" s="184">
        <v>0.0</v>
      </c>
      <c r="P112" s="184">
        <v>2.0</v>
      </c>
      <c r="Q112" s="184">
        <v>0.0</v>
      </c>
      <c r="R112" s="184" t="s">
        <v>115</v>
      </c>
      <c r="S112" s="218">
        <v>42877.0</v>
      </c>
      <c r="T112" s="105" t="s">
        <v>976</v>
      </c>
      <c r="U112" s="105"/>
      <c r="V112" s="184" t="s">
        <v>2456</v>
      </c>
      <c r="W112" s="184" t="s">
        <v>118</v>
      </c>
      <c r="X112" s="197" t="s">
        <v>2523</v>
      </c>
      <c r="Y112" s="170"/>
      <c r="Z112" s="170"/>
      <c r="AA112" s="219">
        <v>42719.0</v>
      </c>
      <c r="AB112" s="219">
        <v>42726.0</v>
      </c>
      <c r="AC112" s="4"/>
      <c r="AD112" s="4"/>
      <c r="AE112" s="184"/>
      <c r="AF112" s="4"/>
      <c r="AG112" s="4"/>
      <c r="AH112" s="216" t="s">
        <v>2071</v>
      </c>
      <c r="AI112" s="216" t="s">
        <v>3028</v>
      </c>
      <c r="AJ112" s="184"/>
      <c r="AK112" s="184" t="s">
        <v>2157</v>
      </c>
      <c r="AL112" s="200">
        <f t="shared" si="4"/>
        <v>108</v>
      </c>
      <c r="AM112" s="201">
        <v>2016.0</v>
      </c>
    </row>
    <row r="113">
      <c r="A113" s="158">
        <f t="shared" si="1"/>
        <v>17839410</v>
      </c>
      <c r="B113" s="254">
        <v>112.0</v>
      </c>
      <c r="C113" s="254"/>
      <c r="D113" s="184">
        <v>55.0</v>
      </c>
      <c r="E113" s="184" t="s">
        <v>1602</v>
      </c>
      <c r="F113" s="195" t="s">
        <v>2774</v>
      </c>
      <c r="G113" s="186" t="s">
        <v>1611</v>
      </c>
      <c r="H113" s="186">
        <v>14.0</v>
      </c>
      <c r="I113" s="186" t="s">
        <v>2541</v>
      </c>
      <c r="J113" s="184" t="s">
        <v>112</v>
      </c>
      <c r="K113" s="184" t="s">
        <v>114</v>
      </c>
      <c r="L113" s="184" t="s">
        <v>117</v>
      </c>
      <c r="M113" s="184">
        <v>0.0</v>
      </c>
      <c r="N113" s="184" t="s">
        <v>116</v>
      </c>
      <c r="O113" s="184">
        <v>11.0</v>
      </c>
      <c r="P113" s="184">
        <v>6.0</v>
      </c>
      <c r="Q113" s="184">
        <v>1.0</v>
      </c>
      <c r="R113" s="184" t="s">
        <v>121</v>
      </c>
      <c r="S113" s="218">
        <v>42863.0</v>
      </c>
      <c r="U113" s="105" t="s">
        <v>3208</v>
      </c>
      <c r="V113" s="184" t="s">
        <v>3209</v>
      </c>
      <c r="W113" s="184" t="s">
        <v>118</v>
      </c>
      <c r="X113" s="255"/>
      <c r="Y113" s="255"/>
      <c r="Z113" s="255"/>
      <c r="AA113" s="219">
        <v>42647.0</v>
      </c>
      <c r="AB113" s="219">
        <v>42654.0</v>
      </c>
      <c r="AC113" s="4"/>
      <c r="AD113" s="4"/>
      <c r="AE113" s="184"/>
      <c r="AF113" s="4"/>
      <c r="AG113" s="4"/>
      <c r="AH113" s="216" t="s">
        <v>2071</v>
      </c>
      <c r="AI113" s="216" t="s">
        <v>3210</v>
      </c>
      <c r="AJ113" s="184"/>
      <c r="AK113" s="184" t="s">
        <v>1612</v>
      </c>
      <c r="AL113" s="200">
        <f t="shared" si="4"/>
        <v>150</v>
      </c>
      <c r="AM113" s="201">
        <v>2016.0</v>
      </c>
    </row>
    <row r="114">
      <c r="A114" s="256">
        <f t="shared" si="1"/>
        <v>15475408</v>
      </c>
      <c r="B114" s="236">
        <v>113.0</v>
      </c>
      <c r="C114" s="236"/>
      <c r="D114" s="184" t="str">
        <f>IFERROR(VLOOKUP(E114,INFORMACION!D:E,2,0),"INGRESAR CENTRO DE COSTO A LA DERECHA")</f>
        <v>INGRESAR CENTRO DE COSTO A LA DERECHA</v>
      </c>
      <c r="E114" s="184" t="s">
        <v>1602</v>
      </c>
      <c r="F114" s="257" t="s">
        <v>1970</v>
      </c>
      <c r="G114" s="186" t="s">
        <v>1638</v>
      </c>
      <c r="H114" s="186">
        <v>23.0</v>
      </c>
      <c r="I114" s="186" t="s">
        <v>2541</v>
      </c>
      <c r="J114" s="184" t="s">
        <v>112</v>
      </c>
      <c r="K114" s="184" t="s">
        <v>127</v>
      </c>
      <c r="L114" s="184" t="s">
        <v>122</v>
      </c>
      <c r="M114" s="184">
        <v>0.0</v>
      </c>
      <c r="N114" s="184" t="s">
        <v>116</v>
      </c>
      <c r="O114" s="184">
        <v>19.0</v>
      </c>
      <c r="P114" s="184">
        <v>1.0</v>
      </c>
      <c r="Q114" s="184">
        <v>0.0</v>
      </c>
      <c r="R114" s="184" t="s">
        <v>115</v>
      </c>
      <c r="S114" s="218">
        <v>42857.0</v>
      </c>
      <c r="T114" s="105"/>
      <c r="U114" s="105" t="s">
        <v>3211</v>
      </c>
      <c r="V114" s="184" t="s">
        <v>3212</v>
      </c>
      <c r="W114" s="184" t="s">
        <v>118</v>
      </c>
      <c r="X114" s="197" t="s">
        <v>140</v>
      </c>
      <c r="Y114" s="170"/>
      <c r="Z114" s="170"/>
      <c r="AA114" s="219">
        <v>42691.0</v>
      </c>
      <c r="AB114" s="219">
        <v>42698.0</v>
      </c>
      <c r="AC114" s="4"/>
      <c r="AD114" s="4"/>
      <c r="AE114" s="184"/>
      <c r="AF114" s="4"/>
      <c r="AG114" s="4"/>
      <c r="AH114" s="216" t="s">
        <v>2071</v>
      </c>
      <c r="AI114" s="216" t="s">
        <v>3213</v>
      </c>
      <c r="AJ114" s="184"/>
      <c r="AK114" s="184" t="s">
        <v>2163</v>
      </c>
      <c r="AL114" s="200">
        <f t="shared" si="4"/>
        <v>114</v>
      </c>
      <c r="AM114" s="201">
        <v>2016.0</v>
      </c>
    </row>
  </sheetData>
  <autoFilter ref="$A$1:$AM$114"/>
  <customSheetViews>
    <customSheetView guid="{2AD98D61-951A-4279-BBF8-55B9EBDA1F7E}" filter="1" showAutoFilter="1">
      <autoFilter ref="$A$1:$AM$114"/>
    </customSheetView>
    <customSheetView guid="{F1228D83-8F7D-4B4C-88E2-DB0FAB8004C9}" filter="1" showAutoFilter="1">
      <autoFilter ref="$A$1:$AL$114"/>
    </customSheetView>
  </customSheetViews>
  <dataValidations>
    <dataValidation type="list" allowBlank="1" showInputMessage="1" showErrorMessage="1" prompt="Brechas - Ingresar si existen brechas a capacitar y en las siguientes columnas ingresar la competencia." sqref="W2:W114">
      <formula1>"SI,NO"</formula1>
    </dataValidation>
    <dataValidation type="custom" allowBlank="1" showInputMessage="1" prompt="Indicar si reemplaza a algún funcionario. Esto puede aparecer en los documentos de autorización presupestaria, en cartas de renuncia archivadas al proceso o en pone término o no-renovación.   SI NO REEMPLAZA A NADIE, FAVOR COLOCAR EL SIGNO &quot;-&quot;." sqref="AI1">
      <formula1>ISERROR(SEARCH((""/""),(AI1)))</formula1>
    </dataValidation>
    <dataValidation type="list" allowBlank="1" showInputMessage="1" prompt="Ingrese un funcionario de la lista (Dotación Diciembre [AÑO ANTERIOR])" sqref="T1:T114">
      <formula1>INFORMACION!$G:$G</formula1>
    </dataValidation>
    <dataValidation type="custom" allowBlank="1" showInputMessage="1" prompt="En caso de que el proceso haya concluido con un interno, ingresar datos relativos al grado anterior, el estamento al cual pertenecía (Administrativo, Técnico, Profesional, Auxiliar) y la Unidad de Desempeño Anterior." sqref="AC1:AC3 AF1:AF3 AC13:AC14 AF13:AF14">
      <formula1>ISERROR(SEARCH((""/""),(AC1)))</formula1>
    </dataValidation>
    <dataValidation type="decimal" allowBlank="1" showInputMessage="1" showErrorMessage="1" prompt="Ingresar grado válido - Entre el 1 y el 24" sqref="H2:H45 H47:H114">
      <formula1>1.0</formula1>
      <formula2>24.0</formula2>
    </dataValidation>
    <dataValidation type="list" allowBlank="1" showInputMessage="1" showErrorMessage="1" prompt="Indicar escalafón - Si es técnico, administrativo, profesional o auxiliar. No indicar en el caso de los médicos o personal de la Ley 15.076." sqref="K2:K114">
      <formula1>"PROFESIONAL,ADMINISTRATIVO,TECNICO,AUXILIAR"</formula1>
    </dataValidation>
    <dataValidation type="list" allowBlank="1" showInputMessage="1" prompt="Haz clic e introduce un valor de intervalo INFORMACION!A1:A1358" sqref="F1:F114">
      <formula1>INFORMACION!$A:$A</formula1>
    </dataValidation>
    <dataValidation type="custom" allowBlank="1" showInputMessage="1" prompt="Escribir la Vicerrectoría, Facultad o Prorrectoría que corresponda según sea el caso usando MAYÚSCULA Y SIN TILDE." sqref="D1:D114">
      <formula1>ISERROR(SEARCH((""/""),(D1)))</formula1>
    </dataValidation>
    <dataValidation type="date" operator="greaterThan" allowBlank="1" showInputMessage="1" showErrorMessage="1" prompt="Formato - Favor ingresar con formato de fecha." sqref="S2:S3 S13:S14">
      <formula1>42005.0</formula1>
    </dataValidation>
    <dataValidation type="list" allowBlank="1" showInputMessage="1" prompt="Escriba el Departamento, Unidad, Facultad o Vicerrectoría, según corresponda en cada caso usando MAYÚSCULA Y SIN TILDE." sqref="E2:E114">
      <formula1>INFORMACION!$D$2:$D$108</formula1>
    </dataValidation>
    <dataValidation type="custom" allowBlank="1" showInputMessage="1" prompt="Indicar si reemplaza a algún funcionario. Esto puede aparecer en los documentos de autorización presupestaria, en cartas de renuncia archivadas al proceso o en pone término o no-renovación.   SI NO REEMPLAZA A NADIE, FAVOR COLOCAR EL SIGNO &quot;-&quot;. Indicar si" sqref="AI2 AI4:AI114">
      <formula1>ISERROR(SEARCH((""/""),(AI2)))</formula1>
    </dataValidation>
    <dataValidation type="decimal" allowBlank="1" showInputMessage="1" showErrorMessage="1" prompt="N° Postulantes APARTIR 2° Proces - Indicar el n° de postulantes DE TODOS LOS PROCESOS EXTERNOS que cumplieron con los requisitos para postular. CUIDADO CON LOS POSTULANTES REPETIDOS, dado que no deben incluirse 2 veces._x000a_" sqref="O2:O3 O13:O14">
      <formula1>1.0</formula1>
      <formula2>60.0</formula2>
    </dataValidation>
    <dataValidation type="custom" allowBlank="1" showInputMessage="1" prompt="NO TOCAR ESTA COLUMNA" sqref="A1:A114">
      <formula1>ISERROR(SEARCH(("/"),(A1)))</formula1>
    </dataValidation>
    <dataValidation type="custom" allowBlank="1" showInputMessage="1" prompt="Escriba el Departamento, Unidad, Facultad o Vicerrectoría, según corresponda en cada caso usando MAYÚSCULA Y SIN TILDE." sqref="E1">
      <formula1>ISERROR(SEARCH((""/""),(E1)))</formula1>
    </dataValidation>
    <dataValidation type="list" allowBlank="1" showInputMessage="1" showErrorMessage="1" prompt="Indicar género - Indicar de acuerdo al género si es &quot;seleccionada&quot; o &quot;seleccionado&quot;." sqref="R2:R114">
      <formula1>"SELECCIONADO,SELECCIONADA"</formula1>
    </dataValidation>
    <dataValidation type="list" allowBlank="1" showInputMessage="1" showErrorMessage="1" prompt="Jornada - Precisar la jornada asignada al proceso de selección" sqref="I2:I114">
      <formula1>"Jornada Completa,3/4 Jornada,1/2 Jornada,1/4 Jornada"</formula1>
    </dataValidation>
    <dataValidation type="list" allowBlank="1" showInputMessage="1" showErrorMessage="1" prompt="Tipo de Contrato - Separar con los médicos, quienes se rigen por otra legislación." sqref="J2:J114">
      <formula1>"A CONTRATA,Por 11 hrs. Ley 15.076,Por 22 hrs. Ley 15.076,Por 33 hrs. Ley 15.076,Por 44 hrs. Ley 15.076"</formula1>
    </dataValidation>
    <dataValidation type="list" allowBlank="1" showInputMessage="1" showErrorMessage="1" prompt="Indicar si hubo proceso interno - No: No hubo_x000a_Interno: Sí hubo" sqref="L114">
      <formula1>"INTERNO,NO,2"</formula1>
    </dataValidation>
    <dataValidation type="list" allowBlank="1" showInputMessage="1" showErrorMessage="1" prompt="Indicar si hubo proceso interno - No: No hubo_x000a_Interno: Sí hubo" sqref="L2:L113">
      <formula1>"INTERNO,NO"</formula1>
    </dataValidation>
    <dataValidation type="decimal" allowBlank="1" showInputMessage="1" showErrorMessage="1" prompt="Indicar n° de postulantes int - Puede variar de 0 en adelante. Favor indicar el total de postulantes internos que cumplieron con los requisitos." sqref="M2:M3 M13:M14">
      <formula1>0.0</formula1>
      <formula2>60.0</formula2>
    </dataValidation>
    <dataValidation type="list" allowBlank="1" showInputMessage="1" showErrorMessage="1" prompt="Motivo Contratación - Ingrese si la contratación se debe a un proceso de selección, una regularización contractual o a una autorización directa." sqref="AH2:AH114">
      <formula1>"PROCESO DE SELECCIÓN,REGULARIZACIÓN CONTRACTUAL,CONTRATACIÓN DIRECTA"</formula1>
    </dataValidation>
    <dataValidation type="decimal" allowBlank="1" showInputMessage="1" showErrorMessage="1" promptTitle="Informes Psi Realizados" prompt="Ingrese la cantidad de informes realizados de acuerdo al TOTAL de procesos de selección correspondientes a la vacante. FIJARSE QUE LA UNIDAD HAYA DEVUELTO LA DOCUMENTACIÓN. Si son regularizaciones o auto. directas, indicar número de informes por vacante." sqref="P2:P3 P13:P14">
      <formula1>1.0</formula1>
      <formula2>15.0</formula2>
    </dataValidation>
    <dataValidation type="custom" allowBlank="1" showInputMessage="1" prompt="Ingrese las competencias en que es necesario capacitar al primer candidato de acuerdo al orden de importancia (1crítica-3necesaria). " sqref="X1:Z1">
      <formula1>ISERROR(SEARCH((""/""),(X1)))</formula1>
    </dataValidation>
    <dataValidation type="list" allowBlank="1" showInputMessage="1" prompt="Ingrese las competencias en que es necesario capacitar al primer candidato de acuerdo al orden de importancia (1crítica-3necesaria). " sqref="X2:Z114">
      <formula1>INFORMACION!$H$2:$H$24</formula1>
    </dataValidation>
    <dataValidation type="decimal" allowBlank="1" showInputMessage="1" showErrorMessage="1" prompt="Ingrese Núm. Procesos Externos - Debe ingresar SÓLO la cantidad de los PROCESOS EXTERNOS." sqref="Q2:Q3 Q13:Q14">
      <formula1>0.0</formula1>
      <formula2>15.0</formula2>
    </dataValidation>
    <dataValidation type="list" allowBlank="1" showInputMessage="1" showErrorMessage="1" prompt="Elegir bien - Elija de acuerdo a la fuente por donde la persona seleccionada postuló o se participó del proceso._x000a_Puede ser P, C (CORREO) o E (EXTERNO), dependiendo el caso." sqref="AK2:AK114">
      <formula1>"C,P,E"</formula1>
    </dataValidation>
    <dataValidation type="custom" allowBlank="1" showInputMessage="1" prompt="Ingresar RUT en el formato indicado. Si esta celda está en rojo es porque la persona ya ha resultado seleccionada a lo largo del año, o bien porque se ha ingresado un proceso idéntico a la base de datos." sqref="V1:V3 V13:V14">
      <formula1>LEN(10)</formula1>
    </dataValidation>
    <dataValidation type="list" allowBlank="1" showInputMessage="1" showErrorMessage="1" prompt="Indicar si hubo 2° proceso - Indicar si hubo:_x000a_Proceso Externo: Externo_x000a_No hubo: No" sqref="N2:N114">
      <formula1>"EXTERNO,NO"</formula1>
    </dataValidation>
    <dataValidation type="date" allowBlank="1" showDropDown="1" showInputMessage="1" showErrorMessage="1" prompt="Fecha 2016 - Debes ingresar sólo los procesos en que el último proceso esté publicado entre Marzo de 2016 y Enero de 2017" sqref="AA2:AA114">
      <formula1>42430.0</formula1>
      <formula2>42794.0</formula2>
    </dataValidation>
    <dataValidation type="custom" allowBlank="1" showInputMessage="1" prompt="Ingresar primer nombre y apellidos en mayúscula, sin tilde y sin Ñ." sqref="U1:U3 U13:U14">
      <formula1>ISERROR(SEARCH((""/""),(U1)))</formula1>
    </dataValidation>
  </dataValidations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sheetData>
    <row r="1">
      <c r="B1" s="19" t="str">
        <f>IFERROR(__xludf.DUMMYFUNCTION("importrange(""https://docs.google.com/spreadsheets/d/1eH8-gftbnAdsw6PdAbtFawwz0L1_m-WtH0v-Bqus9kc/edit#gid=589155845"",""INFO!f1:g2000"")"),"UNIDAD MAYOR (NUEVA_ESTR)")</f>
        <v>UNIDAD MAYOR (NUEVA_ESTR)</v>
      </c>
      <c r="C1" t="str">
        <f>IFERROR(__xludf.DUMMYFUNCTION("""COMPUTED_VALUE"""),"PRESENTACION (ESPACIO AL FINAL)")</f>
        <v>PRESENTACION (ESPACIO AL FINAL)</v>
      </c>
      <c r="D1" s="23" t="s">
        <v>3214</v>
      </c>
      <c r="E1" s="23" t="s">
        <v>3215</v>
      </c>
      <c r="F1" s="23" t="s">
        <v>3216</v>
      </c>
      <c r="G1" s="258" t="s">
        <v>3214</v>
      </c>
      <c r="H1" t="s">
        <v>3215</v>
      </c>
      <c r="J1" t="s">
        <v>1547</v>
      </c>
    </row>
    <row r="2">
      <c r="B2" s="21" t="str">
        <f>IFERROR(__xludf.DUMMYFUNCTION("""COMPUTED_VALUE"""),"RECTORIA")</f>
        <v>RECTORIA</v>
      </c>
      <c r="C2" t="str">
        <f>IFERROR(__xludf.DUMMYFUNCTION("""COMPUTED_VALUE"""),"Abogado(a) Contraloria Universitaria")</f>
        <v>Abogado(a) Contraloria Universitaria</v>
      </c>
      <c r="D2" s="23" t="s">
        <v>3217</v>
      </c>
      <c r="E2" s="23" t="s">
        <v>1863</v>
      </c>
      <c r="F2" t="b">
        <f t="shared" ref="F2:F136" si="1">E2=C2</f>
        <v>0</v>
      </c>
      <c r="G2" s="258" t="s">
        <v>3217</v>
      </c>
      <c r="H2" t="s">
        <v>1863</v>
      </c>
      <c r="J2" s="184" t="s">
        <v>2034</v>
      </c>
      <c r="K2" t="str">
        <f t="shared" ref="K2:K61" si="2">VLOOKUP(J2,D:G,4,0)</f>
        <v>Técnico(a) de Laboratorio</v>
      </c>
    </row>
    <row r="3">
      <c r="B3" s="21" t="str">
        <f>IFERROR(__xludf.DUMMYFUNCTION("""COMPUTED_VALUE"""),"CONTRALORIA UNIVERSITARIA")</f>
        <v>CONTRALORIA UNIVERSITARIA</v>
      </c>
      <c r="C3" t="str">
        <f>IFERROR(__xludf.DUMMYFUNCTION("""COMPUTED_VALUE"""),"Abogado(a) Dirección Juridica")</f>
        <v>Abogado(a) Dirección Juridica</v>
      </c>
      <c r="D3" s="23" t="s">
        <v>3218</v>
      </c>
      <c r="E3" s="23" t="s">
        <v>3219</v>
      </c>
      <c r="F3" t="b">
        <f t="shared" si="1"/>
        <v>0</v>
      </c>
      <c r="G3" s="258" t="s">
        <v>3093</v>
      </c>
      <c r="H3" t="s">
        <v>3219</v>
      </c>
      <c r="J3" s="184" t="s">
        <v>2031</v>
      </c>
      <c r="K3" t="str">
        <f t="shared" si="2"/>
        <v>Analista de Gestión II</v>
      </c>
    </row>
    <row r="4">
      <c r="B4" s="21" t="str">
        <f>IFERROR(__xludf.DUMMYFUNCTION("""COMPUTED_VALUE"""),"PRORRECTORIA")</f>
        <v>PRORRECTORIA</v>
      </c>
      <c r="C4" t="str">
        <f>IFERROR(__xludf.DUMMYFUNCTION("""COMPUTED_VALUE"""),"Abogado(a) Vicerrectoría de Investigación")</f>
        <v>Abogado(a) Vicerrectoría de Investigación</v>
      </c>
      <c r="D4" s="23" t="s">
        <v>3220</v>
      </c>
      <c r="E4" s="23" t="s">
        <v>3221</v>
      </c>
      <c r="F4" t="b">
        <f t="shared" si="1"/>
        <v>0</v>
      </c>
      <c r="G4" s="258" t="s">
        <v>3222</v>
      </c>
      <c r="H4" t="s">
        <v>3221</v>
      </c>
      <c r="J4" s="184" t="s">
        <v>1955</v>
      </c>
      <c r="K4" t="str">
        <f t="shared" si="2"/>
        <v>Mayordomo(a)</v>
      </c>
    </row>
    <row r="5">
      <c r="B5" s="21" t="str">
        <f>IFERROR(__xludf.DUMMYFUNCTION("""COMPUTED_VALUE"""),"SECRETARIA GENERAL")</f>
        <v>SECRETARIA GENERAL</v>
      </c>
      <c r="C5" t="str">
        <f>IFERROR(__xludf.DUMMYFUNCTION("""COMPUTED_VALUE"""),"Académico(a)")</f>
        <v>Académico(a)</v>
      </c>
      <c r="D5" s="23" t="s">
        <v>3223</v>
      </c>
      <c r="E5" s="23" t="s">
        <v>3224</v>
      </c>
      <c r="F5" t="b">
        <f t="shared" si="1"/>
        <v>0</v>
      </c>
      <c r="G5" s="258" t="s">
        <v>3225</v>
      </c>
      <c r="H5" t="s">
        <v>3224</v>
      </c>
      <c r="J5" s="184" t="s">
        <v>1970</v>
      </c>
      <c r="K5" t="str">
        <f t="shared" si="2"/>
        <v>Estafeta</v>
      </c>
    </row>
    <row r="6">
      <c r="B6" s="21" t="str">
        <f>IFERROR(__xludf.DUMMYFUNCTION("""COMPUTED_VALUE"""),"SECRETARIA GENERAL")</f>
        <v>SECRETARIA GENERAL</v>
      </c>
      <c r="C6" t="str">
        <f>IFERROR(__xludf.DUMMYFUNCTION("""COMPUTED_VALUE"""),"Administrativo(a) Especializado de Proyecto")</f>
        <v>Administrativo(a) Especializado de Proyecto</v>
      </c>
      <c r="D6" s="23" t="s">
        <v>2117</v>
      </c>
      <c r="E6" s="23" t="s">
        <v>2118</v>
      </c>
      <c r="F6" t="b">
        <f t="shared" si="1"/>
        <v>0</v>
      </c>
      <c r="G6" s="258" t="s">
        <v>2552</v>
      </c>
      <c r="H6" t="s">
        <v>2118</v>
      </c>
      <c r="J6" s="184" t="s">
        <v>2031</v>
      </c>
      <c r="K6" t="str">
        <f t="shared" si="2"/>
        <v>Analista de Gestión II</v>
      </c>
    </row>
    <row r="7">
      <c r="B7" s="21" t="str">
        <f>IFERROR(__xludf.DUMMYFUNCTION("""COMPUTED_VALUE"""),"VR. DE VINCULACION CON EL MEDIO")</f>
        <v>VR. DE VINCULACION CON EL MEDIO</v>
      </c>
      <c r="C7" t="str">
        <f>IFERROR(__xludf.DUMMYFUNCTION("""COMPUTED_VALUE"""),"Administrativo(a) de Registro Curricular")</f>
        <v>Administrativo(a) de Registro Curricular</v>
      </c>
      <c r="D7" s="23" t="s">
        <v>2009</v>
      </c>
      <c r="E7" s="23" t="s">
        <v>1862</v>
      </c>
      <c r="F7" t="b">
        <f t="shared" si="1"/>
        <v>0</v>
      </c>
      <c r="G7" s="258" t="s">
        <v>2802</v>
      </c>
      <c r="H7" t="s">
        <v>1862</v>
      </c>
      <c r="J7" s="184" t="s">
        <v>3226</v>
      </c>
      <c r="K7" t="str">
        <f t="shared" si="2"/>
        <v>Jefe(a) de Administración y Finanzas</v>
      </c>
    </row>
    <row r="8">
      <c r="B8" s="21" t="str">
        <f>IFERROR(__xludf.DUMMYFUNCTION("""COMPUTED_VALUE"""),"VR. DE VINCULACION CON EL MEDIO")</f>
        <v>VR. DE VINCULACION CON EL MEDIO</v>
      </c>
      <c r="C8" t="str">
        <f>IFERROR(__xludf.DUMMYFUNCTION("""COMPUTED_VALUE"""),"Administrativo(a) de Activación y Seguimiento")</f>
        <v>Administrativo(a) de Activación y Seguimiento</v>
      </c>
      <c r="D8" s="23" t="s">
        <v>3227</v>
      </c>
      <c r="E8" s="23" t="s">
        <v>3228</v>
      </c>
      <c r="F8" t="b">
        <f t="shared" si="1"/>
        <v>0</v>
      </c>
      <c r="G8" s="258" t="s">
        <v>3229</v>
      </c>
      <c r="H8" t="s">
        <v>3228</v>
      </c>
      <c r="J8" s="184" t="s">
        <v>1955</v>
      </c>
      <c r="K8" t="str">
        <f t="shared" si="2"/>
        <v>Mayordomo(a)</v>
      </c>
    </row>
    <row r="9">
      <c r="B9" s="21" t="str">
        <f>IFERROR(__xludf.DUMMYFUNCTION("""COMPUTED_VALUE"""),"VR. ACADEMICA")</f>
        <v>VR. ACADEMICA</v>
      </c>
      <c r="C9" t="str">
        <f>IFERROR(__xludf.DUMMYFUNCTION("""COMPUTED_VALUE"""),"Administrativo(a) de Recursos Humanos")</f>
        <v>Administrativo(a) de Recursos Humanos</v>
      </c>
      <c r="D9" s="23" t="s">
        <v>1968</v>
      </c>
      <c r="E9" s="23" t="s">
        <v>1816</v>
      </c>
      <c r="F9" t="b">
        <f t="shared" si="1"/>
        <v>0</v>
      </c>
      <c r="G9" s="258" t="s">
        <v>2679</v>
      </c>
      <c r="H9" t="s">
        <v>1816</v>
      </c>
      <c r="J9" s="184" t="s">
        <v>2710</v>
      </c>
      <c r="K9" t="str">
        <f t="shared" si="2"/>
        <v>Analista Informático</v>
      </c>
    </row>
    <row r="10">
      <c r="B10" s="21" t="str">
        <f>IFERROR(__xludf.DUMMYFUNCTION("""COMPUTED_VALUE"""),"PRORRECTORIA")</f>
        <v>PRORRECTORIA</v>
      </c>
      <c r="C10" t="str">
        <f>IFERROR(__xludf.DUMMYFUNCTION("""COMPUTED_VALUE"""),"Administrativo(a) de Registro Académico")</f>
        <v>Administrativo(a) de Registro Académico</v>
      </c>
      <c r="D10" s="23" t="s">
        <v>3230</v>
      </c>
      <c r="E10" s="23" t="s">
        <v>3231</v>
      </c>
      <c r="F10" t="b">
        <f t="shared" si="1"/>
        <v>0</v>
      </c>
      <c r="G10" s="258" t="s">
        <v>3232</v>
      </c>
      <c r="H10" t="s">
        <v>3231</v>
      </c>
      <c r="J10" s="184" t="s">
        <v>2094</v>
      </c>
      <c r="K10" t="str">
        <f t="shared" si="2"/>
        <v>Analista de Gestión I</v>
      </c>
    </row>
    <row r="11">
      <c r="B11" s="21" t="str">
        <f>IFERROR(__xludf.DUMMYFUNCTION("""COMPUTED_VALUE"""),"ADMINISTRACION CENTRALIZADA")</f>
        <v>ADMINISTRACION CENTRALIZADA</v>
      </c>
      <c r="C11" t="str">
        <f>IFERROR(__xludf.DUMMYFUNCTION("""COMPUTED_VALUE"""),"Administrativo(a) de Registro Académico UNICIT")</f>
        <v>Administrativo(a) de Registro Académico UNICIT</v>
      </c>
      <c r="D11" s="23" t="s">
        <v>2061</v>
      </c>
      <c r="E11" s="23" t="s">
        <v>2062</v>
      </c>
      <c r="F11" t="b">
        <f t="shared" si="1"/>
        <v>0</v>
      </c>
      <c r="G11" s="258" t="s">
        <v>2984</v>
      </c>
      <c r="H11" t="s">
        <v>2062</v>
      </c>
      <c r="J11" s="184" t="s">
        <v>2098</v>
      </c>
      <c r="K11" t="str">
        <f t="shared" si="2"/>
        <v>Jefe(a) de Área</v>
      </c>
    </row>
    <row r="12">
      <c r="B12" s="21" t="str">
        <f>IFERROR(__xludf.DUMMYFUNCTION("""COMPUTED_VALUE"""),"VR. DE INVEST. DESARR E INNOVACION")</f>
        <v>VR. DE INVEST. DESARR E INNOVACION</v>
      </c>
      <c r="C12" t="str">
        <f>IFERROR(__xludf.DUMMYFUNCTION("""COMPUTED_VALUE"""),"Técnico(a) de Remuneraciones")</f>
        <v>Técnico(a) de Remuneraciones</v>
      </c>
      <c r="D12" s="23" t="s">
        <v>1929</v>
      </c>
      <c r="E12" s="23" t="s">
        <v>1930</v>
      </c>
      <c r="F12" t="b">
        <f t="shared" si="1"/>
        <v>0</v>
      </c>
      <c r="G12" s="258" t="s">
        <v>2606</v>
      </c>
      <c r="H12" t="s">
        <v>1930</v>
      </c>
      <c r="J12" s="184" t="s">
        <v>2848</v>
      </c>
      <c r="K12" t="str">
        <f t="shared" si="2"/>
        <v>Analista Contable II</v>
      </c>
    </row>
    <row r="13">
      <c r="B13" s="21" t="str">
        <f>IFERROR(__xludf.DUMMYFUNCTION("""COMPUTED_VALUE"""),"PRORRECTORIA")</f>
        <v>PRORRECTORIA</v>
      </c>
      <c r="C13" t="str">
        <f>IFERROR(__xludf.DUMMYFUNCTION("""COMPUTED_VALUE"""),"Técnico(a) de Personal")</f>
        <v>Técnico(a) de Personal</v>
      </c>
      <c r="D13" s="23" t="s">
        <v>2332</v>
      </c>
      <c r="E13" s="23" t="s">
        <v>3233</v>
      </c>
      <c r="F13" t="b">
        <f t="shared" si="1"/>
        <v>0</v>
      </c>
      <c r="G13" s="258" t="s">
        <v>2592</v>
      </c>
      <c r="H13" t="s">
        <v>3233</v>
      </c>
      <c r="J13" s="184" t="s">
        <v>1897</v>
      </c>
      <c r="K13" t="str">
        <f t="shared" si="2"/>
        <v>Secretario(a) de Apoyo Docente</v>
      </c>
    </row>
    <row r="14">
      <c r="B14" s="21" t="str">
        <f>IFERROR(__xludf.DUMMYFUNCTION("""COMPUTED_VALUE"""),"PRORRECTORIA")</f>
        <v>PRORRECTORIA</v>
      </c>
      <c r="C14" t="str">
        <f>IFERROR(__xludf.DUMMYFUNCTION("""COMPUTED_VALUE"""),"Administrador(a) de Sistemas")</f>
        <v>Administrador(a) de Sistemas</v>
      </c>
      <c r="D14" s="23" t="s">
        <v>2196</v>
      </c>
      <c r="E14" s="23" t="s">
        <v>3234</v>
      </c>
      <c r="F14" t="b">
        <f t="shared" si="1"/>
        <v>0</v>
      </c>
      <c r="G14" s="258" t="s">
        <v>3235</v>
      </c>
      <c r="H14" t="s">
        <v>3234</v>
      </c>
      <c r="J14" s="244" t="s">
        <v>3236</v>
      </c>
      <c r="K14" t="str">
        <f t="shared" si="2"/>
        <v>Analista de Gestión Estratégica</v>
      </c>
    </row>
    <row r="15">
      <c r="B15" s="21" t="str">
        <f>IFERROR(__xludf.DUMMYFUNCTION("""COMPUTED_VALUE"""),"VR. DE INVEST. DESARR E INNOVACION")</f>
        <v>VR. DE INVEST. DESARR E INNOVACION</v>
      </c>
      <c r="C15" t="str">
        <f>IFERROR(__xludf.DUMMYFUNCTION("""COMPUTED_VALUE"""),"Administrador(a) de Sistemas UNICIT")</f>
        <v>Administrador(a) de Sistemas UNICIT</v>
      </c>
      <c r="D15" s="23" t="s">
        <v>1946</v>
      </c>
      <c r="E15" s="23" t="s">
        <v>3136</v>
      </c>
      <c r="F15" t="b">
        <f t="shared" si="1"/>
        <v>0</v>
      </c>
      <c r="G15" s="258" t="s">
        <v>2596</v>
      </c>
      <c r="H15" t="s">
        <v>3136</v>
      </c>
      <c r="J15" s="184" t="s">
        <v>1968</v>
      </c>
      <c r="K15" t="str">
        <f t="shared" si="2"/>
        <v>Administrativo(a) de Apoyo</v>
      </c>
    </row>
    <row r="16">
      <c r="B16" s="21" t="str">
        <f>IFERROR(__xludf.DUMMYFUNCTION("""COMPUTED_VALUE"""),"VR. ACADEMICA")</f>
        <v>VR. ACADEMICA</v>
      </c>
      <c r="C16" t="str">
        <f>IFERROR(__xludf.DUMMYFUNCTION("""COMPUTED_VALUE"""),"Administrativo(a) Especializado PeopleSoft")</f>
        <v>Administrativo(a) Especializado PeopleSoft</v>
      </c>
      <c r="D16" s="23" t="s">
        <v>3237</v>
      </c>
      <c r="E16" s="23" t="s">
        <v>3238</v>
      </c>
      <c r="F16" t="b">
        <f t="shared" si="1"/>
        <v>0</v>
      </c>
      <c r="G16" s="258" t="s">
        <v>2656</v>
      </c>
      <c r="H16" t="s">
        <v>3238</v>
      </c>
      <c r="J16" s="184" t="s">
        <v>1968</v>
      </c>
      <c r="K16" t="str">
        <f t="shared" si="2"/>
        <v>Administrativo(a) de Apoyo</v>
      </c>
    </row>
    <row r="17">
      <c r="B17" s="21" t="str">
        <f>IFERROR(__xludf.DUMMYFUNCTION("""COMPUTED_VALUE"""),"VR. DE INVEST. DESARR E INNOVACION")</f>
        <v>VR. DE INVEST. DESARR E INNOVACION</v>
      </c>
      <c r="C17" t="str">
        <f>IFERROR(__xludf.DUMMYFUNCTION("""COMPUTED_VALUE"""),"Administrativo(a) Gestión de Proyectos")</f>
        <v>Administrativo(a) Gestión de Proyectos</v>
      </c>
      <c r="D17" s="23" t="s">
        <v>1925</v>
      </c>
      <c r="E17" s="23" t="s">
        <v>1926</v>
      </c>
      <c r="F17" t="b">
        <f t="shared" si="1"/>
        <v>0</v>
      </c>
      <c r="G17" s="258" t="s">
        <v>2558</v>
      </c>
      <c r="H17" t="s">
        <v>1926</v>
      </c>
      <c r="J17" s="184" t="s">
        <v>1910</v>
      </c>
      <c r="K17" t="str">
        <f t="shared" si="2"/>
        <v>Secretario(a) B</v>
      </c>
    </row>
    <row r="18">
      <c r="B18" s="21" t="str">
        <f>IFERROR(__xludf.DUMMYFUNCTION("""COMPUTED_VALUE"""),"VR. ACADEMICA")</f>
        <v>VR. ACADEMICA</v>
      </c>
      <c r="C18" t="str">
        <f>IFERROR(__xludf.DUMMYFUNCTION("""COMPUTED_VALUE"""),"Administrativo(a) Contable")</f>
        <v>Administrativo(a) Contable</v>
      </c>
      <c r="D18" s="23" t="s">
        <v>3239</v>
      </c>
      <c r="E18" s="23" t="s">
        <v>3240</v>
      </c>
      <c r="F18" t="b">
        <f t="shared" si="1"/>
        <v>0</v>
      </c>
      <c r="G18" s="258" t="s">
        <v>3241</v>
      </c>
      <c r="H18" t="s">
        <v>3240</v>
      </c>
      <c r="J18" s="184" t="s">
        <v>2094</v>
      </c>
      <c r="K18" t="str">
        <f t="shared" si="2"/>
        <v>Analista de Gestión I</v>
      </c>
    </row>
    <row r="19">
      <c r="B19" s="21" t="str">
        <f>IFERROR(__xludf.DUMMYFUNCTION("""COMPUTED_VALUE"""),"VR. ACADEMICA")</f>
        <v>VR. ACADEMICA</v>
      </c>
      <c r="C19" t="str">
        <f>IFERROR(__xludf.DUMMYFUNCTION("""COMPUTED_VALUE"""),"Administrativo(a) de Apoyo")</f>
        <v>Administrativo(a) de Apoyo</v>
      </c>
      <c r="D19" s="23" t="s">
        <v>3242</v>
      </c>
      <c r="E19" s="23" t="s">
        <v>3243</v>
      </c>
      <c r="F19" t="b">
        <f t="shared" si="1"/>
        <v>0</v>
      </c>
      <c r="G19" s="258" t="s">
        <v>3244</v>
      </c>
      <c r="H19" t="s">
        <v>3243</v>
      </c>
      <c r="J19" s="184" t="s">
        <v>1915</v>
      </c>
      <c r="K19" t="str">
        <f t="shared" si="2"/>
        <v>Asistente de Laboratorio</v>
      </c>
    </row>
    <row r="20">
      <c r="B20" s="21" t="str">
        <f>IFERROR(__xludf.DUMMYFUNCTION("""COMPUTED_VALUE"""),"PRORRECTORIA")</f>
        <v>PRORRECTORIA</v>
      </c>
      <c r="C20" t="str">
        <f>IFERROR(__xludf.DUMMYFUNCTION("""COMPUTED_VALUE"""),"Administrativo(a) de Apoyo UNICIT")</f>
        <v>Administrativo(a) de Apoyo UNICIT</v>
      </c>
      <c r="D20" s="23" t="s">
        <v>3245</v>
      </c>
      <c r="E20" s="23" t="s">
        <v>3246</v>
      </c>
      <c r="F20" t="b">
        <f t="shared" si="1"/>
        <v>0</v>
      </c>
      <c r="G20" s="258" t="s">
        <v>3186</v>
      </c>
      <c r="H20" t="s">
        <v>3246</v>
      </c>
      <c r="J20" s="184" t="s">
        <v>1970</v>
      </c>
      <c r="K20" t="str">
        <f t="shared" si="2"/>
        <v>Estafeta</v>
      </c>
    </row>
    <row r="21">
      <c r="B21" s="21" t="str">
        <f>IFERROR(__xludf.DUMMYFUNCTION("""COMPUTED_VALUE"""),"VR. DE APOYO AL ESTUDIANTE")</f>
        <v>VR. DE APOYO AL ESTUDIANTE</v>
      </c>
      <c r="C21" t="str">
        <f>IFERROR(__xludf.DUMMYFUNCTION("""COMPUTED_VALUE"""),"Administrativo(a) de Cobranzas")</f>
        <v>Administrativo(a) de Cobranzas</v>
      </c>
      <c r="D21" s="23" t="s">
        <v>3247</v>
      </c>
      <c r="E21" s="23" t="s">
        <v>3248</v>
      </c>
      <c r="F21" t="b">
        <f t="shared" si="1"/>
        <v>0</v>
      </c>
      <c r="G21" s="258" t="s">
        <v>3247</v>
      </c>
      <c r="H21" t="s">
        <v>3248</v>
      </c>
      <c r="J21" s="184" t="s">
        <v>3236</v>
      </c>
      <c r="K21" t="str">
        <f t="shared" si="2"/>
        <v>Analista de Gestión Estratégica</v>
      </c>
    </row>
    <row r="22">
      <c r="B22" s="21" t="str">
        <f>IFERROR(__xludf.DUMMYFUNCTION("""COMPUTED_VALUE"""),"VR. DE APOYO AL ESTUDIANTE")</f>
        <v>VR. DE APOYO AL ESTUDIANTE</v>
      </c>
      <c r="C22" t="str">
        <f>IFERROR(__xludf.DUMMYFUNCTION("""COMPUTED_VALUE"""),"Administrativo(a) de Compras")</f>
        <v>Administrativo(a) de Compras</v>
      </c>
      <c r="D22" s="23" t="s">
        <v>3249</v>
      </c>
      <c r="E22" s="23" t="s">
        <v>3250</v>
      </c>
      <c r="F22" t="b">
        <f t="shared" si="1"/>
        <v>0</v>
      </c>
      <c r="G22" s="258" t="s">
        <v>3249</v>
      </c>
      <c r="H22" t="s">
        <v>3250</v>
      </c>
      <c r="J22" s="184" t="s">
        <v>2043</v>
      </c>
      <c r="K22" t="str">
        <f t="shared" si="2"/>
        <v>Asistente de Biblioteca</v>
      </c>
    </row>
    <row r="23">
      <c r="B23" s="21" t="str">
        <f>IFERROR(__xludf.DUMMYFUNCTION("""COMPUTED_VALUE"""),"VR. DE APOYO AL ESTUDIANTE")</f>
        <v>VR. DE APOYO AL ESTUDIANTE</v>
      </c>
      <c r="C23" t="str">
        <f>IFERROR(__xludf.DUMMYFUNCTION("""COMPUTED_VALUE"""),"Administrativo(a) de Proceso")</f>
        <v>Administrativo(a) de Proceso</v>
      </c>
      <c r="D23" s="23" t="s">
        <v>2848</v>
      </c>
      <c r="E23" s="23" t="s">
        <v>2849</v>
      </c>
      <c r="F23" t="b">
        <f t="shared" si="1"/>
        <v>0</v>
      </c>
      <c r="G23" s="258" t="s">
        <v>2848</v>
      </c>
      <c r="H23" t="s">
        <v>2849</v>
      </c>
      <c r="J23" s="184" t="s">
        <v>3251</v>
      </c>
      <c r="K23" t="str">
        <f t="shared" si="2"/>
        <v>Psicólogo(a)</v>
      </c>
    </row>
    <row r="24">
      <c r="B24" s="21" t="str">
        <f>IFERROR(__xludf.DUMMYFUNCTION("""COMPUTED_VALUE"""),"VR. DE VINCULACION CON EL MEDIO")</f>
        <v>VR. DE VINCULACION CON EL MEDIO</v>
      </c>
      <c r="C24" t="str">
        <f>IFERROR(__xludf.DUMMYFUNCTION("""COMPUTED_VALUE"""),"Administrativo(a) Especializado")</f>
        <v>Administrativo(a) Especializado</v>
      </c>
      <c r="D24" s="23" t="s">
        <v>2052</v>
      </c>
      <c r="E24" s="23" t="s">
        <v>3252</v>
      </c>
      <c r="F24" t="b">
        <f t="shared" si="1"/>
        <v>0</v>
      </c>
      <c r="G24" s="258" t="s">
        <v>2052</v>
      </c>
      <c r="H24" t="s">
        <v>3252</v>
      </c>
      <c r="J24" s="184" t="s">
        <v>2332</v>
      </c>
      <c r="K24" t="str">
        <f t="shared" si="2"/>
        <v>Administrativo(a) de Recursos Humanos</v>
      </c>
    </row>
    <row r="25">
      <c r="B25" s="21" t="str">
        <f>IFERROR(__xludf.DUMMYFUNCTION("""COMPUTED_VALUE"""),"VR. DE APOYO AL ESTUDIANTE")</f>
        <v>VR. DE APOYO AL ESTUDIANTE</v>
      </c>
      <c r="C25" t="str">
        <f>IFERROR(__xludf.DUMMYFUNCTION("""COMPUTED_VALUE"""),"Administrativo(a) Especializado UNICIT")</f>
        <v>Administrativo(a) Especializado UNICIT</v>
      </c>
      <c r="D25" s="23" t="s">
        <v>3253</v>
      </c>
      <c r="E25" s="23" t="s">
        <v>3254</v>
      </c>
      <c r="F25" t="b">
        <f t="shared" si="1"/>
        <v>0</v>
      </c>
      <c r="G25" s="258" t="s">
        <v>3253</v>
      </c>
      <c r="H25" t="s">
        <v>3254</v>
      </c>
      <c r="J25" s="184" t="s">
        <v>2332</v>
      </c>
      <c r="K25" t="str">
        <f t="shared" si="2"/>
        <v>Administrativo(a) de Recursos Humanos</v>
      </c>
    </row>
    <row r="26">
      <c r="B26" s="21" t="str">
        <f>IFERROR(__xludf.DUMMYFUNCTION("""COMPUTED_VALUE"""),"VR. DE APOYO AL ESTUDIANTE")</f>
        <v>VR. DE APOYO AL ESTUDIANTE</v>
      </c>
      <c r="C26" t="str">
        <f>IFERROR(__xludf.DUMMYFUNCTION("""COMPUTED_VALUE"""),"Administrativo(a) OIRS")</f>
        <v>Administrativo(a) OIRS</v>
      </c>
      <c r="D26" s="23" t="s">
        <v>3255</v>
      </c>
      <c r="E26" s="23" t="s">
        <v>3256</v>
      </c>
      <c r="F26" t="b">
        <f t="shared" si="1"/>
        <v>0</v>
      </c>
      <c r="G26" s="258" t="s">
        <v>3255</v>
      </c>
      <c r="H26" t="s">
        <v>3256</v>
      </c>
      <c r="J26" s="184" t="s">
        <v>3220</v>
      </c>
      <c r="K26" t="str">
        <f t="shared" si="2"/>
        <v>Abogado(a) Dirección Juridica</v>
      </c>
    </row>
    <row r="27">
      <c r="B27" s="21" t="str">
        <f>IFERROR(__xludf.DUMMYFUNCTION("""COMPUTED_VALUE"""),"VR. DE APOYO AL ESTUDIANTE")</f>
        <v>VR. DE APOYO AL ESTUDIANTE</v>
      </c>
      <c r="C27" t="str">
        <f>IFERROR(__xludf.DUMMYFUNCTION("""COMPUTED_VALUE"""),"Analista de Apoyo a la Docencia")</f>
        <v>Analista de Apoyo a la Docencia</v>
      </c>
      <c r="D27" s="23" t="s">
        <v>1922</v>
      </c>
      <c r="E27" s="23" t="s">
        <v>3257</v>
      </c>
      <c r="F27" t="b">
        <f t="shared" si="1"/>
        <v>0</v>
      </c>
      <c r="G27" s="258" t="s">
        <v>1922</v>
      </c>
      <c r="H27" t="s">
        <v>3257</v>
      </c>
      <c r="J27" s="184" t="s">
        <v>1968</v>
      </c>
      <c r="K27" t="str">
        <f t="shared" si="2"/>
        <v>Administrativo(a) de Apoyo</v>
      </c>
    </row>
    <row r="28">
      <c r="B28" s="21" t="str">
        <f>IFERROR(__xludf.DUMMYFUNCTION("""COMPUTED_VALUE"""),"VR. ACADEMICA")</f>
        <v>VR. ACADEMICA</v>
      </c>
      <c r="C28" t="str">
        <f>IFERROR(__xludf.DUMMYFUNCTION("""COMPUTED_VALUE"""),"Analista de Base de Datos")</f>
        <v>Analista de Base de Datos</v>
      </c>
      <c r="D28" s="23" t="s">
        <v>1992</v>
      </c>
      <c r="E28" s="23" t="s">
        <v>3258</v>
      </c>
      <c r="F28" t="b">
        <f t="shared" si="1"/>
        <v>0</v>
      </c>
      <c r="G28" s="258" t="s">
        <v>1992</v>
      </c>
      <c r="H28" t="s">
        <v>3258</v>
      </c>
      <c r="J28" s="184" t="s">
        <v>3259</v>
      </c>
      <c r="K28" t="str">
        <f t="shared" si="2"/>
        <v>Chofer de Ambulancia</v>
      </c>
    </row>
    <row r="29">
      <c r="B29" s="21" t="str">
        <f>IFERROR(__xludf.DUMMYFUNCTION("""COMPUTED_VALUE"""),"PRORRECTORIA")</f>
        <v>PRORRECTORIA</v>
      </c>
      <c r="C29" t="str">
        <f>IFERROR(__xludf.DUMMYFUNCTION("""COMPUTED_VALUE"""),"Analista Contable I")</f>
        <v>Analista Contable I</v>
      </c>
      <c r="D29" s="23" t="s">
        <v>3260</v>
      </c>
      <c r="E29" s="23" t="s">
        <v>3261</v>
      </c>
      <c r="F29" t="b">
        <f t="shared" si="1"/>
        <v>0</v>
      </c>
      <c r="G29" s="258" t="s">
        <v>3260</v>
      </c>
      <c r="H29" t="s">
        <v>3261</v>
      </c>
      <c r="J29" s="184" t="s">
        <v>2098</v>
      </c>
      <c r="K29" t="str">
        <f t="shared" si="2"/>
        <v>Jefe(a) de Área</v>
      </c>
    </row>
    <row r="30">
      <c r="B30" s="21" t="str">
        <f>IFERROR(__xludf.DUMMYFUNCTION("""COMPUTED_VALUE"""),"PRORRECTORIA")</f>
        <v>PRORRECTORIA</v>
      </c>
      <c r="C30" t="str">
        <f>IFERROR(__xludf.DUMMYFUNCTION("""COMPUTED_VALUE"""),"Analista Contable II")</f>
        <v>Analista Contable II</v>
      </c>
      <c r="D30" s="23" t="s">
        <v>1950</v>
      </c>
      <c r="E30" s="23" t="s">
        <v>3262</v>
      </c>
      <c r="F30" t="b">
        <f t="shared" si="1"/>
        <v>0</v>
      </c>
      <c r="G30" s="258" t="s">
        <v>1950</v>
      </c>
      <c r="H30" t="s">
        <v>3262</v>
      </c>
      <c r="J30" s="184" t="s">
        <v>1955</v>
      </c>
      <c r="K30" t="str">
        <f t="shared" si="2"/>
        <v>Mayordomo(a)</v>
      </c>
    </row>
    <row r="31">
      <c r="B31" s="21" t="str">
        <f>IFERROR(__xludf.DUMMYFUNCTION("""COMPUTED_VALUE"""),"PRORRECTORIA")</f>
        <v>PRORRECTORIA</v>
      </c>
      <c r="C31" t="str">
        <f>IFERROR(__xludf.DUMMYFUNCTION("""COMPUTED_VALUE"""),"Analista de Acreditación")</f>
        <v>Analista de Acreditación</v>
      </c>
      <c r="D31" s="23" t="s">
        <v>3236</v>
      </c>
      <c r="E31" s="23" t="s">
        <v>3263</v>
      </c>
      <c r="F31" t="b">
        <f t="shared" si="1"/>
        <v>0</v>
      </c>
      <c r="G31" s="258" t="s">
        <v>3236</v>
      </c>
      <c r="H31" t="s">
        <v>3263</v>
      </c>
      <c r="J31" s="184" t="s">
        <v>1955</v>
      </c>
      <c r="K31" t="str">
        <f t="shared" si="2"/>
        <v>Mayordomo(a)</v>
      </c>
    </row>
    <row r="32">
      <c r="B32" s="21" t="str">
        <f>IFERROR(__xludf.DUMMYFUNCTION("""COMPUTED_VALUE"""),"PRORRECTORIA")</f>
        <v>PRORRECTORIA</v>
      </c>
      <c r="C32" t="str">
        <f>IFERROR(__xludf.DUMMYFUNCTION("""COMPUTED_VALUE"""),"Analista de Calidad")</f>
        <v>Analista de Calidad</v>
      </c>
      <c r="D32" s="23" t="s">
        <v>2094</v>
      </c>
      <c r="E32" s="23" t="s">
        <v>3207</v>
      </c>
      <c r="F32" t="b">
        <f t="shared" si="1"/>
        <v>0</v>
      </c>
      <c r="G32" s="258" t="s">
        <v>2094</v>
      </c>
      <c r="H32" t="s">
        <v>3207</v>
      </c>
      <c r="J32" s="184" t="s">
        <v>2094</v>
      </c>
      <c r="K32" t="str">
        <f t="shared" si="2"/>
        <v>Analista de Gestión I</v>
      </c>
    </row>
    <row r="33">
      <c r="B33" s="21" t="str">
        <f>IFERROR(__xludf.DUMMYFUNCTION("""COMPUTED_VALUE"""),"PRORRECTORIA")</f>
        <v>PRORRECTORIA</v>
      </c>
      <c r="C33" t="str">
        <f>IFERROR(__xludf.DUMMYFUNCTION("""COMPUTED_VALUE"""),"Analista de Educación Continua")</f>
        <v>Analista de Educación Continua</v>
      </c>
      <c r="D33" s="23" t="s">
        <v>2031</v>
      </c>
      <c r="E33" s="23" t="s">
        <v>3002</v>
      </c>
      <c r="F33" t="b">
        <f t="shared" si="1"/>
        <v>0</v>
      </c>
      <c r="G33" s="258" t="s">
        <v>2031</v>
      </c>
      <c r="H33" t="s">
        <v>3002</v>
      </c>
      <c r="J33" s="184" t="s">
        <v>1947</v>
      </c>
      <c r="K33" t="str">
        <f t="shared" si="2"/>
        <v>Auxiliar de Servicios</v>
      </c>
    </row>
    <row r="34">
      <c r="B34" s="21" t="str">
        <f>IFERROR(__xludf.DUMMYFUNCTION("""COMPUTED_VALUE"""),"VR. DE APOYO AL ESTUDIANTE")</f>
        <v>VR. DE APOYO AL ESTUDIANTE</v>
      </c>
      <c r="C34" t="str">
        <f>IFERROR(__xludf.DUMMYFUNCTION("""COMPUTED_VALUE"""),"Analista de Estudios")</f>
        <v>Analista de Estudios</v>
      </c>
      <c r="D34" s="23" t="s">
        <v>3264</v>
      </c>
      <c r="E34" s="23" t="s">
        <v>1729</v>
      </c>
      <c r="F34" t="b">
        <f t="shared" si="1"/>
        <v>0</v>
      </c>
      <c r="G34" s="258" t="s">
        <v>3264</v>
      </c>
      <c r="H34" t="s">
        <v>1729</v>
      </c>
      <c r="J34" s="184" t="s">
        <v>3260</v>
      </c>
      <c r="K34" t="str">
        <f t="shared" si="2"/>
        <v>Analista de Gestión Administrativa</v>
      </c>
    </row>
    <row r="35">
      <c r="B35" s="21" t="str">
        <f>IFERROR(__xludf.DUMMYFUNCTION("""COMPUTED_VALUE"""),"PRORRECTORIA")</f>
        <v>PRORRECTORIA</v>
      </c>
      <c r="C35" t="str">
        <f>IFERROR(__xludf.DUMMYFUNCTION("""COMPUTED_VALUE"""),"Analista de Gestión Administrativa")</f>
        <v>Analista de Gestión Administrativa</v>
      </c>
      <c r="D35" s="23" t="s">
        <v>2674</v>
      </c>
      <c r="E35" s="23" t="s">
        <v>3265</v>
      </c>
      <c r="F35" t="b">
        <f t="shared" si="1"/>
        <v>0</v>
      </c>
      <c r="G35" s="258" t="s">
        <v>2674</v>
      </c>
      <c r="H35" t="s">
        <v>3265</v>
      </c>
      <c r="J35" s="184" t="s">
        <v>1954</v>
      </c>
      <c r="K35" t="str">
        <f t="shared" si="2"/>
        <v>Secretario(a) C</v>
      </c>
    </row>
    <row r="36">
      <c r="B36" s="21" t="str">
        <f>IFERROR(__xludf.DUMMYFUNCTION("""COMPUTED_VALUE"""),"PRORRECTORIA")</f>
        <v>PRORRECTORIA</v>
      </c>
      <c r="C36" t="str">
        <f>IFERROR(__xludf.DUMMYFUNCTION("""COMPUTED_VALUE"""),"Analista de Gestión Administrativa UNICIT")</f>
        <v>Analista de Gestión Administrativa UNICIT</v>
      </c>
      <c r="D36" s="23" t="s">
        <v>2752</v>
      </c>
      <c r="E36" s="23" t="s">
        <v>2993</v>
      </c>
      <c r="F36" t="b">
        <f t="shared" si="1"/>
        <v>0</v>
      </c>
      <c r="G36" s="258" t="s">
        <v>2752</v>
      </c>
      <c r="H36" t="s">
        <v>2993</v>
      </c>
      <c r="J36" s="184" t="s">
        <v>2094</v>
      </c>
      <c r="K36" t="str">
        <f t="shared" si="2"/>
        <v>Analista de Gestión I</v>
      </c>
    </row>
    <row r="37">
      <c r="B37" s="21" t="str">
        <f>IFERROR(__xludf.DUMMYFUNCTION("""COMPUTED_VALUE"""),"PRORRECTORIA")</f>
        <v>PRORRECTORIA</v>
      </c>
      <c r="C37" t="str">
        <f>IFERROR(__xludf.DUMMYFUNCTION("""COMPUTED_VALUE"""),"Analista de Gestión I")</f>
        <v>Analista de Gestión I</v>
      </c>
      <c r="D37" s="23" t="s">
        <v>3266</v>
      </c>
      <c r="E37" s="23" t="s">
        <v>3267</v>
      </c>
      <c r="F37" t="b">
        <f t="shared" si="1"/>
        <v>0</v>
      </c>
      <c r="G37" s="258" t="s">
        <v>3266</v>
      </c>
      <c r="H37" t="s">
        <v>3267</v>
      </c>
      <c r="J37" s="184" t="s">
        <v>3220</v>
      </c>
      <c r="K37" t="str">
        <f t="shared" si="2"/>
        <v>Abogado(a) Dirección Juridica</v>
      </c>
    </row>
    <row r="38">
      <c r="B38" s="21" t="str">
        <f>IFERROR(__xludf.DUMMYFUNCTION("""COMPUTED_VALUE"""),"FACULTAD DE INGENIERIA")</f>
        <v>FACULTAD DE INGENIERIA</v>
      </c>
      <c r="C38" t="str">
        <f>IFERROR(__xludf.DUMMYFUNCTION("""COMPUTED_VALUE"""),"Analista de Gestión I UNICIT")</f>
        <v>Analista de Gestión I UNICIT</v>
      </c>
      <c r="D38" s="23" t="s">
        <v>3268</v>
      </c>
      <c r="E38" s="23" t="s">
        <v>3269</v>
      </c>
      <c r="F38" t="b">
        <f t="shared" si="1"/>
        <v>0</v>
      </c>
      <c r="G38" s="258" t="s">
        <v>3268</v>
      </c>
      <c r="H38" t="s">
        <v>3269</v>
      </c>
      <c r="J38" s="184" t="s">
        <v>3255</v>
      </c>
      <c r="K38" t="str">
        <f t="shared" si="2"/>
        <v>Analista de Base de Datos</v>
      </c>
    </row>
    <row r="39">
      <c r="B39" s="21" t="str">
        <f>IFERROR(__xludf.DUMMYFUNCTION("""COMPUTED_VALUE"""),"FACULTAD DE INGENIERIA")</f>
        <v>FACULTAD DE INGENIERIA</v>
      </c>
      <c r="C39" t="str">
        <f>IFERROR(__xludf.DUMMYFUNCTION("""COMPUTED_VALUE"""),"Analista de Gestión II")</f>
        <v>Analista de Gestión II</v>
      </c>
      <c r="D39" s="23" t="s">
        <v>2710</v>
      </c>
      <c r="E39" s="23" t="s">
        <v>2711</v>
      </c>
      <c r="F39" t="b">
        <f t="shared" si="1"/>
        <v>0</v>
      </c>
      <c r="G39" s="258" t="s">
        <v>2710</v>
      </c>
      <c r="H39" t="s">
        <v>2711</v>
      </c>
      <c r="J39" s="184" t="s">
        <v>1959</v>
      </c>
      <c r="K39" t="str">
        <f t="shared" si="2"/>
        <v>Encargado(a) de Laboratorio</v>
      </c>
    </row>
    <row r="40">
      <c r="B40" s="21" t="str">
        <f>IFERROR(__xludf.DUMMYFUNCTION("""COMPUTED_VALUE"""),"FACULTAD DE INGENIERIA")</f>
        <v>FACULTAD DE INGENIERIA</v>
      </c>
      <c r="C40" t="str">
        <f>IFERROR(__xludf.DUMMYFUNCTION("""COMPUTED_VALUE"""),"Analista de Gestión II UNICIT")</f>
        <v>Analista de Gestión II UNICIT</v>
      </c>
      <c r="D40" s="23" t="s">
        <v>3270</v>
      </c>
      <c r="E40" s="23" t="s">
        <v>3271</v>
      </c>
      <c r="F40" t="b">
        <f t="shared" si="1"/>
        <v>0</v>
      </c>
      <c r="G40" s="258" t="s">
        <v>3270</v>
      </c>
      <c r="H40" t="s">
        <v>3271</v>
      </c>
      <c r="J40" s="184" t="s">
        <v>1947</v>
      </c>
      <c r="K40" t="str">
        <f t="shared" si="2"/>
        <v>Auxiliar de Servicios</v>
      </c>
    </row>
    <row r="41">
      <c r="B41" s="21" t="str">
        <f>IFERROR(__xludf.DUMMYFUNCTION("""COMPUTED_VALUE"""),"FACULTAD DE INGENIERIA")</f>
        <v>FACULTAD DE INGENIERIA</v>
      </c>
      <c r="C41" t="str">
        <f>IFERROR(__xludf.DUMMYFUNCTION("""COMPUTED_VALUE"""),"Analista de Gestión III UNICIT")</f>
        <v>Analista de Gestión III UNICIT</v>
      </c>
      <c r="D41" s="23" t="s">
        <v>2230</v>
      </c>
      <c r="E41" s="23" t="s">
        <v>1706</v>
      </c>
      <c r="F41" t="b">
        <f t="shared" si="1"/>
        <v>0</v>
      </c>
      <c r="G41" s="258" t="s">
        <v>2230</v>
      </c>
      <c r="H41" t="s">
        <v>1706</v>
      </c>
      <c r="J41" s="184" t="s">
        <v>1955</v>
      </c>
      <c r="K41" t="str">
        <f t="shared" si="2"/>
        <v>Mayordomo(a)</v>
      </c>
    </row>
    <row r="42">
      <c r="B42" s="21" t="str">
        <f>IFERROR(__xludf.DUMMYFUNCTION("""COMPUTED_VALUE"""),"FACULTAD DE INGENIERIA")</f>
        <v>FACULTAD DE INGENIERIA</v>
      </c>
      <c r="C42" t="str">
        <f>IFERROR(__xludf.DUMMYFUNCTION("""COMPUTED_VALUE"""),"Analista de Gestión III")</f>
        <v>Analista de Gestión III</v>
      </c>
      <c r="D42" s="23" t="s">
        <v>3272</v>
      </c>
      <c r="E42" s="23" t="s">
        <v>3273</v>
      </c>
      <c r="F42" t="b">
        <f t="shared" si="1"/>
        <v>0</v>
      </c>
      <c r="G42" s="258" t="s">
        <v>3272</v>
      </c>
      <c r="H42" t="s">
        <v>3273</v>
      </c>
      <c r="J42" s="184" t="s">
        <v>3218</v>
      </c>
      <c r="K42" t="str">
        <f t="shared" si="2"/>
        <v>Abogado(a) Contraloria Universitaria</v>
      </c>
    </row>
    <row r="43">
      <c r="B43" s="21" t="str">
        <f>IFERROR(__xludf.DUMMYFUNCTION("""COMPUTED_VALUE"""),"FACULTAD DE INGENIERIA")</f>
        <v>FACULTAD DE INGENIERIA</v>
      </c>
      <c r="C43" t="str">
        <f>IFERROR(__xludf.DUMMYFUNCTION("""COMPUTED_VALUE"""),"Analista de Proyectos I")</f>
        <v>Analista de Proyectos I</v>
      </c>
      <c r="D43" s="23" t="s">
        <v>3274</v>
      </c>
      <c r="E43" s="23" t="s">
        <v>3275</v>
      </c>
      <c r="F43" t="b">
        <f t="shared" si="1"/>
        <v>0</v>
      </c>
      <c r="G43" s="258" t="s">
        <v>3274</v>
      </c>
      <c r="H43" t="s">
        <v>3275</v>
      </c>
      <c r="J43" s="184" t="s">
        <v>1910</v>
      </c>
      <c r="K43" t="str">
        <f t="shared" si="2"/>
        <v>Secretario(a) B</v>
      </c>
    </row>
    <row r="44">
      <c r="B44" s="21" t="str">
        <f>IFERROR(__xludf.DUMMYFUNCTION("""COMPUTED_VALUE"""),"FACULTAD DE INGENIERIA")</f>
        <v>FACULTAD DE INGENIERIA</v>
      </c>
      <c r="C44" t="str">
        <f>IFERROR(__xludf.DUMMYFUNCTION("""COMPUTED_VALUE"""),"Analista de Proyectos II")</f>
        <v>Analista de Proyectos II</v>
      </c>
      <c r="D44" s="23" t="s">
        <v>3276</v>
      </c>
      <c r="E44" s="23" t="s">
        <v>3277</v>
      </c>
      <c r="F44" t="b">
        <f t="shared" si="1"/>
        <v>0</v>
      </c>
      <c r="G44" s="258" t="s">
        <v>3278</v>
      </c>
      <c r="H44" t="s">
        <v>3277</v>
      </c>
      <c r="J44" s="184" t="s">
        <v>1947</v>
      </c>
      <c r="K44" t="str">
        <f t="shared" si="2"/>
        <v>Auxiliar de Servicios</v>
      </c>
    </row>
    <row r="45">
      <c r="B45" s="21" t="str">
        <f>IFERROR(__xludf.DUMMYFUNCTION("""COMPUTED_VALUE"""),"FACULTAD DE INGENIERIA")</f>
        <v>FACULTAD DE INGENIERIA</v>
      </c>
      <c r="C45" t="str">
        <f>IFERROR(__xludf.DUMMYFUNCTION("""COMPUTED_VALUE"""),"Analista de Relaciones Internacionales e Interuniversitarias")</f>
        <v>Analista de Relaciones Internacionales e Interuniversitarias</v>
      </c>
      <c r="D45" s="23" t="s">
        <v>3279</v>
      </c>
      <c r="E45" s="23" t="s">
        <v>3280</v>
      </c>
      <c r="F45" t="b">
        <f t="shared" si="1"/>
        <v>0</v>
      </c>
      <c r="G45" s="258" t="s">
        <v>3281</v>
      </c>
      <c r="H45" t="s">
        <v>3280</v>
      </c>
      <c r="J45" s="184" t="s">
        <v>1910</v>
      </c>
      <c r="K45" t="str">
        <f t="shared" si="2"/>
        <v>Secretario(a) B</v>
      </c>
    </row>
    <row r="46">
      <c r="B46" s="21" t="str">
        <f>IFERROR(__xludf.DUMMYFUNCTION("""COMPUTED_VALUE"""),"FACULTAD DE INGENIERIA")</f>
        <v>FACULTAD DE INGENIERIA</v>
      </c>
      <c r="C46" t="str">
        <f>IFERROR(__xludf.DUMMYFUNCTION("""COMPUTED_VALUE"""),"Analista Financiero y Control de Gestión")</f>
        <v>Analista Financiero y Control de Gestión</v>
      </c>
      <c r="D46" s="23" t="s">
        <v>3282</v>
      </c>
      <c r="E46" s="23" t="s">
        <v>3283</v>
      </c>
      <c r="F46" t="b">
        <f t="shared" si="1"/>
        <v>0</v>
      </c>
      <c r="G46" s="258" t="s">
        <v>3284</v>
      </c>
      <c r="H46" t="s">
        <v>3283</v>
      </c>
      <c r="J46" s="184" t="s">
        <v>3285</v>
      </c>
      <c r="K46" t="str">
        <f t="shared" si="2"/>
        <v>Técnico(a) de Laboratorio Especializado</v>
      </c>
    </row>
    <row r="47">
      <c r="B47" s="21" t="str">
        <f>IFERROR(__xludf.DUMMYFUNCTION("""COMPUTED_VALUE"""),"FACULTAD DE INGENIERIA")</f>
        <v>FACULTAD DE INGENIERIA</v>
      </c>
      <c r="C47" t="str">
        <f>IFERROR(__xludf.DUMMYFUNCTION("""COMPUTED_VALUE"""),"Analista de Gestión de Personas")</f>
        <v>Analista de Gestión de Personas</v>
      </c>
      <c r="D47" s="23" t="s">
        <v>2043</v>
      </c>
      <c r="E47" s="23" t="s">
        <v>1824</v>
      </c>
      <c r="F47" t="b">
        <f t="shared" si="1"/>
        <v>0</v>
      </c>
      <c r="G47" s="258" t="s">
        <v>2043</v>
      </c>
      <c r="H47" t="s">
        <v>1824</v>
      </c>
      <c r="J47" s="184" t="s">
        <v>2016</v>
      </c>
      <c r="K47" t="str">
        <f t="shared" si="2"/>
        <v>Médicos(as) y Dentistas</v>
      </c>
    </row>
    <row r="48">
      <c r="B48" s="21" t="str">
        <f>IFERROR(__xludf.DUMMYFUNCTION("""COMPUTED_VALUE"""),"FACULTAD DE CIENCIA")</f>
        <v>FACULTAD DE CIENCIA</v>
      </c>
      <c r="C48" t="str">
        <f>IFERROR(__xludf.DUMMYFUNCTION("""COMPUTED_VALUE"""),"Analista de Gestión Estratégica")</f>
        <v>Analista de Gestión Estratégica</v>
      </c>
      <c r="D48" s="23" t="s">
        <v>3286</v>
      </c>
      <c r="E48" s="23" t="s">
        <v>3287</v>
      </c>
      <c r="F48" t="b">
        <f t="shared" si="1"/>
        <v>0</v>
      </c>
      <c r="G48" s="258" t="s">
        <v>3286</v>
      </c>
      <c r="H48" t="s">
        <v>3287</v>
      </c>
      <c r="J48" s="184" t="s">
        <v>3286</v>
      </c>
      <c r="K48" t="str">
        <f t="shared" si="2"/>
        <v>Asistente de Grupo Artistico</v>
      </c>
    </row>
    <row r="49">
      <c r="B49" s="21" t="str">
        <f>IFERROR(__xludf.DUMMYFUNCTION("""COMPUTED_VALUE"""),"FACULTAD DE CIENCIA")</f>
        <v>FACULTAD DE CIENCIA</v>
      </c>
      <c r="C49" t="str">
        <f>IFERROR(__xludf.DUMMYFUNCTION("""COMPUTED_VALUE"""),"Analista Informático")</f>
        <v>Analista Informático</v>
      </c>
      <c r="D49" s="23" t="s">
        <v>1915</v>
      </c>
      <c r="E49" s="23" t="s">
        <v>1916</v>
      </c>
      <c r="F49" t="b">
        <f t="shared" si="1"/>
        <v>0</v>
      </c>
      <c r="G49" s="258" t="s">
        <v>1915</v>
      </c>
      <c r="H49" t="s">
        <v>1916</v>
      </c>
      <c r="J49" s="184" t="s">
        <v>1897</v>
      </c>
      <c r="K49" t="str">
        <f t="shared" si="2"/>
        <v>Secretario(a) de Apoyo Docente</v>
      </c>
    </row>
    <row r="50">
      <c r="B50" s="21" t="str">
        <f>IFERROR(__xludf.DUMMYFUNCTION("""COMPUTED_VALUE"""),"FACULTAD DE CIENCIA")</f>
        <v>FACULTAD DE CIENCIA</v>
      </c>
      <c r="C50" t="str">
        <f>IFERROR(__xludf.DUMMYFUNCTION("""COMPUTED_VALUE"""),"Analista Instruccional de Virtualización Docente")</f>
        <v>Analista Instruccional de Virtualización Docente</v>
      </c>
      <c r="D50" s="23" t="s">
        <v>2382</v>
      </c>
      <c r="E50" s="23" t="s">
        <v>2383</v>
      </c>
      <c r="F50" t="b">
        <f t="shared" si="1"/>
        <v>0</v>
      </c>
      <c r="G50" s="258" t="s">
        <v>2382</v>
      </c>
      <c r="H50" t="s">
        <v>2383</v>
      </c>
      <c r="J50" s="184" t="s">
        <v>1934</v>
      </c>
      <c r="K50" t="str">
        <f t="shared" si="2"/>
        <v>Bibliotecario(a)</v>
      </c>
    </row>
    <row r="51">
      <c r="B51" s="21" t="str">
        <f>IFERROR(__xludf.DUMMYFUNCTION("""COMPUTED_VALUE"""),"VR. ACADEMICA")</f>
        <v>VR. ACADEMICA</v>
      </c>
      <c r="C51" t="str">
        <f>IFERROR(__xludf.DUMMYFUNCTION("""COMPUTED_VALUE"""),"Analista de Planificación y Análisis")</f>
        <v>Analista de Planificación y Análisis</v>
      </c>
      <c r="D51" s="23" t="s">
        <v>3288</v>
      </c>
      <c r="E51" s="23" t="s">
        <v>3289</v>
      </c>
      <c r="F51" t="b">
        <f t="shared" si="1"/>
        <v>0</v>
      </c>
      <c r="G51" s="258" t="s">
        <v>3288</v>
      </c>
      <c r="H51" t="s">
        <v>3289</v>
      </c>
      <c r="J51" s="184" t="s">
        <v>2094</v>
      </c>
      <c r="K51" t="str">
        <f t="shared" si="2"/>
        <v>Analista de Gestión I</v>
      </c>
    </row>
    <row r="52">
      <c r="B52" s="21" t="str">
        <f>IFERROR(__xludf.DUMMYFUNCTION("""COMPUTED_VALUE"""),"FACULTAD DE HUMANIDADES")</f>
        <v>FACULTAD DE HUMANIDADES</v>
      </c>
      <c r="C52" t="str">
        <f>IFERROR(__xludf.DUMMYFUNCTION("""COMPUTED_VALUE"""),"Analista Presupuestario")</f>
        <v>Analista Presupuestario</v>
      </c>
      <c r="D52" s="23" t="s">
        <v>2338</v>
      </c>
      <c r="E52" s="23" t="s">
        <v>3290</v>
      </c>
      <c r="F52" t="b">
        <f t="shared" si="1"/>
        <v>0</v>
      </c>
      <c r="G52" s="258" t="s">
        <v>2338</v>
      </c>
      <c r="H52" t="s">
        <v>3290</v>
      </c>
      <c r="J52" s="184" t="s">
        <v>1929</v>
      </c>
      <c r="K52" t="str">
        <f t="shared" si="2"/>
        <v>Administrativo(a) de Proceso</v>
      </c>
    </row>
    <row r="53">
      <c r="B53" s="21" t="str">
        <f>IFERROR(__xludf.DUMMYFUNCTION("""COMPUTED_VALUE"""),"FACULTAD DE HUMANIDADES")</f>
        <v>FACULTAD DE HUMANIDADES</v>
      </c>
      <c r="C53" t="str">
        <f>IFERROR(__xludf.DUMMYFUNCTION("""COMPUTED_VALUE"""),"Analista Funcional PeopleSoft")</f>
        <v>Analista Funcional PeopleSoft</v>
      </c>
      <c r="D53" s="23" t="s">
        <v>2299</v>
      </c>
      <c r="E53" s="23" t="s">
        <v>3291</v>
      </c>
      <c r="F53" t="b">
        <f t="shared" si="1"/>
        <v>0</v>
      </c>
      <c r="G53" s="258" t="s">
        <v>2299</v>
      </c>
      <c r="H53" t="s">
        <v>3291</v>
      </c>
      <c r="J53" s="184" t="s">
        <v>3292</v>
      </c>
      <c r="K53" t="str">
        <f t="shared" si="2"/>
        <v>Auxiliar de Enfermería</v>
      </c>
    </row>
    <row r="54">
      <c r="B54" s="21" t="str">
        <f>IFERROR(__xludf.DUMMYFUNCTION("""COMPUTED_VALUE"""),"FACULTAD DE HUMANIDADES")</f>
        <v>FACULTAD DE HUMANIDADES</v>
      </c>
      <c r="C54" t="str">
        <f>IFERROR(__xludf.DUMMYFUNCTION("""COMPUTED_VALUE"""),"Arquitecto(a)")</f>
        <v>Arquitecto(a)</v>
      </c>
      <c r="D54" s="23" t="s">
        <v>3293</v>
      </c>
      <c r="E54" s="23" t="s">
        <v>3294</v>
      </c>
      <c r="F54" t="b">
        <f t="shared" si="1"/>
        <v>0</v>
      </c>
      <c r="G54" s="258" t="s">
        <v>3295</v>
      </c>
      <c r="H54" t="s">
        <v>3294</v>
      </c>
      <c r="J54" s="184" t="s">
        <v>1925</v>
      </c>
      <c r="K54" t="str">
        <f t="shared" si="2"/>
        <v>Administrativo(a) Especializado</v>
      </c>
    </row>
    <row r="55">
      <c r="B55" s="21" t="str">
        <f>IFERROR(__xludf.DUMMYFUNCTION("""COMPUTED_VALUE"""),"FACULTAD DE HUMANIDADES")</f>
        <v>FACULTAD DE HUMANIDADES</v>
      </c>
      <c r="C55" t="str">
        <f>IFERROR(__xludf.DUMMYFUNCTION("""COMPUTED_VALUE"""),"Asesor(a) de Dirección Ejecutiva UNICIT")</f>
        <v>Asesor(a) de Dirección Ejecutiva UNICIT</v>
      </c>
      <c r="D55" s="23" t="s">
        <v>3296</v>
      </c>
      <c r="E55" s="23" t="s">
        <v>3297</v>
      </c>
      <c r="F55" t="b">
        <f t="shared" si="1"/>
        <v>0</v>
      </c>
      <c r="G55" s="258" t="s">
        <v>3298</v>
      </c>
      <c r="H55" t="s">
        <v>3297</v>
      </c>
      <c r="J55" s="184" t="s">
        <v>1968</v>
      </c>
      <c r="K55" t="str">
        <f t="shared" si="2"/>
        <v>Administrativo(a) de Apoyo</v>
      </c>
    </row>
    <row r="56">
      <c r="B56" s="21" t="str">
        <f>IFERROR(__xludf.DUMMYFUNCTION("""COMPUTED_VALUE"""),"FACULTAD DE HUMANIDADES")</f>
        <v>FACULTAD DE HUMANIDADES</v>
      </c>
      <c r="C56" t="str">
        <f>IFERROR(__xludf.DUMMYFUNCTION("""COMPUTED_VALUE"""),"Asistente de Biblioteca")</f>
        <v>Asistente de Biblioteca</v>
      </c>
      <c r="D56" s="23" t="s">
        <v>3292</v>
      </c>
      <c r="E56" s="23" t="s">
        <v>2248</v>
      </c>
      <c r="F56" t="b">
        <f t="shared" si="1"/>
        <v>0</v>
      </c>
      <c r="G56" s="258" t="s">
        <v>2247</v>
      </c>
      <c r="H56" t="s">
        <v>2248</v>
      </c>
      <c r="J56" s="184" t="s">
        <v>1955</v>
      </c>
      <c r="K56" t="str">
        <f t="shared" si="2"/>
        <v>Mayordomo(a)</v>
      </c>
    </row>
    <row r="57">
      <c r="B57" s="21" t="str">
        <f>IFERROR(__xludf.DUMMYFUNCTION("""COMPUTED_VALUE"""),"FACULTAD DE ADMINIST Y ECONOMI")</f>
        <v>FACULTAD DE ADMINIST Y ECONOMI</v>
      </c>
      <c r="C57" t="str">
        <f>IFERROR(__xludf.DUMMYFUNCTION("""COMPUTED_VALUE"""),"Asistente de Biblioteca UNICIT")</f>
        <v>Asistente de Biblioteca UNICIT</v>
      </c>
      <c r="D57" s="23" t="s">
        <v>3299</v>
      </c>
      <c r="E57" s="23" t="s">
        <v>3300</v>
      </c>
      <c r="F57" t="b">
        <f t="shared" si="1"/>
        <v>0</v>
      </c>
      <c r="G57" s="258" t="s">
        <v>3301</v>
      </c>
      <c r="H57" t="s">
        <v>3300</v>
      </c>
      <c r="J57" s="184" t="s">
        <v>3260</v>
      </c>
      <c r="K57" t="str">
        <f t="shared" si="2"/>
        <v>Analista de Gestión Administrativa</v>
      </c>
    </row>
    <row r="58">
      <c r="B58" s="21" t="str">
        <f>IFERROR(__xludf.DUMMYFUNCTION("""COMPUTED_VALUE"""),"FACULTAD DE ADMINIST Y ECONOMI")</f>
        <v>FACULTAD DE ADMINIST Y ECONOMI</v>
      </c>
      <c r="C58" t="str">
        <f>IFERROR(__xludf.DUMMYFUNCTION("""COMPUTED_VALUE"""),"Asistente de Grupo Artistico")</f>
        <v>Asistente de Grupo Artistico</v>
      </c>
      <c r="D58" s="23" t="s">
        <v>1947</v>
      </c>
      <c r="E58" s="23" t="s">
        <v>1687</v>
      </c>
      <c r="F58" t="b">
        <f t="shared" si="1"/>
        <v>0</v>
      </c>
      <c r="G58" s="258" t="s">
        <v>1947</v>
      </c>
      <c r="H58" t="s">
        <v>1687</v>
      </c>
      <c r="J58" s="184" t="s">
        <v>3220</v>
      </c>
      <c r="K58" t="str">
        <f t="shared" si="2"/>
        <v>Abogado(a) Dirección Juridica</v>
      </c>
    </row>
    <row r="59">
      <c r="B59" s="21" t="str">
        <f>IFERROR(__xludf.DUMMYFUNCTION("""COMPUTED_VALUE"""),"FACULTAD DE ADMINIST Y ECONOMI")</f>
        <v>FACULTAD DE ADMINIST Y ECONOMI</v>
      </c>
      <c r="C59" t="str">
        <f>IFERROR(__xludf.DUMMYFUNCTION("""COMPUTED_VALUE"""),"Asistente de Laboratorio")</f>
        <v>Asistente de Laboratorio</v>
      </c>
      <c r="D59" s="23" t="s">
        <v>1962</v>
      </c>
      <c r="E59" s="23" t="s">
        <v>2916</v>
      </c>
      <c r="F59" t="b">
        <f t="shared" si="1"/>
        <v>0</v>
      </c>
      <c r="G59" s="258" t="s">
        <v>2915</v>
      </c>
      <c r="H59" t="s">
        <v>2916</v>
      </c>
      <c r="J59" s="184" t="s">
        <v>2635</v>
      </c>
      <c r="K59" t="str">
        <f t="shared" si="2"/>
        <v>#N/A</v>
      </c>
    </row>
    <row r="60">
      <c r="B60" s="21" t="str">
        <f>IFERROR(__xludf.DUMMYFUNCTION("""COMPUTED_VALUE"""),"FACULTAD DE ADMINIST Y ECONOMI")</f>
        <v>FACULTAD DE ADMINIST Y ECONOMI</v>
      </c>
      <c r="C60" t="str">
        <f>IFERROR(__xludf.DUMMYFUNCTION("""COMPUTED_VALUE"""),"Asistente de Mantención")</f>
        <v>Asistente de Mantención</v>
      </c>
      <c r="D60" s="23" t="s">
        <v>1934</v>
      </c>
      <c r="E60" s="23" t="s">
        <v>1611</v>
      </c>
      <c r="F60" t="b">
        <f t="shared" si="1"/>
        <v>0</v>
      </c>
      <c r="G60" s="258" t="s">
        <v>2774</v>
      </c>
      <c r="H60" t="s">
        <v>1611</v>
      </c>
      <c r="J60" s="184" t="s">
        <v>2540</v>
      </c>
      <c r="K60" t="str">
        <f t="shared" si="2"/>
        <v>#N/A</v>
      </c>
    </row>
    <row r="61">
      <c r="B61" s="21" t="str">
        <f>IFERROR(__xludf.DUMMYFUNCTION("""COMPUTED_VALUE"""),"FACULTAD DE ADMINIST Y ECONOMI")</f>
        <v>FACULTAD DE ADMINIST Y ECONOMI</v>
      </c>
      <c r="C61" t="str">
        <f>IFERROR(__xludf.DUMMYFUNCTION("""COMPUTED_VALUE"""),"Asistente Proyectos/Investigación")</f>
        <v>Asistente Proyectos/Investigación</v>
      </c>
      <c r="D61" s="23" t="s">
        <v>3302</v>
      </c>
      <c r="E61" s="23" t="s">
        <v>3067</v>
      </c>
      <c r="F61" t="b">
        <f t="shared" si="1"/>
        <v>0</v>
      </c>
      <c r="G61" s="258" t="s">
        <v>3066</v>
      </c>
      <c r="H61" t="s">
        <v>3067</v>
      </c>
      <c r="J61" s="184"/>
      <c r="K61" t="str">
        <f t="shared" si="2"/>
        <v>#N/A</v>
      </c>
    </row>
    <row r="62">
      <c r="B62" s="21" t="str">
        <f>IFERROR(__xludf.DUMMYFUNCTION("""COMPUTED_VALUE"""),"FACULTAD TECNOLOGICA")</f>
        <v>FACULTAD TECNOLOGICA</v>
      </c>
      <c r="C62" t="str">
        <f>IFERROR(__xludf.DUMMYFUNCTION("""COMPUTED_VALUE"""),"Asistente Social Estudiantil")</f>
        <v>Asistente Social Estudiantil</v>
      </c>
      <c r="D62" s="23" t="s">
        <v>3303</v>
      </c>
      <c r="E62" s="23" t="s">
        <v>3304</v>
      </c>
      <c r="F62" t="b">
        <f t="shared" si="1"/>
        <v>0</v>
      </c>
      <c r="G62" s="258" t="s">
        <v>3305</v>
      </c>
      <c r="H62" t="s">
        <v>3304</v>
      </c>
      <c r="J62" s="184"/>
    </row>
    <row r="63">
      <c r="B63" s="21" t="str">
        <f>IFERROR(__xludf.DUMMYFUNCTION("""COMPUTED_VALUE"""),"FACULTAD TECNOLOGICA")</f>
        <v>FACULTAD TECNOLOGICA</v>
      </c>
      <c r="C63" t="str">
        <f>IFERROR(__xludf.DUMMYFUNCTION("""COMPUTED_VALUE"""),"Asistente Social Personal")</f>
        <v>Asistente Social Personal</v>
      </c>
      <c r="D63" s="23" t="s">
        <v>3306</v>
      </c>
      <c r="E63" s="23" t="s">
        <v>3307</v>
      </c>
      <c r="F63" t="b">
        <f t="shared" si="1"/>
        <v>0</v>
      </c>
      <c r="G63" s="258" t="s">
        <v>3308</v>
      </c>
      <c r="H63" t="s">
        <v>3307</v>
      </c>
      <c r="J63" s="184"/>
      <c r="K63" t="str">
        <f t="shared" ref="K63:K123" si="3">VLOOKUP(J63,D:G,4,0)</f>
        <v>#N/A</v>
      </c>
    </row>
    <row r="64">
      <c r="B64" s="21" t="str">
        <f>IFERROR(__xludf.DUMMYFUNCTION("""COMPUTED_VALUE"""),"FACULTAD TECNOLOGICA")</f>
        <v>FACULTAD TECNOLOGICA</v>
      </c>
      <c r="C64" t="str">
        <f>IFERROR(__xludf.DUMMYFUNCTION("""COMPUTED_VALUE"""),"Auditor(a) I")</f>
        <v>Auditor(a) I</v>
      </c>
      <c r="D64" s="23" t="s">
        <v>2361</v>
      </c>
      <c r="E64" s="23" t="s">
        <v>2362</v>
      </c>
      <c r="F64" t="b">
        <f t="shared" si="1"/>
        <v>0</v>
      </c>
      <c r="G64" s="258" t="s">
        <v>3309</v>
      </c>
      <c r="H64" t="s">
        <v>2362</v>
      </c>
      <c r="J64" s="184"/>
      <c r="K64" t="str">
        <f t="shared" si="3"/>
        <v>#N/A</v>
      </c>
    </row>
    <row r="65">
      <c r="B65" s="21" t="str">
        <f>IFERROR(__xludf.DUMMYFUNCTION("""COMPUTED_VALUE"""),"FACULTAD TECNOLOGICA")</f>
        <v>FACULTAD TECNOLOGICA</v>
      </c>
      <c r="C65" t="str">
        <f>IFERROR(__xludf.DUMMYFUNCTION("""COMPUTED_VALUE"""),"Auxiliar de Aseo")</f>
        <v>Auxiliar de Aseo</v>
      </c>
      <c r="D65" s="23" t="s">
        <v>3096</v>
      </c>
      <c r="E65" s="23" t="s">
        <v>3097</v>
      </c>
      <c r="F65" t="b">
        <f t="shared" si="1"/>
        <v>0</v>
      </c>
      <c r="G65" s="258" t="s">
        <v>3096</v>
      </c>
      <c r="H65" t="s">
        <v>3097</v>
      </c>
      <c r="J65" s="184"/>
      <c r="K65" t="str">
        <f t="shared" si="3"/>
        <v>#N/A</v>
      </c>
    </row>
    <row r="66">
      <c r="B66" s="21" t="str">
        <f>IFERROR(__xludf.DUMMYFUNCTION("""COMPUTED_VALUE"""),"FACULTAD TECNOLOGICA")</f>
        <v>FACULTAD TECNOLOGICA</v>
      </c>
      <c r="C66" t="str">
        <f>IFERROR(__xludf.DUMMYFUNCTION("""COMPUTED_VALUE"""),"Auxiliar de Enfermería")</f>
        <v>Auxiliar de Enfermería</v>
      </c>
      <c r="D66" s="23" t="s">
        <v>3259</v>
      </c>
      <c r="E66" s="23" t="s">
        <v>3310</v>
      </c>
      <c r="F66" t="b">
        <f t="shared" si="1"/>
        <v>0</v>
      </c>
      <c r="G66" s="258" t="s">
        <v>3259</v>
      </c>
      <c r="H66" t="s">
        <v>3310</v>
      </c>
      <c r="J66" s="184"/>
      <c r="K66" t="str">
        <f t="shared" si="3"/>
        <v>#N/A</v>
      </c>
    </row>
    <row r="67">
      <c r="B67" s="21" t="str">
        <f>IFERROR(__xludf.DUMMYFUNCTION("""COMPUTED_VALUE"""),"PRORRECTORIA")</f>
        <v>PRORRECTORIA</v>
      </c>
      <c r="C67" t="str">
        <f>IFERROR(__xludf.DUMMYFUNCTION("""COMPUTED_VALUE"""),"Auxiliar de Odontología")</f>
        <v>Auxiliar de Odontología</v>
      </c>
      <c r="D67" s="23" t="s">
        <v>3311</v>
      </c>
      <c r="E67" s="23" t="s">
        <v>3312</v>
      </c>
      <c r="F67" t="b">
        <f t="shared" si="1"/>
        <v>0</v>
      </c>
      <c r="G67" s="258" t="s">
        <v>3313</v>
      </c>
      <c r="H67" t="s">
        <v>3312</v>
      </c>
      <c r="J67" s="184"/>
      <c r="K67" t="str">
        <f t="shared" si="3"/>
        <v>#N/A</v>
      </c>
    </row>
    <row r="68">
      <c r="B68" s="21" t="str">
        <f>IFERROR(__xludf.DUMMYFUNCTION("""COMPUTED_VALUE"""),"FACULTAD DE HUMANIDADES")</f>
        <v>FACULTAD DE HUMANIDADES</v>
      </c>
      <c r="C68" t="str">
        <f>IFERROR(__xludf.DUMMYFUNCTION("""COMPUTED_VALUE"""),"Auxiliar de Seguridad")</f>
        <v>Auxiliar de Seguridad</v>
      </c>
      <c r="D68" s="23" t="s">
        <v>2077</v>
      </c>
      <c r="E68" s="23" t="s">
        <v>2078</v>
      </c>
      <c r="F68" t="b">
        <f t="shared" si="1"/>
        <v>0</v>
      </c>
      <c r="G68" s="258" t="s">
        <v>2923</v>
      </c>
      <c r="H68" t="s">
        <v>2078</v>
      </c>
      <c r="J68" s="184"/>
      <c r="K68" t="str">
        <f t="shared" si="3"/>
        <v>#N/A</v>
      </c>
    </row>
    <row r="69">
      <c r="B69" s="21" t="str">
        <f>IFERROR(__xludf.DUMMYFUNCTION("""COMPUTED_VALUE"""),"PRORRECTORIA")</f>
        <v>PRORRECTORIA</v>
      </c>
      <c r="C69" t="str">
        <f>IFERROR(__xludf.DUMMYFUNCTION("""COMPUTED_VALUE"""),"Auxiliar de Servicios")</f>
        <v>Auxiliar de Servicios</v>
      </c>
      <c r="D69" s="23" t="s">
        <v>3314</v>
      </c>
      <c r="E69" s="23" t="s">
        <v>3315</v>
      </c>
      <c r="F69" t="b">
        <f t="shared" si="1"/>
        <v>0</v>
      </c>
      <c r="G69" s="258" t="s">
        <v>3316</v>
      </c>
      <c r="H69" t="s">
        <v>3315</v>
      </c>
      <c r="J69" s="184"/>
      <c r="K69" t="str">
        <f t="shared" si="3"/>
        <v>#N/A</v>
      </c>
    </row>
    <row r="70">
      <c r="B70" s="21" t="str">
        <f>IFERROR(__xludf.DUMMYFUNCTION("""COMPUTED_VALUE"""),"VR. DE APOYO AL ESTUDIANTE")</f>
        <v>VR. DE APOYO AL ESTUDIANTE</v>
      </c>
      <c r="C70" t="str">
        <f>IFERROR(__xludf.DUMMYFUNCTION("""COMPUTED_VALUE"""),"Auxiliar de Servicios UNICIT")</f>
        <v>Auxiliar de Servicios UNICIT</v>
      </c>
      <c r="D70" s="23" t="s">
        <v>3317</v>
      </c>
      <c r="E70" s="23" t="s">
        <v>3318</v>
      </c>
      <c r="F70" t="b">
        <f t="shared" si="1"/>
        <v>0</v>
      </c>
      <c r="G70" s="258" t="s">
        <v>3319</v>
      </c>
      <c r="H70" t="s">
        <v>3318</v>
      </c>
      <c r="J70" s="184"/>
      <c r="K70" t="str">
        <f t="shared" si="3"/>
        <v>#N/A</v>
      </c>
    </row>
    <row r="71">
      <c r="B71" s="21" t="str">
        <f>IFERROR(__xludf.DUMMYFUNCTION("""COMPUTED_VALUE"""),"PRORRECTORIA")</f>
        <v>PRORRECTORIA</v>
      </c>
      <c r="C71" t="str">
        <f>IFERROR(__xludf.DUMMYFUNCTION("""COMPUTED_VALUE"""),"Ayudante Maestro(a) de Cocina")</f>
        <v>Ayudante Maestro(a) de Cocina</v>
      </c>
      <c r="D71" s="23" t="s">
        <v>3320</v>
      </c>
      <c r="E71" s="23" t="s">
        <v>3321</v>
      </c>
      <c r="F71" t="b">
        <f t="shared" si="1"/>
        <v>0</v>
      </c>
      <c r="G71" s="258" t="s">
        <v>3322</v>
      </c>
      <c r="H71" t="s">
        <v>3321</v>
      </c>
      <c r="J71" s="184"/>
      <c r="K71" t="str">
        <f t="shared" si="3"/>
        <v>#N/A</v>
      </c>
    </row>
    <row r="72">
      <c r="B72" s="21" t="str">
        <f>IFERROR(__xludf.DUMMYFUNCTION("""COMPUTED_VALUE"""),"VR. ACADEMICA")</f>
        <v>VR. ACADEMICA</v>
      </c>
      <c r="C72" t="str">
        <f>IFERROR(__xludf.DUMMYFUNCTION("""COMPUTED_VALUE"""),"Bibliotecario(a)")</f>
        <v>Bibliotecario(a)</v>
      </c>
      <c r="D72" s="23" t="s">
        <v>3323</v>
      </c>
      <c r="E72" s="23" t="s">
        <v>3324</v>
      </c>
      <c r="F72" t="b">
        <f t="shared" si="1"/>
        <v>0</v>
      </c>
      <c r="G72" s="258" t="s">
        <v>3323</v>
      </c>
      <c r="H72" t="s">
        <v>3324</v>
      </c>
      <c r="J72" s="184"/>
      <c r="K72" t="str">
        <f t="shared" si="3"/>
        <v>#N/A</v>
      </c>
    </row>
    <row r="73">
      <c r="B73" s="21" t="str">
        <f>IFERROR(__xludf.DUMMYFUNCTION("""COMPUTED_VALUE"""),"VR. DE INVEST. DESARR E INNOVACION")</f>
        <v>VR. DE INVEST. DESARR E INNOVACION</v>
      </c>
      <c r="C73" t="str">
        <f>IFERROR(__xludf.DUMMYFUNCTION("""COMPUTED_VALUE"""),"Bibliotecario(a) UNICIT")</f>
        <v>Bibliotecario(a) UNICIT</v>
      </c>
      <c r="D73" s="23" t="s">
        <v>3325</v>
      </c>
      <c r="E73" s="23" t="s">
        <v>3326</v>
      </c>
      <c r="F73" t="b">
        <f t="shared" si="1"/>
        <v>0</v>
      </c>
      <c r="G73" s="258" t="s">
        <v>3327</v>
      </c>
      <c r="H73" t="s">
        <v>3326</v>
      </c>
      <c r="J73" s="184"/>
      <c r="K73" t="str">
        <f t="shared" si="3"/>
        <v>#N/A</v>
      </c>
    </row>
    <row r="74">
      <c r="B74" s="21" t="str">
        <f>IFERROR(__xludf.DUMMYFUNCTION("""COMPUTED_VALUE"""),"VR. DE VINCULACION CON EL MEDIO")</f>
        <v>VR. DE VINCULACION CON EL MEDIO</v>
      </c>
      <c r="C74" t="str">
        <f>IFERROR(__xludf.DUMMYFUNCTION("""COMPUTED_VALUE"""),"Cajero(a) A 1º categoria")</f>
        <v>Cajero(a) A 1º categoria</v>
      </c>
      <c r="D74" s="23" t="s">
        <v>3328</v>
      </c>
      <c r="E74" s="23" t="s">
        <v>3329</v>
      </c>
      <c r="F74" t="b">
        <f t="shared" si="1"/>
        <v>0</v>
      </c>
      <c r="G74" s="258" t="s">
        <v>3330</v>
      </c>
      <c r="H74" t="s">
        <v>3329</v>
      </c>
      <c r="J74" s="184"/>
      <c r="K74" t="str">
        <f t="shared" si="3"/>
        <v>#N/A</v>
      </c>
    </row>
    <row r="75">
      <c r="B75" s="21" t="str">
        <f>IFERROR(__xludf.DUMMYFUNCTION("""COMPUTED_VALUE"""),"CENTRO DE INSTITUTOS Y PROGRAMAS")</f>
        <v>CENTRO DE INSTITUTOS Y PROGRAMAS</v>
      </c>
      <c r="C75" t="str">
        <f>IFERROR(__xludf.DUMMYFUNCTION("""COMPUTED_VALUE"""),"Cajero(a) B 1º categoria")</f>
        <v>Cajero(a) B 1º categoria</v>
      </c>
      <c r="D75" s="23" t="s">
        <v>3331</v>
      </c>
      <c r="E75" s="23" t="s">
        <v>3332</v>
      </c>
      <c r="F75" t="b">
        <f t="shared" si="1"/>
        <v>0</v>
      </c>
      <c r="G75" s="258" t="s">
        <v>3333</v>
      </c>
      <c r="H75" t="s">
        <v>3332</v>
      </c>
      <c r="J75" s="184"/>
      <c r="K75" t="str">
        <f t="shared" si="3"/>
        <v>#N/A</v>
      </c>
    </row>
    <row r="76">
      <c r="B76" s="21" t="str">
        <f>IFERROR(__xludf.DUMMYFUNCTION("""COMPUTED_VALUE"""),"VR. ACADEMICA")</f>
        <v>VR. ACADEMICA</v>
      </c>
      <c r="C76" t="str">
        <f>IFERROR(__xludf.DUMMYFUNCTION("""COMPUTED_VALUE"""),"Cajero(a) B 2º categoria")</f>
        <v>Cajero(a) B 2º categoria</v>
      </c>
      <c r="D76" s="23" t="s">
        <v>1997</v>
      </c>
      <c r="E76" s="23" t="s">
        <v>1998</v>
      </c>
      <c r="F76" t="b">
        <f t="shared" si="1"/>
        <v>0</v>
      </c>
      <c r="G76" s="258" t="s">
        <v>3334</v>
      </c>
      <c r="H76" t="s">
        <v>1998</v>
      </c>
      <c r="J76" s="184"/>
      <c r="K76" t="str">
        <f t="shared" si="3"/>
        <v>#N/A</v>
      </c>
    </row>
    <row r="77">
      <c r="B77" s="21" t="str">
        <f>IFERROR(__xludf.DUMMYFUNCTION("""COMPUTED_VALUE"""),"FACULTAD DE HUMANIDADES")</f>
        <v>FACULTAD DE HUMANIDADES</v>
      </c>
      <c r="C77" t="str">
        <f>IFERROR(__xludf.DUMMYFUNCTION("""COMPUTED_VALUE"""),"Camarógrafo(a)")</f>
        <v>Camarógrafo(a)</v>
      </c>
      <c r="D77" s="23" t="s">
        <v>2169</v>
      </c>
      <c r="E77" s="23" t="s">
        <v>2170</v>
      </c>
      <c r="F77" t="b">
        <f t="shared" si="1"/>
        <v>0</v>
      </c>
      <c r="G77" s="258" t="s">
        <v>3335</v>
      </c>
      <c r="H77" t="s">
        <v>2170</v>
      </c>
      <c r="J77" s="184"/>
      <c r="K77" t="str">
        <f t="shared" si="3"/>
        <v>#N/A</v>
      </c>
    </row>
    <row r="78">
      <c r="B78" s="21" t="str">
        <f>IFERROR(__xludf.DUMMYFUNCTION("""COMPUTED_VALUE"""),"FACULTAD DE CIENCIAS MEDICAS")</f>
        <v>FACULTAD DE CIENCIAS MEDICAS</v>
      </c>
      <c r="C78" t="str">
        <f>IFERROR(__xludf.DUMMYFUNCTION("""COMPUTED_VALUE"""),"Chofer")</f>
        <v>Chofer</v>
      </c>
      <c r="D78" s="23" t="s">
        <v>3336</v>
      </c>
      <c r="E78" s="23" t="s">
        <v>3337</v>
      </c>
      <c r="F78" t="b">
        <f t="shared" si="1"/>
        <v>0</v>
      </c>
      <c r="G78" s="258" t="s">
        <v>3115</v>
      </c>
      <c r="H78" t="s">
        <v>3337</v>
      </c>
      <c r="J78" s="184"/>
      <c r="K78" t="str">
        <f t="shared" si="3"/>
        <v>#N/A</v>
      </c>
    </row>
    <row r="79">
      <c r="B79" s="21" t="str">
        <f>IFERROR(__xludf.DUMMYFUNCTION("""COMPUTED_VALUE"""),"FACULTAD DE CIENCIAS MEDICAS")</f>
        <v>FACULTAD DE CIENCIAS MEDICAS</v>
      </c>
      <c r="C79" t="str">
        <f>IFERROR(__xludf.DUMMYFUNCTION("""COMPUTED_VALUE"""),"Consejero(a) Académico(a)")</f>
        <v>Consejero(a) Académico(a)</v>
      </c>
      <c r="D79" s="23" t="s">
        <v>3338</v>
      </c>
      <c r="E79" s="23" t="s">
        <v>3339</v>
      </c>
      <c r="F79" t="b">
        <f t="shared" si="1"/>
        <v>0</v>
      </c>
      <c r="G79" s="258" t="s">
        <v>3340</v>
      </c>
      <c r="H79" t="s">
        <v>3339</v>
      </c>
      <c r="J79" s="184"/>
      <c r="K79" t="str">
        <f t="shared" si="3"/>
        <v>#N/A</v>
      </c>
    </row>
    <row r="80">
      <c r="B80" s="21" t="str">
        <f>IFERROR(__xludf.DUMMYFUNCTION("""COMPUTED_VALUE"""),"FACULTAD DE CIENCIAS MEDICAS")</f>
        <v>FACULTAD DE CIENCIAS MEDICAS</v>
      </c>
      <c r="C80" t="str">
        <f>IFERROR(__xludf.DUMMYFUNCTION("""COMPUTED_VALUE"""),"Constructor(a) Civil")</f>
        <v>Constructor(a) Civil</v>
      </c>
      <c r="D80" s="23" t="s">
        <v>1902</v>
      </c>
      <c r="E80" s="23" t="s">
        <v>3341</v>
      </c>
      <c r="F80" t="b">
        <f t="shared" si="1"/>
        <v>0</v>
      </c>
      <c r="G80" s="258" t="s">
        <v>2878</v>
      </c>
      <c r="H80" t="s">
        <v>3341</v>
      </c>
      <c r="J80" s="184"/>
      <c r="K80" t="str">
        <f t="shared" si="3"/>
        <v>#N/A</v>
      </c>
    </row>
    <row r="81">
      <c r="B81" s="21" t="str">
        <f>IFERROR(__xludf.DUMMYFUNCTION("""COMPUTED_VALUE"""),"FACULTAD DE CIENCIAS MEDICAS")</f>
        <v>FACULTAD DE CIENCIAS MEDICAS</v>
      </c>
      <c r="C81" t="str">
        <f>IFERROR(__xludf.DUMMYFUNCTION("""COMPUTED_VALUE"""),"Desarrollador(a) Técnico(a) TI")</f>
        <v>Desarrollador(a) Técnico(a) TI</v>
      </c>
      <c r="D81" s="23" t="s">
        <v>3342</v>
      </c>
      <c r="E81" s="23" t="s">
        <v>3343</v>
      </c>
      <c r="F81" t="b">
        <f t="shared" si="1"/>
        <v>0</v>
      </c>
      <c r="G81" s="258" t="s">
        <v>2794</v>
      </c>
      <c r="H81" t="s">
        <v>3343</v>
      </c>
      <c r="J81" s="184"/>
      <c r="K81" t="str">
        <f t="shared" si="3"/>
        <v>#N/A</v>
      </c>
    </row>
    <row r="82">
      <c r="B82" s="21" t="str">
        <f>IFERROR(__xludf.DUMMYFUNCTION("""COMPUTED_VALUE"""),"FACULTAD DE CIENCIAS MEDICAS")</f>
        <v>FACULTAD DE CIENCIAS MEDICAS</v>
      </c>
      <c r="C82" t="str">
        <f>IFERROR(__xludf.DUMMYFUNCTION("""COMPUTED_VALUE"""),"Dibujante Proyectista")</f>
        <v>Dibujante Proyectista</v>
      </c>
      <c r="D82" s="23" t="s">
        <v>3344</v>
      </c>
      <c r="E82" s="23" t="s">
        <v>3345</v>
      </c>
      <c r="F82" t="b">
        <f t="shared" si="1"/>
        <v>0</v>
      </c>
      <c r="G82" s="258" t="s">
        <v>3346</v>
      </c>
      <c r="H82" t="s">
        <v>3345</v>
      </c>
      <c r="J82" s="184"/>
      <c r="K82" t="str">
        <f t="shared" si="3"/>
        <v>#N/A</v>
      </c>
    </row>
    <row r="83">
      <c r="B83" s="21" t="str">
        <f>IFERROR(__xludf.DUMMYFUNCTION("""COMPUTED_VALUE"""),"FACULTAD DE CIENCIAS MEDICAS")</f>
        <v>FACULTAD DE CIENCIAS MEDICAS</v>
      </c>
      <c r="C83" t="str">
        <f>IFERROR(__xludf.DUMMYFUNCTION("""COMPUTED_VALUE"""),"Directivo(a) Superior")</f>
        <v>Directivo(a) Superior</v>
      </c>
      <c r="D83" s="23" t="s">
        <v>3347</v>
      </c>
      <c r="E83" s="23" t="s">
        <v>3348</v>
      </c>
      <c r="F83" t="b">
        <f t="shared" si="1"/>
        <v>0</v>
      </c>
      <c r="G83" s="258" t="s">
        <v>3349</v>
      </c>
      <c r="H83" t="s">
        <v>3348</v>
      </c>
      <c r="J83" s="184"/>
      <c r="K83" t="str">
        <f t="shared" si="3"/>
        <v>#N/A</v>
      </c>
    </row>
    <row r="84">
      <c r="B84" s="21" t="str">
        <f>IFERROR(__xludf.DUMMYFUNCTION("""COMPUTED_VALUE"""),"VR. DE VINCULACION CON EL MEDIO")</f>
        <v>VR. DE VINCULACION CON EL MEDIO</v>
      </c>
      <c r="C84" t="str">
        <f>IFERROR(__xludf.DUMMYFUNCTION("""COMPUTED_VALUE"""),"Director Ejecutivo de Unidad UNICIT")</f>
        <v>Director Ejecutivo de Unidad UNICIT</v>
      </c>
      <c r="D84" s="23" t="s">
        <v>3350</v>
      </c>
      <c r="E84" s="23" t="s">
        <v>3351</v>
      </c>
      <c r="F84" t="b">
        <f t="shared" si="1"/>
        <v>0</v>
      </c>
      <c r="G84" s="258" t="s">
        <v>3352</v>
      </c>
      <c r="H84" t="s">
        <v>3351</v>
      </c>
      <c r="J84" s="184"/>
      <c r="K84" t="str">
        <f t="shared" si="3"/>
        <v>#N/A</v>
      </c>
    </row>
    <row r="85">
      <c r="B85" s="21" t="str">
        <f>IFERROR(__xludf.DUMMYFUNCTION("""COMPUTED_VALUE"""),"FACULTAD DE QUIMICA Y BIOLOGIA")</f>
        <v>FACULTAD DE QUIMICA Y BIOLOGIA</v>
      </c>
      <c r="C85" t="str">
        <f>IFERROR(__xludf.DUMMYFUNCTION("""COMPUTED_VALUE"""),"Director(a) Unidad Académica")</f>
        <v>Director(a) Unidad Académica</v>
      </c>
      <c r="D85" s="23" t="s">
        <v>1959</v>
      </c>
      <c r="E85" s="23" t="s">
        <v>2418</v>
      </c>
      <c r="F85" t="b">
        <f t="shared" si="1"/>
        <v>0</v>
      </c>
      <c r="G85" s="258" t="s">
        <v>2635</v>
      </c>
      <c r="H85" t="s">
        <v>2418</v>
      </c>
      <c r="J85" s="184"/>
      <c r="K85" t="str">
        <f t="shared" si="3"/>
        <v>#N/A</v>
      </c>
    </row>
    <row r="86">
      <c r="B86" s="21" t="str">
        <f>IFERROR(__xludf.DUMMYFUNCTION("""COMPUTED_VALUE"""),"FACULTAD DE QUIMICA Y BIOLOGIA")</f>
        <v>FACULTAD DE QUIMICA Y BIOLOGIA</v>
      </c>
      <c r="C86" t="str">
        <f>IFERROR(__xludf.DUMMYFUNCTION("""COMPUTED_VALUE"""),"Diseñador(a) Gráfico(a)")</f>
        <v>Diseñador(a) Gráfico(a)</v>
      </c>
      <c r="D86" s="23" t="s">
        <v>2045</v>
      </c>
      <c r="E86" s="23" t="s">
        <v>3353</v>
      </c>
      <c r="F86" t="b">
        <f t="shared" si="1"/>
        <v>0</v>
      </c>
      <c r="G86" s="258" t="s">
        <v>2631</v>
      </c>
      <c r="H86" t="s">
        <v>3353</v>
      </c>
      <c r="J86" s="184"/>
      <c r="K86" t="str">
        <f t="shared" si="3"/>
        <v>#N/A</v>
      </c>
    </row>
    <row r="87">
      <c r="B87" s="21" t="str">
        <f>IFERROR(__xludf.DUMMYFUNCTION("""COMPUTED_VALUE"""),"FACULTAD DE QUIMICA Y BIOLOGIA")</f>
        <v>FACULTAD DE QUIMICA Y BIOLOGIA</v>
      </c>
      <c r="C87" t="str">
        <f>IFERROR(__xludf.DUMMYFUNCTION("""COMPUTED_VALUE"""),"Editor(a)")</f>
        <v>Editor(a)</v>
      </c>
      <c r="D87" s="23" t="s">
        <v>3354</v>
      </c>
      <c r="E87" s="23" t="s">
        <v>3355</v>
      </c>
      <c r="F87" t="b">
        <f t="shared" si="1"/>
        <v>0</v>
      </c>
      <c r="G87" s="258" t="s">
        <v>3356</v>
      </c>
      <c r="H87" t="s">
        <v>3355</v>
      </c>
      <c r="J87" s="184"/>
      <c r="K87" t="str">
        <f t="shared" si="3"/>
        <v>#N/A</v>
      </c>
    </row>
    <row r="88">
      <c r="B88" s="21" t="str">
        <f>IFERROR(__xludf.DUMMYFUNCTION("""COMPUTED_VALUE"""),"FACULTAD DE QUIMICA Y BIOLOGIA")</f>
        <v>FACULTAD DE QUIMICA Y BIOLOGIA</v>
      </c>
      <c r="C88" t="str">
        <f>IFERROR(__xludf.DUMMYFUNCTION("""COMPUTED_VALUE"""),"Educador(a) de Párvulos")</f>
        <v>Educador(a) de Párvulos</v>
      </c>
      <c r="D88" s="23" t="s">
        <v>2108</v>
      </c>
      <c r="E88" s="23" t="s">
        <v>3357</v>
      </c>
      <c r="F88" t="b">
        <f t="shared" si="1"/>
        <v>0</v>
      </c>
      <c r="G88" s="258" t="s">
        <v>3358</v>
      </c>
      <c r="H88" t="s">
        <v>3357</v>
      </c>
      <c r="J88" s="184"/>
      <c r="K88" t="str">
        <f t="shared" si="3"/>
        <v>#N/A</v>
      </c>
    </row>
    <row r="89">
      <c r="B89" s="21" t="str">
        <f>IFERROR(__xludf.DUMMYFUNCTION("""COMPUTED_VALUE"""),"FACULTAD DE QUIMICA Y BIOLOGIA")</f>
        <v>FACULTAD DE QUIMICA Y BIOLOGIA</v>
      </c>
      <c r="C89" t="str">
        <f>IFERROR(__xludf.DUMMYFUNCTION("""COMPUTED_VALUE"""),"Encargado(a) de Ceremonial y Protocolo")</f>
        <v>Encargado(a) de Ceremonial y Protocolo</v>
      </c>
      <c r="D89" s="23" t="s">
        <v>1906</v>
      </c>
      <c r="E89" s="23" t="s">
        <v>3359</v>
      </c>
      <c r="F89" t="b">
        <f t="shared" si="1"/>
        <v>0</v>
      </c>
      <c r="G89" s="258" t="s">
        <v>2642</v>
      </c>
      <c r="H89" t="s">
        <v>3359</v>
      </c>
      <c r="J89" s="184"/>
      <c r="K89" t="str">
        <f t="shared" si="3"/>
        <v>#N/A</v>
      </c>
    </row>
    <row r="90">
      <c r="B90" s="21" t="str">
        <f>IFERROR(__xludf.DUMMYFUNCTION("""COMPUTED_VALUE"""),"SDT")</f>
        <v>SDT</v>
      </c>
      <c r="C90" t="str">
        <f>IFERROR(__xludf.DUMMYFUNCTION("""COMPUTED_VALUE"""),"Encargado(a) Técnico(a) de Laboratorio")</f>
        <v>Encargado(a) Técnico(a) de Laboratorio</v>
      </c>
      <c r="D90" s="23" t="s">
        <v>2390</v>
      </c>
      <c r="E90" s="23" t="s">
        <v>3360</v>
      </c>
      <c r="F90" t="b">
        <f t="shared" si="1"/>
        <v>0</v>
      </c>
      <c r="G90" s="258" t="s">
        <v>2598</v>
      </c>
      <c r="H90" t="s">
        <v>3360</v>
      </c>
      <c r="J90" s="184"/>
      <c r="K90" t="str">
        <f t="shared" si="3"/>
        <v>#N/A</v>
      </c>
    </row>
    <row r="91">
      <c r="B91" s="21" t="str">
        <f>IFERROR(__xludf.DUMMYFUNCTION("""COMPUTED_VALUE"""),"VR. DE INVEST. DESARR E INNOVACION")</f>
        <v>VR. DE INVEST. DESARR E INNOVACION</v>
      </c>
      <c r="C91" t="str">
        <f>IFERROR(__xludf.DUMMYFUNCTION("""COMPUTED_VALUE"""),"Encargado(a) de Bodega, Bienes y Servicios")</f>
        <v>Encargado(a) de Bodega, Bienes y Servicios</v>
      </c>
      <c r="D91" s="23" t="s">
        <v>3361</v>
      </c>
      <c r="E91" s="23" t="s">
        <v>3362</v>
      </c>
      <c r="F91" t="b">
        <f t="shared" si="1"/>
        <v>0</v>
      </c>
      <c r="G91" s="258" t="s">
        <v>3363</v>
      </c>
      <c r="H91" t="s">
        <v>3362</v>
      </c>
      <c r="J91" s="184"/>
      <c r="K91" t="str">
        <f t="shared" si="3"/>
        <v>#N/A</v>
      </c>
    </row>
    <row r="92">
      <c r="B92" s="21" t="str">
        <f>IFERROR(__xludf.DUMMYFUNCTION("""COMPUTED_VALUE"""),"PRORRECTORIA")</f>
        <v>PRORRECTORIA</v>
      </c>
      <c r="C92" t="str">
        <f>IFERROR(__xludf.DUMMYFUNCTION("""COMPUTED_VALUE"""),"Encargado(a) de Bodega, Bienes y Servicios Especializados")</f>
        <v>Encargado(a) de Bodega, Bienes y Servicios Especializados</v>
      </c>
      <c r="D92" s="23" t="s">
        <v>1942</v>
      </c>
      <c r="E92" s="23" t="s">
        <v>1890</v>
      </c>
      <c r="F92" t="b">
        <f t="shared" si="1"/>
        <v>0</v>
      </c>
      <c r="G92" s="258" t="s">
        <v>2580</v>
      </c>
      <c r="H92" t="s">
        <v>1890</v>
      </c>
      <c r="J92" s="184"/>
      <c r="K92" t="str">
        <f t="shared" si="3"/>
        <v>#N/A</v>
      </c>
    </row>
    <row r="93">
      <c r="B93" s="21" t="str">
        <f>IFERROR(__xludf.DUMMYFUNCTION("""COMPUTED_VALUE"""),"LICEOS PRIORITARIOS")</f>
        <v>LICEOS PRIORITARIOS</v>
      </c>
      <c r="C93" t="str">
        <f>IFERROR(__xludf.DUMMYFUNCTION("""COMPUTED_VALUE"""),"Encargado(a) Administrativo(a) de Centro de Costo")</f>
        <v>Encargado(a) Administrativo(a) de Centro de Costo</v>
      </c>
      <c r="D93" s="23" t="s">
        <v>1970</v>
      </c>
      <c r="E93" s="23" t="s">
        <v>1638</v>
      </c>
      <c r="F93" t="b">
        <f t="shared" si="1"/>
        <v>0</v>
      </c>
      <c r="G93" s="258" t="s">
        <v>1970</v>
      </c>
      <c r="H93" t="s">
        <v>1638</v>
      </c>
      <c r="J93" s="184"/>
      <c r="K93" t="str">
        <f t="shared" si="3"/>
        <v>#N/A</v>
      </c>
    </row>
    <row r="94">
      <c r="B94" s="21" t="str">
        <f>IFERROR(__xludf.DUMMYFUNCTION("""COMPUTED_VALUE"""),"CENTRO DE INSTITUTOS Y PROGRAMAS")</f>
        <v>CENTRO DE INSTITUTOS Y PROGRAMAS</v>
      </c>
      <c r="C94" t="str">
        <f>IFERROR(__xludf.DUMMYFUNCTION("""COMPUTED_VALUE"""),"Encargado(a) Administrativo(a) de Unidad")</f>
        <v>Encargado(a) Administrativo(a) de Unidad</v>
      </c>
      <c r="D94" s="23" t="s">
        <v>3364</v>
      </c>
      <c r="E94" s="23" t="s">
        <v>3365</v>
      </c>
      <c r="F94" t="b">
        <f t="shared" si="1"/>
        <v>0</v>
      </c>
      <c r="G94" s="258" t="s">
        <v>3366</v>
      </c>
      <c r="H94" t="s">
        <v>3365</v>
      </c>
      <c r="J94" s="184"/>
      <c r="K94" t="str">
        <f t="shared" si="3"/>
        <v>#N/A</v>
      </c>
    </row>
    <row r="95">
      <c r="B95" s="21" t="str">
        <f>IFERROR(__xludf.DUMMYFUNCTION("""COMPUTED_VALUE"""),"VR. DE INVEST. DESARR E INNOVACION")</f>
        <v>VR. DE INVEST. DESARR E INNOVACION</v>
      </c>
      <c r="C95" t="str">
        <f>IFERROR(__xludf.DUMMYFUNCTION("""COMPUTED_VALUE"""),"Encargado(a) de Laboratorio")</f>
        <v>Encargado(a) de Laboratorio</v>
      </c>
      <c r="D95" s="23" t="s">
        <v>3367</v>
      </c>
      <c r="E95" s="23" t="s">
        <v>3368</v>
      </c>
      <c r="F95" t="b">
        <f t="shared" si="1"/>
        <v>0</v>
      </c>
      <c r="G95" s="258" t="s">
        <v>3369</v>
      </c>
      <c r="H95" t="s">
        <v>3368</v>
      </c>
      <c r="J95" s="184"/>
      <c r="K95" t="str">
        <f t="shared" si="3"/>
        <v>#N/A</v>
      </c>
    </row>
    <row r="96">
      <c r="B96" s="21" t="str">
        <f>IFERROR(__xludf.DUMMYFUNCTION("""COMPUTED_VALUE"""),"FACULTAD DE INGENIERIA")</f>
        <v>FACULTAD DE INGENIERIA</v>
      </c>
      <c r="C96" t="str">
        <f>IFERROR(__xludf.DUMMYFUNCTION("""COMPUTED_VALUE"""),"Encargado(a) de Laboratorio UNICIT")</f>
        <v>Encargado(a) de Laboratorio UNICIT</v>
      </c>
      <c r="D96" s="23" t="s">
        <v>3226</v>
      </c>
      <c r="E96" s="23" t="s">
        <v>3370</v>
      </c>
      <c r="F96" t="b">
        <f t="shared" si="1"/>
        <v>0</v>
      </c>
      <c r="G96" s="258" t="s">
        <v>3371</v>
      </c>
      <c r="H96" t="s">
        <v>3370</v>
      </c>
      <c r="J96" s="184"/>
      <c r="K96" t="str">
        <f t="shared" si="3"/>
        <v>#N/A</v>
      </c>
    </row>
    <row r="97">
      <c r="B97" s="21" t="str">
        <f>IFERROR(__xludf.DUMMYFUNCTION("""COMPUTED_VALUE"""),"SDT")</f>
        <v>SDT</v>
      </c>
      <c r="C97" t="str">
        <f>IFERROR(__xludf.DUMMYFUNCTION("""COMPUTED_VALUE"""),"Encargado(a) de Sala")</f>
        <v>Encargado(a) de Sala</v>
      </c>
      <c r="D97" s="23" t="s">
        <v>2098</v>
      </c>
      <c r="E97" s="23" t="s">
        <v>2099</v>
      </c>
      <c r="F97" t="b">
        <f t="shared" si="1"/>
        <v>0</v>
      </c>
      <c r="G97" s="258" t="s">
        <v>2977</v>
      </c>
      <c r="H97" t="s">
        <v>2099</v>
      </c>
      <c r="J97" s="184"/>
      <c r="K97" t="str">
        <f t="shared" si="3"/>
        <v>#N/A</v>
      </c>
    </row>
    <row r="98">
      <c r="B98" s="21" t="str">
        <f>IFERROR(__xludf.DUMMYFUNCTION("""COMPUTED_VALUE"""),"VR. DE VINCULACION CON EL MEDIO")</f>
        <v>VR. DE VINCULACION CON EL MEDIO</v>
      </c>
      <c r="C98" t="str">
        <f>IFERROR(__xludf.DUMMYFUNCTION("""COMPUTED_VALUE"""),"Encargado(a) de Turno")</f>
        <v>Encargado(a) de Turno</v>
      </c>
      <c r="D98" s="23" t="s">
        <v>3372</v>
      </c>
      <c r="E98" s="23" t="s">
        <v>3373</v>
      </c>
      <c r="F98" t="b">
        <f t="shared" si="1"/>
        <v>0</v>
      </c>
      <c r="G98" s="258" t="s">
        <v>3374</v>
      </c>
      <c r="H98" t="s">
        <v>3373</v>
      </c>
      <c r="J98" s="184"/>
      <c r="K98" t="str">
        <f t="shared" si="3"/>
        <v>#N/A</v>
      </c>
    </row>
    <row r="99">
      <c r="B99" s="21" t="str">
        <f>IFERROR(__xludf.DUMMYFUNCTION("""COMPUTED_VALUE"""),"SDT")</f>
        <v>SDT</v>
      </c>
      <c r="C99" t="str">
        <f>IFERROR(__xludf.DUMMYFUNCTION("""COMPUTED_VALUE"""),"Encargado(a) de Unidad Menor")</f>
        <v>Encargado(a) de Unidad Menor</v>
      </c>
      <c r="D99" s="23" t="s">
        <v>3375</v>
      </c>
      <c r="E99" s="23" t="s">
        <v>3376</v>
      </c>
      <c r="F99" t="b">
        <f t="shared" si="1"/>
        <v>0</v>
      </c>
      <c r="G99" s="258" t="s">
        <v>3377</v>
      </c>
      <c r="H99" t="s">
        <v>3376</v>
      </c>
      <c r="J99" s="184"/>
      <c r="K99" t="str">
        <f t="shared" si="3"/>
        <v>#N/A</v>
      </c>
    </row>
    <row r="100">
      <c r="B100" s="21" t="str">
        <f>IFERROR(__xludf.DUMMYFUNCTION("""COMPUTED_VALUE"""),"VR. DE POSTGRADO")</f>
        <v>VR. DE POSTGRADO</v>
      </c>
      <c r="C100" t="str">
        <f>IFERROR(__xludf.DUMMYFUNCTION("""COMPUTED_VALUE"""),"Encargado(a) de Vinculación con el Medio")</f>
        <v>Encargado(a) de Vinculación con el Medio</v>
      </c>
      <c r="D100" s="23" t="s">
        <v>3378</v>
      </c>
      <c r="E100" s="23" t="s">
        <v>3379</v>
      </c>
      <c r="F100" t="b">
        <f t="shared" si="1"/>
        <v>0</v>
      </c>
      <c r="G100" s="258" t="s">
        <v>3380</v>
      </c>
      <c r="H100" t="s">
        <v>3379</v>
      </c>
      <c r="J100" s="184"/>
      <c r="K100" t="str">
        <f t="shared" si="3"/>
        <v>#N/A</v>
      </c>
    </row>
    <row r="101">
      <c r="B101" s="21" t="str">
        <f>IFERROR(__xludf.DUMMYFUNCTION("""COMPUTED_VALUE"""),"VR. ACADEMICA")</f>
        <v>VR. ACADEMICA</v>
      </c>
      <c r="C101" t="str">
        <f>IFERROR(__xludf.DUMMYFUNCTION("""COMPUTED_VALUE"""),"Enfermero(a)")</f>
        <v>Enfermero(a)</v>
      </c>
      <c r="D101" s="23" t="s">
        <v>3381</v>
      </c>
      <c r="E101" s="23" t="s">
        <v>3382</v>
      </c>
      <c r="F101" t="b">
        <f t="shared" si="1"/>
        <v>0</v>
      </c>
      <c r="G101" s="258" t="s">
        <v>3383</v>
      </c>
      <c r="H101" t="s">
        <v>3382</v>
      </c>
      <c r="J101" s="184"/>
      <c r="K101" t="str">
        <f t="shared" si="3"/>
        <v>#N/A</v>
      </c>
    </row>
    <row r="102">
      <c r="B102" s="21" t="str">
        <f>IFERROR(__xludf.DUMMYFUNCTION("""COMPUTED_VALUE"""),"VR. DE INVEST. DESARR E INNOVACION")</f>
        <v>VR. DE INVEST. DESARR E INNOVACION</v>
      </c>
      <c r="C102" t="str">
        <f>IFERROR(__xludf.DUMMYFUNCTION("""COMPUTED_VALUE"""),"Entrenador(a) Deportivo(a)")</f>
        <v>Entrenador(a) Deportivo(a)</v>
      </c>
      <c r="D102" s="23" t="s">
        <v>3384</v>
      </c>
      <c r="E102" s="23" t="s">
        <v>3385</v>
      </c>
      <c r="F102" t="b">
        <f t="shared" si="1"/>
        <v>0</v>
      </c>
      <c r="G102" s="258" t="s">
        <v>3386</v>
      </c>
      <c r="H102" t="s">
        <v>3385</v>
      </c>
      <c r="J102" s="184"/>
      <c r="K102" t="str">
        <f t="shared" si="3"/>
        <v>#N/A</v>
      </c>
    </row>
    <row r="103">
      <c r="B103" s="21" t="str">
        <f>IFERROR(__xludf.DUMMYFUNCTION("""COMPUTED_VALUE"""),"VR. DE INVEST. DESARR E INNOVACION")</f>
        <v>VR. DE INVEST. DESARR E INNOVACION</v>
      </c>
      <c r="C103" t="str">
        <f>IFERROR(__xludf.DUMMYFUNCTION("""COMPUTED_VALUE"""),"Estafeta")</f>
        <v>Estafeta</v>
      </c>
      <c r="D103" s="23" t="s">
        <v>1988</v>
      </c>
      <c r="E103" s="23" t="s">
        <v>1989</v>
      </c>
      <c r="F103" t="b">
        <f t="shared" si="1"/>
        <v>0</v>
      </c>
      <c r="G103" s="258" t="s">
        <v>3387</v>
      </c>
      <c r="H103" t="s">
        <v>1989</v>
      </c>
      <c r="J103" s="184"/>
      <c r="K103" t="str">
        <f t="shared" si="3"/>
        <v>#N/A</v>
      </c>
    </row>
    <row r="104">
      <c r="B104" s="21" t="str">
        <f>IFERROR(__xludf.DUMMYFUNCTION("""COMPUTED_VALUE"""),"VR. DE APOYO AL ESTUDIANTE")</f>
        <v>VR. DE APOYO AL ESTUDIANTE</v>
      </c>
      <c r="C104" t="str">
        <f>IFERROR(__xludf.DUMMYFUNCTION("""COMPUTED_VALUE"""),"Fotógrafo(a)")</f>
        <v>Fotógrafo(a)</v>
      </c>
      <c r="D104" s="23" t="s">
        <v>1972</v>
      </c>
      <c r="E104" s="23" t="s">
        <v>2520</v>
      </c>
      <c r="F104" t="b">
        <f t="shared" si="1"/>
        <v>0</v>
      </c>
      <c r="G104" s="258" t="s">
        <v>2835</v>
      </c>
      <c r="H104" t="s">
        <v>2520</v>
      </c>
      <c r="J104" s="184"/>
      <c r="K104" t="str">
        <f t="shared" si="3"/>
        <v>#N/A</v>
      </c>
    </row>
    <row r="105">
      <c r="B105" s="21" t="str">
        <f>IFERROR(__xludf.DUMMYFUNCTION("""COMPUTED_VALUE"""),"VR. ACADEMICA")</f>
        <v>VR. ACADEMICA</v>
      </c>
      <c r="C105" t="str">
        <f>IFERROR(__xludf.DUMMYFUNCTION("""COMPUTED_VALUE"""),"Ingeniero(a) Eléctrico(a)")</f>
        <v>Ingeniero(a) Eléctrico(a)</v>
      </c>
      <c r="D105" s="23" t="s">
        <v>2020</v>
      </c>
      <c r="E105" s="23" t="s">
        <v>3388</v>
      </c>
      <c r="F105" t="b">
        <f t="shared" si="1"/>
        <v>0</v>
      </c>
      <c r="G105" s="258" t="s">
        <v>3389</v>
      </c>
      <c r="H105" t="s">
        <v>3388</v>
      </c>
      <c r="J105" s="184"/>
      <c r="K105" t="str">
        <f t="shared" si="3"/>
        <v>#N/A</v>
      </c>
    </row>
    <row r="106">
      <c r="B106" s="21" t="str">
        <f>IFERROR(__xludf.DUMMYFUNCTION("""COMPUTED_VALUE"""),"FACULTAD TECNOLOGICA")</f>
        <v>FACULTAD TECNOLOGICA</v>
      </c>
      <c r="C106" t="str">
        <f>IFERROR(__xludf.DUMMYFUNCTION("""COMPUTED_VALUE"""),"Jefatura Superior")</f>
        <v>Jefatura Superior</v>
      </c>
      <c r="D106" s="23" t="s">
        <v>2067</v>
      </c>
      <c r="E106" s="23" t="s">
        <v>2068</v>
      </c>
      <c r="F106" t="b">
        <f t="shared" si="1"/>
        <v>0</v>
      </c>
      <c r="G106" s="258" t="s">
        <v>2625</v>
      </c>
      <c r="H106" t="s">
        <v>2068</v>
      </c>
      <c r="J106" s="184"/>
      <c r="K106" t="str">
        <f t="shared" si="3"/>
        <v>#N/A</v>
      </c>
    </row>
    <row r="107">
      <c r="B107" s="21" t="str">
        <f>IFERROR(__xludf.DUMMYFUNCTION("""COMPUTED_VALUE"""),"PRORRECTORIA")</f>
        <v>PRORRECTORIA</v>
      </c>
      <c r="C107" t="str">
        <f>IFERROR(__xludf.DUMMYFUNCTION("""COMPUTED_VALUE"""),"Jefe(a) de Administración y Finanzas")</f>
        <v>Jefe(a) de Administración y Finanzas</v>
      </c>
      <c r="D107" s="23" t="s">
        <v>3390</v>
      </c>
      <c r="E107" s="23" t="s">
        <v>3391</v>
      </c>
      <c r="F107" t="b">
        <f t="shared" si="1"/>
        <v>0</v>
      </c>
      <c r="G107" s="258" t="s">
        <v>3392</v>
      </c>
      <c r="H107" t="s">
        <v>3391</v>
      </c>
      <c r="J107" s="184"/>
      <c r="K107" t="str">
        <f t="shared" si="3"/>
        <v>#N/A</v>
      </c>
    </row>
    <row r="108">
      <c r="B108" s="21" t="str">
        <f>IFERROR(__xludf.DUMMYFUNCTION("""COMPUTED_VALUE"""),"VR. DE INVEST. DESARR E INNOVACION")</f>
        <v>VR. DE INVEST. DESARR E INNOVACION</v>
      </c>
      <c r="C108" t="str">
        <f>IFERROR(__xludf.DUMMYFUNCTION("""COMPUTED_VALUE"""),"Jefe(a) de Carrera")</f>
        <v>Jefe(a) de Carrera</v>
      </c>
      <c r="D108" s="23" t="s">
        <v>3393</v>
      </c>
      <c r="E108" s="23" t="s">
        <v>3394</v>
      </c>
      <c r="F108" t="b">
        <f t="shared" si="1"/>
        <v>0</v>
      </c>
      <c r="G108" s="258" t="s">
        <v>3395</v>
      </c>
      <c r="H108" t="s">
        <v>3394</v>
      </c>
      <c r="J108" s="184"/>
      <c r="K108" t="str">
        <f t="shared" si="3"/>
        <v>#N/A</v>
      </c>
    </row>
    <row r="109">
      <c r="B109" s="21" t="str">
        <f>IFERROR(__xludf.DUMMYFUNCTION("""COMPUTED_VALUE"""),"VR. DE VINCULACION CON EL MEDIO")</f>
        <v>VR. DE VINCULACION CON EL MEDIO</v>
      </c>
      <c r="C109" t="str">
        <f>IFERROR(__xludf.DUMMYFUNCTION("""COMPUTED_VALUE"""),"Jefe(a) de Área")</f>
        <v>Jefe(a) de Área</v>
      </c>
      <c r="D109" s="23" t="s">
        <v>3396</v>
      </c>
      <c r="E109" s="23" t="s">
        <v>3397</v>
      </c>
      <c r="F109" t="b">
        <f t="shared" si="1"/>
        <v>0</v>
      </c>
      <c r="G109" s="258" t="s">
        <v>3398</v>
      </c>
      <c r="H109" t="s">
        <v>3397</v>
      </c>
      <c r="J109" s="184"/>
      <c r="K109" t="str">
        <f t="shared" si="3"/>
        <v>#N/A</v>
      </c>
    </row>
    <row r="110">
      <c r="B110" s="21" t="str">
        <f>IFERROR(__xludf.DUMMYFUNCTION("""COMPUTED_VALUE"""),"FACULTAD DE DERECHO")</f>
        <v>FACULTAD DE DERECHO</v>
      </c>
      <c r="C110" t="str">
        <f>IFERROR(__xludf.DUMMYFUNCTION("""COMPUTED_VALUE"""),"Jefe(a) de Área UNICIT")</f>
        <v>Jefe(a) de Área UNICIT</v>
      </c>
      <c r="D110" s="23" t="s">
        <v>3399</v>
      </c>
      <c r="E110" s="23" t="s">
        <v>3400</v>
      </c>
      <c r="F110" t="b">
        <f t="shared" si="1"/>
        <v>0</v>
      </c>
      <c r="G110" s="258" t="s">
        <v>3401</v>
      </c>
      <c r="H110" t="s">
        <v>3400</v>
      </c>
      <c r="J110" s="184"/>
      <c r="K110" t="str">
        <f t="shared" si="3"/>
        <v>#N/A</v>
      </c>
    </row>
    <row r="111">
      <c r="B111" s="21" t="str">
        <f>IFERROR(__xludf.DUMMYFUNCTION("""COMPUTED_VALUE"""),"VR. ACADEMICA")</f>
        <v>VR. ACADEMICA</v>
      </c>
      <c r="C111" t="str">
        <f>IFERROR(__xludf.DUMMYFUNCTION("""COMPUTED_VALUE"""),"Jefe(a) de Finanzas")</f>
        <v>Jefe(a) de Finanzas</v>
      </c>
      <c r="D111" s="23" t="s">
        <v>2131</v>
      </c>
      <c r="E111" s="23" t="s">
        <v>3402</v>
      </c>
      <c r="F111" t="b">
        <f t="shared" si="1"/>
        <v>0</v>
      </c>
      <c r="G111" s="258" t="s">
        <v>3403</v>
      </c>
      <c r="H111" t="s">
        <v>3402</v>
      </c>
      <c r="J111" s="184"/>
      <c r="K111" t="str">
        <f t="shared" si="3"/>
        <v>#N/A</v>
      </c>
    </row>
    <row r="112">
      <c r="B112" s="21" t="str">
        <f>IFERROR(__xludf.DUMMYFUNCTION("""COMPUTED_VALUE"""),"PRORRECTORIA")</f>
        <v>PRORRECTORIA</v>
      </c>
      <c r="C112" t="str">
        <f>IFERROR(__xludf.DUMMYFUNCTION("""COMPUTED_VALUE"""),"Jefe(a) de Laboratorio")</f>
        <v>Jefe(a) de Laboratorio</v>
      </c>
      <c r="D112" s="23" t="s">
        <v>2460</v>
      </c>
      <c r="E112" s="23" t="s">
        <v>1885</v>
      </c>
      <c r="F112" t="b">
        <f t="shared" si="1"/>
        <v>0</v>
      </c>
      <c r="G112" s="258" t="s">
        <v>3404</v>
      </c>
      <c r="H112" t="s">
        <v>1885</v>
      </c>
      <c r="J112" s="184"/>
      <c r="K112" t="str">
        <f t="shared" si="3"/>
        <v>#N/A</v>
      </c>
    </row>
    <row r="113">
      <c r="B113" s="21" t="str">
        <f>IFERROR(__xludf.DUMMYFUNCTION("""COMPUTED_VALUE"""),"PRORRECTORIA")</f>
        <v>PRORRECTORIA</v>
      </c>
      <c r="C113" t="str">
        <f>IFERROR(__xludf.DUMMYFUNCTION("""COMPUTED_VALUE"""),"Jefe(a) de Oficina")</f>
        <v>Jefe(a) de Oficina</v>
      </c>
      <c r="D113" s="23" t="s">
        <v>3405</v>
      </c>
      <c r="E113" s="23" t="s">
        <v>3406</v>
      </c>
      <c r="F113" t="b">
        <f t="shared" si="1"/>
        <v>0</v>
      </c>
      <c r="G113" s="258" t="s">
        <v>3407</v>
      </c>
      <c r="H113" t="s">
        <v>3406</v>
      </c>
      <c r="J113" s="184"/>
      <c r="K113" t="str">
        <f t="shared" si="3"/>
        <v>#N/A</v>
      </c>
    </row>
    <row r="114">
      <c r="B114" s="21" t="str">
        <f>IFERROR(__xludf.DUMMYFUNCTION("""COMPUTED_VALUE"""),"PRORRECTORIA")</f>
        <v>PRORRECTORIA</v>
      </c>
      <c r="C114" t="str">
        <f>IFERROR(__xludf.DUMMYFUNCTION("""COMPUTED_VALUE"""),"Jefe(a) de Sección")</f>
        <v>Jefe(a) de Sección</v>
      </c>
      <c r="D114" s="23" t="s">
        <v>3408</v>
      </c>
      <c r="E114" s="23" t="s">
        <v>2788</v>
      </c>
      <c r="F114" t="b">
        <f t="shared" si="1"/>
        <v>0</v>
      </c>
      <c r="G114" s="258" t="s">
        <v>2787</v>
      </c>
      <c r="H114" t="s">
        <v>2788</v>
      </c>
      <c r="J114" s="184"/>
      <c r="K114" t="str">
        <f t="shared" si="3"/>
        <v>#N/A</v>
      </c>
    </row>
    <row r="115">
      <c r="B115" s="21" t="str">
        <f>IFERROR(__xludf.DUMMYFUNCTION("""COMPUTED_VALUE"""),"PRORRECTORIA")</f>
        <v>PRORRECTORIA</v>
      </c>
      <c r="C115" t="str">
        <f>IFERROR(__xludf.DUMMYFUNCTION("""COMPUTED_VALUE"""),"Jefe(a) de Sección UNICIT")</f>
        <v>Jefe(a) de Sección UNICIT</v>
      </c>
      <c r="D115" s="23" t="s">
        <v>1955</v>
      </c>
      <c r="E115" s="23" t="s">
        <v>1741</v>
      </c>
      <c r="F115" t="b">
        <f t="shared" si="1"/>
        <v>0</v>
      </c>
      <c r="G115" s="258" t="s">
        <v>2576</v>
      </c>
      <c r="H115" t="s">
        <v>1741</v>
      </c>
      <c r="J115" s="184"/>
      <c r="K115" t="str">
        <f t="shared" si="3"/>
        <v>#N/A</v>
      </c>
    </row>
    <row r="116">
      <c r="B116" s="21" t="str">
        <f>IFERROR(__xludf.DUMMYFUNCTION("""COMPUTED_VALUE"""),"PRORRECTORIA")</f>
        <v>PRORRECTORIA</v>
      </c>
      <c r="C116" t="str">
        <f>IFERROR(__xludf.DUMMYFUNCTION("""COMPUTED_VALUE"""),"Jefe(a) de Unidad Funcional")</f>
        <v>Jefe(a) de Unidad Funcional</v>
      </c>
      <c r="D116" s="23" t="s">
        <v>3409</v>
      </c>
      <c r="E116" s="23" t="s">
        <v>3024</v>
      </c>
      <c r="F116" t="b">
        <f t="shared" si="1"/>
        <v>0</v>
      </c>
      <c r="G116" s="258" t="s">
        <v>3023</v>
      </c>
      <c r="H116" t="s">
        <v>3024</v>
      </c>
      <c r="J116" s="184"/>
      <c r="K116" t="str">
        <f t="shared" si="3"/>
        <v>#N/A</v>
      </c>
    </row>
    <row r="117">
      <c r="B117" s="21" t="str">
        <f>IFERROR(__xludf.DUMMYFUNCTION("""COMPUTED_VALUE"""),"PRORRECTORIA")</f>
        <v>PRORRECTORIA</v>
      </c>
      <c r="C117" t="str">
        <f>IFERROR(__xludf.DUMMYFUNCTION("""COMPUTED_VALUE"""),"Kinesiólogo(a)")</f>
        <v>Kinesiólogo(a)</v>
      </c>
      <c r="D117" s="23" t="s">
        <v>2016</v>
      </c>
      <c r="E117" s="23" t="s">
        <v>3410</v>
      </c>
      <c r="F117" t="b">
        <f t="shared" si="1"/>
        <v>0</v>
      </c>
      <c r="G117" s="258" t="s">
        <v>2690</v>
      </c>
      <c r="H117" t="s">
        <v>3410</v>
      </c>
      <c r="J117" s="184"/>
      <c r="K117" t="str">
        <f t="shared" si="3"/>
        <v>#N/A</v>
      </c>
    </row>
    <row r="118">
      <c r="B118" s="21" t="str">
        <f>IFERROR(__xludf.DUMMYFUNCTION("""COMPUTED_VALUE"""),"FACULTAD DE HUMANIDADES")</f>
        <v>FACULTAD DE HUMANIDADES</v>
      </c>
      <c r="C118" t="str">
        <f>IFERROR(__xludf.DUMMYFUNCTION("""COMPUTED_VALUE"""),"Locutor(a)")</f>
        <v>Locutor(a)</v>
      </c>
      <c r="D118" s="23" t="s">
        <v>3411</v>
      </c>
      <c r="E118" s="23" t="s">
        <v>3412</v>
      </c>
      <c r="F118" t="b">
        <f t="shared" si="1"/>
        <v>0</v>
      </c>
      <c r="G118" s="258" t="s">
        <v>3413</v>
      </c>
      <c r="H118" t="s">
        <v>3412</v>
      </c>
      <c r="J118" s="184"/>
      <c r="K118" t="str">
        <f t="shared" si="3"/>
        <v>#N/A</v>
      </c>
    </row>
    <row r="119">
      <c r="B119" s="21"/>
      <c r="C119" t="str">
        <f>IFERROR(__xludf.DUMMYFUNCTION("""COMPUTED_VALUE"""),"Maestro(a) de Cocina")</f>
        <v>Maestro(a) de Cocina</v>
      </c>
      <c r="D119" s="23" t="s">
        <v>2472</v>
      </c>
      <c r="E119" s="23" t="s">
        <v>2473</v>
      </c>
      <c r="F119" t="b">
        <f t="shared" si="1"/>
        <v>0</v>
      </c>
      <c r="G119" s="258" t="s">
        <v>2472</v>
      </c>
      <c r="H119" t="s">
        <v>2473</v>
      </c>
      <c r="K119" t="str">
        <f t="shared" si="3"/>
        <v>#N/A</v>
      </c>
    </row>
    <row r="120">
      <c r="B120" s="21"/>
      <c r="C120" t="str">
        <f>IFERROR(__xludf.DUMMYFUNCTION("""COMPUTED_VALUE"""),"Maestro(a) Jefe de Cocina")</f>
        <v>Maestro(a) Jefe de Cocina</v>
      </c>
      <c r="D120" s="23" t="s">
        <v>3414</v>
      </c>
      <c r="E120" s="23" t="s">
        <v>2573</v>
      </c>
      <c r="F120" t="b">
        <f t="shared" si="1"/>
        <v>0</v>
      </c>
      <c r="G120" s="258" t="s">
        <v>2572</v>
      </c>
      <c r="H120" t="s">
        <v>2573</v>
      </c>
      <c r="K120" t="str">
        <f t="shared" si="3"/>
        <v>#N/A</v>
      </c>
    </row>
    <row r="121">
      <c r="B121" s="21"/>
      <c r="C121" t="str">
        <f>IFERROR(__xludf.DUMMYFUNCTION("""COMPUTED_VALUE"""),"Matrón(a)")</f>
        <v>Matrón(a)</v>
      </c>
      <c r="D121" s="23" t="s">
        <v>3415</v>
      </c>
      <c r="E121" s="23" t="s">
        <v>3416</v>
      </c>
      <c r="F121" t="b">
        <f t="shared" si="1"/>
        <v>0</v>
      </c>
      <c r="G121" s="258" t="s">
        <v>3417</v>
      </c>
      <c r="H121" t="s">
        <v>3416</v>
      </c>
      <c r="K121" t="str">
        <f t="shared" si="3"/>
        <v>#N/A</v>
      </c>
    </row>
    <row r="122">
      <c r="B122" s="21"/>
      <c r="C122" t="str">
        <f>IFERROR(__xludf.DUMMYFUNCTION("""COMPUTED_VALUE"""),"Mayordomo(a)")</f>
        <v>Mayordomo(a)</v>
      </c>
      <c r="D122" s="23" t="s">
        <v>3418</v>
      </c>
      <c r="E122" s="23" t="s">
        <v>3419</v>
      </c>
      <c r="F122" t="b">
        <f t="shared" si="1"/>
        <v>0</v>
      </c>
      <c r="G122" s="258" t="s">
        <v>3420</v>
      </c>
      <c r="H122" t="s">
        <v>3419</v>
      </c>
      <c r="K122" t="str">
        <f t="shared" si="3"/>
        <v>#N/A</v>
      </c>
    </row>
    <row r="123">
      <c r="B123" s="21"/>
      <c r="C123" t="str">
        <f>IFERROR(__xludf.DUMMYFUNCTION("""COMPUTED_VALUE"""),"Mayordomo(a) UNICIT")</f>
        <v>Mayordomo(a) UNICIT</v>
      </c>
      <c r="D123" s="23" t="s">
        <v>1937</v>
      </c>
      <c r="E123" s="23" t="s">
        <v>1711</v>
      </c>
      <c r="F123" t="b">
        <f t="shared" si="1"/>
        <v>0</v>
      </c>
      <c r="G123" s="258" t="s">
        <v>1937</v>
      </c>
      <c r="H123" t="s">
        <v>1711</v>
      </c>
      <c r="K123" t="str">
        <f t="shared" si="3"/>
        <v>#N/A</v>
      </c>
    </row>
    <row r="124">
      <c r="B124" s="21"/>
      <c r="C124" t="str">
        <f>IFERROR(__xludf.DUMMYFUNCTION("""COMPUTED_VALUE"""),"Médico(a) Psiquiatra")</f>
        <v>Médico(a) Psiquiatra</v>
      </c>
      <c r="D124" s="23" t="s">
        <v>3421</v>
      </c>
      <c r="E124" s="23" t="s">
        <v>3422</v>
      </c>
      <c r="F124" t="b">
        <f t="shared" si="1"/>
        <v>0</v>
      </c>
      <c r="G124" s="258" t="s">
        <v>3421</v>
      </c>
      <c r="H124" t="s">
        <v>3422</v>
      </c>
    </row>
    <row r="125">
      <c r="B125" s="21"/>
      <c r="C125" t="str">
        <f>IFERROR(__xludf.DUMMYFUNCTION("""COMPUTED_VALUE"""),"Médico(a) Veterinario(a)")</f>
        <v>Médico(a) Veterinario(a)</v>
      </c>
      <c r="D125" s="23" t="s">
        <v>3012</v>
      </c>
      <c r="E125" s="23" t="s">
        <v>3423</v>
      </c>
      <c r="F125" t="b">
        <f t="shared" si="1"/>
        <v>0</v>
      </c>
      <c r="G125" s="258" t="s">
        <v>3012</v>
      </c>
      <c r="H125" t="s">
        <v>3423</v>
      </c>
    </row>
    <row r="126">
      <c r="B126" s="21"/>
      <c r="C126" t="str">
        <f>IFERROR(__xludf.DUMMYFUNCTION("""COMPUTED_VALUE"""),"Médicos(as) y Dentistas")</f>
        <v>Médicos(as) y Dentistas</v>
      </c>
      <c r="D126" s="23" t="s">
        <v>3424</v>
      </c>
      <c r="E126" s="23" t="s">
        <v>3425</v>
      </c>
      <c r="F126" t="b">
        <f t="shared" si="1"/>
        <v>0</v>
      </c>
      <c r="G126" s="258" t="s">
        <v>3424</v>
      </c>
      <c r="H126" t="s">
        <v>3425</v>
      </c>
    </row>
    <row r="127">
      <c r="B127" s="21"/>
      <c r="C127" t="str">
        <f>IFERROR(__xludf.DUMMYFUNCTION("""COMPUTED_VALUE"""),"Músico(a)")</f>
        <v>Músico(a)</v>
      </c>
      <c r="D127" s="23" t="s">
        <v>3426</v>
      </c>
      <c r="E127" s="23" t="s">
        <v>3427</v>
      </c>
      <c r="F127" t="b">
        <f t="shared" si="1"/>
        <v>0</v>
      </c>
      <c r="G127" s="258" t="s">
        <v>3426</v>
      </c>
      <c r="H127" t="s">
        <v>3427</v>
      </c>
    </row>
    <row r="128">
      <c r="B128" s="21"/>
      <c r="C128" t="str">
        <f>IFERROR(__xludf.DUMMYFUNCTION("""COMPUTED_VALUE"""),"Nutricionista")</f>
        <v>Nutricionista</v>
      </c>
      <c r="D128" s="23" t="s">
        <v>3428</v>
      </c>
      <c r="E128" s="23" t="s">
        <v>3429</v>
      </c>
      <c r="F128" t="b">
        <f t="shared" si="1"/>
        <v>0</v>
      </c>
      <c r="G128" s="258" t="s">
        <v>3430</v>
      </c>
      <c r="H128" t="s">
        <v>3429</v>
      </c>
    </row>
    <row r="129">
      <c r="B129" s="21"/>
      <c r="C129" t="str">
        <f>IFERROR(__xludf.DUMMYFUNCTION("""COMPUTED_VALUE"""),"Operador(a) de Caldera")</f>
        <v>Operador(a) de Caldera</v>
      </c>
      <c r="D129" s="23" t="s">
        <v>3431</v>
      </c>
      <c r="E129" s="23" t="s">
        <v>3432</v>
      </c>
      <c r="F129" t="b">
        <f t="shared" si="1"/>
        <v>0</v>
      </c>
      <c r="G129" s="258" t="s">
        <v>3433</v>
      </c>
      <c r="H129" t="s">
        <v>3432</v>
      </c>
    </row>
    <row r="130">
      <c r="B130" s="21"/>
      <c r="C130" t="str">
        <f>IFERROR(__xludf.DUMMYFUNCTION("""COMPUTED_VALUE"""),"Operador(a) de Radio")</f>
        <v>Operador(a) de Radio</v>
      </c>
      <c r="D130" s="23" t="s">
        <v>3434</v>
      </c>
      <c r="E130" s="23" t="s">
        <v>3435</v>
      </c>
      <c r="F130" t="b">
        <f t="shared" si="1"/>
        <v>0</v>
      </c>
      <c r="G130" s="258" t="s">
        <v>3436</v>
      </c>
      <c r="H130" t="s">
        <v>3435</v>
      </c>
    </row>
    <row r="131">
      <c r="B131" s="21"/>
      <c r="C131" t="str">
        <f>IFERROR(__xludf.DUMMYFUNCTION("""COMPUTED_VALUE"""),"Orientador(a) Vocacional")</f>
        <v>Orientador(a) Vocacional</v>
      </c>
      <c r="D131" s="23" t="s">
        <v>3437</v>
      </c>
      <c r="E131" s="23" t="s">
        <v>3438</v>
      </c>
      <c r="F131" t="b">
        <f t="shared" si="1"/>
        <v>0</v>
      </c>
      <c r="G131" s="258" t="s">
        <v>3439</v>
      </c>
      <c r="H131" t="s">
        <v>3438</v>
      </c>
    </row>
    <row r="132">
      <c r="B132" s="21"/>
      <c r="C132" t="str">
        <f>IFERROR(__xludf.DUMMYFUNCTION("""COMPUTED_VALUE"""),"Pendiente")</f>
        <v>Pendiente</v>
      </c>
      <c r="D132" s="23" t="s">
        <v>3440</v>
      </c>
      <c r="E132" s="23" t="s">
        <v>3441</v>
      </c>
      <c r="F132" t="b">
        <f t="shared" si="1"/>
        <v>0</v>
      </c>
      <c r="G132" s="258" t="s">
        <v>3442</v>
      </c>
      <c r="H132" t="s">
        <v>3441</v>
      </c>
    </row>
    <row r="133">
      <c r="B133" s="21"/>
      <c r="C133" t="str">
        <f>IFERROR(__xludf.DUMMYFUNCTION("""COMPUTED_VALUE"""),"Periodista")</f>
        <v>Periodista</v>
      </c>
      <c r="D133" s="23" t="s">
        <v>3443</v>
      </c>
      <c r="E133" s="23" t="s">
        <v>3444</v>
      </c>
      <c r="F133" t="b">
        <f t="shared" si="1"/>
        <v>0</v>
      </c>
      <c r="G133" s="258" t="s">
        <v>3445</v>
      </c>
      <c r="H133" t="s">
        <v>3444</v>
      </c>
    </row>
    <row r="134">
      <c r="B134" s="21"/>
      <c r="C134" t="str">
        <f>IFERROR(__xludf.DUMMYFUNCTION("""COMPUTED_VALUE"""),"Prevencionista de Riesgos")</f>
        <v>Prevencionista de Riesgos</v>
      </c>
      <c r="D134" s="23" t="s">
        <v>3446</v>
      </c>
      <c r="E134" s="23" t="s">
        <v>3447</v>
      </c>
      <c r="F134" t="b">
        <f t="shared" si="1"/>
        <v>0</v>
      </c>
      <c r="G134" s="258" t="s">
        <v>3448</v>
      </c>
      <c r="H134" t="s">
        <v>3447</v>
      </c>
    </row>
    <row r="135">
      <c r="B135" s="21"/>
      <c r="C135" t="str">
        <f>IFERROR(__xludf.DUMMYFUNCTION("""COMPUTED_VALUE"""),"Profesional de Acompañamiento Académico")</f>
        <v>Profesional de Acompañamiento Académico</v>
      </c>
      <c r="D135" s="23" t="s">
        <v>3449</v>
      </c>
      <c r="E135" s="23" t="s">
        <v>3450</v>
      </c>
      <c r="F135" t="b">
        <f t="shared" si="1"/>
        <v>0</v>
      </c>
      <c r="G135" s="258" t="s">
        <v>3451</v>
      </c>
      <c r="H135" t="s">
        <v>3450</v>
      </c>
    </row>
    <row r="136">
      <c r="B136" s="21"/>
      <c r="C136" t="str">
        <f>IFERROR(__xludf.DUMMYFUNCTION("""COMPUTED_VALUE"""),"Profesional de Extensión")</f>
        <v>Profesional de Extensión</v>
      </c>
      <c r="D136" s="23" t="s">
        <v>3251</v>
      </c>
      <c r="E136" s="23" t="s">
        <v>3452</v>
      </c>
      <c r="F136" t="b">
        <f t="shared" si="1"/>
        <v>0</v>
      </c>
      <c r="G136" s="258" t="s">
        <v>2962</v>
      </c>
      <c r="H136" t="s">
        <v>3452</v>
      </c>
    </row>
    <row r="137">
      <c r="B137" s="21"/>
      <c r="C137" t="str">
        <f>IFERROR(__xludf.DUMMYFUNCTION("""COMPUTED_VALUE"""),"Profesional Especializado(a) de Laboratorio")</f>
        <v>Profesional Especializado(a) de Laboratorio</v>
      </c>
      <c r="F137" t="b">
        <f>E138=C137</f>
        <v>0</v>
      </c>
      <c r="G137" s="258" t="s">
        <v>3453</v>
      </c>
      <c r="H137" t="s">
        <v>3454</v>
      </c>
    </row>
    <row r="138">
      <c r="B138" s="21"/>
      <c r="C138" t="str">
        <f>IFERROR(__xludf.DUMMYFUNCTION("""COMPUTED_VALUE"""),"Profesional de Investigación y Desarrollo")</f>
        <v>Profesional de Investigación y Desarrollo</v>
      </c>
      <c r="D138" s="23" t="s">
        <v>3455</v>
      </c>
      <c r="E138" s="23" t="s">
        <v>3456</v>
      </c>
      <c r="F138" t="b">
        <f t="shared" ref="F138:F167" si="4">E138:E139=C138</f>
        <v>0</v>
      </c>
      <c r="G138" s="258" t="s">
        <v>3455</v>
      </c>
      <c r="H138" t="s">
        <v>3456</v>
      </c>
    </row>
    <row r="139">
      <c r="B139" s="21"/>
      <c r="C139" t="str">
        <f>IFERROR(__xludf.DUMMYFUNCTION("""COMPUTED_VALUE"""),"Profesor(a) por Horas")</f>
        <v>Profesor(a) por Horas</v>
      </c>
      <c r="D139" s="23" t="s">
        <v>2562</v>
      </c>
      <c r="E139" s="23" t="s">
        <v>2563</v>
      </c>
      <c r="F139" t="b">
        <f t="shared" si="4"/>
        <v>0</v>
      </c>
      <c r="G139" s="258" t="s">
        <v>2562</v>
      </c>
      <c r="H139" t="s">
        <v>2563</v>
      </c>
    </row>
    <row r="140">
      <c r="B140" s="21"/>
      <c r="C140" t="str">
        <f>IFERROR(__xludf.DUMMYFUNCTION("""COMPUTED_VALUE"""),"Profesor(a) por Horas, Adjunto(a) I")</f>
        <v>Profesor(a) por Horas, Adjunto(a) I</v>
      </c>
      <c r="D140" s="23" t="s">
        <v>2355</v>
      </c>
      <c r="E140" s="23" t="s">
        <v>2843</v>
      </c>
      <c r="F140" t="b">
        <f t="shared" si="4"/>
        <v>0</v>
      </c>
      <c r="G140" s="258" t="s">
        <v>2842</v>
      </c>
      <c r="H140" t="s">
        <v>2843</v>
      </c>
    </row>
    <row r="141">
      <c r="B141" s="21"/>
      <c r="C141" t="str">
        <f>IFERROR(__xludf.DUMMYFUNCTION("""COMPUTED_VALUE"""),"Profesor(a) por Horas, Adjunto(a) II")</f>
        <v>Profesor(a) por Horas, Adjunto(a) II</v>
      </c>
      <c r="D141" s="23" t="s">
        <v>3457</v>
      </c>
      <c r="E141" s="23" t="s">
        <v>3458</v>
      </c>
      <c r="F141" t="b">
        <f t="shared" si="4"/>
        <v>0</v>
      </c>
      <c r="G141" s="258" t="s">
        <v>3459</v>
      </c>
      <c r="H141" t="s">
        <v>3458</v>
      </c>
    </row>
    <row r="142">
      <c r="B142" s="21"/>
      <c r="C142" t="str">
        <f>IFERROR(__xludf.DUMMYFUNCTION("""COMPUTED_VALUE"""),"Profesor(a) por Horas, Ayudante")</f>
        <v>Profesor(a) por Horas, Ayudante</v>
      </c>
      <c r="D142" s="23" t="s">
        <v>2450</v>
      </c>
      <c r="E142" s="23" t="s">
        <v>2451</v>
      </c>
      <c r="F142" t="b">
        <f t="shared" si="4"/>
        <v>0</v>
      </c>
      <c r="G142" s="258" t="s">
        <v>3460</v>
      </c>
      <c r="H142" t="s">
        <v>2451</v>
      </c>
    </row>
    <row r="143">
      <c r="B143" s="21"/>
      <c r="C143" t="str">
        <f>IFERROR(__xludf.DUMMYFUNCTION("""COMPUTED_VALUE"""),"Profesor(a) por Horas, Excelencia")</f>
        <v>Profesor(a) por Horas, Excelencia</v>
      </c>
      <c r="D143" s="23" t="s">
        <v>2216</v>
      </c>
      <c r="E143" s="23" t="s">
        <v>3103</v>
      </c>
      <c r="F143" t="b">
        <f t="shared" si="4"/>
        <v>0</v>
      </c>
      <c r="G143" s="258" t="s">
        <v>3102</v>
      </c>
      <c r="H143" t="s">
        <v>3103</v>
      </c>
    </row>
    <row r="144">
      <c r="B144" s="21"/>
      <c r="C144" t="str">
        <f>IFERROR(__xludf.DUMMYFUNCTION("""COMPUTED_VALUE"""),"Profesor(a) por Horas, Instructor(a) I")</f>
        <v>Profesor(a) por Horas, Instructor(a) I</v>
      </c>
      <c r="D144" s="23" t="s">
        <v>1910</v>
      </c>
      <c r="E144" s="23" t="s">
        <v>2981</v>
      </c>
      <c r="F144" t="b">
        <f t="shared" si="4"/>
        <v>0</v>
      </c>
      <c r="G144" s="258" t="s">
        <v>2650</v>
      </c>
      <c r="H144" t="s">
        <v>2981</v>
      </c>
    </row>
    <row r="145">
      <c r="B145" s="21"/>
      <c r="C145" t="str">
        <f>IFERROR(__xludf.DUMMYFUNCTION("""COMPUTED_VALUE"""),"Profesor(a) por Horas, Instructor(a) II")</f>
        <v>Profesor(a) por Horas, Instructor(a) II</v>
      </c>
      <c r="D145" s="23" t="s">
        <v>1954</v>
      </c>
      <c r="E145" s="23" t="s">
        <v>3461</v>
      </c>
      <c r="F145" t="b">
        <f t="shared" si="4"/>
        <v>0</v>
      </c>
      <c r="G145" s="258" t="s">
        <v>2609</v>
      </c>
      <c r="H145" t="s">
        <v>3461</v>
      </c>
    </row>
    <row r="146">
      <c r="B146" s="21"/>
      <c r="C146" t="str">
        <f>IFERROR(__xludf.DUMMYFUNCTION("""COMPUTED_VALUE"""),"Psicólogo(a)")</f>
        <v>Psicólogo(a)</v>
      </c>
      <c r="D146" s="23" t="s">
        <v>1897</v>
      </c>
      <c r="E146" s="23" t="s">
        <v>1898</v>
      </c>
      <c r="F146" t="b">
        <f t="shared" si="4"/>
        <v>0</v>
      </c>
      <c r="G146" s="258" t="s">
        <v>2540</v>
      </c>
      <c r="H146" t="s">
        <v>1898</v>
      </c>
    </row>
    <row r="147">
      <c r="B147" s="21"/>
      <c r="C147" t="str">
        <f>IFERROR(__xludf.DUMMYFUNCTION("""COMPUTED_VALUE"""),"Psicólogo(a) Dirección de Género, Diversidad y Equidad")</f>
        <v>Psicólogo(a) Dirección de Género, Diversidad y Equidad</v>
      </c>
      <c r="D147" s="23" t="s">
        <v>3462</v>
      </c>
      <c r="E147" s="23" t="s">
        <v>3463</v>
      </c>
      <c r="F147" t="b">
        <f t="shared" si="4"/>
        <v>0</v>
      </c>
      <c r="G147" s="258" t="s">
        <v>3464</v>
      </c>
      <c r="H147" t="s">
        <v>3463</v>
      </c>
    </row>
    <row r="148">
      <c r="B148" s="21"/>
      <c r="C148" t="str">
        <f>IFERROR(__xludf.DUMMYFUNCTION("""COMPUTED_VALUE"""),"Psicologo(A) UNICIT")</f>
        <v>Psicologo(A) UNICIT</v>
      </c>
      <c r="D148" s="23" t="s">
        <v>3465</v>
      </c>
      <c r="E148" s="23" t="s">
        <v>3466</v>
      </c>
      <c r="F148" t="b">
        <f t="shared" si="4"/>
        <v>0</v>
      </c>
      <c r="G148" s="258" t="s">
        <v>3467</v>
      </c>
      <c r="H148" t="s">
        <v>3466</v>
      </c>
    </row>
    <row r="149">
      <c r="B149" s="21"/>
      <c r="C149" t="str">
        <f>IFERROR(__xludf.DUMMYFUNCTION("""COMPUTED_VALUE"""),"Publicista")</f>
        <v>Publicista</v>
      </c>
      <c r="D149" s="23" t="s">
        <v>3468</v>
      </c>
      <c r="E149" s="23" t="s">
        <v>3469</v>
      </c>
      <c r="F149" t="b">
        <f t="shared" si="4"/>
        <v>0</v>
      </c>
      <c r="G149" s="258" t="s">
        <v>3470</v>
      </c>
      <c r="H149" t="s">
        <v>3469</v>
      </c>
    </row>
    <row r="150">
      <c r="B150" s="21"/>
      <c r="C150" t="str">
        <f>IFERROR(__xludf.DUMMYFUNCTION("""COMPUTED_VALUE"""),"Radio Controlador(a)")</f>
        <v>Radio Controlador(a)</v>
      </c>
      <c r="D150" s="23" t="s">
        <v>3471</v>
      </c>
      <c r="E150" s="23" t="s">
        <v>3472</v>
      </c>
      <c r="F150" t="b">
        <f t="shared" si="4"/>
        <v>0</v>
      </c>
      <c r="G150" s="258" t="s">
        <v>3473</v>
      </c>
      <c r="H150" t="s">
        <v>3472</v>
      </c>
    </row>
    <row r="151">
      <c r="B151" s="21"/>
      <c r="C151" t="str">
        <f>IFERROR(__xludf.DUMMYFUNCTION("""COMPUTED_VALUE"""),"Registrador(a) Curricular")</f>
        <v>Registrador(a) Curricular</v>
      </c>
      <c r="D151" s="23" t="s">
        <v>2303</v>
      </c>
      <c r="E151" s="23" t="s">
        <v>2304</v>
      </c>
      <c r="F151" t="b">
        <f t="shared" si="4"/>
        <v>0</v>
      </c>
      <c r="G151" s="258" t="s">
        <v>3057</v>
      </c>
      <c r="H151" t="s">
        <v>2304</v>
      </c>
    </row>
    <row r="152">
      <c r="B152" s="21"/>
      <c r="C152" t="str">
        <f>IFERROR(__xludf.DUMMYFUNCTION("""COMPUTED_VALUE"""),"Secretario(a) A UNICIT")</f>
        <v>Secretario(a) A UNICIT</v>
      </c>
      <c r="D152" s="23" t="s">
        <v>2253</v>
      </c>
      <c r="E152" s="23" t="s">
        <v>1821</v>
      </c>
      <c r="F152" t="b">
        <f t="shared" si="4"/>
        <v>0</v>
      </c>
      <c r="G152" s="258" t="s">
        <v>2613</v>
      </c>
      <c r="H152" t="s">
        <v>1821</v>
      </c>
    </row>
    <row r="153">
      <c r="B153" s="21"/>
      <c r="C153" t="str">
        <f>IFERROR(__xludf.DUMMYFUNCTION("""COMPUTED_VALUE"""),"Secretario(a) de Apoyo Docente")</f>
        <v>Secretario(a) de Apoyo Docente</v>
      </c>
      <c r="D153" s="23" t="s">
        <v>3474</v>
      </c>
      <c r="E153" s="23" t="s">
        <v>3072</v>
      </c>
      <c r="F153" t="b">
        <f t="shared" si="4"/>
        <v>0</v>
      </c>
      <c r="G153" s="258" t="s">
        <v>3071</v>
      </c>
      <c r="H153" t="s">
        <v>3072</v>
      </c>
    </row>
    <row r="154">
      <c r="B154" s="21"/>
      <c r="C154" t="str">
        <f>IFERROR(__xludf.DUMMYFUNCTION("""COMPUTED_VALUE"""),"Secretario(a) A de Unidad Centralizada")</f>
        <v>Secretario(a) A de Unidad Centralizada</v>
      </c>
      <c r="D154" s="23" t="s">
        <v>2034</v>
      </c>
      <c r="E154" s="23" t="s">
        <v>1625</v>
      </c>
      <c r="F154" t="b">
        <f t="shared" si="4"/>
        <v>0</v>
      </c>
      <c r="G154" s="258" t="s">
        <v>2545</v>
      </c>
      <c r="H154" t="s">
        <v>1625</v>
      </c>
    </row>
    <row r="155">
      <c r="B155" s="21"/>
      <c r="C155" t="str">
        <f>IFERROR(__xludf.DUMMYFUNCTION("""COMPUTED_VALUE"""),"Secretario(a) A")</f>
        <v>Secretario(a) A</v>
      </c>
      <c r="D155" s="23" t="s">
        <v>3285</v>
      </c>
      <c r="E155" s="23" t="s">
        <v>3475</v>
      </c>
      <c r="F155" t="b">
        <f t="shared" si="4"/>
        <v>0</v>
      </c>
      <c r="G155" s="258" t="s">
        <v>3476</v>
      </c>
      <c r="H155" t="s">
        <v>3475</v>
      </c>
    </row>
    <row r="156">
      <c r="B156" s="21"/>
      <c r="C156" t="str">
        <f>IFERROR(__xludf.DUMMYFUNCTION("""COMPUTED_VALUE"""),"Secretario(a) B")</f>
        <v>Secretario(a) B</v>
      </c>
      <c r="D156" s="23" t="s">
        <v>3477</v>
      </c>
      <c r="E156" s="23" t="s">
        <v>3478</v>
      </c>
      <c r="F156" t="b">
        <f t="shared" si="4"/>
        <v>0</v>
      </c>
      <c r="G156" s="258" t="s">
        <v>3479</v>
      </c>
      <c r="H156" t="s">
        <v>3478</v>
      </c>
    </row>
    <row r="157">
      <c r="B157" s="21"/>
      <c r="C157" t="str">
        <f>IFERROR(__xludf.DUMMYFUNCTION("""COMPUTED_VALUE"""),"Secretario(a) C")</f>
        <v>Secretario(a) C</v>
      </c>
      <c r="D157" s="23" t="s">
        <v>3480</v>
      </c>
      <c r="E157" s="23" t="s">
        <v>3481</v>
      </c>
      <c r="F157" t="b">
        <f t="shared" si="4"/>
        <v>0</v>
      </c>
      <c r="G157" s="258" t="s">
        <v>3482</v>
      </c>
      <c r="H157" t="s">
        <v>3481</v>
      </c>
    </row>
    <row r="158">
      <c r="B158" s="21"/>
      <c r="C158" t="str">
        <f>IFERROR(__xludf.DUMMYFUNCTION("""COMPUTED_VALUE"""),"Secretario(a) de Facultad")</f>
        <v>Secretario(a) de Facultad</v>
      </c>
      <c r="D158" s="23" t="s">
        <v>3483</v>
      </c>
      <c r="E158" s="23" t="s">
        <v>3484</v>
      </c>
      <c r="F158" t="b">
        <f t="shared" si="4"/>
        <v>0</v>
      </c>
      <c r="G158" s="258" t="s">
        <v>3485</v>
      </c>
      <c r="H158" t="s">
        <v>3484</v>
      </c>
    </row>
    <row r="159">
      <c r="B159" s="23"/>
      <c r="C159" t="str">
        <f>IFERROR(__xludf.DUMMYFUNCTION("""COMPUTED_VALUE"""),"Supervisor(a)")</f>
        <v>Supervisor(a)</v>
      </c>
      <c r="D159" s="23" t="s">
        <v>1918</v>
      </c>
      <c r="E159" s="23" t="s">
        <v>3486</v>
      </c>
      <c r="F159" t="b">
        <f t="shared" si="4"/>
        <v>0</v>
      </c>
      <c r="G159" s="258" t="s">
        <v>2707</v>
      </c>
      <c r="H159" t="s">
        <v>3486</v>
      </c>
    </row>
    <row r="160">
      <c r="B160" s="23"/>
      <c r="C160" t="str">
        <f>IFERROR(__xludf.DUMMYFUNCTION("""COMPUTED_VALUE"""),"Técnico(a) en Atención de Párvulos")</f>
        <v>Técnico(a) en Atención de Párvulos</v>
      </c>
      <c r="D160" s="23" t="s">
        <v>3487</v>
      </c>
      <c r="E160" s="23" t="s">
        <v>2781</v>
      </c>
      <c r="F160" t="b">
        <f t="shared" si="4"/>
        <v>0</v>
      </c>
      <c r="G160" s="258" t="s">
        <v>2780</v>
      </c>
      <c r="H160" t="s">
        <v>2781</v>
      </c>
    </row>
    <row r="161">
      <c r="B161" s="23"/>
      <c r="C161" t="str">
        <f>IFERROR(__xludf.DUMMYFUNCTION("""COMPUTED_VALUE"""),"Técnico(a) Contable")</f>
        <v>Técnico(a) Contable</v>
      </c>
      <c r="D161" s="23" t="s">
        <v>3488</v>
      </c>
      <c r="E161" s="23" t="s">
        <v>3489</v>
      </c>
      <c r="F161" t="b">
        <f t="shared" si="4"/>
        <v>0</v>
      </c>
      <c r="G161" s="258" t="s">
        <v>3490</v>
      </c>
      <c r="H161" t="s">
        <v>3489</v>
      </c>
    </row>
    <row r="162">
      <c r="B162" s="23"/>
      <c r="C162" t="str">
        <f>IFERROR(__xludf.DUMMYFUNCTION("""COMPUTED_VALUE"""),"Técnico(a) de Biblioteca")</f>
        <v>Técnico(a) de Biblioteca</v>
      </c>
      <c r="D162" s="23" t="s">
        <v>2406</v>
      </c>
      <c r="E162" s="23" t="s">
        <v>3491</v>
      </c>
      <c r="F162" t="b">
        <f t="shared" si="4"/>
        <v>0</v>
      </c>
      <c r="G162" s="258" t="s">
        <v>2568</v>
      </c>
      <c r="H162" t="s">
        <v>3491</v>
      </c>
    </row>
    <row r="163">
      <c r="B163" s="23"/>
      <c r="C163" t="str">
        <f>IFERROR(__xludf.DUMMYFUNCTION("""COMPUTED_VALUE"""),"Técnico(a) de Bodega")</f>
        <v>Técnico(a) de Bodega</v>
      </c>
      <c r="D163" s="23" t="s">
        <v>3492</v>
      </c>
      <c r="E163" s="23" t="s">
        <v>3493</v>
      </c>
      <c r="F163" t="b">
        <f t="shared" si="4"/>
        <v>0</v>
      </c>
      <c r="G163" s="258" t="s">
        <v>2620</v>
      </c>
      <c r="H163" t="s">
        <v>3493</v>
      </c>
    </row>
    <row r="164">
      <c r="C164" t="str">
        <f>IFERROR(__xludf.DUMMYFUNCTION("""COMPUTED_VALUE"""),"Técnico(a) de Compras")</f>
        <v>Técnico(a) de Compras</v>
      </c>
      <c r="D164" s="23" t="s">
        <v>3494</v>
      </c>
      <c r="E164" s="23" t="s">
        <v>3495</v>
      </c>
      <c r="F164" t="b">
        <f t="shared" si="4"/>
        <v>0</v>
      </c>
      <c r="G164" t="s">
        <v>3496</v>
      </c>
      <c r="H164" t="s">
        <v>3495</v>
      </c>
    </row>
    <row r="165">
      <c r="C165" t="str">
        <f>IFERROR(__xludf.DUMMYFUNCTION("""COMPUTED_VALUE"""),"Técnico(a) de Laboratorio")</f>
        <v>Técnico(a) de Laboratorio</v>
      </c>
      <c r="D165" s="23" t="s">
        <v>3497</v>
      </c>
      <c r="E165" s="23" t="s">
        <v>3498</v>
      </c>
      <c r="F165" t="b">
        <f t="shared" si="4"/>
        <v>0</v>
      </c>
      <c r="G165" t="s">
        <v>3499</v>
      </c>
      <c r="H165" t="s">
        <v>3498</v>
      </c>
    </row>
    <row r="166">
      <c r="C166" t="str">
        <f>IFERROR(__xludf.DUMMYFUNCTION("""COMPUTED_VALUE"""),"Técnico(a) de Mantención")</f>
        <v>Técnico(a) de Mantención</v>
      </c>
      <c r="D166" s="23" t="s">
        <v>3500</v>
      </c>
      <c r="E166" s="23" t="s">
        <v>3501</v>
      </c>
      <c r="F166" t="b">
        <f t="shared" si="4"/>
        <v>0</v>
      </c>
      <c r="G166" t="s">
        <v>3502</v>
      </c>
      <c r="H166" t="s">
        <v>3501</v>
      </c>
    </row>
    <row r="167">
      <c r="C167" t="str">
        <f>IFERROR(__xludf.DUMMYFUNCTION("""COMPUTED_VALUE"""),"Técnico(a) de Pabellón")</f>
        <v>Técnico(a) de Pabellón</v>
      </c>
      <c r="D167" s="23" t="s">
        <v>3124</v>
      </c>
      <c r="E167" s="23" t="s">
        <v>3125</v>
      </c>
      <c r="F167" t="b">
        <f t="shared" si="4"/>
        <v>0</v>
      </c>
      <c r="G167" t="s">
        <v>3124</v>
      </c>
      <c r="H167" t="s">
        <v>3125</v>
      </c>
    </row>
    <row r="168">
      <c r="C168" t="str">
        <f>IFERROR(__xludf.DUMMYFUNCTION("""COMPUTED_VALUE"""),"Técnico(a) Eléctrico")</f>
        <v>Técnico(a) Eléctrico</v>
      </c>
    </row>
    <row r="169">
      <c r="C169" t="str">
        <f>IFERROR(__xludf.DUMMYFUNCTION("""COMPUTED_VALUE"""),"Técnico(a) en Alimentos")</f>
        <v>Técnico(a) en Alimentos</v>
      </c>
    </row>
    <row r="170">
      <c r="C170" t="str">
        <f>IFERROR(__xludf.DUMMYFUNCTION("""COMPUTED_VALUE"""),"Técnico(a) en Prevención de Riesgos")</f>
        <v>Técnico(a) en Prevención de Riesgos</v>
      </c>
    </row>
    <row r="171">
      <c r="C171" t="str">
        <f>IFERROR(__xludf.DUMMYFUNCTION("""COMPUTED_VALUE"""),"Técnico(a) Entrenador(a) Deportivo(a)")</f>
        <v>Técnico(a) Entrenador(a) Deportivo(a)</v>
      </c>
    </row>
    <row r="172">
      <c r="C172" t="str">
        <f>IFERROR(__xludf.DUMMYFUNCTION("""COMPUTED_VALUE"""),"Técnico(a) Especializado(a) de Laboratorio")</f>
        <v>Técnico(a) Especializado(a) de Laboratorio</v>
      </c>
    </row>
    <row r="173">
      <c r="C173" t="str">
        <f>IFERROR(__xludf.DUMMYFUNCTION("""COMPUTED_VALUE"""),"Técnico(a) de Nivel Superior en Informática")</f>
        <v>Técnico(a) de Nivel Superior en Informática</v>
      </c>
    </row>
    <row r="174">
      <c r="C174" t="str">
        <f>IFERROR(__xludf.DUMMYFUNCTION("""COMPUTED_VALUE"""),"Técnico(a) de Soporte Básico en Computación")</f>
        <v>Técnico(a) de Soporte Básico en Computación</v>
      </c>
    </row>
    <row r="175">
      <c r="C175" t="str">
        <f>IFERROR(__xludf.DUMMYFUNCTION("""COMPUTED_VALUE"""),"Terapeuta Ocupacional")</f>
        <v>Terapeuta Ocupacional</v>
      </c>
    </row>
    <row r="176">
      <c r="C176" t="str">
        <f>IFERROR(__xludf.DUMMYFUNCTION("""COMPUTED_VALUE"""),"Vicedecano(a)")</f>
        <v>Vicedecano(a)</v>
      </c>
    </row>
  </sheetData>
  <dataValidations>
    <dataValidation type="list" allowBlank="1" showInputMessage="1" prompt="Haz clic e introduce un valor de intervalo INFORMACION!A2:A1000" sqref="J2:J118">
      <formula1>INFORMACION!$A$2:$A$1000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6.57"/>
    <col customWidth="1" min="2" max="2" width="6.57"/>
    <col customWidth="1" min="3" max="3" width="7.0"/>
    <col customWidth="1" min="4" max="4" width="9.57"/>
    <col customWidth="1" min="5" max="5" width="31.0"/>
    <col customWidth="1" min="6" max="6" width="34.86"/>
    <col customWidth="1" min="7" max="7" width="57.29"/>
    <col customWidth="1" min="17" max="17" width="18.0"/>
    <col customWidth="1" min="20" max="20" width="24.71"/>
    <col customWidth="1" min="21" max="21" width="29.14"/>
    <col customWidth="1" min="31" max="31" width="16.14"/>
    <col customWidth="1" min="32" max="32" width="34.29"/>
    <col customWidth="1" min="34" max="34" width="22.29"/>
    <col customWidth="1" min="35" max="35" width="24.29"/>
    <col customWidth="1" min="39" max="39" width="5.14"/>
  </cols>
  <sheetData>
    <row r="1">
      <c r="A1" s="44" t="s">
        <v>1542</v>
      </c>
      <c r="B1" s="27" t="s">
        <v>1543</v>
      </c>
      <c r="C1" s="27" t="s">
        <v>1544</v>
      </c>
      <c r="D1" s="29" t="s">
        <v>1545</v>
      </c>
      <c r="E1" s="29" t="s">
        <v>1546</v>
      </c>
      <c r="F1" s="30" t="s">
        <v>1547</v>
      </c>
      <c r="G1" s="28" t="s">
        <v>1548</v>
      </c>
      <c r="H1" s="29" t="s">
        <v>1589</v>
      </c>
      <c r="I1" s="29" t="s">
        <v>1550</v>
      </c>
      <c r="J1" s="29" t="s">
        <v>1551</v>
      </c>
      <c r="K1" s="29" t="s">
        <v>1552</v>
      </c>
      <c r="L1" s="29" t="s">
        <v>2535</v>
      </c>
      <c r="M1" s="29" t="s">
        <v>1554</v>
      </c>
      <c r="N1" s="29" t="s">
        <v>2536</v>
      </c>
      <c r="O1" s="29" t="s">
        <v>1556</v>
      </c>
      <c r="P1" s="29" t="s">
        <v>1557</v>
      </c>
      <c r="Q1" s="28" t="s">
        <v>2537</v>
      </c>
      <c r="R1" s="29" t="s">
        <v>1559</v>
      </c>
      <c r="S1" s="31" t="s">
        <v>1560</v>
      </c>
      <c r="T1" s="29" t="s">
        <v>1561</v>
      </c>
      <c r="U1" s="28" t="s">
        <v>1562</v>
      </c>
      <c r="V1" s="28" t="s">
        <v>2060</v>
      </c>
      <c r="W1" s="29" t="s">
        <v>1563</v>
      </c>
      <c r="X1" s="29" t="s">
        <v>1564</v>
      </c>
      <c r="Y1" s="29" t="s">
        <v>1565</v>
      </c>
      <c r="Z1" s="29" t="s">
        <v>1566</v>
      </c>
      <c r="AA1" s="31" t="s">
        <v>1567</v>
      </c>
      <c r="AB1" s="31" t="s">
        <v>1568</v>
      </c>
      <c r="AC1" s="29" t="s">
        <v>1569</v>
      </c>
      <c r="AD1" s="29" t="s">
        <v>1570</v>
      </c>
      <c r="AE1" s="29" t="s">
        <v>1571</v>
      </c>
      <c r="AF1" s="29" t="s">
        <v>1572</v>
      </c>
      <c r="AG1" s="32" t="s">
        <v>1573</v>
      </c>
      <c r="AH1" s="194" t="s">
        <v>1574</v>
      </c>
      <c r="AI1" s="194" t="s">
        <v>1575</v>
      </c>
      <c r="AJ1" s="156" t="s">
        <v>1576</v>
      </c>
      <c r="AK1" s="29" t="s">
        <v>1577</v>
      </c>
      <c r="AL1" s="29" t="s">
        <v>2538</v>
      </c>
      <c r="AM1" s="44" t="s">
        <v>2539</v>
      </c>
    </row>
    <row r="2">
      <c r="A2" s="158">
        <f t="shared" ref="A2:A118" si="1">IFERROR(LEFT(V2,LEN(V2)-2)*1,"")</f>
        <v>15083887</v>
      </c>
      <c r="B2" s="236">
        <v>1.0</v>
      </c>
      <c r="C2" s="236"/>
      <c r="D2" s="184" t="str">
        <f>IFERROR(VLOOKUP(E2,INFORMACION!D:E,2,0),"INGRESAR CENTRO DE COSTO A LA DERECHA")</f>
        <v>INGRESAR CENTRO DE COSTO A LA DERECHA</v>
      </c>
      <c r="E2" s="184" t="s">
        <v>3503</v>
      </c>
      <c r="F2" s="195" t="s">
        <v>2540</v>
      </c>
      <c r="G2" s="186" t="s">
        <v>3504</v>
      </c>
      <c r="H2" s="186">
        <v>17.0</v>
      </c>
      <c r="I2" s="186" t="s">
        <v>2541</v>
      </c>
      <c r="J2" s="184" t="s">
        <v>112</v>
      </c>
      <c r="K2" s="184" t="s">
        <v>120</v>
      </c>
      <c r="L2" s="184" t="s">
        <v>117</v>
      </c>
      <c r="M2" s="184">
        <v>0.0</v>
      </c>
      <c r="N2" s="184" t="s">
        <v>116</v>
      </c>
      <c r="O2" s="184">
        <v>13.0</v>
      </c>
      <c r="P2" s="184">
        <v>1.0</v>
      </c>
      <c r="Q2" s="184">
        <v>1.0</v>
      </c>
      <c r="R2" s="184" t="s">
        <v>121</v>
      </c>
      <c r="S2" s="218">
        <v>42857.0</v>
      </c>
      <c r="T2" s="241"/>
      <c r="U2" s="105" t="s">
        <v>3505</v>
      </c>
      <c r="V2" s="184" t="s">
        <v>3506</v>
      </c>
      <c r="W2" s="184" t="s">
        <v>118</v>
      </c>
      <c r="X2" s="197" t="s">
        <v>150</v>
      </c>
      <c r="Y2" s="197"/>
      <c r="Z2" s="197"/>
      <c r="AA2" s="219">
        <v>42807.0</v>
      </c>
      <c r="AB2" s="219">
        <v>42814.0</v>
      </c>
      <c r="AC2" s="4"/>
      <c r="AD2" s="4"/>
      <c r="AE2" s="4"/>
      <c r="AF2" s="4"/>
      <c r="AG2" s="4"/>
      <c r="AH2" s="216" t="s">
        <v>2071</v>
      </c>
      <c r="AI2" s="216" t="s">
        <v>3028</v>
      </c>
      <c r="AJ2" s="184"/>
      <c r="AK2" s="184" t="s">
        <v>2163</v>
      </c>
      <c r="AL2" s="200">
        <f t="shared" ref="AL2:AL118" si="2">IF(AB2="","",IF(AND(NETWORKDAYS(AB2,S2)&gt;1000,NETWORKDAYS(AB2,S2)&lt;1),"",(NETWORKDAYS(AB2,S2))))</f>
        <v>32</v>
      </c>
      <c r="AM2" s="201">
        <v>2017.0</v>
      </c>
    </row>
    <row r="3" hidden="1">
      <c r="A3" s="158">
        <f t="shared" si="1"/>
        <v>13750423</v>
      </c>
      <c r="B3" s="236">
        <v>2.0</v>
      </c>
      <c r="C3" s="236"/>
      <c r="D3" s="184" t="str">
        <f>IFERROR(VLOOKUP(E3,INFORMACION!D:E,2,0),"INGRESAR CENTRO DE COSTO A LA DERECHA")</f>
        <v>INGRESAR CENTRO DE COSTO A LA DERECHA</v>
      </c>
      <c r="E3" s="184" t="s">
        <v>1627</v>
      </c>
      <c r="F3" s="195" t="s">
        <v>2977</v>
      </c>
      <c r="G3" s="186" t="s">
        <v>2099</v>
      </c>
      <c r="H3" s="186">
        <v>8.0</v>
      </c>
      <c r="I3" s="186" t="s">
        <v>2541</v>
      </c>
      <c r="J3" s="184" t="s">
        <v>112</v>
      </c>
      <c r="K3" s="184" t="s">
        <v>114</v>
      </c>
      <c r="L3" s="184" t="s">
        <v>117</v>
      </c>
      <c r="M3" s="184">
        <v>16.0</v>
      </c>
      <c r="N3" s="184" t="s">
        <v>122</v>
      </c>
      <c r="O3" s="184"/>
      <c r="P3" s="184">
        <v>2.0</v>
      </c>
      <c r="Q3" s="184">
        <v>0.0</v>
      </c>
      <c r="R3" s="184" t="s">
        <v>121</v>
      </c>
      <c r="S3" s="218">
        <v>42836.0</v>
      </c>
      <c r="T3" s="105" t="s">
        <v>1370</v>
      </c>
      <c r="U3" s="105"/>
      <c r="V3" s="184" t="s">
        <v>3507</v>
      </c>
      <c r="W3" s="184" t="s">
        <v>118</v>
      </c>
      <c r="X3" s="197" t="s">
        <v>2141</v>
      </c>
      <c r="Y3" s="170"/>
      <c r="Z3" s="170"/>
      <c r="AA3" s="219">
        <v>42808.0</v>
      </c>
      <c r="AB3" s="219">
        <v>42811.0</v>
      </c>
      <c r="AC3" s="184">
        <v>14.0</v>
      </c>
      <c r="AD3" s="184" t="s">
        <v>114</v>
      </c>
      <c r="AE3" s="184" t="s">
        <v>3261</v>
      </c>
      <c r="AF3" s="184" t="s">
        <v>1601</v>
      </c>
      <c r="AG3" s="184" t="s">
        <v>3508</v>
      </c>
      <c r="AH3" s="216" t="s">
        <v>2071</v>
      </c>
      <c r="AI3" s="216" t="s">
        <v>3509</v>
      </c>
      <c r="AJ3" s="184"/>
      <c r="AK3" s="184" t="s">
        <v>2157</v>
      </c>
      <c r="AL3" s="200">
        <f t="shared" si="2"/>
        <v>18</v>
      </c>
      <c r="AM3" s="201">
        <v>2017.0</v>
      </c>
    </row>
    <row r="4">
      <c r="A4" s="158">
        <f t="shared" si="1"/>
        <v>15347267</v>
      </c>
      <c r="B4" s="242">
        <v>3.0</v>
      </c>
      <c r="C4" s="242"/>
      <c r="D4" s="184" t="str">
        <f>IFERROR(VLOOKUP(E4,INFORMACION!D:E,2,0),"INGRESAR CENTRO DE COSTO A LA DERECHA")</f>
        <v>INGRESAR CENTRO DE COSTO A LA DERECHA</v>
      </c>
      <c r="E4" s="184" t="s">
        <v>3032</v>
      </c>
      <c r="F4" s="195" t="s">
        <v>2580</v>
      </c>
      <c r="G4" s="186" t="s">
        <v>3510</v>
      </c>
      <c r="H4" s="186">
        <v>13.0</v>
      </c>
      <c r="I4" s="186" t="s">
        <v>2582</v>
      </c>
      <c r="J4" s="184" t="s">
        <v>112</v>
      </c>
      <c r="K4" s="184" t="s">
        <v>114</v>
      </c>
      <c r="L4" s="184" t="s">
        <v>117</v>
      </c>
      <c r="M4" s="184">
        <v>0.0</v>
      </c>
      <c r="N4" s="184" t="s">
        <v>116</v>
      </c>
      <c r="O4" s="184">
        <v>7.0</v>
      </c>
      <c r="P4" s="184">
        <v>1.0</v>
      </c>
      <c r="Q4" s="184">
        <v>1.0</v>
      </c>
      <c r="R4" s="184" t="s">
        <v>115</v>
      </c>
      <c r="S4" s="218">
        <v>42851.0</v>
      </c>
      <c r="T4" s="105"/>
      <c r="U4" s="105" t="s">
        <v>3511</v>
      </c>
      <c r="V4" s="184" t="s">
        <v>3512</v>
      </c>
      <c r="W4" s="184" t="s">
        <v>122</v>
      </c>
      <c r="X4" s="170"/>
      <c r="Y4" s="170"/>
      <c r="Z4" s="170"/>
      <c r="AA4" s="219">
        <v>42816.0</v>
      </c>
      <c r="AB4" s="219">
        <v>42823.0</v>
      </c>
      <c r="AC4" s="184"/>
      <c r="AD4" s="184"/>
      <c r="AE4" s="184"/>
      <c r="AF4" s="184"/>
      <c r="AG4" s="4"/>
      <c r="AH4" s="216" t="s">
        <v>2071</v>
      </c>
      <c r="AI4" s="216" t="s">
        <v>2583</v>
      </c>
      <c r="AJ4" s="184"/>
      <c r="AK4" s="184" t="s">
        <v>1612</v>
      </c>
      <c r="AL4" s="200">
        <f t="shared" si="2"/>
        <v>21</v>
      </c>
      <c r="AM4" s="201">
        <v>2017.0</v>
      </c>
    </row>
    <row r="5">
      <c r="A5" s="158">
        <f t="shared" si="1"/>
        <v>16578821</v>
      </c>
      <c r="B5" s="242">
        <v>4.0</v>
      </c>
      <c r="C5" s="242"/>
      <c r="D5" s="184" t="str">
        <f>IFERROR(VLOOKUP(E5,INFORMACION!D:E,2,0),"INGRESAR CENTRO DE COSTO A LA DERECHA")</f>
        <v>INGRESAR CENTRO DE COSTO A LA DERECHA</v>
      </c>
      <c r="E5" s="184" t="s">
        <v>3042</v>
      </c>
      <c r="F5" s="195" t="s">
        <v>2656</v>
      </c>
      <c r="G5" s="186" t="s">
        <v>2657</v>
      </c>
      <c r="H5" s="186">
        <v>17.0</v>
      </c>
      <c r="I5" s="186" t="s">
        <v>2541</v>
      </c>
      <c r="J5" s="184" t="s">
        <v>112</v>
      </c>
      <c r="K5" s="184" t="s">
        <v>120</v>
      </c>
      <c r="L5" s="184" t="s">
        <v>117</v>
      </c>
      <c r="M5" s="184">
        <v>2.0</v>
      </c>
      <c r="N5" s="184" t="s">
        <v>116</v>
      </c>
      <c r="O5" s="184">
        <f>11+12</f>
        <v>23</v>
      </c>
      <c r="P5" s="184">
        <f>2+3</f>
        <v>5</v>
      </c>
      <c r="Q5" s="184">
        <v>2.0</v>
      </c>
      <c r="R5" s="184" t="s">
        <v>121</v>
      </c>
      <c r="S5" s="218">
        <v>42842.0</v>
      </c>
      <c r="T5" s="105"/>
      <c r="U5" s="105" t="s">
        <v>3513</v>
      </c>
      <c r="V5" s="184" t="s">
        <v>3514</v>
      </c>
      <c r="W5" s="184" t="s">
        <v>122</v>
      </c>
      <c r="X5" s="170"/>
      <c r="Y5" s="170"/>
      <c r="Z5" s="170"/>
      <c r="AA5" s="219">
        <v>42796.0</v>
      </c>
      <c r="AB5" s="219">
        <v>42803.0</v>
      </c>
      <c r="AC5" s="4"/>
      <c r="AD5" s="4"/>
      <c r="AE5" s="184"/>
      <c r="AF5" s="4"/>
      <c r="AG5" s="4"/>
      <c r="AH5" s="216" t="s">
        <v>2071</v>
      </c>
      <c r="AI5" s="216" t="s">
        <v>3515</v>
      </c>
      <c r="AJ5" s="184"/>
      <c r="AK5" s="184" t="s">
        <v>2163</v>
      </c>
      <c r="AL5" s="200">
        <f t="shared" si="2"/>
        <v>28</v>
      </c>
      <c r="AM5" s="201">
        <v>2017.0</v>
      </c>
    </row>
    <row r="6" hidden="1">
      <c r="A6" s="158">
        <f t="shared" si="1"/>
        <v>15934235</v>
      </c>
      <c r="B6" s="242">
        <v>5.0</v>
      </c>
      <c r="C6" s="242"/>
      <c r="D6" s="184" t="str">
        <f>IFERROR(VLOOKUP(E6,INFORMACION!D:E,2,0),"INGRESAR CENTRO DE COSTO A LA DERECHA")</f>
        <v>INGRESAR CENTRO DE COSTO A LA DERECHA</v>
      </c>
      <c r="E6" s="244" t="s">
        <v>2891</v>
      </c>
      <c r="F6" s="195" t="s">
        <v>3102</v>
      </c>
      <c r="G6" s="186" t="s">
        <v>3516</v>
      </c>
      <c r="H6" s="186">
        <v>13.0</v>
      </c>
      <c r="I6" s="186" t="s">
        <v>2541</v>
      </c>
      <c r="J6" s="184" t="s">
        <v>112</v>
      </c>
      <c r="K6" s="184" t="s">
        <v>120</v>
      </c>
      <c r="L6" s="184" t="s">
        <v>117</v>
      </c>
      <c r="M6" s="184">
        <v>4.0</v>
      </c>
      <c r="N6" s="184" t="s">
        <v>122</v>
      </c>
      <c r="O6" s="184">
        <v>0.0</v>
      </c>
      <c r="P6" s="184">
        <v>2.0</v>
      </c>
      <c r="Q6" s="184">
        <v>0.0</v>
      </c>
      <c r="R6" s="184" t="s">
        <v>121</v>
      </c>
      <c r="S6" s="218">
        <v>42887.0</v>
      </c>
      <c r="T6" s="105" t="s">
        <v>508</v>
      </c>
      <c r="U6" s="105"/>
      <c r="V6" s="184" t="s">
        <v>3517</v>
      </c>
      <c r="W6" s="184" t="s">
        <v>122</v>
      </c>
      <c r="X6" s="170"/>
      <c r="Y6" s="170"/>
      <c r="Z6" s="170"/>
      <c r="AA6" s="219">
        <v>42810.0</v>
      </c>
      <c r="AB6" s="219">
        <v>42818.0</v>
      </c>
      <c r="AC6" s="184">
        <v>16.0</v>
      </c>
      <c r="AD6" s="184" t="s">
        <v>120</v>
      </c>
      <c r="AE6" s="184" t="s">
        <v>3518</v>
      </c>
      <c r="AF6" s="184" t="s">
        <v>3042</v>
      </c>
      <c r="AG6" s="4"/>
      <c r="AH6" s="216" t="s">
        <v>2071</v>
      </c>
      <c r="AI6" s="216" t="s">
        <v>3519</v>
      </c>
      <c r="AJ6" s="184"/>
      <c r="AK6" s="184" t="s">
        <v>2157</v>
      </c>
      <c r="AL6" s="200">
        <f t="shared" si="2"/>
        <v>50</v>
      </c>
      <c r="AM6" s="201">
        <v>2017.0</v>
      </c>
    </row>
    <row r="7" hidden="1">
      <c r="A7" s="158">
        <f t="shared" si="1"/>
        <v>12502248</v>
      </c>
      <c r="B7" s="242">
        <v>6.0</v>
      </c>
      <c r="C7" s="242"/>
      <c r="D7" s="184" t="str">
        <f>IFERROR(VLOOKUP(E7,INFORMACION!D:E,2,0),"INGRESAR CENTRO DE COSTO A LA DERECHA")</f>
        <v>INGRESAR CENTRO DE COSTO A LA DERECHA</v>
      </c>
      <c r="E7" s="184" t="s">
        <v>1618</v>
      </c>
      <c r="F7" s="195" t="s">
        <v>3260</v>
      </c>
      <c r="G7" s="186" t="s">
        <v>3261</v>
      </c>
      <c r="H7" s="186">
        <v>14.0</v>
      </c>
      <c r="I7" s="186" t="s">
        <v>2541</v>
      </c>
      <c r="J7" s="184" t="s">
        <v>112</v>
      </c>
      <c r="K7" s="184" t="s">
        <v>114</v>
      </c>
      <c r="L7" s="184" t="s">
        <v>117</v>
      </c>
      <c r="M7" s="184">
        <v>9.0</v>
      </c>
      <c r="N7" s="184" t="s">
        <v>122</v>
      </c>
      <c r="O7" s="184">
        <v>0.0</v>
      </c>
      <c r="P7" s="184">
        <v>5.0</v>
      </c>
      <c r="Q7" s="184">
        <v>0.0</v>
      </c>
      <c r="R7" s="184" t="s">
        <v>121</v>
      </c>
      <c r="S7" s="218">
        <v>42887.0</v>
      </c>
      <c r="T7" s="105" t="s">
        <v>1495</v>
      </c>
      <c r="U7" s="105"/>
      <c r="V7" s="184" t="s">
        <v>3520</v>
      </c>
      <c r="W7" s="184" t="s">
        <v>118</v>
      </c>
      <c r="X7" s="197" t="s">
        <v>2523</v>
      </c>
      <c r="Y7" s="197"/>
      <c r="Z7" s="170"/>
      <c r="AA7" s="219">
        <v>42796.0</v>
      </c>
      <c r="AB7" s="219">
        <v>42803.0</v>
      </c>
      <c r="AC7" s="4"/>
      <c r="AD7" s="4"/>
      <c r="AE7" s="184"/>
      <c r="AF7" s="4"/>
      <c r="AG7" s="4"/>
      <c r="AH7" s="216" t="s">
        <v>2071</v>
      </c>
      <c r="AI7" s="216" t="s">
        <v>3028</v>
      </c>
      <c r="AJ7" s="184"/>
      <c r="AK7" s="184" t="s">
        <v>2157</v>
      </c>
      <c r="AL7" s="200">
        <f t="shared" si="2"/>
        <v>61</v>
      </c>
      <c r="AM7" s="201">
        <v>2017.0</v>
      </c>
    </row>
    <row r="8">
      <c r="A8" s="158">
        <f t="shared" si="1"/>
        <v>17316152</v>
      </c>
      <c r="B8" s="259">
        <v>7.0</v>
      </c>
      <c r="C8" s="259"/>
      <c r="D8" s="184" t="str">
        <f>IFERROR(VLOOKUP(E8,INFORMACION!D:E,2,0),"INGRESAR CENTRO DE COSTO A LA DERECHA")</f>
        <v>INGRESAR CENTRO DE COSTO A LA DERECHA</v>
      </c>
      <c r="E8" s="244" t="s">
        <v>3000</v>
      </c>
      <c r="F8" s="195" t="s">
        <v>3349</v>
      </c>
      <c r="G8" s="245" t="s">
        <v>3521</v>
      </c>
      <c r="H8" s="245">
        <v>13.0</v>
      </c>
      <c r="I8" s="245" t="s">
        <v>2582</v>
      </c>
      <c r="J8" s="244" t="s">
        <v>112</v>
      </c>
      <c r="K8" s="244" t="s">
        <v>114</v>
      </c>
      <c r="L8" s="244" t="s">
        <v>117</v>
      </c>
      <c r="M8" s="244">
        <v>0.0</v>
      </c>
      <c r="N8" s="244" t="s">
        <v>116</v>
      </c>
      <c r="O8" s="244">
        <v>4.0</v>
      </c>
      <c r="P8" s="244">
        <v>1.0</v>
      </c>
      <c r="Q8" s="244">
        <v>1.0</v>
      </c>
      <c r="R8" s="244" t="s">
        <v>121</v>
      </c>
      <c r="S8" s="246">
        <v>42887.0</v>
      </c>
      <c r="T8" s="247"/>
      <c r="U8" s="247" t="s">
        <v>3522</v>
      </c>
      <c r="V8" s="244" t="s">
        <v>3523</v>
      </c>
      <c r="W8" s="244" t="s">
        <v>118</v>
      </c>
      <c r="X8" s="248" t="s">
        <v>154</v>
      </c>
      <c r="Y8" s="248" t="s">
        <v>3524</v>
      </c>
      <c r="Z8" s="249"/>
      <c r="AA8" s="250">
        <v>42797.0</v>
      </c>
      <c r="AB8" s="250">
        <v>42804.0</v>
      </c>
      <c r="AC8" s="251"/>
      <c r="AD8" s="251"/>
      <c r="AE8" s="244"/>
      <c r="AF8" s="251"/>
      <c r="AG8" s="251"/>
      <c r="AH8" s="216" t="s">
        <v>2071</v>
      </c>
      <c r="AI8" s="216" t="s">
        <v>3028</v>
      </c>
      <c r="AJ8" s="244"/>
      <c r="AK8" s="244" t="s">
        <v>1612</v>
      </c>
      <c r="AL8" s="200">
        <f t="shared" si="2"/>
        <v>60</v>
      </c>
      <c r="AM8" s="201">
        <v>2017.0</v>
      </c>
    </row>
    <row r="9">
      <c r="A9" s="158">
        <f t="shared" si="1"/>
        <v>14534049</v>
      </c>
      <c r="B9" s="236">
        <v>8.0</v>
      </c>
      <c r="C9" s="236"/>
      <c r="D9" s="184" t="str">
        <f>IFERROR(VLOOKUP(E9,INFORMACION!D:E,2,0),"INGRESAR CENTRO DE COSTO A LA DERECHA")</f>
        <v>INGRESAR CENTRO DE COSTO A LA DERECHA</v>
      </c>
      <c r="E9" s="244" t="s">
        <v>2953</v>
      </c>
      <c r="F9" s="195" t="s">
        <v>2576</v>
      </c>
      <c r="G9" s="245" t="s">
        <v>1741</v>
      </c>
      <c r="H9" s="245">
        <v>21.0</v>
      </c>
      <c r="I9" s="245" t="s">
        <v>2541</v>
      </c>
      <c r="J9" s="244" t="s">
        <v>112</v>
      </c>
      <c r="K9" s="244" t="s">
        <v>127</v>
      </c>
      <c r="L9" s="244" t="s">
        <v>117</v>
      </c>
      <c r="M9" s="244">
        <v>0.0</v>
      </c>
      <c r="N9" s="244" t="s">
        <v>116</v>
      </c>
      <c r="O9" s="244">
        <v>10.0</v>
      </c>
      <c r="P9" s="244">
        <v>2.0</v>
      </c>
      <c r="Q9" s="244">
        <v>1.0</v>
      </c>
      <c r="R9" s="244" t="s">
        <v>115</v>
      </c>
      <c r="S9" s="246">
        <v>42887.0</v>
      </c>
      <c r="T9" s="247"/>
      <c r="U9" s="247" t="s">
        <v>3525</v>
      </c>
      <c r="V9" s="244" t="s">
        <v>3526</v>
      </c>
      <c r="W9" s="244" t="s">
        <v>122</v>
      </c>
      <c r="X9" s="249"/>
      <c r="Y9" s="249"/>
      <c r="Z9" s="249"/>
      <c r="AA9" s="250">
        <v>42818.0</v>
      </c>
      <c r="AB9" s="250">
        <v>42825.0</v>
      </c>
      <c r="AC9" s="244"/>
      <c r="AD9" s="244"/>
      <c r="AE9" s="244"/>
      <c r="AF9" s="244"/>
      <c r="AG9" s="251"/>
      <c r="AH9" s="216" t="s">
        <v>2071</v>
      </c>
      <c r="AI9" s="216" t="s">
        <v>3527</v>
      </c>
      <c r="AJ9" s="244"/>
      <c r="AK9" s="244" t="s">
        <v>2163</v>
      </c>
      <c r="AL9" s="200">
        <f t="shared" si="2"/>
        <v>45</v>
      </c>
      <c r="AM9" s="201">
        <v>2017.0</v>
      </c>
    </row>
    <row r="10">
      <c r="A10" s="158">
        <f t="shared" si="1"/>
        <v>18338937</v>
      </c>
      <c r="B10" s="236">
        <v>9.0</v>
      </c>
      <c r="C10" s="236"/>
      <c r="D10" s="184" t="str">
        <f>IFERROR(VLOOKUP(E10,INFORMACION!D:E,2,0),"INGRESAR CENTRO DE COSTO A LA DERECHA")</f>
        <v>INGRESAR CENTRO DE COSTO A LA DERECHA</v>
      </c>
      <c r="E10" s="184" t="s">
        <v>3049</v>
      </c>
      <c r="F10" s="195" t="s">
        <v>2609</v>
      </c>
      <c r="G10" s="186" t="s">
        <v>3528</v>
      </c>
      <c r="H10" s="186">
        <v>20.0</v>
      </c>
      <c r="I10" s="186" t="s">
        <v>2541</v>
      </c>
      <c r="J10" s="184" t="s">
        <v>112</v>
      </c>
      <c r="K10" s="184" t="s">
        <v>120</v>
      </c>
      <c r="L10" s="184" t="s">
        <v>117</v>
      </c>
      <c r="M10" s="184">
        <v>0.0</v>
      </c>
      <c r="N10" s="184" t="s">
        <v>116</v>
      </c>
      <c r="O10" s="184">
        <v>16.0</v>
      </c>
      <c r="P10" s="184">
        <v>2.0</v>
      </c>
      <c r="Q10" s="184">
        <v>1.0</v>
      </c>
      <c r="R10" s="184" t="s">
        <v>121</v>
      </c>
      <c r="S10" s="218">
        <v>42891.0</v>
      </c>
      <c r="T10" s="105"/>
      <c r="U10" s="105" t="s">
        <v>3529</v>
      </c>
      <c r="V10" s="184" t="s">
        <v>3530</v>
      </c>
      <c r="W10" s="184" t="s">
        <v>122</v>
      </c>
      <c r="X10" s="170"/>
      <c r="Y10" s="170"/>
      <c r="Z10" s="170"/>
      <c r="AA10" s="219">
        <v>42817.0</v>
      </c>
      <c r="AB10" s="219">
        <v>42824.0</v>
      </c>
      <c r="AC10" s="4"/>
      <c r="AD10" s="4"/>
      <c r="AE10" s="184"/>
      <c r="AF10" s="4"/>
      <c r="AG10" s="4"/>
      <c r="AH10" s="216" t="s">
        <v>2071</v>
      </c>
      <c r="AI10" s="216" t="s">
        <v>3531</v>
      </c>
      <c r="AJ10" s="184"/>
      <c r="AK10" s="184" t="s">
        <v>2163</v>
      </c>
      <c r="AL10" s="200">
        <f t="shared" si="2"/>
        <v>48</v>
      </c>
      <c r="AM10" s="201">
        <v>2017.0</v>
      </c>
    </row>
    <row r="11">
      <c r="A11" s="158">
        <f t="shared" si="1"/>
        <v>16348283</v>
      </c>
      <c r="B11" s="242">
        <v>10.0</v>
      </c>
      <c r="C11" s="242"/>
      <c r="D11" s="184" t="str">
        <f>IFERROR(VLOOKUP(E11,INFORMACION!D:E,2,0),"INGRESAR CENTRO DE COSTO A LA DERECHA")</f>
        <v>INGRESAR CENTRO DE COSTO A LA DERECHA</v>
      </c>
      <c r="E11" s="184" t="s">
        <v>3532</v>
      </c>
      <c r="F11" s="195" t="s">
        <v>2545</v>
      </c>
      <c r="G11" s="186" t="s">
        <v>1625</v>
      </c>
      <c r="H11" s="186">
        <v>17.0</v>
      </c>
      <c r="I11" s="186" t="s">
        <v>2541</v>
      </c>
      <c r="J11" s="184" t="s">
        <v>112</v>
      </c>
      <c r="K11" s="184" t="s">
        <v>125</v>
      </c>
      <c r="L11" s="184" t="s">
        <v>117</v>
      </c>
      <c r="M11" s="184">
        <v>1.0</v>
      </c>
      <c r="N11" s="184" t="s">
        <v>116</v>
      </c>
      <c r="O11" s="184">
        <v>16.0</v>
      </c>
      <c r="P11" s="184">
        <v>2.0</v>
      </c>
      <c r="Q11" s="184">
        <v>3.0</v>
      </c>
      <c r="R11" s="184" t="s">
        <v>121</v>
      </c>
      <c r="S11" s="218">
        <v>42870.0</v>
      </c>
      <c r="T11" s="105"/>
      <c r="U11" s="105" t="s">
        <v>3533</v>
      </c>
      <c r="V11" s="184" t="s">
        <v>3534</v>
      </c>
      <c r="W11" s="184" t="s">
        <v>122</v>
      </c>
      <c r="X11" s="170"/>
      <c r="Y11" s="170"/>
      <c r="Z11" s="170"/>
      <c r="AA11" s="219">
        <v>42795.0</v>
      </c>
      <c r="AB11" s="219">
        <v>42802.0</v>
      </c>
      <c r="AC11" s="4"/>
      <c r="AD11" s="4"/>
      <c r="AE11" s="184"/>
      <c r="AF11" s="4"/>
      <c r="AG11" s="4"/>
      <c r="AH11" s="216" t="s">
        <v>2071</v>
      </c>
      <c r="AI11" s="216" t="s">
        <v>2946</v>
      </c>
      <c r="AJ11" s="184"/>
      <c r="AK11" s="184" t="s">
        <v>2157</v>
      </c>
      <c r="AL11" s="200">
        <f t="shared" si="2"/>
        <v>49</v>
      </c>
      <c r="AM11" s="201">
        <v>2017.0</v>
      </c>
    </row>
    <row r="12">
      <c r="A12" s="158">
        <f t="shared" si="1"/>
        <v>19241477</v>
      </c>
      <c r="B12" s="242">
        <v>11.0</v>
      </c>
      <c r="C12" s="242"/>
      <c r="D12" s="184" t="str">
        <f>IFERROR(VLOOKUP(E12,INFORMACION!D:E,2,0),"INGRESAR CENTRO DE COSTO A LA DERECHA")</f>
        <v>INGRESAR CENTRO DE COSTO A LA DERECHA</v>
      </c>
      <c r="E12" s="115" t="s">
        <v>1618</v>
      </c>
      <c r="F12" s="195" t="s">
        <v>1915</v>
      </c>
      <c r="G12" s="186" t="s">
        <v>1916</v>
      </c>
      <c r="H12" s="186">
        <v>20.0</v>
      </c>
      <c r="I12" s="186" t="s">
        <v>2541</v>
      </c>
      <c r="J12" s="184" t="s">
        <v>112</v>
      </c>
      <c r="K12" s="184" t="s">
        <v>125</v>
      </c>
      <c r="L12" s="184" t="s">
        <v>117</v>
      </c>
      <c r="M12" s="184">
        <v>0.0</v>
      </c>
      <c r="N12" s="184" t="s">
        <v>116</v>
      </c>
      <c r="O12" s="184">
        <v>24.0</v>
      </c>
      <c r="P12" s="184">
        <v>2.0</v>
      </c>
      <c r="Q12" s="184">
        <v>4.0</v>
      </c>
      <c r="R12" s="184" t="s">
        <v>115</v>
      </c>
      <c r="S12" s="218">
        <v>42877.0</v>
      </c>
      <c r="T12" s="105"/>
      <c r="U12" s="105" t="s">
        <v>3535</v>
      </c>
      <c r="V12" s="184" t="s">
        <v>3536</v>
      </c>
      <c r="W12" s="184" t="s">
        <v>118</v>
      </c>
      <c r="X12" s="197" t="s">
        <v>2102</v>
      </c>
      <c r="Y12" s="170"/>
      <c r="Z12" s="170"/>
      <c r="AA12" s="219">
        <v>42795.0</v>
      </c>
      <c r="AB12" s="219">
        <v>42802.0</v>
      </c>
      <c r="AC12" s="4"/>
      <c r="AD12" s="4"/>
      <c r="AE12" s="184"/>
      <c r="AF12" s="4"/>
      <c r="AG12" s="4"/>
      <c r="AH12" s="216" t="s">
        <v>2071</v>
      </c>
      <c r="AI12" s="216" t="s">
        <v>3537</v>
      </c>
      <c r="AJ12" s="184"/>
      <c r="AK12" s="184" t="s">
        <v>1612</v>
      </c>
      <c r="AL12" s="200">
        <f t="shared" si="2"/>
        <v>54</v>
      </c>
      <c r="AM12" s="201">
        <v>2017.0</v>
      </c>
    </row>
    <row r="13">
      <c r="A13" s="158">
        <f t="shared" si="1"/>
        <v>16704249</v>
      </c>
      <c r="B13" s="242">
        <v>12.0</v>
      </c>
      <c r="C13" s="242"/>
      <c r="D13" s="184" t="str">
        <f>IFERROR(VLOOKUP(E13,INFORMACION!D:E,2,0),"INGRESAR CENTRO DE COSTO A LA DERECHA")</f>
        <v>INGRESAR CENTRO DE COSTO A LA DERECHA</v>
      </c>
      <c r="E13" s="184" t="s">
        <v>3000</v>
      </c>
      <c r="F13" s="195" t="s">
        <v>3309</v>
      </c>
      <c r="G13" s="186" t="s">
        <v>3538</v>
      </c>
      <c r="H13" s="186">
        <v>13.0</v>
      </c>
      <c r="I13" s="186" t="s">
        <v>2541</v>
      </c>
      <c r="J13" s="184" t="s">
        <v>112</v>
      </c>
      <c r="K13" s="184" t="s">
        <v>125</v>
      </c>
      <c r="L13" s="184" t="s">
        <v>117</v>
      </c>
      <c r="M13" s="184">
        <v>1.0</v>
      </c>
      <c r="N13" s="184" t="s">
        <v>116</v>
      </c>
      <c r="O13" s="184">
        <v>20.0</v>
      </c>
      <c r="P13" s="184">
        <v>1.0</v>
      </c>
      <c r="Q13" s="184">
        <v>1.0</v>
      </c>
      <c r="R13" s="184" t="s">
        <v>115</v>
      </c>
      <c r="S13" s="218">
        <v>42948.0</v>
      </c>
      <c r="T13" s="105"/>
      <c r="U13" s="105" t="s">
        <v>3539</v>
      </c>
      <c r="V13" s="184" t="s">
        <v>3540</v>
      </c>
      <c r="W13" s="184" t="s">
        <v>118</v>
      </c>
      <c r="X13" s="197" t="s">
        <v>2846</v>
      </c>
      <c r="Y13" s="170"/>
      <c r="Z13" s="170"/>
      <c r="AA13" s="219">
        <v>42860.0</v>
      </c>
      <c r="AB13" s="219">
        <v>42867.0</v>
      </c>
      <c r="AC13" s="184"/>
      <c r="AD13" s="4"/>
      <c r="AE13" s="184"/>
      <c r="AF13" s="4"/>
      <c r="AG13" s="4"/>
      <c r="AH13" s="216" t="s">
        <v>2071</v>
      </c>
      <c r="AI13" s="216" t="s">
        <v>2363</v>
      </c>
      <c r="AJ13" s="184"/>
      <c r="AK13" s="184" t="s">
        <v>2163</v>
      </c>
      <c r="AL13" s="200">
        <f t="shared" si="2"/>
        <v>58</v>
      </c>
      <c r="AM13" s="201">
        <v>2017.0</v>
      </c>
    </row>
    <row r="14">
      <c r="A14" s="158">
        <f t="shared" si="1"/>
        <v>18766421</v>
      </c>
      <c r="B14" s="259">
        <v>13.0</v>
      </c>
      <c r="C14" s="259"/>
      <c r="D14" s="244" t="str">
        <f>IFERROR(VLOOKUP(E14,INFORMACION!D:E,2,0),"INGRESAR CENTRO DE COSTO A LA DERECHA")</f>
        <v>INGRESAR CENTRO DE COSTO A LA DERECHA</v>
      </c>
      <c r="E14" s="244" t="s">
        <v>2911</v>
      </c>
      <c r="F14" s="260" t="s">
        <v>2031</v>
      </c>
      <c r="G14" s="245" t="s">
        <v>3002</v>
      </c>
      <c r="H14" s="245">
        <v>13.0</v>
      </c>
      <c r="I14" s="245" t="s">
        <v>2541</v>
      </c>
      <c r="J14" s="244" t="s">
        <v>112</v>
      </c>
      <c r="K14" s="244" t="s">
        <v>114</v>
      </c>
      <c r="L14" s="244" t="s">
        <v>117</v>
      </c>
      <c r="M14" s="244">
        <v>2.0</v>
      </c>
      <c r="N14" s="244" t="s">
        <v>116</v>
      </c>
      <c r="O14" s="244">
        <v>9.0</v>
      </c>
      <c r="P14" s="244">
        <v>1.0</v>
      </c>
      <c r="Q14" s="244">
        <v>1.0</v>
      </c>
      <c r="R14" s="244" t="s">
        <v>115</v>
      </c>
      <c r="S14" s="246">
        <v>42935.0</v>
      </c>
      <c r="T14" s="247"/>
      <c r="U14" s="247" t="s">
        <v>3541</v>
      </c>
      <c r="V14" s="244" t="s">
        <v>3542</v>
      </c>
      <c r="W14" s="244"/>
      <c r="X14" s="248"/>
      <c r="Y14" s="248"/>
      <c r="Z14" s="249"/>
      <c r="AA14" s="250">
        <v>42915.0</v>
      </c>
      <c r="AB14" s="250">
        <v>42919.0</v>
      </c>
      <c r="AC14" s="251"/>
      <c r="AD14" s="251"/>
      <c r="AE14" s="244"/>
      <c r="AF14" s="251"/>
      <c r="AG14" s="251"/>
      <c r="AH14" s="216" t="s">
        <v>2071</v>
      </c>
      <c r="AI14" s="216" t="s">
        <v>2311</v>
      </c>
      <c r="AJ14" s="244"/>
      <c r="AK14" s="244"/>
      <c r="AL14" s="252">
        <f t="shared" si="2"/>
        <v>13</v>
      </c>
      <c r="AM14" s="201">
        <v>2017.0</v>
      </c>
    </row>
    <row r="15">
      <c r="A15" s="158">
        <f t="shared" si="1"/>
        <v>12855258</v>
      </c>
      <c r="B15" s="259">
        <v>14.0</v>
      </c>
      <c r="C15" s="259"/>
      <c r="D15" s="184" t="str">
        <f>IFERROR(VLOOKUP(E15,INFORMACION!D:E,2,0),"INGRESAR CENTRO DE COSTO A LA DERECHA")</f>
        <v>INGRESAR CENTRO DE COSTO A LA DERECHA</v>
      </c>
      <c r="E15" s="184" t="s">
        <v>1740</v>
      </c>
      <c r="F15" s="195" t="s">
        <v>2609</v>
      </c>
      <c r="G15" s="186" t="s">
        <v>3543</v>
      </c>
      <c r="H15" s="186">
        <v>20.0</v>
      </c>
      <c r="I15" s="186" t="s">
        <v>2541</v>
      </c>
      <c r="J15" s="184" t="s">
        <v>112</v>
      </c>
      <c r="K15" s="184" t="s">
        <v>120</v>
      </c>
      <c r="L15" s="184" t="s">
        <v>117</v>
      </c>
      <c r="M15" s="184">
        <v>1.0</v>
      </c>
      <c r="N15" s="184" t="s">
        <v>116</v>
      </c>
      <c r="O15" s="184">
        <v>16.0</v>
      </c>
      <c r="P15" s="184">
        <v>1.0</v>
      </c>
      <c r="Q15" s="184">
        <v>1.0</v>
      </c>
      <c r="R15" s="184" t="s">
        <v>121</v>
      </c>
      <c r="S15" s="218">
        <v>42905.0</v>
      </c>
      <c r="T15" s="105"/>
      <c r="U15" s="105" t="s">
        <v>3544</v>
      </c>
      <c r="V15" s="184" t="s">
        <v>3545</v>
      </c>
      <c r="W15" s="184" t="s">
        <v>122</v>
      </c>
      <c r="X15" s="197"/>
      <c r="Y15" s="170"/>
      <c r="Z15" s="170"/>
      <c r="AA15" s="219">
        <v>42864.0</v>
      </c>
      <c r="AB15" s="219">
        <v>42871.0</v>
      </c>
      <c r="AC15" s="4"/>
      <c r="AD15" s="4"/>
      <c r="AE15" s="184"/>
      <c r="AF15" s="4"/>
      <c r="AG15" s="4"/>
      <c r="AH15" s="216" t="s">
        <v>2071</v>
      </c>
      <c r="AI15" s="216" t="s">
        <v>3546</v>
      </c>
      <c r="AJ15" s="184"/>
      <c r="AK15" s="184" t="s">
        <v>2163</v>
      </c>
      <c r="AL15" s="200">
        <f t="shared" si="2"/>
        <v>25</v>
      </c>
      <c r="AM15" s="201">
        <v>2017.0</v>
      </c>
    </row>
    <row r="16">
      <c r="A16" s="158">
        <f t="shared" si="1"/>
        <v>17972409</v>
      </c>
      <c r="B16" s="236">
        <v>15.0</v>
      </c>
      <c r="C16" s="236"/>
      <c r="D16" s="184" t="str">
        <f>IFERROR(VLOOKUP(E16,INFORMACION!D:E,2,0),"INGRESAR CENTRO DE COSTO A LA DERECHA")</f>
        <v>INGRESAR CENTRO DE COSTO A LA DERECHA</v>
      </c>
      <c r="E16" s="184" t="s">
        <v>1740</v>
      </c>
      <c r="F16" s="195" t="s">
        <v>2635</v>
      </c>
      <c r="G16" s="186" t="s">
        <v>2636</v>
      </c>
      <c r="H16" s="186">
        <v>13.0</v>
      </c>
      <c r="I16" s="186" t="s">
        <v>2541</v>
      </c>
      <c r="J16" s="184" t="s">
        <v>112</v>
      </c>
      <c r="K16" s="184" t="s">
        <v>114</v>
      </c>
      <c r="L16" s="184" t="s">
        <v>117</v>
      </c>
      <c r="M16" s="184">
        <v>0.0</v>
      </c>
      <c r="N16" s="184" t="s">
        <v>116</v>
      </c>
      <c r="O16" s="184">
        <v>9.0</v>
      </c>
      <c r="P16" s="184">
        <v>2.0</v>
      </c>
      <c r="Q16" s="184">
        <v>1.0</v>
      </c>
      <c r="R16" s="184" t="s">
        <v>121</v>
      </c>
      <c r="S16" s="218">
        <v>42920.0</v>
      </c>
      <c r="T16" s="105"/>
      <c r="U16" s="105" t="s">
        <v>3547</v>
      </c>
      <c r="V16" s="184" t="s">
        <v>3548</v>
      </c>
      <c r="W16" s="184" t="s">
        <v>118</v>
      </c>
      <c r="X16" s="197" t="s">
        <v>2102</v>
      </c>
      <c r="Y16" s="197" t="s">
        <v>2523</v>
      </c>
      <c r="Z16" s="170"/>
      <c r="AA16" s="219">
        <v>42860.0</v>
      </c>
      <c r="AB16" s="219">
        <v>42867.0</v>
      </c>
      <c r="AC16" s="4"/>
      <c r="AD16" s="4"/>
      <c r="AE16" s="184"/>
      <c r="AF16" s="4"/>
      <c r="AG16" s="4"/>
      <c r="AH16" s="216" t="s">
        <v>2071</v>
      </c>
      <c r="AI16" s="216" t="s">
        <v>2637</v>
      </c>
      <c r="AJ16" s="184"/>
      <c r="AK16" s="184" t="s">
        <v>2163</v>
      </c>
      <c r="AL16" s="200">
        <f t="shared" si="2"/>
        <v>38</v>
      </c>
      <c r="AM16" s="201">
        <v>2017.0</v>
      </c>
    </row>
    <row r="17">
      <c r="A17" s="158">
        <f t="shared" si="1"/>
        <v>17001164</v>
      </c>
      <c r="B17" s="236">
        <v>16.0</v>
      </c>
      <c r="C17" s="236"/>
      <c r="D17" s="184" t="str">
        <f>IFERROR(VLOOKUP(E17,INFORMACION!D:E,2,0),"INGRESAR CENTRO DE COSTO A LA DERECHA")</f>
        <v>INGRESAR CENTRO DE COSTO A LA DERECHA</v>
      </c>
      <c r="E17" s="184" t="s">
        <v>2937</v>
      </c>
      <c r="F17" s="195" t="s">
        <v>1970</v>
      </c>
      <c r="G17" s="186" t="s">
        <v>1638</v>
      </c>
      <c r="H17" s="186">
        <v>23.0</v>
      </c>
      <c r="I17" s="186" t="s">
        <v>2541</v>
      </c>
      <c r="J17" s="184" t="s">
        <v>112</v>
      </c>
      <c r="K17" s="184" t="s">
        <v>127</v>
      </c>
      <c r="L17" s="184" t="s">
        <v>117</v>
      </c>
      <c r="M17" s="184">
        <v>0.0</v>
      </c>
      <c r="N17" s="184" t="s">
        <v>116</v>
      </c>
      <c r="O17" s="184">
        <v>23.0</v>
      </c>
      <c r="P17" s="184">
        <v>1.0</v>
      </c>
      <c r="Q17" s="184">
        <v>1.0</v>
      </c>
      <c r="R17" s="184" t="s">
        <v>115</v>
      </c>
      <c r="S17" s="218">
        <v>42894.0</v>
      </c>
      <c r="T17" s="105"/>
      <c r="U17" s="105" t="s">
        <v>3549</v>
      </c>
      <c r="V17" s="184" t="s">
        <v>3550</v>
      </c>
      <c r="W17" s="184" t="s">
        <v>122</v>
      </c>
      <c r="X17" s="170"/>
      <c r="Y17" s="170"/>
      <c r="Z17" s="170"/>
      <c r="AA17" s="219">
        <v>42860.0</v>
      </c>
      <c r="AB17" s="219">
        <v>42867.0</v>
      </c>
      <c r="AC17" s="4"/>
      <c r="AD17" s="4"/>
      <c r="AE17" s="184"/>
      <c r="AF17" s="4"/>
      <c r="AG17" s="4"/>
      <c r="AH17" s="216" t="s">
        <v>2071</v>
      </c>
      <c r="AI17" s="216" t="s">
        <v>3551</v>
      </c>
      <c r="AJ17" s="184"/>
      <c r="AK17" s="184" t="s">
        <v>1612</v>
      </c>
      <c r="AL17" s="200">
        <f t="shared" si="2"/>
        <v>20</v>
      </c>
      <c r="AM17" s="201">
        <v>2017.0</v>
      </c>
    </row>
    <row r="18" hidden="1">
      <c r="A18" s="158">
        <f t="shared" si="1"/>
        <v>17741571</v>
      </c>
      <c r="B18" s="236">
        <v>17.0</v>
      </c>
      <c r="C18" s="236"/>
      <c r="D18" s="184" t="str">
        <f>IFERROR(VLOOKUP(E18,INFORMACION!D:E,2,0),"INGRESAR CENTRO DE COSTO A LA DERECHA")</f>
        <v>INGRESAR CENTRO DE COSTO A LA DERECHA</v>
      </c>
      <c r="E18" s="184" t="s">
        <v>3552</v>
      </c>
      <c r="F18" s="195" t="s">
        <v>2558</v>
      </c>
      <c r="G18" s="186" t="s">
        <v>1926</v>
      </c>
      <c r="H18" s="186">
        <v>12.0</v>
      </c>
      <c r="I18" s="186" t="s">
        <v>2541</v>
      </c>
      <c r="J18" s="184" t="s">
        <v>112</v>
      </c>
      <c r="K18" s="184" t="s">
        <v>120</v>
      </c>
      <c r="L18" s="184" t="s">
        <v>117</v>
      </c>
      <c r="M18" s="184">
        <v>5.0</v>
      </c>
      <c r="N18" s="184" t="s">
        <v>122</v>
      </c>
      <c r="O18" s="184">
        <v>0.0</v>
      </c>
      <c r="P18" s="184">
        <v>3.0</v>
      </c>
      <c r="Q18" s="184">
        <v>0.0</v>
      </c>
      <c r="R18" s="184" t="s">
        <v>115</v>
      </c>
      <c r="S18" s="218">
        <v>42917.0</v>
      </c>
      <c r="T18" s="105" t="s">
        <v>218</v>
      </c>
      <c r="U18" s="105"/>
      <c r="V18" s="184" t="s">
        <v>2335</v>
      </c>
      <c r="W18" s="184" t="s">
        <v>122</v>
      </c>
      <c r="X18" s="170"/>
      <c r="Y18" s="170"/>
      <c r="Z18" s="170"/>
      <c r="AA18" s="219">
        <v>42858.0</v>
      </c>
      <c r="AB18" s="219">
        <v>42865.0</v>
      </c>
      <c r="AC18" s="184">
        <v>17.0</v>
      </c>
      <c r="AD18" s="184" t="s">
        <v>120</v>
      </c>
      <c r="AE18" s="184" t="s">
        <v>2333</v>
      </c>
      <c r="AF18" s="184" t="s">
        <v>3042</v>
      </c>
      <c r="AG18" s="4"/>
      <c r="AH18" s="216" t="s">
        <v>2071</v>
      </c>
      <c r="AI18" s="216" t="s">
        <v>3553</v>
      </c>
      <c r="AJ18" s="184"/>
      <c r="AK18" s="184" t="s">
        <v>2157</v>
      </c>
      <c r="AL18" s="200">
        <f t="shared" si="2"/>
        <v>38</v>
      </c>
      <c r="AM18" s="201">
        <v>2017.0</v>
      </c>
    </row>
    <row r="19" hidden="1">
      <c r="A19" s="158">
        <f t="shared" si="1"/>
        <v>13688765</v>
      </c>
      <c r="B19" s="242">
        <v>18.0</v>
      </c>
      <c r="C19" s="242"/>
      <c r="D19" s="184" t="str">
        <f>IFERROR(VLOOKUP(E19,INFORMACION!D:E,2,0),"INGRESAR CENTRO DE COSTO A LA DERECHA")</f>
        <v>INGRESAR CENTRO DE COSTO A LA DERECHA</v>
      </c>
      <c r="E19" s="184" t="s">
        <v>3554</v>
      </c>
      <c r="F19" s="195" t="s">
        <v>2094</v>
      </c>
      <c r="G19" s="186" t="s">
        <v>3207</v>
      </c>
      <c r="H19" s="186">
        <v>10.0</v>
      </c>
      <c r="I19" s="186" t="s">
        <v>2541</v>
      </c>
      <c r="J19" s="184" t="s">
        <v>112</v>
      </c>
      <c r="K19" s="184" t="s">
        <v>114</v>
      </c>
      <c r="L19" s="184" t="s">
        <v>117</v>
      </c>
      <c r="M19" s="184">
        <v>10.0</v>
      </c>
      <c r="N19" s="184" t="s">
        <v>122</v>
      </c>
      <c r="O19" s="184">
        <v>0.0</v>
      </c>
      <c r="P19" s="184">
        <v>3.0</v>
      </c>
      <c r="Q19" s="184">
        <v>0.0</v>
      </c>
      <c r="R19" s="184" t="s">
        <v>121</v>
      </c>
      <c r="S19" s="218">
        <v>42917.0</v>
      </c>
      <c r="T19" s="105" t="s">
        <v>1320</v>
      </c>
      <c r="U19" s="105"/>
      <c r="V19" s="184" t="s">
        <v>2428</v>
      </c>
      <c r="W19" s="184" t="s">
        <v>118</v>
      </c>
      <c r="X19" s="197" t="s">
        <v>2471</v>
      </c>
      <c r="Y19" s="170"/>
      <c r="Z19" s="170"/>
      <c r="AA19" s="219">
        <v>42797.0</v>
      </c>
      <c r="AB19" s="219">
        <v>42804.0</v>
      </c>
      <c r="AC19" s="184">
        <v>13.0</v>
      </c>
      <c r="AD19" s="184" t="s">
        <v>114</v>
      </c>
      <c r="AE19" s="184" t="s">
        <v>3002</v>
      </c>
      <c r="AF19" s="184" t="s">
        <v>1637</v>
      </c>
      <c r="AG19" s="4"/>
      <c r="AH19" s="216" t="s">
        <v>2071</v>
      </c>
      <c r="AI19" s="216" t="s">
        <v>3028</v>
      </c>
      <c r="AJ19" s="184"/>
      <c r="AK19" s="184" t="s">
        <v>2157</v>
      </c>
      <c r="AL19" s="200">
        <f t="shared" si="2"/>
        <v>81</v>
      </c>
      <c r="AM19" s="201">
        <v>2017.0</v>
      </c>
    </row>
    <row r="20">
      <c r="A20" s="158">
        <f t="shared" si="1"/>
        <v>16877666</v>
      </c>
      <c r="B20" s="242">
        <v>19.0</v>
      </c>
      <c r="C20" s="242"/>
      <c r="D20" s="184" t="str">
        <f>IFERROR(VLOOKUP(E20,INFORMACION!D:E,2,0),"INGRESAR CENTRO DE COSTO A LA DERECHA")</f>
        <v>INGRESAR CENTRO DE COSTO A LA DERECHA</v>
      </c>
      <c r="E20" s="184" t="s">
        <v>2307</v>
      </c>
      <c r="F20" s="195" t="s">
        <v>2472</v>
      </c>
      <c r="G20" s="186" t="s">
        <v>3555</v>
      </c>
      <c r="H20" s="186">
        <v>13.0</v>
      </c>
      <c r="I20" s="186" t="s">
        <v>2582</v>
      </c>
      <c r="J20" s="184" t="s">
        <v>112</v>
      </c>
      <c r="K20" s="184" t="s">
        <v>114</v>
      </c>
      <c r="L20" s="184" t="s">
        <v>117</v>
      </c>
      <c r="M20" s="184">
        <v>0.0</v>
      </c>
      <c r="N20" s="184" t="s">
        <v>116</v>
      </c>
      <c r="O20" s="184">
        <v>129.0</v>
      </c>
      <c r="P20" s="184">
        <v>3.0</v>
      </c>
      <c r="Q20" s="184">
        <v>1.0</v>
      </c>
      <c r="R20" s="184" t="s">
        <v>121</v>
      </c>
      <c r="S20" s="218">
        <v>42919.0</v>
      </c>
      <c r="T20" s="105"/>
      <c r="U20" s="105" t="s">
        <v>3556</v>
      </c>
      <c r="V20" s="184" t="s">
        <v>3557</v>
      </c>
      <c r="W20" s="184" t="s">
        <v>122</v>
      </c>
      <c r="X20" s="170"/>
      <c r="Y20" s="170"/>
      <c r="Z20" s="170"/>
      <c r="AA20" s="219">
        <v>42845.0</v>
      </c>
      <c r="AB20" s="219">
        <v>42852.0</v>
      </c>
      <c r="AC20" s="4"/>
      <c r="AD20" s="4"/>
      <c r="AE20" s="184"/>
      <c r="AF20" s="4"/>
      <c r="AG20" s="4"/>
      <c r="AH20" s="216" t="s">
        <v>2071</v>
      </c>
      <c r="AI20" s="216" t="s">
        <v>2474</v>
      </c>
      <c r="AJ20" s="184"/>
      <c r="AK20" s="184" t="s">
        <v>2163</v>
      </c>
      <c r="AL20" s="200">
        <f t="shared" si="2"/>
        <v>48</v>
      </c>
      <c r="AM20" s="201">
        <v>2017.0</v>
      </c>
    </row>
    <row r="21">
      <c r="A21" s="158">
        <f t="shared" si="1"/>
        <v>15564557</v>
      </c>
      <c r="B21" s="236">
        <v>20.0</v>
      </c>
      <c r="C21" s="236"/>
      <c r="D21" s="184" t="str">
        <f>IFERROR(VLOOKUP(E21,INFORMACION!D:E,2,0),"INGRESAR CENTRO DE COSTO A LA DERECHA")</f>
        <v>INGRESAR CENTRO DE COSTO A LA DERECHA</v>
      </c>
      <c r="E21" s="184" t="s">
        <v>3000</v>
      </c>
      <c r="F21" s="195" t="s">
        <v>1937</v>
      </c>
      <c r="G21" s="186" t="s">
        <v>3558</v>
      </c>
      <c r="H21" s="186">
        <v>13.0</v>
      </c>
      <c r="I21" s="186" t="s">
        <v>2541</v>
      </c>
      <c r="J21" s="184" t="s">
        <v>112</v>
      </c>
      <c r="K21" s="184" t="s">
        <v>114</v>
      </c>
      <c r="L21" s="184" t="s">
        <v>117</v>
      </c>
      <c r="M21" s="184">
        <v>0.0</v>
      </c>
      <c r="N21" s="184" t="s">
        <v>116</v>
      </c>
      <c r="O21" s="184">
        <v>24.0</v>
      </c>
      <c r="P21" s="184">
        <v>2.0</v>
      </c>
      <c r="Q21" s="184">
        <v>1.0</v>
      </c>
      <c r="R21" s="184" t="s">
        <v>115</v>
      </c>
      <c r="S21" s="218">
        <v>42887.0</v>
      </c>
      <c r="T21" s="105"/>
      <c r="U21" s="105" t="s">
        <v>3559</v>
      </c>
      <c r="V21" s="184" t="s">
        <v>3560</v>
      </c>
      <c r="W21" s="184" t="s">
        <v>118</v>
      </c>
      <c r="X21" s="197" t="s">
        <v>2523</v>
      </c>
      <c r="Y21" s="170"/>
      <c r="Z21" s="170"/>
      <c r="AA21" s="219">
        <v>42817.0</v>
      </c>
      <c r="AB21" s="219">
        <v>42824.0</v>
      </c>
      <c r="AC21" s="4"/>
      <c r="AD21" s="4"/>
      <c r="AE21" s="184"/>
      <c r="AF21" s="4"/>
      <c r="AG21" s="4"/>
      <c r="AH21" s="216" t="s">
        <v>2071</v>
      </c>
      <c r="AI21" s="216" t="s">
        <v>3561</v>
      </c>
      <c r="AJ21" s="184"/>
      <c r="AK21" s="184" t="s">
        <v>2163</v>
      </c>
      <c r="AL21" s="200">
        <f t="shared" si="2"/>
        <v>46</v>
      </c>
      <c r="AM21" s="201">
        <v>2017.0</v>
      </c>
    </row>
    <row r="22" hidden="1">
      <c r="A22" s="158">
        <f t="shared" si="1"/>
        <v>16025809</v>
      </c>
      <c r="B22" s="236">
        <v>21.0</v>
      </c>
      <c r="C22" s="236"/>
      <c r="D22" s="184" t="str">
        <f>IFERROR(VLOOKUP(E22,INFORMACION!D:E,2,0),"INGRESAR CENTRO DE COSTO A LA DERECHA")</f>
        <v>INGRESAR CENTRO DE COSTO A LA DERECHA</v>
      </c>
      <c r="E22" s="184" t="s">
        <v>2714</v>
      </c>
      <c r="F22" s="195" t="s">
        <v>2679</v>
      </c>
      <c r="G22" s="186" t="s">
        <v>1816</v>
      </c>
      <c r="H22" s="186">
        <v>20.0</v>
      </c>
      <c r="I22" s="186" t="s">
        <v>2541</v>
      </c>
      <c r="J22" s="184" t="s">
        <v>112</v>
      </c>
      <c r="K22" s="184" t="s">
        <v>120</v>
      </c>
      <c r="L22" s="184" t="s">
        <v>117</v>
      </c>
      <c r="M22" s="184">
        <v>1.0</v>
      </c>
      <c r="N22" s="184" t="s">
        <v>122</v>
      </c>
      <c r="O22" s="184">
        <v>0.0</v>
      </c>
      <c r="P22" s="184">
        <v>1.0</v>
      </c>
      <c r="Q22" s="184">
        <v>0.0</v>
      </c>
      <c r="R22" s="184" t="s">
        <v>121</v>
      </c>
      <c r="S22" s="218">
        <v>42948.0</v>
      </c>
      <c r="T22" s="105" t="s">
        <v>1241</v>
      </c>
      <c r="U22" s="105"/>
      <c r="V22" s="184" t="s">
        <v>2587</v>
      </c>
      <c r="W22" s="184" t="s">
        <v>122</v>
      </c>
      <c r="X22" s="170"/>
      <c r="Y22" s="170"/>
      <c r="Z22" s="170"/>
      <c r="AA22" s="219">
        <v>42893.0</v>
      </c>
      <c r="AB22" s="219">
        <v>42900.0</v>
      </c>
      <c r="AC22" s="184">
        <v>23.0</v>
      </c>
      <c r="AD22" s="184" t="s">
        <v>127</v>
      </c>
      <c r="AE22" s="184" t="s">
        <v>1638</v>
      </c>
      <c r="AF22" s="184" t="s">
        <v>1627</v>
      </c>
      <c r="AG22" s="202"/>
      <c r="AH22" s="216" t="s">
        <v>2071</v>
      </c>
      <c r="AI22" s="216" t="s">
        <v>3562</v>
      </c>
      <c r="AJ22" s="184"/>
      <c r="AK22" s="184" t="s">
        <v>2157</v>
      </c>
      <c r="AL22" s="200">
        <f t="shared" si="2"/>
        <v>35</v>
      </c>
      <c r="AM22" s="201">
        <v>2017.0</v>
      </c>
    </row>
    <row r="23">
      <c r="A23" s="158">
        <f t="shared" si="1"/>
        <v>16661194</v>
      </c>
      <c r="B23" s="242">
        <v>22.0</v>
      </c>
      <c r="C23" s="242"/>
      <c r="D23" s="184" t="str">
        <f>IFERROR(VLOOKUP(E23,INFORMACION!D:E,2,0),"INGRESAR CENTRO DE COSTO A LA DERECHA")</f>
        <v>INGRESAR CENTRO DE COSTO A LA DERECHA</v>
      </c>
      <c r="E23" s="184" t="s">
        <v>2015</v>
      </c>
      <c r="F23" s="195" t="s">
        <v>2247</v>
      </c>
      <c r="G23" s="186" t="s">
        <v>2248</v>
      </c>
      <c r="H23" s="186">
        <v>17.0</v>
      </c>
      <c r="I23" s="186" t="s">
        <v>2541</v>
      </c>
      <c r="J23" s="184" t="s">
        <v>112</v>
      </c>
      <c r="K23" s="184" t="s">
        <v>125</v>
      </c>
      <c r="L23" s="184" t="s">
        <v>117</v>
      </c>
      <c r="M23" s="184">
        <v>1.0</v>
      </c>
      <c r="N23" s="184" t="s">
        <v>116</v>
      </c>
      <c r="O23" s="184">
        <v>20.0</v>
      </c>
      <c r="P23" s="184">
        <v>2.0</v>
      </c>
      <c r="Q23" s="184">
        <v>1.0</v>
      </c>
      <c r="R23" s="184" t="s">
        <v>121</v>
      </c>
      <c r="S23" s="218">
        <v>42948.0</v>
      </c>
      <c r="T23" s="105"/>
      <c r="U23" s="105" t="s">
        <v>3563</v>
      </c>
      <c r="V23" s="184" t="s">
        <v>3564</v>
      </c>
      <c r="W23" s="184" t="s">
        <v>122</v>
      </c>
      <c r="X23" s="170"/>
      <c r="Y23" s="170"/>
      <c r="Z23" s="170"/>
      <c r="AA23" s="219">
        <v>42880.0</v>
      </c>
      <c r="AB23" s="219">
        <v>42887.0</v>
      </c>
      <c r="AC23" s="4"/>
      <c r="AD23" s="4"/>
      <c r="AE23" s="184"/>
      <c r="AF23" s="4"/>
      <c r="AG23" s="4"/>
      <c r="AH23" s="216" t="s">
        <v>2071</v>
      </c>
      <c r="AI23" s="216" t="s">
        <v>3565</v>
      </c>
      <c r="AJ23" s="184"/>
      <c r="AK23" s="184" t="s">
        <v>2163</v>
      </c>
      <c r="AL23" s="200">
        <f t="shared" si="2"/>
        <v>44</v>
      </c>
      <c r="AM23" s="201">
        <v>2017.0</v>
      </c>
    </row>
    <row r="24" hidden="1">
      <c r="A24" s="158">
        <f t="shared" si="1"/>
        <v>12900867</v>
      </c>
      <c r="B24" s="242">
        <v>23.0</v>
      </c>
      <c r="C24" s="242"/>
      <c r="D24" s="184" t="str">
        <f>IFERROR(VLOOKUP(E24,INFORMACION!D:E,2,0),"INGRESAR CENTRO DE COSTO A LA DERECHA")</f>
        <v>INGRESAR CENTRO DE COSTO A LA DERECHA</v>
      </c>
      <c r="E24" s="184" t="s">
        <v>2914</v>
      </c>
      <c r="F24" s="195" t="s">
        <v>2915</v>
      </c>
      <c r="G24" s="186" t="s">
        <v>3566</v>
      </c>
      <c r="H24" s="186">
        <v>20.0</v>
      </c>
      <c r="I24" s="186" t="s">
        <v>2541</v>
      </c>
      <c r="J24" s="184" t="s">
        <v>112</v>
      </c>
      <c r="K24" s="184" t="s">
        <v>125</v>
      </c>
      <c r="L24" s="184" t="s">
        <v>117</v>
      </c>
      <c r="M24" s="184">
        <v>1.0</v>
      </c>
      <c r="N24" s="184" t="s">
        <v>122</v>
      </c>
      <c r="O24" s="184">
        <v>0.0</v>
      </c>
      <c r="P24" s="184">
        <v>1.0</v>
      </c>
      <c r="Q24" s="184">
        <v>0.0</v>
      </c>
      <c r="R24" s="184" t="s">
        <v>121</v>
      </c>
      <c r="S24" s="218">
        <v>42948.0</v>
      </c>
      <c r="T24" s="105" t="s">
        <v>275</v>
      </c>
      <c r="U24" s="105"/>
      <c r="V24" s="184" t="s">
        <v>2298</v>
      </c>
      <c r="W24" s="184" t="s">
        <v>122</v>
      </c>
      <c r="X24" s="170"/>
      <c r="Y24" s="170"/>
      <c r="Z24" s="170"/>
      <c r="AA24" s="219">
        <v>42899.0</v>
      </c>
      <c r="AB24" s="219">
        <v>42906.0</v>
      </c>
      <c r="AC24" s="184">
        <v>23.0</v>
      </c>
      <c r="AD24" s="184" t="s">
        <v>127</v>
      </c>
      <c r="AE24" s="184" t="s">
        <v>3567</v>
      </c>
      <c r="AF24" s="184" t="s">
        <v>1961</v>
      </c>
      <c r="AG24" s="4"/>
      <c r="AH24" s="216" t="s">
        <v>2071</v>
      </c>
      <c r="AI24" s="216" t="s">
        <v>3568</v>
      </c>
      <c r="AJ24" s="184"/>
      <c r="AK24" s="184" t="s">
        <v>1612</v>
      </c>
      <c r="AL24" s="200">
        <f t="shared" si="2"/>
        <v>31</v>
      </c>
      <c r="AM24" s="201">
        <v>2017.0</v>
      </c>
    </row>
    <row r="25">
      <c r="A25" s="158">
        <f t="shared" si="1"/>
        <v>16372814</v>
      </c>
      <c r="B25" s="242">
        <v>24.0</v>
      </c>
      <c r="C25" s="242"/>
      <c r="D25" s="184" t="str">
        <f>IFERROR(VLOOKUP(E25,INFORMACION!D:E,2,0),"INGRESAR CENTRO DE COSTO A LA DERECHA")</f>
        <v>INGRESAR CENTRO DE COSTO A LA DERECHA</v>
      </c>
      <c r="E25" s="184" t="s">
        <v>2307</v>
      </c>
      <c r="F25" s="195" t="s">
        <v>3115</v>
      </c>
      <c r="G25" s="186" t="s">
        <v>3569</v>
      </c>
      <c r="H25" s="186">
        <v>13.0</v>
      </c>
      <c r="I25" s="186" t="s">
        <v>2541</v>
      </c>
      <c r="J25" s="184" t="s">
        <v>112</v>
      </c>
      <c r="K25" s="184" t="s">
        <v>114</v>
      </c>
      <c r="L25" s="184" t="s">
        <v>117</v>
      </c>
      <c r="M25" s="184">
        <v>0.0</v>
      </c>
      <c r="N25" s="184" t="s">
        <v>116</v>
      </c>
      <c r="O25" s="184">
        <v>36.0</v>
      </c>
      <c r="P25" s="184">
        <v>2.0</v>
      </c>
      <c r="Q25" s="184">
        <v>1.0</v>
      </c>
      <c r="R25" s="184" t="s">
        <v>121</v>
      </c>
      <c r="S25" s="218">
        <v>42948.0</v>
      </c>
      <c r="T25" s="105"/>
      <c r="U25" s="105" t="s">
        <v>3570</v>
      </c>
      <c r="V25" s="184" t="s">
        <v>3571</v>
      </c>
      <c r="W25" s="184" t="s">
        <v>122</v>
      </c>
      <c r="X25" s="170"/>
      <c r="Y25" s="170"/>
      <c r="Z25" s="170"/>
      <c r="AA25" s="219">
        <v>42895.0</v>
      </c>
      <c r="AB25" s="219">
        <v>42902.0</v>
      </c>
      <c r="AC25" s="4"/>
      <c r="AD25" s="4"/>
      <c r="AE25" s="184"/>
      <c r="AF25" s="4"/>
      <c r="AG25" s="4"/>
      <c r="AH25" s="216" t="s">
        <v>2071</v>
      </c>
      <c r="AI25" s="216" t="s">
        <v>3572</v>
      </c>
      <c r="AJ25" s="184"/>
      <c r="AK25" s="184" t="s">
        <v>1612</v>
      </c>
      <c r="AL25" s="200">
        <f t="shared" si="2"/>
        <v>33</v>
      </c>
      <c r="AM25" s="201">
        <v>2017.0</v>
      </c>
    </row>
    <row r="26">
      <c r="A26" s="158">
        <f t="shared" si="1"/>
        <v>16942218</v>
      </c>
      <c r="B26" s="242">
        <v>25.0</v>
      </c>
      <c r="C26" s="242"/>
      <c r="D26" s="184" t="str">
        <f>IFERROR(VLOOKUP(E26,INFORMACION!D:E,2,0),"INGRESAR CENTRO DE COSTO A LA DERECHA")</f>
        <v>INGRESAR CENTRO DE COSTO A LA DERECHA</v>
      </c>
      <c r="E26" s="184" t="s">
        <v>2883</v>
      </c>
      <c r="F26" s="195" t="s">
        <v>2625</v>
      </c>
      <c r="G26" s="186" t="s">
        <v>3573</v>
      </c>
      <c r="H26" s="186">
        <v>8.0</v>
      </c>
      <c r="I26" s="186" t="s">
        <v>2541</v>
      </c>
      <c r="J26" s="184" t="s">
        <v>112</v>
      </c>
      <c r="K26" s="184" t="s">
        <v>114</v>
      </c>
      <c r="L26" s="184" t="s">
        <v>117</v>
      </c>
      <c r="M26" s="184">
        <v>0.0</v>
      </c>
      <c r="N26" s="184" t="s">
        <v>116</v>
      </c>
      <c r="O26" s="184">
        <v>14.0</v>
      </c>
      <c r="P26" s="184">
        <v>1.0</v>
      </c>
      <c r="Q26" s="184">
        <v>1.0</v>
      </c>
      <c r="R26" s="184" t="s">
        <v>121</v>
      </c>
      <c r="S26" s="218">
        <v>42948.0</v>
      </c>
      <c r="T26" s="105"/>
      <c r="U26" s="105" t="s">
        <v>3574</v>
      </c>
      <c r="V26" s="184" t="s">
        <v>3575</v>
      </c>
      <c r="W26" s="184" t="s">
        <v>122</v>
      </c>
      <c r="X26" s="170"/>
      <c r="Y26" s="170"/>
      <c r="Z26" s="170"/>
      <c r="AA26" s="219">
        <v>42895.0</v>
      </c>
      <c r="AB26" s="219">
        <v>42902.0</v>
      </c>
      <c r="AC26" s="4"/>
      <c r="AD26" s="4"/>
      <c r="AE26" s="184"/>
      <c r="AF26" s="4"/>
      <c r="AG26" s="4"/>
      <c r="AH26" s="216" t="s">
        <v>2071</v>
      </c>
      <c r="AI26" s="216" t="s">
        <v>3562</v>
      </c>
      <c r="AJ26" s="184"/>
      <c r="AK26" s="184" t="s">
        <v>1612</v>
      </c>
      <c r="AL26" s="200">
        <f t="shared" si="2"/>
        <v>33</v>
      </c>
      <c r="AM26" s="201">
        <v>2017.0</v>
      </c>
    </row>
    <row r="27">
      <c r="A27" s="158">
        <f t="shared" si="1"/>
        <v>19635069</v>
      </c>
      <c r="B27" s="259">
        <v>26.0</v>
      </c>
      <c r="C27" s="259"/>
      <c r="D27" s="184" t="str">
        <f>IFERROR(VLOOKUP(E27,INFORMACION!D:E,2,0),"INGRESAR CENTRO DE COSTO A LA DERECHA")</f>
        <v>INGRESAR CENTRO DE COSTO A LA DERECHA</v>
      </c>
      <c r="E27" s="184" t="s">
        <v>3000</v>
      </c>
      <c r="F27" s="195" t="s">
        <v>1970</v>
      </c>
      <c r="G27" s="186" t="s">
        <v>1638</v>
      </c>
      <c r="H27" s="186">
        <v>23.0</v>
      </c>
      <c r="I27" s="186" t="s">
        <v>2541</v>
      </c>
      <c r="J27" s="184" t="s">
        <v>112</v>
      </c>
      <c r="K27" s="184" t="s">
        <v>127</v>
      </c>
      <c r="L27" s="184" t="s">
        <v>117</v>
      </c>
      <c r="M27" s="184">
        <v>1.0</v>
      </c>
      <c r="N27" s="184" t="s">
        <v>116</v>
      </c>
      <c r="O27" s="184">
        <v>44.0</v>
      </c>
      <c r="P27" s="184">
        <v>1.0</v>
      </c>
      <c r="Q27" s="184">
        <v>2.0</v>
      </c>
      <c r="R27" s="184" t="s">
        <v>115</v>
      </c>
      <c r="S27" s="218">
        <v>42915.0</v>
      </c>
      <c r="T27" s="105"/>
      <c r="U27" s="105" t="s">
        <v>3576</v>
      </c>
      <c r="V27" s="184" t="s">
        <v>3577</v>
      </c>
      <c r="W27" s="184" t="s">
        <v>122</v>
      </c>
      <c r="X27" s="170"/>
      <c r="Y27" s="170"/>
      <c r="Z27" s="170"/>
      <c r="AA27" s="219">
        <v>42874.0</v>
      </c>
      <c r="AB27" s="219">
        <v>42881.0</v>
      </c>
      <c r="AC27" s="4"/>
      <c r="AD27" s="4"/>
      <c r="AE27" s="184"/>
      <c r="AF27" s="4"/>
      <c r="AG27" s="4"/>
      <c r="AH27" s="216" t="s">
        <v>2071</v>
      </c>
      <c r="AI27" s="216" t="s">
        <v>3578</v>
      </c>
      <c r="AJ27" s="184"/>
      <c r="AK27" s="184" t="s">
        <v>2163</v>
      </c>
      <c r="AL27" s="200">
        <f t="shared" si="2"/>
        <v>25</v>
      </c>
      <c r="AM27" s="201">
        <v>2017.0</v>
      </c>
    </row>
    <row r="28">
      <c r="A28" s="158">
        <f t="shared" si="1"/>
        <v>8507126</v>
      </c>
      <c r="B28" s="236">
        <v>27.0</v>
      </c>
      <c r="C28" s="236"/>
      <c r="D28" s="184" t="str">
        <f>IFERROR(VLOOKUP(E28,INFORMACION!D:E,2,0),"INGRESAR CENTRO DE COSTO A LA DERECHA")</f>
        <v>INGRESAR CENTRO DE COSTO A LA DERECHA</v>
      </c>
      <c r="E28" s="184" t="s">
        <v>3032</v>
      </c>
      <c r="F28" s="195" t="s">
        <v>2580</v>
      </c>
      <c r="G28" s="186" t="s">
        <v>3579</v>
      </c>
      <c r="H28" s="186">
        <v>13.0</v>
      </c>
      <c r="I28" s="186" t="s">
        <v>2582</v>
      </c>
      <c r="J28" s="184" t="s">
        <v>112</v>
      </c>
      <c r="K28" s="184" t="s">
        <v>114</v>
      </c>
      <c r="L28" s="184" t="s">
        <v>117</v>
      </c>
      <c r="M28" s="184">
        <v>1.0</v>
      </c>
      <c r="N28" s="184" t="s">
        <v>116</v>
      </c>
      <c r="O28" s="184">
        <v>53.0</v>
      </c>
      <c r="P28" s="184">
        <v>3.0</v>
      </c>
      <c r="Q28" s="184">
        <v>1.0</v>
      </c>
      <c r="R28" s="184" t="s">
        <v>115</v>
      </c>
      <c r="S28" s="218">
        <v>42955.0</v>
      </c>
      <c r="T28" s="105"/>
      <c r="U28" s="105" t="s">
        <v>3580</v>
      </c>
      <c r="V28" s="184" t="s">
        <v>3581</v>
      </c>
      <c r="W28" s="184" t="s">
        <v>118</v>
      </c>
      <c r="X28" s="197" t="s">
        <v>2141</v>
      </c>
      <c r="Y28" s="197" t="s">
        <v>2102</v>
      </c>
      <c r="Z28" s="170"/>
      <c r="AA28" s="219">
        <v>42902.0</v>
      </c>
      <c r="AB28" s="219">
        <v>42907.0</v>
      </c>
      <c r="AC28" s="4"/>
      <c r="AD28" s="4"/>
      <c r="AE28" s="184"/>
      <c r="AF28" s="4"/>
      <c r="AG28" s="4"/>
      <c r="AH28" s="216" t="s">
        <v>2071</v>
      </c>
      <c r="AI28" s="216" t="s">
        <v>2729</v>
      </c>
      <c r="AJ28" s="184"/>
      <c r="AK28" s="184" t="s">
        <v>2163</v>
      </c>
      <c r="AL28" s="200">
        <f t="shared" si="2"/>
        <v>35</v>
      </c>
      <c r="AM28" s="201">
        <v>2017.0</v>
      </c>
    </row>
    <row r="29">
      <c r="A29" s="158">
        <f t="shared" si="1"/>
        <v>12960008</v>
      </c>
      <c r="B29" s="236">
        <v>28.0</v>
      </c>
      <c r="C29" s="236"/>
      <c r="D29" s="184" t="str">
        <f>IFERROR(VLOOKUP(E29,INFORMACION!D:E,2,0),"INGRESAR CENTRO DE COSTO A LA DERECHA")</f>
        <v>INGRESAR CENTRO DE COSTO A LA DERECHA</v>
      </c>
      <c r="E29" s="184" t="s">
        <v>3582</v>
      </c>
      <c r="F29" s="195" t="s">
        <v>2650</v>
      </c>
      <c r="G29" s="186" t="s">
        <v>3583</v>
      </c>
      <c r="H29" s="186">
        <v>17.0</v>
      </c>
      <c r="I29" s="186" t="s">
        <v>2541</v>
      </c>
      <c r="J29" s="184" t="s">
        <v>112</v>
      </c>
      <c r="K29" s="184" t="s">
        <v>120</v>
      </c>
      <c r="L29" s="184" t="s">
        <v>117</v>
      </c>
      <c r="M29" s="184">
        <v>1.0</v>
      </c>
      <c r="N29" s="184" t="s">
        <v>116</v>
      </c>
      <c r="O29" s="184">
        <v>7.0</v>
      </c>
      <c r="P29" s="184">
        <v>1.0</v>
      </c>
      <c r="Q29" s="184">
        <v>1.0</v>
      </c>
      <c r="R29" s="184" t="s">
        <v>121</v>
      </c>
      <c r="S29" s="218">
        <v>42954.0</v>
      </c>
      <c r="T29" s="105"/>
      <c r="U29" s="105" t="s">
        <v>3584</v>
      </c>
      <c r="V29" s="184" t="s">
        <v>3585</v>
      </c>
      <c r="W29" s="184" t="s">
        <v>122</v>
      </c>
      <c r="X29" s="170"/>
      <c r="Y29" s="170"/>
      <c r="Z29" s="170"/>
      <c r="AA29" s="219">
        <v>42922.0</v>
      </c>
      <c r="AB29" s="219">
        <v>42929.0</v>
      </c>
      <c r="AC29" s="4"/>
      <c r="AD29" s="4"/>
      <c r="AE29" s="184"/>
      <c r="AF29" s="4"/>
      <c r="AG29" s="4"/>
      <c r="AH29" s="216" t="s">
        <v>2071</v>
      </c>
      <c r="AI29" s="216" t="s">
        <v>3562</v>
      </c>
      <c r="AJ29" s="184"/>
      <c r="AK29" s="184" t="s">
        <v>1612</v>
      </c>
      <c r="AL29" s="200">
        <f t="shared" si="2"/>
        <v>18</v>
      </c>
      <c r="AM29" s="201">
        <v>2017.0</v>
      </c>
    </row>
    <row r="30">
      <c r="A30" s="158">
        <f t="shared" si="1"/>
        <v>12260688</v>
      </c>
      <c r="B30" s="242">
        <v>29.0</v>
      </c>
      <c r="C30" s="242"/>
      <c r="D30" s="184" t="str">
        <f>IFERROR(VLOOKUP(E30,INFORMACION!D:E,2,0),"INGRESAR CENTRO DE COSTO A LA DERECHA")</f>
        <v>INGRESAR CENTRO DE COSTO A LA DERECHA</v>
      </c>
      <c r="E30" s="184" t="s">
        <v>1618</v>
      </c>
      <c r="F30" s="195" t="s">
        <v>2679</v>
      </c>
      <c r="G30" s="186" t="s">
        <v>1816</v>
      </c>
      <c r="H30" s="186">
        <v>20.0</v>
      </c>
      <c r="I30" s="186" t="s">
        <v>2541</v>
      </c>
      <c r="J30" s="184" t="s">
        <v>112</v>
      </c>
      <c r="K30" s="184" t="s">
        <v>120</v>
      </c>
      <c r="L30" s="184" t="s">
        <v>117</v>
      </c>
      <c r="M30" s="184">
        <v>0.0</v>
      </c>
      <c r="N30" s="184" t="s">
        <v>116</v>
      </c>
      <c r="O30" s="184">
        <v>15.0</v>
      </c>
      <c r="P30" s="184">
        <v>2.0</v>
      </c>
      <c r="Q30" s="184">
        <v>1.0</v>
      </c>
      <c r="R30" s="184" t="s">
        <v>121</v>
      </c>
      <c r="S30" s="218">
        <v>42948.0</v>
      </c>
      <c r="T30" s="105"/>
      <c r="U30" s="105" t="s">
        <v>3586</v>
      </c>
      <c r="V30" s="184" t="s">
        <v>3587</v>
      </c>
      <c r="W30" s="184" t="s">
        <v>118</v>
      </c>
      <c r="X30" s="197" t="s">
        <v>2405</v>
      </c>
      <c r="Y30" s="170"/>
      <c r="Z30" s="170"/>
      <c r="AA30" s="219">
        <v>42899.0</v>
      </c>
      <c r="AB30" s="219">
        <v>42906.0</v>
      </c>
      <c r="AC30" s="4"/>
      <c r="AD30" s="4"/>
      <c r="AE30" s="184"/>
      <c r="AF30" s="4"/>
      <c r="AG30" s="4"/>
      <c r="AH30" s="216" t="s">
        <v>2071</v>
      </c>
      <c r="AI30" s="216" t="s">
        <v>2920</v>
      </c>
      <c r="AJ30" s="184"/>
      <c r="AK30" s="184" t="s">
        <v>1612</v>
      </c>
      <c r="AL30" s="200">
        <f t="shared" si="2"/>
        <v>31</v>
      </c>
      <c r="AM30" s="201">
        <v>2017.0</v>
      </c>
    </row>
    <row r="31" hidden="1">
      <c r="A31" s="158">
        <f t="shared" si="1"/>
        <v>18326702</v>
      </c>
      <c r="B31" s="242">
        <v>30.0</v>
      </c>
      <c r="C31" s="242"/>
      <c r="D31" s="184" t="str">
        <f>IFERROR(VLOOKUP(E31,INFORMACION!D:E,2,0),"INGRESAR CENTRO DE COSTO A LA DERECHA")</f>
        <v>INGRESAR CENTRO DE COSTO A LA DERECHA</v>
      </c>
      <c r="E31" s="184" t="s">
        <v>1637</v>
      </c>
      <c r="F31" s="195" t="s">
        <v>2558</v>
      </c>
      <c r="G31" s="186" t="s">
        <v>1926</v>
      </c>
      <c r="H31" s="186">
        <v>12.0</v>
      </c>
      <c r="I31" s="186" t="s">
        <v>2541</v>
      </c>
      <c r="J31" s="184" t="s">
        <v>112</v>
      </c>
      <c r="K31" s="184" t="s">
        <v>120</v>
      </c>
      <c r="L31" s="184" t="s">
        <v>117</v>
      </c>
      <c r="M31" s="184">
        <v>19.0</v>
      </c>
      <c r="N31" s="184" t="s">
        <v>122</v>
      </c>
      <c r="O31" s="184">
        <v>0.0</v>
      </c>
      <c r="P31" s="184">
        <v>3.0</v>
      </c>
      <c r="Q31" s="184">
        <v>0.0</v>
      </c>
      <c r="R31" s="184" t="s">
        <v>115</v>
      </c>
      <c r="S31" s="218">
        <v>42954.0</v>
      </c>
      <c r="T31" s="105" t="s">
        <v>571</v>
      </c>
      <c r="U31" s="105"/>
      <c r="V31" s="184" t="s">
        <v>3588</v>
      </c>
      <c r="W31" s="184" t="s">
        <v>122</v>
      </c>
      <c r="X31" s="170"/>
      <c r="Y31" s="170"/>
      <c r="Z31" s="170"/>
      <c r="AA31" s="219">
        <v>42901.0</v>
      </c>
      <c r="AB31" s="219">
        <v>42908.0</v>
      </c>
      <c r="AC31" s="4"/>
      <c r="AD31" s="4"/>
      <c r="AE31" s="184"/>
      <c r="AF31" s="4"/>
      <c r="AG31" s="4"/>
      <c r="AH31" s="216" t="s">
        <v>2071</v>
      </c>
      <c r="AI31" s="216" t="s">
        <v>3562</v>
      </c>
      <c r="AJ31" s="184"/>
      <c r="AK31" s="184" t="s">
        <v>2157</v>
      </c>
      <c r="AL31" s="200">
        <f t="shared" si="2"/>
        <v>33</v>
      </c>
      <c r="AM31" s="201">
        <v>2017.0</v>
      </c>
    </row>
    <row r="32">
      <c r="A32" s="158">
        <f t="shared" si="1"/>
        <v>15426721</v>
      </c>
      <c r="B32" s="242">
        <v>31.0</v>
      </c>
      <c r="C32" s="242"/>
      <c r="D32" s="184" t="str">
        <f>IFERROR(VLOOKUP(E32,INFORMACION!D:E,2,0),"INGRESAR CENTRO DE COSTO A LA DERECHA")</f>
        <v>INGRESAR CENTRO DE COSTO A LA DERECHA</v>
      </c>
      <c r="E32" s="184" t="s">
        <v>3081</v>
      </c>
      <c r="F32" s="195" t="s">
        <v>2576</v>
      </c>
      <c r="G32" s="186" t="s">
        <v>1741</v>
      </c>
      <c r="H32" s="186">
        <v>21.0</v>
      </c>
      <c r="I32" s="186" t="s">
        <v>2541</v>
      </c>
      <c r="J32" s="184" t="s">
        <v>112</v>
      </c>
      <c r="K32" s="184" t="s">
        <v>127</v>
      </c>
      <c r="L32" s="184" t="s">
        <v>117</v>
      </c>
      <c r="M32" s="184">
        <v>0.0</v>
      </c>
      <c r="N32" s="184" t="s">
        <v>116</v>
      </c>
      <c r="O32" s="184">
        <v>32.0</v>
      </c>
      <c r="P32" s="184">
        <v>1.0</v>
      </c>
      <c r="Q32" s="184">
        <v>3.0</v>
      </c>
      <c r="R32" s="184" t="s">
        <v>115</v>
      </c>
      <c r="S32" s="218">
        <v>42948.0</v>
      </c>
      <c r="T32" s="105"/>
      <c r="U32" s="105" t="s">
        <v>3589</v>
      </c>
      <c r="V32" s="184" t="s">
        <v>3590</v>
      </c>
      <c r="W32" s="184" t="s">
        <v>122</v>
      </c>
      <c r="X32" s="197"/>
      <c r="Y32" s="170"/>
      <c r="Z32" s="170"/>
      <c r="AA32" s="219">
        <v>42880.0</v>
      </c>
      <c r="AB32" s="219">
        <v>42894.0</v>
      </c>
      <c r="AC32" s="4"/>
      <c r="AD32" s="4"/>
      <c r="AE32" s="184"/>
      <c r="AF32" s="4"/>
      <c r="AG32" s="4"/>
      <c r="AH32" s="216" t="s">
        <v>2071</v>
      </c>
      <c r="AI32" s="216" t="s">
        <v>3028</v>
      </c>
      <c r="AJ32" s="184"/>
      <c r="AK32" s="184" t="s">
        <v>2163</v>
      </c>
      <c r="AL32" s="200">
        <f t="shared" si="2"/>
        <v>39</v>
      </c>
      <c r="AM32" s="201">
        <v>2017.0</v>
      </c>
    </row>
    <row r="33">
      <c r="A33" s="158">
        <f t="shared" si="1"/>
        <v>18304944</v>
      </c>
      <c r="B33" s="242">
        <v>32.0</v>
      </c>
      <c r="C33" s="242"/>
      <c r="D33" s="184" t="str">
        <f>IFERROR(VLOOKUP(E33,INFORMACION!D:E,2,0),"INGRESAR CENTRO DE COSTO A LA DERECHA")</f>
        <v>INGRESAR CENTRO DE COSTO A LA DERECHA</v>
      </c>
      <c r="E33" s="184" t="s">
        <v>1601</v>
      </c>
      <c r="F33" s="195" t="s">
        <v>3260</v>
      </c>
      <c r="G33" s="186" t="s">
        <v>3261</v>
      </c>
      <c r="H33" s="186">
        <v>14.0</v>
      </c>
      <c r="I33" s="186" t="s">
        <v>2541</v>
      </c>
      <c r="J33" s="184" t="s">
        <v>112</v>
      </c>
      <c r="K33" s="184" t="s">
        <v>120</v>
      </c>
      <c r="L33" s="184" t="s">
        <v>117</v>
      </c>
      <c r="M33" s="184">
        <v>5.0</v>
      </c>
      <c r="N33" s="184" t="s">
        <v>116</v>
      </c>
      <c r="O33" s="184">
        <v>10.0</v>
      </c>
      <c r="P33" s="184">
        <v>6.0</v>
      </c>
      <c r="Q33" s="184">
        <v>1.0</v>
      </c>
      <c r="R33" s="184" t="s">
        <v>121</v>
      </c>
      <c r="S33" s="218">
        <v>42936.0</v>
      </c>
      <c r="T33" s="105"/>
      <c r="U33" s="105" t="s">
        <v>3591</v>
      </c>
      <c r="V33" s="184" t="s">
        <v>3592</v>
      </c>
      <c r="W33" s="184" t="s">
        <v>118</v>
      </c>
      <c r="X33" s="197" t="s">
        <v>2523</v>
      </c>
      <c r="Y33" s="170"/>
      <c r="Z33" s="170"/>
      <c r="AA33" s="219">
        <v>42886.0</v>
      </c>
      <c r="AB33" s="219">
        <v>42893.0</v>
      </c>
      <c r="AC33" s="4"/>
      <c r="AD33" s="4"/>
      <c r="AE33" s="184"/>
      <c r="AF33" s="4"/>
      <c r="AG33" s="4"/>
      <c r="AH33" s="216" t="s">
        <v>2071</v>
      </c>
      <c r="AI33" s="216" t="s">
        <v>3593</v>
      </c>
      <c r="AJ33" s="184"/>
      <c r="AK33" s="184" t="s">
        <v>2163</v>
      </c>
      <c r="AL33" s="200">
        <f t="shared" si="2"/>
        <v>32</v>
      </c>
      <c r="AM33" s="201">
        <v>2017.0</v>
      </c>
    </row>
    <row r="34">
      <c r="A34" s="158">
        <f t="shared" si="1"/>
        <v>17339326</v>
      </c>
      <c r="B34" s="259">
        <v>33.0</v>
      </c>
      <c r="C34" s="259"/>
      <c r="D34" s="184" t="str">
        <f>IFERROR(VLOOKUP(E34,INFORMACION!D:E,2,0),"INGRESAR CENTRO DE COSTO A LA DERECHA")</f>
        <v>INGRESAR CENTRO DE COSTO A LA DERECHA</v>
      </c>
      <c r="E34" s="184" t="s">
        <v>3594</v>
      </c>
      <c r="F34" s="195" t="s">
        <v>2598</v>
      </c>
      <c r="G34" s="186" t="s">
        <v>2391</v>
      </c>
      <c r="H34" s="186">
        <v>14.0</v>
      </c>
      <c r="I34" s="186" t="s">
        <v>2541</v>
      </c>
      <c r="J34" s="184" t="s">
        <v>112</v>
      </c>
      <c r="K34" s="184" t="s">
        <v>125</v>
      </c>
      <c r="L34" s="184" t="s">
        <v>117</v>
      </c>
      <c r="M34" s="184">
        <v>0.0</v>
      </c>
      <c r="N34" s="184" t="s">
        <v>116</v>
      </c>
      <c r="O34" s="184">
        <v>5.0</v>
      </c>
      <c r="P34" s="184">
        <v>1.0</v>
      </c>
      <c r="Q34" s="184">
        <v>1.0</v>
      </c>
      <c r="R34" s="184" t="s">
        <v>115</v>
      </c>
      <c r="S34" s="218">
        <v>42948.0</v>
      </c>
      <c r="T34" s="105"/>
      <c r="U34" s="105" t="s">
        <v>3595</v>
      </c>
      <c r="V34" s="184" t="s">
        <v>3596</v>
      </c>
      <c r="W34" s="184" t="s">
        <v>118</v>
      </c>
      <c r="X34" s="197" t="s">
        <v>2523</v>
      </c>
      <c r="Y34" s="170"/>
      <c r="Z34" s="170"/>
      <c r="AA34" s="219">
        <v>42807.0</v>
      </c>
      <c r="AB34" s="219">
        <v>42814.0</v>
      </c>
      <c r="AC34" s="4"/>
      <c r="AD34" s="4"/>
      <c r="AE34" s="184"/>
      <c r="AF34" s="4"/>
      <c r="AG34" s="4"/>
      <c r="AH34" s="216" t="s">
        <v>2071</v>
      </c>
      <c r="AI34" s="216" t="s">
        <v>3028</v>
      </c>
      <c r="AJ34" s="184"/>
      <c r="AK34" s="184" t="s">
        <v>1612</v>
      </c>
      <c r="AL34" s="200">
        <f t="shared" si="2"/>
        <v>97</v>
      </c>
      <c r="AM34" s="201">
        <v>2017.0</v>
      </c>
    </row>
    <row r="35">
      <c r="A35" s="158">
        <f t="shared" si="1"/>
        <v>15314358</v>
      </c>
      <c r="B35" s="236">
        <v>34.0</v>
      </c>
      <c r="C35" s="236"/>
      <c r="D35" s="184" t="str">
        <f>IFERROR(VLOOKUP(E35,INFORMACION!D:E,2,0),"INGRESAR CENTRO DE COSTO A LA DERECHA")</f>
        <v>INGRESAR CENTRO DE COSTO A LA DERECHA</v>
      </c>
      <c r="E35" s="184" t="s">
        <v>3011</v>
      </c>
      <c r="F35" s="195" t="s">
        <v>2977</v>
      </c>
      <c r="G35" s="186" t="s">
        <v>3597</v>
      </c>
      <c r="H35" s="186">
        <v>8.0</v>
      </c>
      <c r="I35" s="186" t="s">
        <v>2541</v>
      </c>
      <c r="J35" s="184" t="s">
        <v>112</v>
      </c>
      <c r="K35" s="184" t="s">
        <v>114</v>
      </c>
      <c r="L35" s="184" t="s">
        <v>117</v>
      </c>
      <c r="M35" s="184">
        <v>1.0</v>
      </c>
      <c r="N35" s="184" t="s">
        <v>116</v>
      </c>
      <c r="O35" s="184">
        <v>16.0</v>
      </c>
      <c r="P35" s="184">
        <v>1.0</v>
      </c>
      <c r="Q35" s="184">
        <v>1.0</v>
      </c>
      <c r="R35" s="184" t="s">
        <v>121</v>
      </c>
      <c r="S35" s="218">
        <v>42969.0</v>
      </c>
      <c r="T35" s="105"/>
      <c r="U35" s="105" t="s">
        <v>3598</v>
      </c>
      <c r="V35" s="184" t="s">
        <v>3599</v>
      </c>
      <c r="W35" s="184" t="s">
        <v>122</v>
      </c>
      <c r="X35" s="197"/>
      <c r="Y35" s="170"/>
      <c r="Z35" s="170"/>
      <c r="AA35" s="219">
        <v>42926.0</v>
      </c>
      <c r="AB35" s="219">
        <v>42933.0</v>
      </c>
      <c r="AC35" s="4"/>
      <c r="AD35" s="4"/>
      <c r="AE35" s="184"/>
      <c r="AF35" s="4"/>
      <c r="AG35" s="4"/>
      <c r="AH35" s="216" t="s">
        <v>2071</v>
      </c>
      <c r="AI35" s="216" t="s">
        <v>3600</v>
      </c>
      <c r="AJ35" s="184"/>
      <c r="AK35" s="184" t="s">
        <v>1612</v>
      </c>
      <c r="AL35" s="200">
        <f t="shared" si="2"/>
        <v>27</v>
      </c>
      <c r="AM35" s="201">
        <v>2017.0</v>
      </c>
    </row>
    <row r="36" hidden="1">
      <c r="A36" s="158">
        <f t="shared" si="1"/>
        <v>13923654</v>
      </c>
      <c r="B36" s="236">
        <v>35.0</v>
      </c>
      <c r="C36" s="236"/>
      <c r="D36" s="184" t="str">
        <f>IFERROR(VLOOKUP(E36,INFORMACION!D:E,2,0),"INGRESAR CENTRO DE COSTO A LA DERECHA")</f>
        <v>INGRESAR CENTRO DE COSTO A LA DERECHA</v>
      </c>
      <c r="E36" s="184" t="s">
        <v>3601</v>
      </c>
      <c r="F36" s="195" t="s">
        <v>3249</v>
      </c>
      <c r="G36" s="186" t="s">
        <v>3602</v>
      </c>
      <c r="H36" s="186">
        <v>10.0</v>
      </c>
      <c r="I36" s="186" t="s">
        <v>2541</v>
      </c>
      <c r="J36" s="184" t="s">
        <v>112</v>
      </c>
      <c r="K36" s="184" t="s">
        <v>114</v>
      </c>
      <c r="L36" s="184" t="s">
        <v>117</v>
      </c>
      <c r="M36" s="184">
        <v>2.0</v>
      </c>
      <c r="N36" s="184" t="s">
        <v>122</v>
      </c>
      <c r="O36" s="184">
        <v>0.0</v>
      </c>
      <c r="P36" s="184">
        <v>1.0</v>
      </c>
      <c r="Q36" s="184">
        <v>0.0</v>
      </c>
      <c r="R36" s="184" t="s">
        <v>121</v>
      </c>
      <c r="S36" s="218">
        <v>42963.0</v>
      </c>
      <c r="T36" s="105" t="s">
        <v>532</v>
      </c>
      <c r="U36" s="105"/>
      <c r="V36" s="184" t="s">
        <v>2851</v>
      </c>
      <c r="W36" s="184" t="s">
        <v>122</v>
      </c>
      <c r="X36" s="170"/>
      <c r="Y36" s="170"/>
      <c r="Z36" s="170"/>
      <c r="AA36" s="219">
        <v>42930.0</v>
      </c>
      <c r="AB36" s="219">
        <v>42937.0</v>
      </c>
      <c r="AC36" s="184">
        <v>13.0</v>
      </c>
      <c r="AD36" s="184" t="s">
        <v>114</v>
      </c>
      <c r="AE36" s="184" t="s">
        <v>2849</v>
      </c>
      <c r="AF36" s="184" t="s">
        <v>3603</v>
      </c>
      <c r="AG36" s="4"/>
      <c r="AH36" s="216" t="s">
        <v>2071</v>
      </c>
      <c r="AI36" s="216" t="s">
        <v>3604</v>
      </c>
      <c r="AJ36" s="184"/>
      <c r="AK36" s="184"/>
      <c r="AL36" s="200">
        <f t="shared" si="2"/>
        <v>19</v>
      </c>
      <c r="AM36" s="201">
        <v>2017.0</v>
      </c>
    </row>
    <row r="37" hidden="1">
      <c r="A37" s="158">
        <f t="shared" si="1"/>
        <v>10972162</v>
      </c>
      <c r="B37" s="242">
        <v>36.0</v>
      </c>
      <c r="C37" s="242"/>
      <c r="D37" s="184" t="str">
        <f>IFERROR(VLOOKUP(E37,INFORMACION!D:E,2,0),"INGRESAR CENTRO DE COSTO A LA DERECHA")</f>
        <v>INGRESAR CENTRO DE COSTO A LA DERECHA</v>
      </c>
      <c r="E37" s="184" t="s">
        <v>2883</v>
      </c>
      <c r="F37" s="195" t="s">
        <v>2625</v>
      </c>
      <c r="G37" s="186" t="s">
        <v>3605</v>
      </c>
      <c r="H37" s="186">
        <v>8.0</v>
      </c>
      <c r="I37" s="186" t="s">
        <v>2541</v>
      </c>
      <c r="J37" s="184" t="s">
        <v>112</v>
      </c>
      <c r="K37" s="184" t="s">
        <v>114</v>
      </c>
      <c r="L37" s="184" t="s">
        <v>117</v>
      </c>
      <c r="M37" s="184">
        <v>1.0</v>
      </c>
      <c r="N37" s="184" t="s">
        <v>122</v>
      </c>
      <c r="O37" s="184">
        <v>0.0</v>
      </c>
      <c r="P37" s="184">
        <v>1.0</v>
      </c>
      <c r="Q37" s="184">
        <v>0.0</v>
      </c>
      <c r="R37" s="184" t="s">
        <v>121</v>
      </c>
      <c r="S37" s="218">
        <v>42982.0</v>
      </c>
      <c r="T37" s="105" t="s">
        <v>539</v>
      </c>
      <c r="U37" s="105"/>
      <c r="V37" s="184" t="s">
        <v>2856</v>
      </c>
      <c r="W37" s="184" t="s">
        <v>118</v>
      </c>
      <c r="X37" s="197" t="s">
        <v>2102</v>
      </c>
      <c r="Y37" s="170"/>
      <c r="Z37" s="170"/>
      <c r="AA37" s="219">
        <v>42964.0</v>
      </c>
      <c r="AB37" s="219">
        <v>42971.0</v>
      </c>
      <c r="AC37" s="184">
        <v>13.0</v>
      </c>
      <c r="AD37" s="184" t="s">
        <v>114</v>
      </c>
      <c r="AE37" s="184" t="s">
        <v>2849</v>
      </c>
      <c r="AF37" s="184" t="s">
        <v>3603</v>
      </c>
      <c r="AG37" s="4"/>
      <c r="AH37" s="216" t="s">
        <v>2071</v>
      </c>
      <c r="AI37" s="216" t="s">
        <v>2455</v>
      </c>
      <c r="AJ37" s="184"/>
      <c r="AK37" s="184" t="s">
        <v>1612</v>
      </c>
      <c r="AL37" s="200">
        <f t="shared" si="2"/>
        <v>8</v>
      </c>
      <c r="AM37" s="201">
        <v>2017.0</v>
      </c>
    </row>
    <row r="38" hidden="1">
      <c r="A38" s="158">
        <f t="shared" si="1"/>
        <v>18671900</v>
      </c>
      <c r="B38" s="242">
        <v>37.0</v>
      </c>
      <c r="C38" s="242"/>
      <c r="D38" s="184" t="str">
        <f>IFERROR(VLOOKUP(E38,INFORMACION!D:E,2,0),"INGRESAR CENTRO DE COSTO A LA DERECHA")</f>
        <v>INGRESAR CENTRO DE COSTO A LA DERECHA</v>
      </c>
      <c r="E38" s="184" t="s">
        <v>2883</v>
      </c>
      <c r="F38" s="195" t="s">
        <v>3057</v>
      </c>
      <c r="G38" s="186" t="s">
        <v>3606</v>
      </c>
      <c r="H38" s="186">
        <v>13.0</v>
      </c>
      <c r="I38" s="186" t="s">
        <v>2541</v>
      </c>
      <c r="J38" s="184" t="s">
        <v>112</v>
      </c>
      <c r="K38" s="184" t="s">
        <v>125</v>
      </c>
      <c r="L38" s="184" t="s">
        <v>117</v>
      </c>
      <c r="M38" s="184">
        <v>1.0</v>
      </c>
      <c r="N38" s="184" t="s">
        <v>122</v>
      </c>
      <c r="O38" s="184">
        <v>0.0</v>
      </c>
      <c r="P38" s="184">
        <v>1.0</v>
      </c>
      <c r="Q38" s="184">
        <v>0.0</v>
      </c>
      <c r="R38" s="184" t="s">
        <v>121</v>
      </c>
      <c r="S38" s="218">
        <v>42982.0</v>
      </c>
      <c r="T38" s="105" t="s">
        <v>1298</v>
      </c>
      <c r="U38" s="105"/>
      <c r="V38" s="184" t="s">
        <v>2913</v>
      </c>
      <c r="W38" s="184" t="s">
        <v>118</v>
      </c>
      <c r="X38" s="197" t="s">
        <v>2142</v>
      </c>
      <c r="Y38" s="170"/>
      <c r="Z38" s="170"/>
      <c r="AA38" s="219">
        <v>42930.0</v>
      </c>
      <c r="AB38" s="219">
        <v>42937.0</v>
      </c>
      <c r="AC38" s="184">
        <v>20.0</v>
      </c>
      <c r="AD38" s="184" t="s">
        <v>120</v>
      </c>
      <c r="AE38" s="184" t="s">
        <v>3607</v>
      </c>
      <c r="AF38" s="184" t="s">
        <v>3608</v>
      </c>
      <c r="AG38" s="4"/>
      <c r="AH38" s="216" t="s">
        <v>2071</v>
      </c>
      <c r="AI38" s="216"/>
      <c r="AJ38" s="184"/>
      <c r="AK38" s="184" t="s">
        <v>2157</v>
      </c>
      <c r="AL38" s="200">
        <f t="shared" si="2"/>
        <v>32</v>
      </c>
      <c r="AM38" s="201">
        <v>2017.0</v>
      </c>
    </row>
    <row r="39" hidden="1">
      <c r="A39" s="158">
        <f t="shared" si="1"/>
        <v>8061081</v>
      </c>
      <c r="B39" s="242">
        <v>38.0</v>
      </c>
      <c r="C39" s="242"/>
      <c r="D39" s="184" t="str">
        <f>IFERROR(VLOOKUP(E39,INFORMACION!D:E,2,0),"INGRESAR CENTRO DE COSTO A LA DERECHA")</f>
        <v>INGRESAR CENTRO DE COSTO A LA DERECHA</v>
      </c>
      <c r="E39" s="184" t="s">
        <v>2883</v>
      </c>
      <c r="F39" s="195" t="s">
        <v>3057</v>
      </c>
      <c r="G39" s="186" t="s">
        <v>3609</v>
      </c>
      <c r="H39" s="186">
        <v>13.0</v>
      </c>
      <c r="I39" s="186" t="s">
        <v>2541</v>
      </c>
      <c r="J39" s="184" t="s">
        <v>112</v>
      </c>
      <c r="K39" s="184" t="s">
        <v>125</v>
      </c>
      <c r="L39" s="184" t="s">
        <v>117</v>
      </c>
      <c r="M39" s="184">
        <v>2.0</v>
      </c>
      <c r="N39" s="184" t="s">
        <v>122</v>
      </c>
      <c r="O39" s="184">
        <v>0.0</v>
      </c>
      <c r="P39" s="184">
        <v>1.0</v>
      </c>
      <c r="Q39" s="184">
        <v>0.0</v>
      </c>
      <c r="R39" s="184" t="s">
        <v>121</v>
      </c>
      <c r="S39" s="218">
        <v>42982.0</v>
      </c>
      <c r="T39" s="105" t="s">
        <v>145</v>
      </c>
      <c r="U39" s="105"/>
      <c r="V39" s="184" t="s">
        <v>3610</v>
      </c>
      <c r="W39" s="184" t="s">
        <v>118</v>
      </c>
      <c r="X39" s="197" t="s">
        <v>2142</v>
      </c>
      <c r="Y39" s="170"/>
      <c r="Z39" s="170"/>
      <c r="AA39" s="219">
        <v>42930.0</v>
      </c>
      <c r="AB39" s="219">
        <v>42937.0</v>
      </c>
      <c r="AC39" s="184">
        <v>17.0</v>
      </c>
      <c r="AD39" s="184" t="s">
        <v>120</v>
      </c>
      <c r="AE39" s="184" t="s">
        <v>3611</v>
      </c>
      <c r="AF39" s="184" t="s">
        <v>3603</v>
      </c>
      <c r="AG39" s="4"/>
      <c r="AH39" s="216" t="s">
        <v>2071</v>
      </c>
      <c r="AI39" s="216" t="s">
        <v>3612</v>
      </c>
      <c r="AJ39" s="184"/>
      <c r="AK39" s="184" t="s">
        <v>2157</v>
      </c>
      <c r="AL39" s="200">
        <f t="shared" si="2"/>
        <v>32</v>
      </c>
      <c r="AM39" s="201">
        <v>2017.0</v>
      </c>
    </row>
    <row r="40" hidden="1">
      <c r="A40" s="158">
        <f t="shared" si="1"/>
        <v>19258950</v>
      </c>
      <c r="B40" s="236">
        <v>39.0</v>
      </c>
      <c r="C40" s="236"/>
      <c r="D40" s="184" t="str">
        <f>IFERROR(VLOOKUP(E40,INFORMACION!D:E,2,0),"INGRESAR CENTRO DE COSTO A LA DERECHA")</f>
        <v>INGRESAR CENTRO DE COSTO A LA DERECHA</v>
      </c>
      <c r="E40" s="184" t="s">
        <v>1637</v>
      </c>
      <c r="F40" s="195" t="s">
        <v>2679</v>
      </c>
      <c r="G40" s="186" t="s">
        <v>3613</v>
      </c>
      <c r="H40" s="186">
        <v>20.0</v>
      </c>
      <c r="I40" s="186" t="s">
        <v>2541</v>
      </c>
      <c r="J40" s="184" t="s">
        <v>112</v>
      </c>
      <c r="K40" s="184" t="s">
        <v>120</v>
      </c>
      <c r="L40" s="184" t="s">
        <v>117</v>
      </c>
      <c r="M40" s="184">
        <v>1.0</v>
      </c>
      <c r="N40" s="184" t="s">
        <v>122</v>
      </c>
      <c r="O40" s="184">
        <v>0.0</v>
      </c>
      <c r="P40" s="184">
        <v>1.0</v>
      </c>
      <c r="Q40" s="184">
        <v>0.0</v>
      </c>
      <c r="R40" s="184" t="s">
        <v>115</v>
      </c>
      <c r="S40" s="218">
        <v>43034.0</v>
      </c>
      <c r="T40" s="105" t="s">
        <v>959</v>
      </c>
      <c r="U40" s="105"/>
      <c r="V40" s="184" t="s">
        <v>2809</v>
      </c>
      <c r="W40" s="184" t="s">
        <v>118</v>
      </c>
      <c r="X40" s="197" t="s">
        <v>2405</v>
      </c>
      <c r="Y40" s="170"/>
      <c r="Z40" s="170"/>
      <c r="AA40" s="219">
        <v>42954.0</v>
      </c>
      <c r="AB40" s="219">
        <v>42961.0</v>
      </c>
      <c r="AC40" s="184">
        <v>23.0</v>
      </c>
      <c r="AD40" s="184" t="s">
        <v>127</v>
      </c>
      <c r="AE40" s="184" t="s">
        <v>1948</v>
      </c>
      <c r="AF40" s="184" t="s">
        <v>3614</v>
      </c>
      <c r="AG40" s="4"/>
      <c r="AH40" s="216" t="s">
        <v>2071</v>
      </c>
      <c r="AI40" s="216" t="s">
        <v>3615</v>
      </c>
      <c r="AJ40" s="184"/>
      <c r="AK40" s="184" t="s">
        <v>2157</v>
      </c>
      <c r="AL40" s="200">
        <f t="shared" si="2"/>
        <v>54</v>
      </c>
      <c r="AM40" s="201">
        <v>2017.0</v>
      </c>
    </row>
    <row r="41" hidden="1">
      <c r="A41" s="158">
        <f t="shared" si="1"/>
        <v>18698548</v>
      </c>
      <c r="B41" s="236">
        <v>40.0</v>
      </c>
      <c r="C41" s="236"/>
      <c r="D41" s="184" t="str">
        <f>IFERROR(VLOOKUP(E41,INFORMACION!D:E,2,0),"INGRESAR CENTRO DE COSTO A LA DERECHA")</f>
        <v>INGRESAR CENTRO DE COSTO A LA DERECHA</v>
      </c>
      <c r="E41" s="184" t="s">
        <v>1637</v>
      </c>
      <c r="F41" s="195" t="s">
        <v>2031</v>
      </c>
      <c r="G41" s="184" t="s">
        <v>2031</v>
      </c>
      <c r="H41" s="186">
        <v>13.0</v>
      </c>
      <c r="I41" s="186" t="s">
        <v>2541</v>
      </c>
      <c r="J41" s="184" t="s">
        <v>112</v>
      </c>
      <c r="K41" s="184" t="s">
        <v>114</v>
      </c>
      <c r="L41" s="184" t="s">
        <v>117</v>
      </c>
      <c r="M41" s="184">
        <v>7.0</v>
      </c>
      <c r="N41" s="184" t="s">
        <v>122</v>
      </c>
      <c r="O41" s="184"/>
      <c r="P41" s="184">
        <v>3.0</v>
      </c>
      <c r="Q41" s="184">
        <v>0.0</v>
      </c>
      <c r="R41" s="184" t="s">
        <v>121</v>
      </c>
      <c r="S41" s="218">
        <v>42970.0</v>
      </c>
      <c r="T41" s="105" t="s">
        <v>576</v>
      </c>
      <c r="U41" s="105"/>
      <c r="V41" s="184" t="s">
        <v>3616</v>
      </c>
      <c r="W41" s="184" t="s">
        <v>122</v>
      </c>
      <c r="X41" s="170"/>
      <c r="Y41" s="170"/>
      <c r="Z41" s="170"/>
      <c r="AA41" s="219">
        <v>42901.0</v>
      </c>
      <c r="AB41" s="219">
        <v>42908.0</v>
      </c>
      <c r="AC41" s="184">
        <v>17.0</v>
      </c>
      <c r="AD41" s="184" t="s">
        <v>120</v>
      </c>
      <c r="AE41" s="184" t="s">
        <v>2704</v>
      </c>
      <c r="AF41" s="184" t="s">
        <v>3617</v>
      </c>
      <c r="AG41" s="4"/>
      <c r="AH41" s="216" t="s">
        <v>2071</v>
      </c>
      <c r="AI41" s="216" t="s">
        <v>3618</v>
      </c>
      <c r="AJ41" s="184"/>
      <c r="AK41" s="184" t="s">
        <v>2157</v>
      </c>
      <c r="AL41" s="200">
        <f t="shared" si="2"/>
        <v>45</v>
      </c>
      <c r="AM41" s="201">
        <v>2017.0</v>
      </c>
    </row>
    <row r="42">
      <c r="A42" s="158">
        <f t="shared" si="1"/>
        <v>15776084</v>
      </c>
      <c r="B42" s="242">
        <v>41.0</v>
      </c>
      <c r="C42" s="242"/>
      <c r="D42" s="184" t="str">
        <f>IFERROR(VLOOKUP(E42,INFORMACION!D:E,2,0),"INGRESAR CENTRO DE COSTO A LA DERECHA")</f>
        <v>INGRESAR CENTRO DE COSTO A LA DERECHA</v>
      </c>
      <c r="E42" s="184" t="s">
        <v>2015</v>
      </c>
      <c r="F42" s="195" t="s">
        <v>3259</v>
      </c>
      <c r="G42" s="186" t="s">
        <v>3619</v>
      </c>
      <c r="H42" s="186">
        <v>20.0</v>
      </c>
      <c r="I42" s="186" t="s">
        <v>2541</v>
      </c>
      <c r="J42" s="184" t="s">
        <v>112</v>
      </c>
      <c r="K42" s="184" t="s">
        <v>125</v>
      </c>
      <c r="L42" s="184" t="s">
        <v>117</v>
      </c>
      <c r="M42" s="184">
        <v>0.0</v>
      </c>
      <c r="N42" s="184" t="s">
        <v>116</v>
      </c>
      <c r="O42" s="184">
        <v>11.0</v>
      </c>
      <c r="P42" s="184">
        <v>3.0</v>
      </c>
      <c r="Q42" s="184">
        <v>3.0</v>
      </c>
      <c r="R42" s="184" t="s">
        <v>115</v>
      </c>
      <c r="S42" s="218">
        <v>42870.0</v>
      </c>
      <c r="T42" s="105"/>
      <c r="U42" s="105" t="s">
        <v>3620</v>
      </c>
      <c r="V42" s="184" t="s">
        <v>3621</v>
      </c>
      <c r="W42" s="184" t="s">
        <v>122</v>
      </c>
      <c r="X42" s="170"/>
      <c r="Y42" s="170"/>
      <c r="Z42" s="170"/>
      <c r="AA42" s="219">
        <v>42818.0</v>
      </c>
      <c r="AB42" s="219">
        <v>42825.0</v>
      </c>
      <c r="AC42" s="4"/>
      <c r="AD42" s="4"/>
      <c r="AE42" s="184"/>
      <c r="AF42" s="4"/>
      <c r="AG42" s="4"/>
      <c r="AH42" s="216" t="s">
        <v>2071</v>
      </c>
      <c r="AI42" s="216"/>
      <c r="AJ42" s="184"/>
      <c r="AK42" s="184" t="s">
        <v>2163</v>
      </c>
      <c r="AL42" s="200">
        <f t="shared" si="2"/>
        <v>32</v>
      </c>
      <c r="AM42" s="201">
        <v>2017.0</v>
      </c>
    </row>
    <row r="43">
      <c r="A43" s="158">
        <f t="shared" si="1"/>
        <v>12449676</v>
      </c>
      <c r="B43" s="242">
        <v>42.0</v>
      </c>
      <c r="C43" s="242"/>
      <c r="D43" s="184" t="str">
        <f>IFERROR(VLOOKUP(E43,INFORMACION!D:E,2,0),"INGRESAR CENTRO DE COSTO A LA DERECHA")</f>
        <v>INGRESAR CENTRO DE COSTO A LA DERECHA</v>
      </c>
      <c r="E43" s="261" t="s">
        <v>2015</v>
      </c>
      <c r="F43" s="195" t="s">
        <v>3259</v>
      </c>
      <c r="G43" s="186" t="s">
        <v>3619</v>
      </c>
      <c r="H43" s="186">
        <v>20.0</v>
      </c>
      <c r="I43" s="186" t="s">
        <v>2541</v>
      </c>
      <c r="J43" s="184" t="s">
        <v>112</v>
      </c>
      <c r="K43" s="184" t="s">
        <v>125</v>
      </c>
      <c r="L43" s="184" t="s">
        <v>117</v>
      </c>
      <c r="M43" s="184">
        <v>0.0</v>
      </c>
      <c r="N43" s="184" t="s">
        <v>116</v>
      </c>
      <c r="O43" s="184">
        <v>11.0</v>
      </c>
      <c r="P43" s="184">
        <v>3.0</v>
      </c>
      <c r="Q43" s="184">
        <v>3.0</v>
      </c>
      <c r="R43" s="184" t="s">
        <v>115</v>
      </c>
      <c r="S43" s="218">
        <v>42870.0</v>
      </c>
      <c r="T43" s="105"/>
      <c r="U43" s="105" t="s">
        <v>3622</v>
      </c>
      <c r="V43" s="184" t="s">
        <v>3623</v>
      </c>
      <c r="W43" s="184" t="s">
        <v>122</v>
      </c>
      <c r="X43" s="170"/>
      <c r="Y43" s="170"/>
      <c r="Z43" s="170"/>
      <c r="AA43" s="219">
        <v>42818.0</v>
      </c>
      <c r="AB43" s="219">
        <v>42825.0</v>
      </c>
      <c r="AC43" s="4"/>
      <c r="AD43" s="4"/>
      <c r="AE43" s="184"/>
      <c r="AF43" s="4"/>
      <c r="AG43" s="4"/>
      <c r="AH43" s="216" t="s">
        <v>2071</v>
      </c>
      <c r="AI43" s="216"/>
      <c r="AJ43" s="184"/>
      <c r="AK43" s="184" t="s">
        <v>2163</v>
      </c>
      <c r="AL43" s="200">
        <f t="shared" si="2"/>
        <v>32</v>
      </c>
      <c r="AM43" s="201">
        <v>2017.0</v>
      </c>
    </row>
    <row r="44">
      <c r="A44" s="158">
        <f t="shared" si="1"/>
        <v>15505340</v>
      </c>
      <c r="B44" s="242">
        <v>43.0</v>
      </c>
      <c r="C44" s="242"/>
      <c r="D44" s="184" t="str">
        <f>IFERROR(VLOOKUP(E44,INFORMACION!D:E,2,0),"INGRESAR CENTRO DE COSTO A LA DERECHA")</f>
        <v>INGRESAR CENTRO DE COSTO A LA DERECHA</v>
      </c>
      <c r="E44" s="184" t="s">
        <v>3156</v>
      </c>
      <c r="F44" s="195" t="s">
        <v>1970</v>
      </c>
      <c r="G44" s="186" t="s">
        <v>1638</v>
      </c>
      <c r="H44" s="186">
        <v>23.0</v>
      </c>
      <c r="I44" s="186" t="s">
        <v>2541</v>
      </c>
      <c r="J44" s="184" t="s">
        <v>112</v>
      </c>
      <c r="K44" s="184" t="s">
        <v>127</v>
      </c>
      <c r="L44" s="184" t="s">
        <v>117</v>
      </c>
      <c r="M44" s="184">
        <v>1.0</v>
      </c>
      <c r="N44" s="184" t="s">
        <v>116</v>
      </c>
      <c r="O44" s="184">
        <v>14.0</v>
      </c>
      <c r="P44" s="184">
        <v>2.0</v>
      </c>
      <c r="Q44" s="184">
        <v>1.0</v>
      </c>
      <c r="R44" s="184" t="s">
        <v>115</v>
      </c>
      <c r="S44" s="218">
        <v>42933.0</v>
      </c>
      <c r="T44" s="105"/>
      <c r="U44" s="105" t="s">
        <v>3205</v>
      </c>
      <c r="V44" s="184" t="s">
        <v>3206</v>
      </c>
      <c r="W44" s="184" t="s">
        <v>122</v>
      </c>
      <c r="X44" s="170"/>
      <c r="Y44" s="170"/>
      <c r="Z44" s="170"/>
      <c r="AA44" s="219">
        <v>42794.0</v>
      </c>
      <c r="AB44" s="219">
        <v>42797.0</v>
      </c>
      <c r="AC44" s="4"/>
      <c r="AD44" s="4"/>
      <c r="AE44" s="184"/>
      <c r="AF44" s="4"/>
      <c r="AG44" s="4"/>
      <c r="AH44" s="216" t="s">
        <v>2071</v>
      </c>
      <c r="AI44" s="216" t="s">
        <v>3028</v>
      </c>
      <c r="AJ44" s="184"/>
      <c r="AK44" s="184"/>
      <c r="AL44" s="200">
        <f t="shared" si="2"/>
        <v>97</v>
      </c>
      <c r="AM44" s="201">
        <v>2017.0</v>
      </c>
    </row>
    <row r="45">
      <c r="A45" s="158">
        <f t="shared" si="1"/>
        <v>15994631</v>
      </c>
      <c r="B45" s="242">
        <v>44.0</v>
      </c>
      <c r="C45" s="242"/>
      <c r="D45" s="184" t="str">
        <f>IFERROR(VLOOKUP(E45,INFORMACION!D:E,2,0),"INGRESAR CENTRO DE COSTO A LA DERECHA")</f>
        <v>INGRESAR CENTRO DE COSTO A LA DERECHA</v>
      </c>
      <c r="E45" s="184" t="s">
        <v>3624</v>
      </c>
      <c r="F45" s="195" t="s">
        <v>2052</v>
      </c>
      <c r="G45" s="159" t="s">
        <v>3625</v>
      </c>
      <c r="H45" s="159">
        <v>8.0</v>
      </c>
      <c r="I45" s="186" t="s">
        <v>2541</v>
      </c>
      <c r="J45" s="184" t="s">
        <v>112</v>
      </c>
      <c r="K45" s="184" t="s">
        <v>114</v>
      </c>
      <c r="L45" s="184" t="s">
        <v>117</v>
      </c>
      <c r="M45" s="184">
        <v>2.0</v>
      </c>
      <c r="N45" s="184" t="s">
        <v>116</v>
      </c>
      <c r="O45" s="184">
        <v>21.0</v>
      </c>
      <c r="P45" s="184">
        <v>2.0</v>
      </c>
      <c r="Q45" s="184">
        <v>1.0</v>
      </c>
      <c r="R45" s="184" t="s">
        <v>115</v>
      </c>
      <c r="S45" s="218">
        <v>42917.0</v>
      </c>
      <c r="T45" s="105"/>
      <c r="U45" s="105" t="s">
        <v>3626</v>
      </c>
      <c r="V45" s="184" t="s">
        <v>3627</v>
      </c>
      <c r="W45" s="184" t="s">
        <v>118</v>
      </c>
      <c r="X45" s="197" t="s">
        <v>140</v>
      </c>
      <c r="Y45" s="197" t="s">
        <v>2102</v>
      </c>
      <c r="Z45" s="170"/>
      <c r="AA45" s="219">
        <v>42845.0</v>
      </c>
      <c r="AB45" s="219">
        <v>42853.0</v>
      </c>
      <c r="AC45" s="4"/>
      <c r="AD45" s="4"/>
      <c r="AE45" s="184"/>
      <c r="AF45" s="4"/>
      <c r="AG45" s="4"/>
      <c r="AH45" s="216" t="s">
        <v>2071</v>
      </c>
      <c r="AI45" s="216" t="s">
        <v>3628</v>
      </c>
      <c r="AJ45" s="184"/>
      <c r="AK45" s="184"/>
      <c r="AL45" s="200">
        <f t="shared" si="2"/>
        <v>46</v>
      </c>
      <c r="AM45" s="201">
        <v>2017.0</v>
      </c>
    </row>
    <row r="46">
      <c r="A46" s="158">
        <f t="shared" si="1"/>
        <v>15316707</v>
      </c>
      <c r="B46" s="259">
        <v>45.0</v>
      </c>
      <c r="C46" s="259"/>
      <c r="D46" s="184" t="str">
        <f>IFERROR(VLOOKUP(E46,INFORMACION!D:E,2,0),"INGRESAR CENTRO DE COSTO A LA DERECHA")</f>
        <v>INGRESAR CENTRO DE COSTO A LA DERECHA</v>
      </c>
      <c r="E46" s="184" t="s">
        <v>3624</v>
      </c>
      <c r="F46" s="195" t="s">
        <v>2052</v>
      </c>
      <c r="G46" s="159" t="s">
        <v>3625</v>
      </c>
      <c r="H46" s="159">
        <v>8.0</v>
      </c>
      <c r="I46" s="186" t="s">
        <v>2541</v>
      </c>
      <c r="J46" s="184" t="s">
        <v>112</v>
      </c>
      <c r="K46" s="184" t="s">
        <v>114</v>
      </c>
      <c r="L46" s="184" t="s">
        <v>117</v>
      </c>
      <c r="M46" s="184">
        <v>2.0</v>
      </c>
      <c r="N46" s="184" t="s">
        <v>116</v>
      </c>
      <c r="O46" s="184">
        <v>21.0</v>
      </c>
      <c r="P46" s="184">
        <v>2.0</v>
      </c>
      <c r="Q46" s="184">
        <v>1.0</v>
      </c>
      <c r="R46" s="184" t="s">
        <v>121</v>
      </c>
      <c r="S46" s="218">
        <v>42917.0</v>
      </c>
      <c r="T46" s="105"/>
      <c r="U46" s="105" t="s">
        <v>3629</v>
      </c>
      <c r="V46" s="184" t="s">
        <v>3630</v>
      </c>
      <c r="W46" s="184" t="s">
        <v>118</v>
      </c>
      <c r="X46" s="197" t="s">
        <v>2471</v>
      </c>
      <c r="Y46" s="197" t="s">
        <v>2381</v>
      </c>
      <c r="Z46" s="197" t="s">
        <v>138</v>
      </c>
      <c r="AA46" s="219">
        <v>42845.0</v>
      </c>
      <c r="AB46" s="219">
        <v>42853.0</v>
      </c>
      <c r="AC46" s="4"/>
      <c r="AD46" s="4"/>
      <c r="AE46" s="184"/>
      <c r="AF46" s="4"/>
      <c r="AG46" s="4"/>
      <c r="AH46" s="216" t="s">
        <v>2071</v>
      </c>
      <c r="AI46" s="216" t="s">
        <v>3631</v>
      </c>
      <c r="AJ46" s="184"/>
      <c r="AK46" s="184"/>
      <c r="AL46" s="200">
        <f t="shared" si="2"/>
        <v>46</v>
      </c>
      <c r="AM46" s="201">
        <v>2017.0</v>
      </c>
    </row>
    <row r="47">
      <c r="A47" s="158">
        <f t="shared" si="1"/>
        <v>18278676</v>
      </c>
      <c r="B47" s="236">
        <v>46.0</v>
      </c>
      <c r="C47" s="236"/>
      <c r="D47" s="184" t="str">
        <f>IFERROR(VLOOKUP(E47,INFORMACION!D:E,2,0),"INGRESAR CENTRO DE COSTO A LA DERECHA")</f>
        <v>INGRESAR CENTRO DE COSTO A LA DERECHA</v>
      </c>
      <c r="E47" s="184" t="s">
        <v>2495</v>
      </c>
      <c r="F47" s="195" t="s">
        <v>3071</v>
      </c>
      <c r="G47" s="186" t="s">
        <v>3632</v>
      </c>
      <c r="H47" s="186">
        <v>17.0</v>
      </c>
      <c r="I47" s="186" t="s">
        <v>2541</v>
      </c>
      <c r="J47" s="184" t="s">
        <v>112</v>
      </c>
      <c r="K47" s="184" t="s">
        <v>125</v>
      </c>
      <c r="L47" s="184" t="s">
        <v>117</v>
      </c>
      <c r="M47" s="184">
        <v>1.0</v>
      </c>
      <c r="N47" s="184" t="s">
        <v>116</v>
      </c>
      <c r="O47" s="184">
        <v>4.0</v>
      </c>
      <c r="P47" s="184">
        <v>2.0</v>
      </c>
      <c r="Q47" s="184">
        <v>1.0</v>
      </c>
      <c r="R47" s="184" t="s">
        <v>115</v>
      </c>
      <c r="S47" s="218">
        <v>43047.0</v>
      </c>
      <c r="T47" s="105"/>
      <c r="U47" s="105" t="s">
        <v>3633</v>
      </c>
      <c r="V47" s="184" t="s">
        <v>3634</v>
      </c>
      <c r="W47" s="184" t="s">
        <v>122</v>
      </c>
      <c r="X47" s="170"/>
      <c r="Y47" s="170"/>
      <c r="Z47" s="170"/>
      <c r="AA47" s="219">
        <v>43006.0</v>
      </c>
      <c r="AB47" s="219">
        <v>43013.0</v>
      </c>
      <c r="AC47" s="4"/>
      <c r="AD47" s="4"/>
      <c r="AE47" s="184"/>
      <c r="AF47" s="4"/>
      <c r="AG47" s="4"/>
      <c r="AH47" s="216" t="s">
        <v>2071</v>
      </c>
      <c r="AI47" s="216" t="s">
        <v>3073</v>
      </c>
      <c r="AJ47" s="184"/>
      <c r="AK47" s="184"/>
      <c r="AL47" s="200">
        <f t="shared" si="2"/>
        <v>25</v>
      </c>
      <c r="AM47" s="201">
        <v>2017.0</v>
      </c>
    </row>
    <row r="48">
      <c r="A48" s="158">
        <f t="shared" si="1"/>
        <v>18336472</v>
      </c>
      <c r="B48" s="236">
        <v>47.0</v>
      </c>
      <c r="C48" s="236"/>
      <c r="D48" s="184" t="str">
        <f>IFERROR(VLOOKUP(E48,INFORMACION!D:E,2,0),"INGRESAR CENTRO DE COSTO A LA DERECHA")</f>
        <v>INGRESAR CENTRO DE COSTO A LA DERECHA</v>
      </c>
      <c r="E48" s="184" t="s">
        <v>2911</v>
      </c>
      <c r="F48" s="195" t="s">
        <v>2606</v>
      </c>
      <c r="G48" s="186" t="s">
        <v>1930</v>
      </c>
      <c r="H48" s="186">
        <v>17.0</v>
      </c>
      <c r="I48" s="186" t="s">
        <v>2541</v>
      </c>
      <c r="J48" s="184" t="s">
        <v>112</v>
      </c>
      <c r="K48" s="184" t="s">
        <v>120</v>
      </c>
      <c r="L48" s="184" t="s">
        <v>117</v>
      </c>
      <c r="M48" s="184">
        <v>2.0</v>
      </c>
      <c r="N48" s="184" t="s">
        <v>116</v>
      </c>
      <c r="O48" s="184">
        <v>6.0</v>
      </c>
      <c r="P48" s="184">
        <v>1.0</v>
      </c>
      <c r="Q48" s="184">
        <v>1.0</v>
      </c>
      <c r="R48" s="184" t="s">
        <v>115</v>
      </c>
      <c r="S48" s="218">
        <v>43010.0</v>
      </c>
      <c r="T48" s="105"/>
      <c r="U48" s="105" t="s">
        <v>3635</v>
      </c>
      <c r="V48" s="184" t="s">
        <v>3636</v>
      </c>
      <c r="W48" s="184" t="s">
        <v>118</v>
      </c>
      <c r="X48" s="170"/>
      <c r="Y48" s="170"/>
      <c r="Z48" s="170"/>
      <c r="AA48" s="219">
        <v>42982.0</v>
      </c>
      <c r="AB48" s="219">
        <v>42985.0</v>
      </c>
      <c r="AC48" s="4"/>
      <c r="AD48" s="4"/>
      <c r="AE48" s="184"/>
      <c r="AF48" s="4"/>
      <c r="AG48" s="4"/>
      <c r="AH48" s="216" t="s">
        <v>2071</v>
      </c>
      <c r="AI48" s="216" t="s">
        <v>2225</v>
      </c>
      <c r="AJ48" s="184"/>
      <c r="AK48" s="184"/>
      <c r="AL48" s="200">
        <f t="shared" si="2"/>
        <v>18</v>
      </c>
      <c r="AM48" s="201">
        <v>2017.0</v>
      </c>
    </row>
    <row r="49">
      <c r="A49" s="158">
        <f t="shared" si="1"/>
        <v>18076595</v>
      </c>
      <c r="B49" s="242">
        <v>48.0</v>
      </c>
      <c r="C49" s="242"/>
      <c r="D49" s="184" t="str">
        <f>IFERROR(VLOOKUP(E49,INFORMACION!D:E,2,0),"INGRESAR CENTRO DE COSTO A LA DERECHA")</f>
        <v>INGRESAR CENTRO DE COSTO A LA DERECHA</v>
      </c>
      <c r="E49" s="184" t="s">
        <v>1699</v>
      </c>
      <c r="F49" s="195" t="s">
        <v>3295</v>
      </c>
      <c r="G49" s="186" t="s">
        <v>3294</v>
      </c>
      <c r="H49" s="186">
        <v>8.0</v>
      </c>
      <c r="I49" s="186" t="s">
        <v>2541</v>
      </c>
      <c r="J49" s="184" t="s">
        <v>112</v>
      </c>
      <c r="K49" s="184" t="s">
        <v>114</v>
      </c>
      <c r="L49" s="184" t="s">
        <v>117</v>
      </c>
      <c r="M49" s="184">
        <v>3.0</v>
      </c>
      <c r="N49" s="184" t="s">
        <v>116</v>
      </c>
      <c r="O49" s="184">
        <v>8.0</v>
      </c>
      <c r="P49" s="184">
        <v>1.0</v>
      </c>
      <c r="Q49" s="184">
        <v>1.0</v>
      </c>
      <c r="R49" s="184" t="s">
        <v>121</v>
      </c>
      <c r="S49" s="218">
        <v>43031.0</v>
      </c>
      <c r="T49" s="105"/>
      <c r="U49" s="105" t="s">
        <v>3637</v>
      </c>
      <c r="V49" s="184" t="s">
        <v>3638</v>
      </c>
      <c r="W49" s="184" t="s">
        <v>122</v>
      </c>
      <c r="X49" s="170"/>
      <c r="Y49" s="170"/>
      <c r="Z49" s="170"/>
      <c r="AA49" s="219">
        <v>42972.0</v>
      </c>
      <c r="AB49" s="219">
        <v>42979.0</v>
      </c>
      <c r="AC49" s="4"/>
      <c r="AD49" s="4"/>
      <c r="AE49" s="184"/>
      <c r="AF49" s="4"/>
      <c r="AG49" s="4"/>
      <c r="AH49" s="216" t="s">
        <v>2071</v>
      </c>
      <c r="AI49" s="216" t="s">
        <v>3639</v>
      </c>
      <c r="AJ49" s="184"/>
      <c r="AK49" s="184"/>
      <c r="AL49" s="200">
        <f t="shared" si="2"/>
        <v>37</v>
      </c>
      <c r="AM49" s="201">
        <v>2017.0</v>
      </c>
    </row>
    <row r="50">
      <c r="A50" s="158">
        <f t="shared" si="1"/>
        <v>14189321</v>
      </c>
      <c r="B50" s="242">
        <v>49.0</v>
      </c>
      <c r="C50" s="242"/>
      <c r="D50" s="184" t="str">
        <f>IFERROR(VLOOKUP(E50,INFORMACION!D:E,2,0),"INGRESAR CENTRO DE COSTO A LA DERECHA")</f>
        <v>INGRESAR CENTRO DE COSTO A LA DERECHA</v>
      </c>
      <c r="E50" s="184" t="s">
        <v>2883</v>
      </c>
      <c r="F50" s="195" t="s">
        <v>2625</v>
      </c>
      <c r="G50" s="186" t="s">
        <v>3640</v>
      </c>
      <c r="H50" s="186">
        <v>8.0</v>
      </c>
      <c r="I50" s="186" t="s">
        <v>2541</v>
      </c>
      <c r="J50" s="184" t="s">
        <v>112</v>
      </c>
      <c r="K50" s="184" t="s">
        <v>114</v>
      </c>
      <c r="L50" s="184" t="s">
        <v>117</v>
      </c>
      <c r="M50" s="184">
        <v>1.0</v>
      </c>
      <c r="N50" s="184" t="s">
        <v>116</v>
      </c>
      <c r="O50" s="184">
        <v>4.0</v>
      </c>
      <c r="P50" s="184">
        <v>1.0</v>
      </c>
      <c r="Q50" s="184">
        <v>2.0</v>
      </c>
      <c r="R50" s="184" t="s">
        <v>115</v>
      </c>
      <c r="S50" s="218">
        <v>43024.0</v>
      </c>
      <c r="T50" s="105"/>
      <c r="U50" s="105" t="s">
        <v>3641</v>
      </c>
      <c r="V50" s="184" t="s">
        <v>3642</v>
      </c>
      <c r="W50" s="184" t="s">
        <v>118</v>
      </c>
      <c r="X50" s="197" t="s">
        <v>2523</v>
      </c>
      <c r="Y50" s="197" t="s">
        <v>2102</v>
      </c>
      <c r="Z50" s="170"/>
      <c r="AA50" s="219">
        <v>42972.0</v>
      </c>
      <c r="AB50" s="219">
        <v>42979.0</v>
      </c>
      <c r="AC50" s="4"/>
      <c r="AD50" s="4"/>
      <c r="AE50" s="184"/>
      <c r="AF50" s="4"/>
      <c r="AG50" s="4"/>
      <c r="AH50" s="216" t="s">
        <v>2071</v>
      </c>
      <c r="AI50" s="216" t="s">
        <v>3639</v>
      </c>
      <c r="AJ50" s="184"/>
      <c r="AK50" s="184"/>
      <c r="AL50" s="200">
        <f t="shared" si="2"/>
        <v>32</v>
      </c>
      <c r="AM50" s="201">
        <v>2017.0</v>
      </c>
    </row>
    <row r="51">
      <c r="A51" s="158">
        <f t="shared" si="1"/>
        <v>11468281</v>
      </c>
      <c r="B51" s="242">
        <v>50.0</v>
      </c>
      <c r="C51" s="242"/>
      <c r="D51" s="184" t="str">
        <f>IFERROR(VLOOKUP(E51,INFORMACION!D:E,2,0),"INGRESAR CENTRO DE COSTO A LA DERECHA")</f>
        <v>INGRESAR CENTRO DE COSTO A LA DERECHA</v>
      </c>
      <c r="E51" s="184" t="s">
        <v>1740</v>
      </c>
      <c r="F51" s="195" t="s">
        <v>2540</v>
      </c>
      <c r="G51" s="186" t="s">
        <v>3643</v>
      </c>
      <c r="H51" s="186">
        <v>17.0</v>
      </c>
      <c r="I51" s="186" t="s">
        <v>2541</v>
      </c>
      <c r="J51" s="184" t="s">
        <v>112</v>
      </c>
      <c r="K51" s="184" t="s">
        <v>120</v>
      </c>
      <c r="L51" s="184" t="s">
        <v>117</v>
      </c>
      <c r="M51" s="184">
        <v>1.0</v>
      </c>
      <c r="N51" s="184" t="s">
        <v>116</v>
      </c>
      <c r="O51" s="184">
        <v>15.0</v>
      </c>
      <c r="P51" s="184">
        <v>2.0</v>
      </c>
      <c r="Q51" s="184">
        <v>1.0</v>
      </c>
      <c r="R51" s="184" t="s">
        <v>121</v>
      </c>
      <c r="S51" s="218">
        <v>43032.0</v>
      </c>
      <c r="T51" s="105"/>
      <c r="U51" s="105" t="s">
        <v>3644</v>
      </c>
      <c r="V51" s="184" t="s">
        <v>3645</v>
      </c>
      <c r="W51" s="184" t="s">
        <v>122</v>
      </c>
      <c r="X51" s="170"/>
      <c r="Y51" s="170"/>
      <c r="Z51" s="170"/>
      <c r="AA51" s="219">
        <v>42971.0</v>
      </c>
      <c r="AB51" s="219">
        <v>42978.0</v>
      </c>
      <c r="AC51" s="4"/>
      <c r="AD51" s="4"/>
      <c r="AE51" s="184"/>
      <c r="AF51" s="4"/>
      <c r="AG51" s="4"/>
      <c r="AH51" s="216" t="s">
        <v>2071</v>
      </c>
      <c r="AI51" s="216" t="s">
        <v>3639</v>
      </c>
      <c r="AJ51" s="184"/>
      <c r="AK51" s="184"/>
      <c r="AL51" s="200">
        <f t="shared" si="2"/>
        <v>39</v>
      </c>
      <c r="AM51" s="201">
        <v>2017.0</v>
      </c>
    </row>
    <row r="52">
      <c r="A52" s="158">
        <f t="shared" si="1"/>
        <v>17251005</v>
      </c>
      <c r="B52" s="242">
        <v>51.0</v>
      </c>
      <c r="C52" s="242"/>
      <c r="D52" s="184" t="str">
        <f>IFERROR(VLOOKUP(E52,INFORMACION!D:E,2,0),"INGRESAR CENTRO DE COSTO A LA DERECHA")</f>
        <v>INGRESAR CENTRO DE COSTO A LA DERECHA</v>
      </c>
      <c r="E52" s="184" t="s">
        <v>2911</v>
      </c>
      <c r="F52" s="195" t="s">
        <v>2606</v>
      </c>
      <c r="G52" s="186" t="s">
        <v>1930</v>
      </c>
      <c r="H52" s="186">
        <v>17.0</v>
      </c>
      <c r="I52" s="186" t="s">
        <v>2541</v>
      </c>
      <c r="J52" s="184" t="s">
        <v>112</v>
      </c>
      <c r="K52" s="184" t="s">
        <v>120</v>
      </c>
      <c r="L52" s="184" t="s">
        <v>117</v>
      </c>
      <c r="M52" s="184">
        <v>2.0</v>
      </c>
      <c r="N52" s="184" t="s">
        <v>116</v>
      </c>
      <c r="O52" s="184">
        <v>12.0</v>
      </c>
      <c r="P52" s="184">
        <v>1.0</v>
      </c>
      <c r="Q52" s="184">
        <v>1.0</v>
      </c>
      <c r="R52" s="184" t="s">
        <v>121</v>
      </c>
      <c r="S52" s="218">
        <v>42983.0</v>
      </c>
      <c r="T52" s="105"/>
      <c r="U52" s="105" t="s">
        <v>3646</v>
      </c>
      <c r="V52" s="184" t="s">
        <v>3647</v>
      </c>
      <c r="W52" s="184" t="s">
        <v>122</v>
      </c>
      <c r="X52" s="197"/>
      <c r="Y52" s="170"/>
      <c r="Z52" s="170"/>
      <c r="AA52" s="219">
        <v>42965.0</v>
      </c>
      <c r="AB52" s="219">
        <v>42970.0</v>
      </c>
      <c r="AC52" s="4"/>
      <c r="AD52" s="4"/>
      <c r="AE52" s="184"/>
      <c r="AF52" s="4"/>
      <c r="AG52" s="4"/>
      <c r="AH52" s="216" t="s">
        <v>2071</v>
      </c>
      <c r="AI52" s="216" t="s">
        <v>3648</v>
      </c>
      <c r="AJ52" s="184"/>
      <c r="AK52" s="184"/>
      <c r="AL52" s="200">
        <f t="shared" si="2"/>
        <v>10</v>
      </c>
      <c r="AM52" s="201">
        <v>2017.0</v>
      </c>
    </row>
    <row r="53">
      <c r="A53" s="158">
        <f t="shared" si="1"/>
        <v>18818287</v>
      </c>
      <c r="B53" s="259">
        <v>52.0</v>
      </c>
      <c r="C53" s="259"/>
      <c r="D53" s="184" t="str">
        <f>IFERROR(VLOOKUP(E53,INFORMACION!D:E,2,0),"INGRESAR CENTRO DE COSTO A LA DERECHA")</f>
        <v>INGRESAR CENTRO DE COSTO A LA DERECHA</v>
      </c>
      <c r="E53" s="184" t="s">
        <v>2015</v>
      </c>
      <c r="F53" s="195" t="s">
        <v>2787</v>
      </c>
      <c r="G53" s="186" t="s">
        <v>3649</v>
      </c>
      <c r="H53" s="186">
        <v>13.0</v>
      </c>
      <c r="I53" s="186" t="s">
        <v>2582</v>
      </c>
      <c r="J53" s="184" t="s">
        <v>112</v>
      </c>
      <c r="K53" s="184" t="s">
        <v>114</v>
      </c>
      <c r="L53" s="184" t="s">
        <v>117</v>
      </c>
      <c r="M53" s="184">
        <v>0.0</v>
      </c>
      <c r="N53" s="184" t="s">
        <v>116</v>
      </c>
      <c r="O53" s="184">
        <v>10.0</v>
      </c>
      <c r="P53" s="184">
        <v>4.0</v>
      </c>
      <c r="Q53" s="184">
        <v>3.0</v>
      </c>
      <c r="R53" s="184" t="s">
        <v>121</v>
      </c>
      <c r="S53" s="218">
        <v>42989.0</v>
      </c>
      <c r="T53" s="105"/>
      <c r="U53" s="105" t="s">
        <v>3650</v>
      </c>
      <c r="V53" s="184" t="s">
        <v>3651</v>
      </c>
      <c r="W53" s="184" t="s">
        <v>122</v>
      </c>
      <c r="X53" s="197"/>
      <c r="Y53" s="170"/>
      <c r="Z53" s="170"/>
      <c r="AA53" s="219">
        <v>42965.0</v>
      </c>
      <c r="AB53" s="219">
        <v>42972.0</v>
      </c>
      <c r="AC53" s="4"/>
      <c r="AD53" s="4"/>
      <c r="AE53" s="184"/>
      <c r="AF53" s="4"/>
      <c r="AG53" s="4"/>
      <c r="AH53" s="216" t="s">
        <v>2071</v>
      </c>
      <c r="AI53" s="216" t="s">
        <v>3652</v>
      </c>
      <c r="AJ53" s="184"/>
      <c r="AK53" s="184"/>
      <c r="AL53" s="200">
        <f t="shared" si="2"/>
        <v>12</v>
      </c>
      <c r="AM53" s="201">
        <v>2017.0</v>
      </c>
    </row>
    <row r="54">
      <c r="A54" s="158">
        <f t="shared" si="1"/>
        <v>16280352</v>
      </c>
      <c r="B54" s="236">
        <v>53.0</v>
      </c>
      <c r="C54" s="236"/>
      <c r="D54" s="184" t="str">
        <f>IFERROR(VLOOKUP(E54,INFORMACION!D:E,2,0),"INGRESAR CENTRO DE COSTO A LA DERECHA")</f>
        <v>INGRESAR CENTRO DE COSTO A LA DERECHA</v>
      </c>
      <c r="E54" s="184" t="s">
        <v>2877</v>
      </c>
      <c r="F54" s="195" t="s">
        <v>2707</v>
      </c>
      <c r="G54" s="186" t="s">
        <v>2400</v>
      </c>
      <c r="H54" s="186">
        <v>17.0</v>
      </c>
      <c r="I54" s="186" t="s">
        <v>2541</v>
      </c>
      <c r="J54" s="184" t="s">
        <v>112</v>
      </c>
      <c r="K54" s="184" t="s">
        <v>125</v>
      </c>
      <c r="L54" s="184" t="s">
        <v>117</v>
      </c>
      <c r="M54" s="184">
        <v>2.0</v>
      </c>
      <c r="N54" s="184" t="s">
        <v>116</v>
      </c>
      <c r="O54" s="184">
        <v>14.0</v>
      </c>
      <c r="P54" s="184">
        <v>2.0</v>
      </c>
      <c r="Q54" s="184">
        <v>5.0</v>
      </c>
      <c r="R54" s="184" t="s">
        <v>115</v>
      </c>
      <c r="S54" s="218">
        <v>43024.0</v>
      </c>
      <c r="T54" s="105"/>
      <c r="U54" s="105" t="s">
        <v>3653</v>
      </c>
      <c r="V54" s="184" t="s">
        <v>3654</v>
      </c>
      <c r="W54" s="184" t="s">
        <v>118</v>
      </c>
      <c r="X54" s="197" t="s">
        <v>2523</v>
      </c>
      <c r="Y54" s="197" t="s">
        <v>2471</v>
      </c>
      <c r="Z54" s="170"/>
      <c r="AA54" s="219">
        <v>42954.0</v>
      </c>
      <c r="AB54" s="219">
        <v>42961.0</v>
      </c>
      <c r="AC54" s="4"/>
      <c r="AD54" s="4"/>
      <c r="AE54" s="184"/>
      <c r="AF54" s="4"/>
      <c r="AG54" s="4"/>
      <c r="AH54" s="216" t="s">
        <v>2071</v>
      </c>
      <c r="AI54" s="216" t="s">
        <v>3639</v>
      </c>
      <c r="AJ54" s="184"/>
      <c r="AK54" s="184"/>
      <c r="AL54" s="200">
        <f t="shared" si="2"/>
        <v>46</v>
      </c>
      <c r="AM54" s="201">
        <v>2017.0</v>
      </c>
    </row>
    <row r="55">
      <c r="A55" s="158">
        <f t="shared" si="1"/>
        <v>16547604</v>
      </c>
      <c r="B55" s="236">
        <v>54.0</v>
      </c>
      <c r="C55" s="236"/>
      <c r="D55" s="184" t="str">
        <f>IFERROR(VLOOKUP(E55,INFORMACION!D:E,2,0),"INGRESAR CENTRO DE COSTO A LA DERECHA")</f>
        <v>INGRESAR CENTRO DE COSTO A LA DERECHA</v>
      </c>
      <c r="E55" s="184" t="s">
        <v>3655</v>
      </c>
      <c r="F55" s="195" t="s">
        <v>2625</v>
      </c>
      <c r="G55" s="186" t="s">
        <v>3656</v>
      </c>
      <c r="H55" s="186">
        <v>10.0</v>
      </c>
      <c r="I55" s="186" t="s">
        <v>2541</v>
      </c>
      <c r="J55" s="184" t="s">
        <v>112</v>
      </c>
      <c r="K55" s="184" t="s">
        <v>114</v>
      </c>
      <c r="L55" s="184" t="s">
        <v>117</v>
      </c>
      <c r="M55" s="184">
        <v>2.0</v>
      </c>
      <c r="N55" s="184" t="s">
        <v>116</v>
      </c>
      <c r="O55" s="184">
        <v>1.0</v>
      </c>
      <c r="P55" s="184">
        <v>1.0</v>
      </c>
      <c r="Q55" s="184">
        <v>2.0</v>
      </c>
      <c r="R55" s="184" t="s">
        <v>121</v>
      </c>
      <c r="S55" s="218">
        <v>42963.0</v>
      </c>
      <c r="T55" s="105"/>
      <c r="U55" s="105" t="s">
        <v>3657</v>
      </c>
      <c r="V55" s="184" t="s">
        <v>3658</v>
      </c>
      <c r="W55" s="184" t="s">
        <v>118</v>
      </c>
      <c r="X55" s="197" t="s">
        <v>2102</v>
      </c>
      <c r="Y55" s="170"/>
      <c r="Z55" s="170"/>
      <c r="AA55" s="219">
        <v>42951.0</v>
      </c>
      <c r="AB55" s="219">
        <v>42955.0</v>
      </c>
      <c r="AC55" s="4"/>
      <c r="AD55" s="4"/>
      <c r="AE55" s="184"/>
      <c r="AF55" s="4"/>
      <c r="AG55" s="4"/>
      <c r="AH55" s="216" t="s">
        <v>2071</v>
      </c>
      <c r="AI55" s="216" t="s">
        <v>3639</v>
      </c>
      <c r="AJ55" s="184"/>
      <c r="AK55" s="184"/>
      <c r="AL55" s="200">
        <f t="shared" si="2"/>
        <v>7</v>
      </c>
      <c r="AM55" s="201">
        <v>2017.0</v>
      </c>
    </row>
    <row r="56">
      <c r="A56" s="158">
        <f t="shared" si="1"/>
        <v>12783339</v>
      </c>
      <c r="B56" s="242">
        <v>55.0</v>
      </c>
      <c r="C56" s="242"/>
      <c r="D56" s="184" t="str">
        <f>IFERROR(VLOOKUP(E56,INFORMACION!D:E,2,0),"INGRESAR CENTRO DE COSTO A LA DERECHA")</f>
        <v>INGRESAR CENTRO DE COSTO A LA DERECHA</v>
      </c>
      <c r="E56" s="184" t="s">
        <v>2883</v>
      </c>
      <c r="F56" s="195" t="s">
        <v>2625</v>
      </c>
      <c r="G56" s="186" t="s">
        <v>3659</v>
      </c>
      <c r="H56" s="186">
        <v>9.0</v>
      </c>
      <c r="I56" s="186" t="s">
        <v>2541</v>
      </c>
      <c r="J56" s="184" t="s">
        <v>112</v>
      </c>
      <c r="K56" s="184" t="s">
        <v>114</v>
      </c>
      <c r="L56" s="184" t="s">
        <v>117</v>
      </c>
      <c r="M56" s="184">
        <v>1.0</v>
      </c>
      <c r="N56" s="184" t="s">
        <v>116</v>
      </c>
      <c r="O56" s="184">
        <v>23.0</v>
      </c>
      <c r="P56" s="184">
        <v>3.0</v>
      </c>
      <c r="Q56" s="184">
        <v>1.0</v>
      </c>
      <c r="R56" s="184" t="s">
        <v>115</v>
      </c>
      <c r="S56" s="218">
        <v>43033.0</v>
      </c>
      <c r="T56" s="105"/>
      <c r="U56" s="105" t="s">
        <v>3660</v>
      </c>
      <c r="V56" s="184" t="s">
        <v>3661</v>
      </c>
      <c r="W56" s="184" t="s">
        <v>122</v>
      </c>
      <c r="X56" s="170"/>
      <c r="Y56" s="170"/>
      <c r="Z56" s="170"/>
      <c r="AA56" s="219">
        <v>42947.0</v>
      </c>
      <c r="AB56" s="219">
        <v>42954.0</v>
      </c>
      <c r="AC56" s="4"/>
      <c r="AD56" s="4"/>
      <c r="AE56" s="184"/>
      <c r="AF56" s="4"/>
      <c r="AG56" s="4"/>
      <c r="AH56" s="216" t="s">
        <v>2071</v>
      </c>
      <c r="AI56" s="216" t="s">
        <v>3639</v>
      </c>
      <c r="AJ56" s="184"/>
      <c r="AK56" s="184"/>
      <c r="AL56" s="200">
        <f t="shared" si="2"/>
        <v>58</v>
      </c>
      <c r="AM56" s="201">
        <v>2017.0</v>
      </c>
    </row>
    <row r="57">
      <c r="A57" s="158">
        <f t="shared" si="1"/>
        <v>15320897</v>
      </c>
      <c r="B57" s="242">
        <v>56.0</v>
      </c>
      <c r="C57" s="242"/>
      <c r="D57" s="184" t="str">
        <f>IFERROR(VLOOKUP(E57,INFORMACION!D:E,2,0),"INGRESAR CENTRO DE COSTO A LA DERECHA")</f>
        <v>INGRESAR CENTRO DE COSTO A LA DERECHA</v>
      </c>
      <c r="E57" s="184" t="s">
        <v>2883</v>
      </c>
      <c r="F57" s="195" t="s">
        <v>2625</v>
      </c>
      <c r="G57" s="186" t="s">
        <v>3662</v>
      </c>
      <c r="H57" s="186">
        <v>9.0</v>
      </c>
      <c r="I57" s="186" t="s">
        <v>2541</v>
      </c>
      <c r="J57" s="184" t="s">
        <v>112</v>
      </c>
      <c r="K57" s="184" t="s">
        <v>114</v>
      </c>
      <c r="L57" s="184" t="s">
        <v>117</v>
      </c>
      <c r="M57" s="184">
        <v>1.0</v>
      </c>
      <c r="N57" s="184" t="s">
        <v>116</v>
      </c>
      <c r="O57" s="184">
        <v>13.0</v>
      </c>
      <c r="P57" s="184">
        <v>1.0</v>
      </c>
      <c r="Q57" s="184">
        <v>1.0</v>
      </c>
      <c r="R57" s="184" t="s">
        <v>121</v>
      </c>
      <c r="S57" s="218">
        <v>43024.0</v>
      </c>
      <c r="T57" s="105"/>
      <c r="U57" s="105" t="s">
        <v>3663</v>
      </c>
      <c r="V57" s="184" t="s">
        <v>3664</v>
      </c>
      <c r="W57" s="184" t="s">
        <v>118</v>
      </c>
      <c r="X57" s="197" t="s">
        <v>2102</v>
      </c>
      <c r="Y57" s="170"/>
      <c r="Z57" s="170"/>
      <c r="AA57" s="219">
        <v>42941.0</v>
      </c>
      <c r="AB57" s="219">
        <v>42948.0</v>
      </c>
      <c r="AC57" s="4"/>
      <c r="AD57" s="4"/>
      <c r="AE57" s="184"/>
      <c r="AF57" s="4"/>
      <c r="AG57" s="4"/>
      <c r="AH57" s="216" t="s">
        <v>2071</v>
      </c>
      <c r="AI57" s="216" t="s">
        <v>3639</v>
      </c>
      <c r="AJ57" s="184"/>
      <c r="AK57" s="184"/>
      <c r="AL57" s="200">
        <f t="shared" si="2"/>
        <v>55</v>
      </c>
      <c r="AM57" s="201">
        <v>2017.0</v>
      </c>
    </row>
    <row r="58">
      <c r="A58" s="158">
        <f t="shared" si="1"/>
        <v>17803186</v>
      </c>
      <c r="B58" s="242">
        <v>57.0</v>
      </c>
      <c r="C58" s="242"/>
      <c r="D58" s="184" t="str">
        <f>IFERROR(VLOOKUP(E58,INFORMACION!D:E,2,0),"INGRESAR CENTRO DE COSTO A LA DERECHA")</f>
        <v>INGRESAR CENTRO DE COSTO A LA DERECHA</v>
      </c>
      <c r="E58" s="184" t="s">
        <v>2883</v>
      </c>
      <c r="F58" s="195" t="s">
        <v>2848</v>
      </c>
      <c r="G58" s="186" t="s">
        <v>3665</v>
      </c>
      <c r="H58" s="186">
        <v>13.0</v>
      </c>
      <c r="I58" s="186" t="s">
        <v>2541</v>
      </c>
      <c r="J58" s="184" t="s">
        <v>112</v>
      </c>
      <c r="K58" s="184" t="s">
        <v>114</v>
      </c>
      <c r="L58" s="184" t="s">
        <v>117</v>
      </c>
      <c r="M58" s="184">
        <v>0.0</v>
      </c>
      <c r="N58" s="184" t="s">
        <v>116</v>
      </c>
      <c r="O58" s="184">
        <v>17.0</v>
      </c>
      <c r="P58" s="184">
        <v>1.0</v>
      </c>
      <c r="Q58" s="184">
        <v>1.0</v>
      </c>
      <c r="R58" s="184" t="s">
        <v>121</v>
      </c>
      <c r="S58" s="218">
        <v>42979.0</v>
      </c>
      <c r="T58" s="105"/>
      <c r="U58" s="105" t="s">
        <v>3666</v>
      </c>
      <c r="V58" s="184" t="s">
        <v>3667</v>
      </c>
      <c r="W58" s="184" t="s">
        <v>118</v>
      </c>
      <c r="X58" s="197" t="s">
        <v>2523</v>
      </c>
      <c r="Y58" s="170"/>
      <c r="Z58" s="170"/>
      <c r="AA58" s="219">
        <v>42941.0</v>
      </c>
      <c r="AB58" s="219">
        <v>42948.0</v>
      </c>
      <c r="AC58" s="4"/>
      <c r="AD58" s="4"/>
      <c r="AE58" s="184"/>
      <c r="AF58" s="4"/>
      <c r="AG58" s="4"/>
      <c r="AH58" s="216" t="s">
        <v>2071</v>
      </c>
      <c r="AI58" s="216" t="s">
        <v>3639</v>
      </c>
      <c r="AJ58" s="184"/>
      <c r="AK58" s="184"/>
      <c r="AL58" s="200">
        <f t="shared" si="2"/>
        <v>24</v>
      </c>
      <c r="AM58" s="201">
        <v>2017.0</v>
      </c>
    </row>
    <row r="59">
      <c r="A59" s="158">
        <f t="shared" si="1"/>
        <v>13265762</v>
      </c>
      <c r="B59" s="236">
        <v>58.0</v>
      </c>
      <c r="C59" s="236"/>
      <c r="D59" s="184" t="str">
        <f>IFERROR(VLOOKUP(E59,INFORMACION!D:E,2,0),"INGRESAR CENTRO DE COSTO A LA DERECHA")</f>
        <v>INGRESAR CENTRO DE COSTO A LA DERECHA</v>
      </c>
      <c r="E59" s="184" t="s">
        <v>2883</v>
      </c>
      <c r="F59" s="195" t="s">
        <v>2802</v>
      </c>
      <c r="G59" s="186" t="s">
        <v>3668</v>
      </c>
      <c r="H59" s="186">
        <v>15.0</v>
      </c>
      <c r="I59" s="186" t="s">
        <v>2541</v>
      </c>
      <c r="J59" s="184" t="s">
        <v>112</v>
      </c>
      <c r="K59" s="184" t="s">
        <v>120</v>
      </c>
      <c r="L59" s="184" t="s">
        <v>117</v>
      </c>
      <c r="M59" s="184">
        <v>0.0</v>
      </c>
      <c r="N59" s="184" t="s">
        <v>116</v>
      </c>
      <c r="O59" s="184">
        <v>6.0</v>
      </c>
      <c r="P59" s="184">
        <v>1.0</v>
      </c>
      <c r="Q59" s="184">
        <v>1.0</v>
      </c>
      <c r="R59" s="184" t="s">
        <v>121</v>
      </c>
      <c r="S59" s="218">
        <v>42982.0</v>
      </c>
      <c r="T59" s="105"/>
      <c r="U59" s="105" t="s">
        <v>3669</v>
      </c>
      <c r="V59" s="184" t="s">
        <v>3670</v>
      </c>
      <c r="W59" s="184" t="s">
        <v>118</v>
      </c>
      <c r="X59" s="197" t="s">
        <v>2102</v>
      </c>
      <c r="Y59" s="197" t="s">
        <v>2413</v>
      </c>
      <c r="Z59" s="170"/>
      <c r="AA59" s="219">
        <v>42941.0</v>
      </c>
      <c r="AB59" s="219">
        <v>42948.0</v>
      </c>
      <c r="AC59" s="4"/>
      <c r="AD59" s="4"/>
      <c r="AE59" s="184"/>
      <c r="AF59" s="4"/>
      <c r="AG59" s="4"/>
      <c r="AH59" s="216" t="s">
        <v>2071</v>
      </c>
      <c r="AI59" s="216" t="s">
        <v>3639</v>
      </c>
      <c r="AJ59" s="184"/>
      <c r="AK59" s="184"/>
      <c r="AL59" s="200">
        <f t="shared" si="2"/>
        <v>25</v>
      </c>
      <c r="AM59" s="201">
        <v>2017.0</v>
      </c>
    </row>
    <row r="60">
      <c r="A60" s="158">
        <f t="shared" si="1"/>
        <v>17050761</v>
      </c>
      <c r="B60" s="236">
        <v>59.0</v>
      </c>
      <c r="C60" s="236"/>
      <c r="D60" s="184" t="str">
        <f>IFERROR(VLOOKUP(E60,INFORMACION!D:E,2,0),"INGRESAR CENTRO DE COSTO A LA DERECHA")</f>
        <v>INGRESAR CENTRO DE COSTO A LA DERECHA</v>
      </c>
      <c r="E60" s="184" t="s">
        <v>3176</v>
      </c>
      <c r="F60" s="195" t="s">
        <v>3253</v>
      </c>
      <c r="G60" s="186" t="s">
        <v>3671</v>
      </c>
      <c r="H60" s="186">
        <v>13.0</v>
      </c>
      <c r="I60" s="186" t="s">
        <v>2541</v>
      </c>
      <c r="J60" s="184" t="s">
        <v>112</v>
      </c>
      <c r="K60" s="184" t="s">
        <v>114</v>
      </c>
      <c r="L60" s="184" t="s">
        <v>117</v>
      </c>
      <c r="M60" s="184">
        <v>7.0</v>
      </c>
      <c r="N60" s="184" t="s">
        <v>116</v>
      </c>
      <c r="O60" s="184">
        <v>36.0</v>
      </c>
      <c r="P60" s="184">
        <v>1.0</v>
      </c>
      <c r="Q60" s="184">
        <v>1.0</v>
      </c>
      <c r="R60" s="184" t="s">
        <v>115</v>
      </c>
      <c r="S60" s="218">
        <v>42979.0</v>
      </c>
      <c r="T60" s="105"/>
      <c r="U60" s="105" t="s">
        <v>3672</v>
      </c>
      <c r="V60" s="184" t="s">
        <v>3673</v>
      </c>
      <c r="W60" s="184" t="s">
        <v>122</v>
      </c>
      <c r="X60" s="170"/>
      <c r="Y60" s="170"/>
      <c r="Z60" s="170"/>
      <c r="AA60" s="219">
        <v>42910.0</v>
      </c>
      <c r="AB60" s="219">
        <v>42947.0</v>
      </c>
      <c r="AC60" s="4"/>
      <c r="AD60" s="4"/>
      <c r="AE60" s="184"/>
      <c r="AF60" s="4"/>
      <c r="AG60" s="4"/>
      <c r="AH60" s="216" t="s">
        <v>2071</v>
      </c>
      <c r="AI60" s="216" t="s">
        <v>3639</v>
      </c>
      <c r="AJ60" s="184"/>
      <c r="AK60" s="184"/>
      <c r="AL60" s="200">
        <f t="shared" si="2"/>
        <v>25</v>
      </c>
      <c r="AM60" s="201">
        <v>2017.0</v>
      </c>
    </row>
    <row r="61">
      <c r="A61" s="158">
        <f t="shared" si="1"/>
        <v>16588861</v>
      </c>
      <c r="B61" s="242">
        <v>60.0</v>
      </c>
      <c r="C61" s="242"/>
      <c r="D61" s="184" t="str">
        <f>IFERROR(VLOOKUP(E61,INFORMACION!D:E,2,0),"INGRESAR CENTRO DE COSTO A LA DERECHA")</f>
        <v>INGRESAR CENTRO DE COSTO A LA DERECHA</v>
      </c>
      <c r="E61" s="184" t="s">
        <v>3193</v>
      </c>
      <c r="F61" s="195" t="s">
        <v>3222</v>
      </c>
      <c r="G61" s="186" t="s">
        <v>2148</v>
      </c>
      <c r="H61" s="186">
        <v>6.0</v>
      </c>
      <c r="I61" s="186" t="s">
        <v>2541</v>
      </c>
      <c r="J61" s="184" t="s">
        <v>112</v>
      </c>
      <c r="K61" s="184" t="s">
        <v>114</v>
      </c>
      <c r="L61" s="184" t="s">
        <v>122</v>
      </c>
      <c r="M61" s="184">
        <v>0.0</v>
      </c>
      <c r="N61" s="184" t="s">
        <v>116</v>
      </c>
      <c r="O61" s="184">
        <v>87.0</v>
      </c>
      <c r="P61" s="184">
        <v>6.0</v>
      </c>
      <c r="Q61" s="184">
        <v>1.0</v>
      </c>
      <c r="R61" s="184" t="s">
        <v>121</v>
      </c>
      <c r="S61" s="218">
        <v>43010.0</v>
      </c>
      <c r="T61" s="105"/>
      <c r="U61" s="105" t="s">
        <v>3674</v>
      </c>
      <c r="V61" s="184" t="s">
        <v>3675</v>
      </c>
      <c r="W61" s="184" t="s">
        <v>118</v>
      </c>
      <c r="X61" s="197" t="s">
        <v>2471</v>
      </c>
      <c r="Y61" s="197" t="s">
        <v>2381</v>
      </c>
      <c r="Z61" s="170"/>
      <c r="AA61" s="219">
        <v>42937.0</v>
      </c>
      <c r="AB61" s="219">
        <v>42978.0</v>
      </c>
      <c r="AC61" s="4"/>
      <c r="AD61" s="4"/>
      <c r="AE61" s="184"/>
      <c r="AF61" s="4"/>
      <c r="AG61" s="4"/>
      <c r="AH61" s="216" t="s">
        <v>2071</v>
      </c>
      <c r="AI61" s="216" t="s">
        <v>3676</v>
      </c>
      <c r="AJ61" s="184"/>
      <c r="AK61" s="184"/>
      <c r="AL61" s="200">
        <f t="shared" si="2"/>
        <v>23</v>
      </c>
      <c r="AM61" s="201">
        <v>2017.0</v>
      </c>
    </row>
    <row r="62">
      <c r="A62" s="158">
        <f t="shared" si="1"/>
        <v>16808508</v>
      </c>
      <c r="B62" s="242">
        <v>61.0</v>
      </c>
      <c r="C62" s="242"/>
      <c r="D62" s="184" t="str">
        <f>IFERROR(VLOOKUP(E62,INFORMACION!D:E,2,0),"INGRESAR CENTRO DE COSTO A LA DERECHA")</f>
        <v>INGRESAR CENTRO DE COSTO A LA DERECHA</v>
      </c>
      <c r="E62" s="184" t="s">
        <v>3193</v>
      </c>
      <c r="F62" s="184" t="s">
        <v>2736</v>
      </c>
      <c r="G62" s="186" t="s">
        <v>2148</v>
      </c>
      <c r="H62" s="186">
        <v>6.0</v>
      </c>
      <c r="I62" s="186" t="s">
        <v>2541</v>
      </c>
      <c r="J62" s="184" t="s">
        <v>112</v>
      </c>
      <c r="K62" s="184" t="s">
        <v>114</v>
      </c>
      <c r="L62" s="184" t="s">
        <v>122</v>
      </c>
      <c r="M62" s="184">
        <v>0.0</v>
      </c>
      <c r="N62" s="184" t="s">
        <v>116</v>
      </c>
      <c r="O62" s="184">
        <v>87.0</v>
      </c>
      <c r="P62" s="184">
        <v>6.0</v>
      </c>
      <c r="Q62" s="184">
        <v>1.0</v>
      </c>
      <c r="R62" s="184" t="s">
        <v>121</v>
      </c>
      <c r="S62" s="218">
        <v>43010.0</v>
      </c>
      <c r="T62" s="105"/>
      <c r="U62" s="105" t="s">
        <v>3677</v>
      </c>
      <c r="V62" s="184" t="s">
        <v>3678</v>
      </c>
      <c r="W62" s="184" t="s">
        <v>122</v>
      </c>
      <c r="X62" s="197"/>
      <c r="Y62" s="170"/>
      <c r="Z62" s="170"/>
      <c r="AA62" s="219">
        <v>42937.0</v>
      </c>
      <c r="AB62" s="219">
        <v>42978.0</v>
      </c>
      <c r="AC62" s="4"/>
      <c r="AD62" s="4"/>
      <c r="AE62" s="184"/>
      <c r="AF62" s="4"/>
      <c r="AG62" s="4"/>
      <c r="AH62" s="216" t="s">
        <v>2071</v>
      </c>
      <c r="AI62" s="216" t="s">
        <v>3562</v>
      </c>
      <c r="AJ62" s="184"/>
      <c r="AK62" s="184"/>
      <c r="AL62" s="200">
        <f t="shared" si="2"/>
        <v>23</v>
      </c>
      <c r="AM62" s="201">
        <v>2017.0</v>
      </c>
    </row>
    <row r="63">
      <c r="A63" s="158">
        <f t="shared" si="1"/>
        <v>16277161</v>
      </c>
      <c r="B63" s="242">
        <v>62.0</v>
      </c>
      <c r="C63" s="242"/>
      <c r="D63" s="184" t="str">
        <f>IFERROR(VLOOKUP(E63,INFORMACION!D:E,2,0),"INGRESAR CENTRO DE COSTO A LA DERECHA")</f>
        <v>INGRESAR CENTRO DE COSTO A LA DERECHA</v>
      </c>
      <c r="E63" s="184" t="s">
        <v>3193</v>
      </c>
      <c r="F63" s="195" t="s">
        <v>3222</v>
      </c>
      <c r="G63" s="186" t="s">
        <v>2148</v>
      </c>
      <c r="H63" s="186">
        <v>6.0</v>
      </c>
      <c r="I63" s="186" t="s">
        <v>2541</v>
      </c>
      <c r="J63" s="184" t="s">
        <v>112</v>
      </c>
      <c r="K63" s="184" t="s">
        <v>114</v>
      </c>
      <c r="L63" s="184" t="s">
        <v>122</v>
      </c>
      <c r="M63" s="184">
        <v>0.0</v>
      </c>
      <c r="N63" s="184" t="s">
        <v>116</v>
      </c>
      <c r="O63" s="184">
        <v>87.0</v>
      </c>
      <c r="P63" s="184">
        <v>6.0</v>
      </c>
      <c r="Q63" s="184">
        <v>1.0</v>
      </c>
      <c r="R63" s="184" t="s">
        <v>115</v>
      </c>
      <c r="S63" s="218">
        <v>43010.0</v>
      </c>
      <c r="T63" s="105"/>
      <c r="U63" s="105" t="s">
        <v>3679</v>
      </c>
      <c r="V63" s="184" t="s">
        <v>3680</v>
      </c>
      <c r="W63" s="184" t="s">
        <v>122</v>
      </c>
      <c r="X63" s="170"/>
      <c r="Y63" s="170"/>
      <c r="Z63" s="170"/>
      <c r="AA63" s="219">
        <v>42937.0</v>
      </c>
      <c r="AB63" s="219">
        <v>42978.0</v>
      </c>
      <c r="AC63" s="4"/>
      <c r="AD63" s="4"/>
      <c r="AE63" s="184"/>
      <c r="AF63" s="4"/>
      <c r="AG63" s="4"/>
      <c r="AH63" s="216" t="s">
        <v>2071</v>
      </c>
      <c r="AI63" s="216" t="s">
        <v>3562</v>
      </c>
      <c r="AJ63" s="184"/>
      <c r="AK63" s="184"/>
      <c r="AL63" s="200">
        <f t="shared" si="2"/>
        <v>23</v>
      </c>
      <c r="AM63" s="201">
        <v>2017.0</v>
      </c>
    </row>
    <row r="64">
      <c r="A64" s="158">
        <f t="shared" si="1"/>
        <v>16428238</v>
      </c>
      <c r="B64" s="242">
        <v>63.0</v>
      </c>
      <c r="C64" s="242"/>
      <c r="D64" s="184" t="str">
        <f>IFERROR(VLOOKUP(E64,INFORMACION!D:E,2,0),"INGRESAR CENTRO DE COSTO A LA DERECHA")</f>
        <v>INGRESAR CENTRO DE COSTO A LA DERECHA</v>
      </c>
      <c r="E64" s="184" t="s">
        <v>3193</v>
      </c>
      <c r="F64" s="195" t="s">
        <v>3222</v>
      </c>
      <c r="G64" s="186" t="s">
        <v>2148</v>
      </c>
      <c r="H64" s="186">
        <v>6.0</v>
      </c>
      <c r="I64" s="186" t="s">
        <v>2541</v>
      </c>
      <c r="J64" s="184" t="s">
        <v>112</v>
      </c>
      <c r="K64" s="184" t="s">
        <v>114</v>
      </c>
      <c r="L64" s="184" t="s">
        <v>122</v>
      </c>
      <c r="M64" s="184">
        <v>0.0</v>
      </c>
      <c r="N64" s="184" t="s">
        <v>116</v>
      </c>
      <c r="O64" s="184">
        <v>87.0</v>
      </c>
      <c r="P64" s="184">
        <v>6.0</v>
      </c>
      <c r="Q64" s="184">
        <v>1.0</v>
      </c>
      <c r="R64" s="184" t="s">
        <v>121</v>
      </c>
      <c r="S64" s="218">
        <v>42983.0</v>
      </c>
      <c r="T64" s="105"/>
      <c r="U64" s="105" t="s">
        <v>3681</v>
      </c>
      <c r="V64" s="184" t="s">
        <v>3682</v>
      </c>
      <c r="W64" s="184" t="s">
        <v>122</v>
      </c>
      <c r="X64" s="170"/>
      <c r="Y64" s="170"/>
      <c r="Z64" s="170"/>
      <c r="AA64" s="219">
        <v>42937.0</v>
      </c>
      <c r="AB64" s="219">
        <v>42978.0</v>
      </c>
      <c r="AC64" s="4"/>
      <c r="AD64" s="4"/>
      <c r="AE64" s="184"/>
      <c r="AF64" s="4"/>
      <c r="AG64" s="4"/>
      <c r="AH64" s="216" t="s">
        <v>2071</v>
      </c>
      <c r="AI64" s="216" t="s">
        <v>3562</v>
      </c>
      <c r="AJ64" s="184"/>
      <c r="AK64" s="184"/>
      <c r="AL64" s="200">
        <f t="shared" si="2"/>
        <v>4</v>
      </c>
      <c r="AM64" s="201">
        <v>2017.0</v>
      </c>
    </row>
    <row r="65">
      <c r="A65" s="158">
        <f t="shared" si="1"/>
        <v>13683206</v>
      </c>
      <c r="B65" s="259">
        <v>64.0</v>
      </c>
      <c r="C65" s="259"/>
      <c r="D65" s="184" t="str">
        <f>IFERROR(VLOOKUP(E65,INFORMACION!D:E,2,0),"INGRESAR CENTRO DE COSTO A LA DERECHA")</f>
        <v>INGRESAR CENTRO DE COSTO A LA DERECHA</v>
      </c>
      <c r="E65" s="184" t="s">
        <v>3193</v>
      </c>
      <c r="F65" s="195" t="s">
        <v>3222</v>
      </c>
      <c r="G65" s="186" t="s">
        <v>2148</v>
      </c>
      <c r="H65" s="186">
        <v>6.0</v>
      </c>
      <c r="I65" s="186" t="s">
        <v>2541</v>
      </c>
      <c r="J65" s="184" t="s">
        <v>112</v>
      </c>
      <c r="K65" s="184" t="s">
        <v>114</v>
      </c>
      <c r="L65" s="184" t="s">
        <v>122</v>
      </c>
      <c r="M65" s="184">
        <v>0.0</v>
      </c>
      <c r="N65" s="184" t="s">
        <v>116</v>
      </c>
      <c r="O65" s="184">
        <v>87.0</v>
      </c>
      <c r="P65" s="184">
        <v>6.0</v>
      </c>
      <c r="Q65" s="184">
        <v>1.0</v>
      </c>
      <c r="R65" s="184" t="s">
        <v>115</v>
      </c>
      <c r="S65" s="218">
        <v>42983.0</v>
      </c>
      <c r="T65" s="105"/>
      <c r="U65" s="105" t="s">
        <v>3683</v>
      </c>
      <c r="V65" s="184" t="s">
        <v>3684</v>
      </c>
      <c r="W65" s="184" t="s">
        <v>118</v>
      </c>
      <c r="X65" s="197" t="s">
        <v>2471</v>
      </c>
      <c r="Y65" s="170"/>
      <c r="Z65" s="170"/>
      <c r="AA65" s="219">
        <v>42937.0</v>
      </c>
      <c r="AB65" s="219">
        <v>42978.0</v>
      </c>
      <c r="AC65" s="4"/>
      <c r="AD65" s="4"/>
      <c r="AE65" s="184"/>
      <c r="AF65" s="4"/>
      <c r="AG65" s="4"/>
      <c r="AH65" s="216" t="s">
        <v>2071</v>
      </c>
      <c r="AI65" s="216" t="s">
        <v>3562</v>
      </c>
      <c r="AJ65" s="184"/>
      <c r="AK65" s="184"/>
      <c r="AL65" s="200">
        <f t="shared" si="2"/>
        <v>4</v>
      </c>
      <c r="AM65" s="201">
        <v>2017.0</v>
      </c>
    </row>
    <row r="66">
      <c r="A66" s="158">
        <f t="shared" si="1"/>
        <v>11434305</v>
      </c>
      <c r="B66" s="236">
        <v>65.0</v>
      </c>
      <c r="C66" s="236"/>
      <c r="D66" s="184" t="str">
        <f>IFERROR(VLOOKUP(E66,INFORMACION!D:E,2,0),"INGRESAR CENTRO DE COSTO A LA DERECHA")</f>
        <v>INGRESAR CENTRO DE COSTO A LA DERECHA</v>
      </c>
      <c r="E66" s="184" t="s">
        <v>1740</v>
      </c>
      <c r="F66" s="195" t="s">
        <v>2540</v>
      </c>
      <c r="G66" s="186" t="s">
        <v>3685</v>
      </c>
      <c r="H66" s="186">
        <v>17.0</v>
      </c>
      <c r="I66" s="186" t="s">
        <v>2541</v>
      </c>
      <c r="J66" s="184" t="s">
        <v>112</v>
      </c>
      <c r="K66" s="184" t="s">
        <v>120</v>
      </c>
      <c r="L66" s="184" t="s">
        <v>117</v>
      </c>
      <c r="M66" s="184">
        <v>0.0</v>
      </c>
      <c r="N66" s="184" t="s">
        <v>116</v>
      </c>
      <c r="O66" s="184">
        <v>23.0</v>
      </c>
      <c r="P66" s="184">
        <v>1.0</v>
      </c>
      <c r="Q66" s="184">
        <v>1.0</v>
      </c>
      <c r="R66" s="184" t="s">
        <v>121</v>
      </c>
      <c r="S66" s="262">
        <v>42983.0</v>
      </c>
      <c r="T66" s="105"/>
      <c r="U66" s="105" t="s">
        <v>3686</v>
      </c>
      <c r="V66" s="184" t="s">
        <v>3687</v>
      </c>
      <c r="W66" s="184" t="s">
        <v>122</v>
      </c>
      <c r="X66" s="170"/>
      <c r="Y66" s="170"/>
      <c r="Z66" s="170"/>
      <c r="AA66" s="219">
        <v>42936.0</v>
      </c>
      <c r="AB66" s="219">
        <v>42943.0</v>
      </c>
      <c r="AC66" s="4"/>
      <c r="AD66" s="4"/>
      <c r="AE66" s="184"/>
      <c r="AF66" s="4"/>
      <c r="AG66" s="4"/>
      <c r="AH66" s="216" t="s">
        <v>2071</v>
      </c>
      <c r="AI66" s="216" t="s">
        <v>3639</v>
      </c>
      <c r="AJ66" s="184"/>
      <c r="AK66" s="184"/>
      <c r="AL66" s="200">
        <f t="shared" si="2"/>
        <v>29</v>
      </c>
      <c r="AM66" s="201">
        <v>2017.0</v>
      </c>
    </row>
    <row r="67">
      <c r="A67" s="158">
        <f t="shared" si="1"/>
        <v>11123640</v>
      </c>
      <c r="B67" s="236">
        <v>66.0</v>
      </c>
      <c r="C67" s="236"/>
      <c r="D67" s="184" t="str">
        <f>IFERROR(VLOOKUP(E67,INFORMACION!D:E,2,0),"INGRESAR CENTRO DE COSTO A LA DERECHA")</f>
        <v>INGRESAR CENTRO DE COSTO A LA DERECHA</v>
      </c>
      <c r="E67" s="184" t="s">
        <v>3594</v>
      </c>
      <c r="F67" s="195" t="s">
        <v>2576</v>
      </c>
      <c r="G67" s="186" t="s">
        <v>1741</v>
      </c>
      <c r="H67" s="186">
        <v>21.0</v>
      </c>
      <c r="I67" s="186" t="s">
        <v>2541</v>
      </c>
      <c r="J67" s="184" t="s">
        <v>112</v>
      </c>
      <c r="K67" s="184" t="s">
        <v>127</v>
      </c>
      <c r="L67" s="184" t="s">
        <v>117</v>
      </c>
      <c r="M67" s="184">
        <v>0.0</v>
      </c>
      <c r="N67" s="184" t="s">
        <v>116</v>
      </c>
      <c r="O67" s="184">
        <v>3.0</v>
      </c>
      <c r="P67" s="184">
        <v>1.0</v>
      </c>
      <c r="Q67" s="184">
        <v>1.0</v>
      </c>
      <c r="R67" s="184" t="s">
        <v>115</v>
      </c>
      <c r="S67" s="218">
        <v>43009.0</v>
      </c>
      <c r="T67" s="105"/>
      <c r="U67" s="105" t="s">
        <v>3688</v>
      </c>
      <c r="V67" s="184" t="s">
        <v>3689</v>
      </c>
      <c r="W67" s="184" t="s">
        <v>122</v>
      </c>
      <c r="X67" s="170"/>
      <c r="Y67" s="170"/>
      <c r="Z67" s="170"/>
      <c r="AA67" s="219">
        <v>42936.0</v>
      </c>
      <c r="AB67" s="219">
        <v>42943.0</v>
      </c>
      <c r="AC67" s="4"/>
      <c r="AD67" s="4"/>
      <c r="AE67" s="184"/>
      <c r="AF67" s="4"/>
      <c r="AG67" s="4"/>
      <c r="AH67" s="216" t="s">
        <v>2071</v>
      </c>
      <c r="AI67" s="216" t="s">
        <v>3690</v>
      </c>
      <c r="AJ67" s="184"/>
      <c r="AK67" s="184"/>
      <c r="AL67" s="200">
        <f t="shared" si="2"/>
        <v>47</v>
      </c>
      <c r="AM67" s="201">
        <v>2017.0</v>
      </c>
    </row>
    <row r="68">
      <c r="A68" s="158">
        <f t="shared" si="1"/>
        <v>18534953</v>
      </c>
      <c r="B68" s="242">
        <v>67.0</v>
      </c>
      <c r="C68" s="242"/>
      <c r="D68" s="184" t="str">
        <f>IFERROR(VLOOKUP(E68,INFORMACION!D:E,2,0),"INGRESAR CENTRO DE COSTO A LA DERECHA")</f>
        <v>INGRESAR CENTRO DE COSTO A LA DERECHA</v>
      </c>
      <c r="E68" s="184" t="s">
        <v>3594</v>
      </c>
      <c r="F68" s="195" t="s">
        <v>2598</v>
      </c>
      <c r="G68" s="186" t="s">
        <v>2391</v>
      </c>
      <c r="H68" s="186">
        <v>14.0</v>
      </c>
      <c r="I68" s="186" t="s">
        <v>2541</v>
      </c>
      <c r="J68" s="184" t="s">
        <v>112</v>
      </c>
      <c r="K68" s="184" t="s">
        <v>125</v>
      </c>
      <c r="L68" s="184" t="s">
        <v>122</v>
      </c>
      <c r="M68" s="184">
        <v>0.0</v>
      </c>
      <c r="N68" s="184" t="s">
        <v>116</v>
      </c>
      <c r="O68" s="184">
        <v>6.0</v>
      </c>
      <c r="P68" s="184">
        <v>1.0</v>
      </c>
      <c r="Q68" s="184">
        <v>1.0</v>
      </c>
      <c r="R68" s="184" t="s">
        <v>115</v>
      </c>
      <c r="S68" s="218">
        <v>43009.0</v>
      </c>
      <c r="T68" s="105"/>
      <c r="U68" s="105" t="s">
        <v>3691</v>
      </c>
      <c r="V68" s="184" t="s">
        <v>3692</v>
      </c>
      <c r="W68" s="184" t="s">
        <v>118</v>
      </c>
      <c r="X68" s="197" t="s">
        <v>2523</v>
      </c>
      <c r="Y68" s="170"/>
      <c r="Z68" s="170"/>
      <c r="AA68" s="219">
        <v>42912.0</v>
      </c>
      <c r="AB68" s="219">
        <v>42923.0</v>
      </c>
      <c r="AC68" s="4"/>
      <c r="AD68" s="4"/>
      <c r="AE68" s="184"/>
      <c r="AF68" s="4"/>
      <c r="AG68" s="4"/>
      <c r="AH68" s="216" t="s">
        <v>2071</v>
      </c>
      <c r="AI68" s="216" t="s">
        <v>3562</v>
      </c>
      <c r="AJ68" s="184"/>
      <c r="AK68" s="184"/>
      <c r="AL68" s="200">
        <f t="shared" si="2"/>
        <v>61</v>
      </c>
      <c r="AM68" s="201">
        <v>2017.0</v>
      </c>
    </row>
    <row r="69">
      <c r="A69" s="158">
        <f t="shared" si="1"/>
        <v>18380085</v>
      </c>
      <c r="B69" s="242">
        <v>68.0</v>
      </c>
      <c r="C69" s="242"/>
      <c r="D69" s="184" t="str">
        <f>IFERROR(VLOOKUP(E69,INFORMACION!D:E,2,0),"INGRESAR CENTRO DE COSTO A LA DERECHA")</f>
        <v>INGRESAR CENTRO DE COSTO A LA DERECHA</v>
      </c>
      <c r="E69" s="184" t="s">
        <v>1699</v>
      </c>
      <c r="F69" s="195" t="s">
        <v>2679</v>
      </c>
      <c r="G69" s="186" t="s">
        <v>1816</v>
      </c>
      <c r="H69" s="186">
        <v>20.0</v>
      </c>
      <c r="I69" s="186" t="s">
        <v>2541</v>
      </c>
      <c r="J69" s="184" t="s">
        <v>112</v>
      </c>
      <c r="K69" s="184" t="s">
        <v>120</v>
      </c>
      <c r="L69" s="184" t="s">
        <v>117</v>
      </c>
      <c r="M69" s="184">
        <v>0.0</v>
      </c>
      <c r="N69" s="184" t="s">
        <v>116</v>
      </c>
      <c r="O69" s="184">
        <v>8.0</v>
      </c>
      <c r="P69" s="184">
        <v>3.0</v>
      </c>
      <c r="Q69" s="184">
        <v>1.0</v>
      </c>
      <c r="R69" s="184" t="s">
        <v>115</v>
      </c>
      <c r="S69" s="218">
        <v>42979.0</v>
      </c>
      <c r="T69" s="105"/>
      <c r="U69" s="105" t="s">
        <v>3693</v>
      </c>
      <c r="V69" s="184" t="s">
        <v>3694</v>
      </c>
      <c r="W69" s="184" t="s">
        <v>122</v>
      </c>
      <c r="X69" s="197"/>
      <c r="Y69" s="170"/>
      <c r="Z69" s="170"/>
      <c r="AA69" s="219">
        <v>42906.0</v>
      </c>
      <c r="AB69" s="219">
        <v>42913.0</v>
      </c>
      <c r="AC69" s="4"/>
      <c r="AD69" s="4"/>
      <c r="AE69" s="184"/>
      <c r="AF69" s="4"/>
      <c r="AG69" s="4"/>
      <c r="AH69" s="216" t="s">
        <v>2071</v>
      </c>
      <c r="AI69" s="216" t="s">
        <v>3695</v>
      </c>
      <c r="AJ69" s="184"/>
      <c r="AK69" s="184"/>
      <c r="AL69" s="200">
        <f t="shared" si="2"/>
        <v>49</v>
      </c>
      <c r="AM69" s="201">
        <v>2017.0</v>
      </c>
    </row>
    <row r="70">
      <c r="A70" s="158">
        <f t="shared" si="1"/>
        <v>18274489</v>
      </c>
      <c r="B70" s="242">
        <v>70.0</v>
      </c>
      <c r="C70" s="242"/>
      <c r="D70" s="184" t="str">
        <f>IFERROR(VLOOKUP(E70,INFORMACION!D:E,2,0),"INGRESAR CENTRO DE COSTO A LA DERECHA")</f>
        <v>INGRESAR CENTRO DE COSTO A LA DERECHA</v>
      </c>
      <c r="E70" s="184" t="s">
        <v>2953</v>
      </c>
      <c r="F70" s="195" t="s">
        <v>2598</v>
      </c>
      <c r="G70" s="186" t="s">
        <v>2391</v>
      </c>
      <c r="H70" s="186">
        <v>14.0</v>
      </c>
      <c r="I70" s="186" t="s">
        <v>2541</v>
      </c>
      <c r="J70" s="184" t="s">
        <v>112</v>
      </c>
      <c r="K70" s="184" t="s">
        <v>125</v>
      </c>
      <c r="L70" s="184" t="s">
        <v>117</v>
      </c>
      <c r="M70" s="184">
        <v>0.0</v>
      </c>
      <c r="N70" s="184" t="s">
        <v>116</v>
      </c>
      <c r="O70" s="184">
        <v>7.0</v>
      </c>
      <c r="P70" s="184">
        <v>2.0</v>
      </c>
      <c r="Q70" s="184">
        <v>2.0</v>
      </c>
      <c r="R70" s="184" t="s">
        <v>121</v>
      </c>
      <c r="S70" s="218">
        <v>42970.0</v>
      </c>
      <c r="T70" s="105"/>
      <c r="U70" s="105" t="s">
        <v>3696</v>
      </c>
      <c r="V70" s="184" t="s">
        <v>3697</v>
      </c>
      <c r="W70" s="184" t="s">
        <v>118</v>
      </c>
      <c r="X70" s="197" t="s">
        <v>2523</v>
      </c>
      <c r="Y70" s="197" t="s">
        <v>2435</v>
      </c>
      <c r="Z70" s="197" t="s">
        <v>2381</v>
      </c>
      <c r="AA70" s="219">
        <v>42874.0</v>
      </c>
      <c r="AB70" s="219">
        <v>42881.0</v>
      </c>
      <c r="AC70" s="4"/>
      <c r="AD70" s="4"/>
      <c r="AE70" s="184"/>
      <c r="AF70" s="4"/>
      <c r="AG70" s="4"/>
      <c r="AH70" s="216" t="s">
        <v>2071</v>
      </c>
      <c r="AI70" s="216" t="s">
        <v>3639</v>
      </c>
      <c r="AJ70" s="184"/>
      <c r="AK70" s="184"/>
      <c r="AL70" s="200">
        <f t="shared" si="2"/>
        <v>64</v>
      </c>
      <c r="AM70" s="201">
        <v>2017.0</v>
      </c>
    </row>
    <row r="71">
      <c r="A71" s="158">
        <f t="shared" si="1"/>
        <v>10228277</v>
      </c>
      <c r="B71" s="259">
        <v>71.0</v>
      </c>
      <c r="C71" s="259"/>
      <c r="D71" s="184" t="str">
        <f>IFERROR(VLOOKUP(E71,INFORMACION!D:E,2,0),"INGRESAR CENTRO DE COSTO A LA DERECHA")</f>
        <v>INGRESAR CENTRO DE COSTO A LA DERECHA</v>
      </c>
      <c r="E71" s="184" t="s">
        <v>1615</v>
      </c>
      <c r="F71" s="195" t="s">
        <v>2679</v>
      </c>
      <c r="G71" s="186" t="s">
        <v>1816</v>
      </c>
      <c r="H71" s="186">
        <v>20.0</v>
      </c>
      <c r="I71" s="186" t="s">
        <v>2541</v>
      </c>
      <c r="J71" s="184" t="s">
        <v>112</v>
      </c>
      <c r="K71" s="184" t="s">
        <v>120</v>
      </c>
      <c r="L71" s="184" t="s">
        <v>117</v>
      </c>
      <c r="M71" s="184">
        <v>0.0</v>
      </c>
      <c r="N71" s="184" t="s">
        <v>116</v>
      </c>
      <c r="O71" s="184">
        <v>19.0</v>
      </c>
      <c r="P71" s="184">
        <v>1.0</v>
      </c>
      <c r="Q71" s="184">
        <v>1.0</v>
      </c>
      <c r="R71" s="184" t="s">
        <v>115</v>
      </c>
      <c r="S71" s="218">
        <v>42979.0</v>
      </c>
      <c r="T71" s="105"/>
      <c r="U71" s="105" t="s">
        <v>3698</v>
      </c>
      <c r="V71" s="184" t="s">
        <v>3699</v>
      </c>
      <c r="W71" s="184" t="s">
        <v>122</v>
      </c>
      <c r="X71" s="197"/>
      <c r="Y71" s="197"/>
      <c r="Z71" s="170"/>
      <c r="AA71" s="219">
        <v>42874.0</v>
      </c>
      <c r="AB71" s="219">
        <v>42881.0</v>
      </c>
      <c r="AC71" s="4"/>
      <c r="AD71" s="4"/>
      <c r="AE71" s="184"/>
      <c r="AF71" s="4"/>
      <c r="AG71" s="4"/>
      <c r="AH71" s="216" t="s">
        <v>2071</v>
      </c>
      <c r="AI71" s="216" t="s">
        <v>3700</v>
      </c>
      <c r="AJ71" s="184"/>
      <c r="AK71" s="184"/>
      <c r="AL71" s="200">
        <f t="shared" si="2"/>
        <v>71</v>
      </c>
      <c r="AM71" s="201">
        <v>2017.0</v>
      </c>
    </row>
    <row r="72">
      <c r="A72" s="158">
        <f t="shared" si="1"/>
        <v>15632197</v>
      </c>
      <c r="B72" s="236">
        <v>72.0</v>
      </c>
      <c r="C72" s="236"/>
      <c r="D72" s="184" t="str">
        <f>IFERROR(VLOOKUP(E72,INFORMACION!D:E,2,0),"INGRESAR CENTRO DE COSTO A LA DERECHA")</f>
        <v>INGRESAR CENTRO DE COSTO A LA DERECHA</v>
      </c>
      <c r="E72" s="184" t="s">
        <v>3624</v>
      </c>
      <c r="F72" s="195" t="s">
        <v>2977</v>
      </c>
      <c r="G72" s="186" t="s">
        <v>3701</v>
      </c>
      <c r="H72" s="186">
        <v>6.0</v>
      </c>
      <c r="I72" s="186" t="s">
        <v>2541</v>
      </c>
      <c r="J72" s="184" t="s">
        <v>112</v>
      </c>
      <c r="K72" s="184" t="s">
        <v>114</v>
      </c>
      <c r="L72" s="184" t="s">
        <v>117</v>
      </c>
      <c r="M72" s="184">
        <v>4.0</v>
      </c>
      <c r="N72" s="184" t="s">
        <v>116</v>
      </c>
      <c r="O72" s="184">
        <v>12.0</v>
      </c>
      <c r="P72" s="184">
        <v>1.0</v>
      </c>
      <c r="Q72" s="184">
        <v>1.0</v>
      </c>
      <c r="R72" s="184" t="s">
        <v>121</v>
      </c>
      <c r="S72" s="218">
        <v>42948.0</v>
      </c>
      <c r="T72" s="105"/>
      <c r="U72" s="105" t="s">
        <v>3702</v>
      </c>
      <c r="V72" s="184" t="s">
        <v>3703</v>
      </c>
      <c r="W72" s="184" t="s">
        <v>122</v>
      </c>
      <c r="X72" s="197"/>
      <c r="Y72" s="170"/>
      <c r="Z72" s="170"/>
      <c r="AA72" s="219">
        <v>42920.0</v>
      </c>
      <c r="AB72" s="219">
        <v>42923.0</v>
      </c>
      <c r="AC72" s="4"/>
      <c r="AD72" s="4"/>
      <c r="AE72" s="184"/>
      <c r="AF72" s="4"/>
      <c r="AG72" s="4"/>
      <c r="AH72" s="216" t="s">
        <v>2071</v>
      </c>
      <c r="AI72" s="216" t="s">
        <v>3704</v>
      </c>
      <c r="AJ72" s="184"/>
      <c r="AK72" s="184"/>
      <c r="AL72" s="200">
        <f t="shared" si="2"/>
        <v>18</v>
      </c>
      <c r="AM72" s="201">
        <v>2017.0</v>
      </c>
    </row>
    <row r="73">
      <c r="A73" s="158">
        <f t="shared" si="1"/>
        <v>18114911</v>
      </c>
      <c r="B73" s="236">
        <v>73.0</v>
      </c>
      <c r="C73" s="236"/>
      <c r="D73" s="184" t="str">
        <f>IFERROR(VLOOKUP(E73,INFORMACION!D:E,2,0),"INGRESAR CENTRO DE COSTO A LA DERECHA")</f>
        <v>INGRESAR CENTRO DE COSTO A LA DERECHA</v>
      </c>
      <c r="E73" s="184" t="s">
        <v>3624</v>
      </c>
      <c r="F73" s="195" t="s">
        <v>2052</v>
      </c>
      <c r="G73" s="186" t="s">
        <v>3625</v>
      </c>
      <c r="H73" s="186">
        <v>8.0</v>
      </c>
      <c r="I73" s="186" t="s">
        <v>2541</v>
      </c>
      <c r="J73" s="184" t="s">
        <v>112</v>
      </c>
      <c r="K73" s="184" t="s">
        <v>114</v>
      </c>
      <c r="L73" s="184" t="s">
        <v>117</v>
      </c>
      <c r="M73" s="184">
        <v>0.0</v>
      </c>
      <c r="N73" s="184" t="s">
        <v>116</v>
      </c>
      <c r="O73" s="184">
        <v>9.0</v>
      </c>
      <c r="P73" s="184">
        <v>3.0</v>
      </c>
      <c r="Q73" s="184">
        <v>2.0</v>
      </c>
      <c r="R73" s="184" t="s">
        <v>121</v>
      </c>
      <c r="S73" s="218">
        <v>42979.0</v>
      </c>
      <c r="T73" s="105"/>
      <c r="U73" s="105" t="s">
        <v>3705</v>
      </c>
      <c r="V73" s="184" t="s">
        <v>3706</v>
      </c>
      <c r="W73" s="184" t="s">
        <v>122</v>
      </c>
      <c r="X73" s="170"/>
      <c r="Y73" s="170"/>
      <c r="Z73" s="170"/>
      <c r="AA73" s="219">
        <v>42929.0</v>
      </c>
      <c r="AB73" s="219">
        <v>42934.0</v>
      </c>
      <c r="AC73" s="4"/>
      <c r="AD73" s="4"/>
      <c r="AE73" s="184"/>
      <c r="AF73" s="4"/>
      <c r="AG73" s="4"/>
      <c r="AH73" s="216" t="s">
        <v>2071</v>
      </c>
      <c r="AI73" s="216" t="s">
        <v>3707</v>
      </c>
      <c r="AJ73" s="184"/>
      <c r="AK73" s="184"/>
      <c r="AL73" s="200">
        <f t="shared" si="2"/>
        <v>34</v>
      </c>
      <c r="AM73" s="201">
        <v>2017.0</v>
      </c>
    </row>
    <row r="74">
      <c r="A74" s="158">
        <f t="shared" si="1"/>
        <v>16331696</v>
      </c>
      <c r="B74" s="242">
        <v>74.0</v>
      </c>
      <c r="C74" s="242"/>
      <c r="D74" s="184" t="str">
        <f>IFERROR(VLOOKUP(E74,INFORMACION!D:E,2,0),"INGRESAR CENTRO DE COSTO A LA DERECHA")</f>
        <v>INGRESAR CENTRO DE COSTO A LA DERECHA</v>
      </c>
      <c r="E74" s="184" t="s">
        <v>1643</v>
      </c>
      <c r="F74" s="195" t="s">
        <v>2774</v>
      </c>
      <c r="G74" s="186" t="s">
        <v>1611</v>
      </c>
      <c r="H74" s="186">
        <v>14.0</v>
      </c>
      <c r="I74" s="186" t="s">
        <v>2541</v>
      </c>
      <c r="J74" s="184" t="s">
        <v>112</v>
      </c>
      <c r="K74" s="184" t="s">
        <v>114</v>
      </c>
      <c r="L74" s="184" t="s">
        <v>117</v>
      </c>
      <c r="M74" s="184">
        <v>0.0</v>
      </c>
      <c r="N74" s="184" t="s">
        <v>116</v>
      </c>
      <c r="O74" s="184">
        <v>40.0</v>
      </c>
      <c r="P74" s="184">
        <v>3.0</v>
      </c>
      <c r="Q74" s="184">
        <v>1.0</v>
      </c>
      <c r="R74" s="184" t="s">
        <v>115</v>
      </c>
      <c r="S74" s="218">
        <v>43038.0</v>
      </c>
      <c r="T74" s="105"/>
      <c r="U74" s="105" t="s">
        <v>3708</v>
      </c>
      <c r="V74" s="184" t="s">
        <v>3709</v>
      </c>
      <c r="W74" s="184" t="s">
        <v>118</v>
      </c>
      <c r="X74" s="197" t="s">
        <v>2102</v>
      </c>
      <c r="Y74" s="197" t="s">
        <v>2405</v>
      </c>
      <c r="Z74" s="170"/>
      <c r="AA74" s="219">
        <v>42954.0</v>
      </c>
      <c r="AB74" s="219">
        <v>42961.0</v>
      </c>
      <c r="AC74" s="4"/>
      <c r="AD74" s="4"/>
      <c r="AE74" s="184"/>
      <c r="AF74" s="4"/>
      <c r="AG74" s="4"/>
      <c r="AH74" s="216" t="s">
        <v>2071</v>
      </c>
      <c r="AI74" s="216" t="s">
        <v>2775</v>
      </c>
      <c r="AJ74" s="184"/>
      <c r="AK74" s="184"/>
      <c r="AL74" s="200">
        <f t="shared" si="2"/>
        <v>56</v>
      </c>
      <c r="AM74" s="201">
        <v>2017.0</v>
      </c>
    </row>
    <row r="75">
      <c r="A75" s="158">
        <f t="shared" si="1"/>
        <v>19270779</v>
      </c>
      <c r="B75" s="242">
        <v>75.0</v>
      </c>
      <c r="C75" s="242"/>
      <c r="D75" s="184" t="str">
        <f>IFERROR(VLOOKUP(E75,INFORMACION!D:E,2,0),"INGRESAR CENTRO DE COSTO A LA DERECHA")</f>
        <v>INGRESAR CENTRO DE COSTO A LA DERECHA</v>
      </c>
      <c r="E75" s="184" t="s">
        <v>1637</v>
      </c>
      <c r="F75" s="195" t="s">
        <v>2679</v>
      </c>
      <c r="G75" s="186" t="s">
        <v>3710</v>
      </c>
      <c r="H75" s="186">
        <v>20.0</v>
      </c>
      <c r="I75" s="186" t="s">
        <v>2541</v>
      </c>
      <c r="J75" s="184" t="s">
        <v>112</v>
      </c>
      <c r="K75" s="184" t="s">
        <v>120</v>
      </c>
      <c r="L75" s="184" t="s">
        <v>122</v>
      </c>
      <c r="M75" s="184">
        <v>0.0</v>
      </c>
      <c r="N75" s="184" t="s">
        <v>116</v>
      </c>
      <c r="O75" s="184">
        <v>10.0</v>
      </c>
      <c r="P75" s="184">
        <v>1.0</v>
      </c>
      <c r="Q75" s="184">
        <v>1.0</v>
      </c>
      <c r="R75" s="184" t="s">
        <v>121</v>
      </c>
      <c r="S75" s="218">
        <v>43031.0</v>
      </c>
      <c r="T75" s="105"/>
      <c r="U75" s="105" t="s">
        <v>3711</v>
      </c>
      <c r="V75" s="184" t="s">
        <v>3712</v>
      </c>
      <c r="W75" s="184" t="s">
        <v>122</v>
      </c>
      <c r="X75" s="197"/>
      <c r="Y75" s="197"/>
      <c r="Z75" s="197"/>
      <c r="AA75" s="219">
        <v>42972.0</v>
      </c>
      <c r="AB75" s="219">
        <v>42979.0</v>
      </c>
      <c r="AC75" s="4"/>
      <c r="AD75" s="4"/>
      <c r="AE75" s="184"/>
      <c r="AF75" s="4"/>
      <c r="AG75" s="4"/>
      <c r="AH75" s="216" t="s">
        <v>2071</v>
      </c>
      <c r="AI75" s="216" t="s">
        <v>3713</v>
      </c>
      <c r="AJ75" s="184"/>
      <c r="AK75" s="184"/>
      <c r="AL75" s="200">
        <f t="shared" si="2"/>
        <v>37</v>
      </c>
      <c r="AM75" s="201">
        <v>2017.0</v>
      </c>
    </row>
    <row r="76">
      <c r="A76" s="158">
        <f t="shared" si="1"/>
        <v>12471794</v>
      </c>
      <c r="B76" s="242">
        <v>76.0</v>
      </c>
      <c r="C76" s="242"/>
      <c r="D76" s="184" t="str">
        <f>IFERROR(VLOOKUP(E76,INFORMACION!D:E,2,0),"INGRESAR CENTRO DE COSTO A LA DERECHA")</f>
        <v>INGRESAR CENTRO DE COSTO A LA DERECHA</v>
      </c>
      <c r="E76" s="184" t="s">
        <v>3042</v>
      </c>
      <c r="F76" s="195" t="s">
        <v>2592</v>
      </c>
      <c r="G76" s="186" t="s">
        <v>2333</v>
      </c>
      <c r="H76" s="186">
        <v>17.0</v>
      </c>
      <c r="I76" s="186" t="s">
        <v>2541</v>
      </c>
      <c r="J76" s="184" t="s">
        <v>112</v>
      </c>
      <c r="K76" s="184" t="s">
        <v>120</v>
      </c>
      <c r="L76" s="184" t="s">
        <v>117</v>
      </c>
      <c r="M76" s="184">
        <v>1.0</v>
      </c>
      <c r="N76" s="184" t="s">
        <v>116</v>
      </c>
      <c r="O76" s="184">
        <v>17.0</v>
      </c>
      <c r="P76" s="184">
        <v>3.0</v>
      </c>
      <c r="Q76" s="184">
        <v>1.0</v>
      </c>
      <c r="R76" s="184" t="s">
        <v>115</v>
      </c>
      <c r="S76" s="218">
        <v>43010.0</v>
      </c>
      <c r="T76" s="105"/>
      <c r="U76" s="105" t="s">
        <v>3714</v>
      </c>
      <c r="V76" s="184" t="s">
        <v>3715</v>
      </c>
      <c r="W76" s="184" t="s">
        <v>122</v>
      </c>
      <c r="X76" s="170"/>
      <c r="Y76" s="170"/>
      <c r="Z76" s="170"/>
      <c r="AA76" s="219">
        <v>42934.0</v>
      </c>
      <c r="AB76" s="219">
        <v>42941.0</v>
      </c>
      <c r="AC76" s="4"/>
      <c r="AD76" s="4"/>
      <c r="AE76" s="184"/>
      <c r="AF76" s="4"/>
      <c r="AG76" s="4"/>
      <c r="AH76" s="216" t="s">
        <v>2071</v>
      </c>
      <c r="AI76" s="216" t="s">
        <v>3639</v>
      </c>
      <c r="AJ76" s="184"/>
      <c r="AK76" s="184"/>
      <c r="AL76" s="200">
        <f t="shared" si="2"/>
        <v>50</v>
      </c>
      <c r="AM76" s="201">
        <v>2017.0</v>
      </c>
    </row>
    <row r="77">
      <c r="A77" s="158">
        <f t="shared" si="1"/>
        <v>15932149</v>
      </c>
      <c r="B77" s="236">
        <v>77.0</v>
      </c>
      <c r="C77" s="236"/>
      <c r="D77" s="184" t="str">
        <f>IFERROR(VLOOKUP(E77,INFORMACION!D:E,2,0),"INGRESAR CENTRO DE COSTO A LA DERECHA")</f>
        <v>INGRESAR CENTRO DE COSTO A LA DERECHA</v>
      </c>
      <c r="E77" s="184" t="s">
        <v>3042</v>
      </c>
      <c r="F77" s="195" t="s">
        <v>2592</v>
      </c>
      <c r="G77" s="186" t="s">
        <v>2333</v>
      </c>
      <c r="H77" s="186">
        <v>17.0</v>
      </c>
      <c r="I77" s="186" t="s">
        <v>2541</v>
      </c>
      <c r="J77" s="184" t="s">
        <v>112</v>
      </c>
      <c r="K77" s="184" t="s">
        <v>120</v>
      </c>
      <c r="L77" s="184" t="s">
        <v>117</v>
      </c>
      <c r="M77" s="184">
        <v>1.0</v>
      </c>
      <c r="N77" s="184" t="s">
        <v>116</v>
      </c>
      <c r="O77" s="184">
        <v>17.0</v>
      </c>
      <c r="P77" s="184">
        <v>3.0</v>
      </c>
      <c r="Q77" s="184">
        <v>1.0</v>
      </c>
      <c r="R77" s="184" t="s">
        <v>115</v>
      </c>
      <c r="S77" s="218">
        <v>43010.0</v>
      </c>
      <c r="T77" s="105"/>
      <c r="U77" s="105" t="s">
        <v>3716</v>
      </c>
      <c r="V77" s="184" t="s">
        <v>3717</v>
      </c>
      <c r="W77" s="184" t="s">
        <v>118</v>
      </c>
      <c r="X77" s="197" t="s">
        <v>2102</v>
      </c>
      <c r="Y77" s="170"/>
      <c r="Z77" s="170"/>
      <c r="AA77" s="219">
        <v>42934.0</v>
      </c>
      <c r="AB77" s="219">
        <v>42941.0</v>
      </c>
      <c r="AC77" s="4"/>
      <c r="AD77" s="4"/>
      <c r="AE77" s="184"/>
      <c r="AF77" s="4"/>
      <c r="AG77" s="4"/>
      <c r="AH77" s="216" t="s">
        <v>2071</v>
      </c>
      <c r="AI77" s="216" t="s">
        <v>3639</v>
      </c>
      <c r="AJ77" s="184"/>
      <c r="AK77" s="184"/>
      <c r="AL77" s="200">
        <f t="shared" si="2"/>
        <v>50</v>
      </c>
      <c r="AM77" s="201">
        <v>2017.0</v>
      </c>
    </row>
    <row r="78">
      <c r="A78" s="158">
        <f t="shared" si="1"/>
        <v>13438545</v>
      </c>
      <c r="B78" s="236">
        <v>78.0</v>
      </c>
      <c r="C78" s="236"/>
      <c r="D78" s="184" t="str">
        <f>IFERROR(VLOOKUP(E78,INFORMACION!D:E,2,0),"INGRESAR CENTRO DE COSTO A LA DERECHA")</f>
        <v>INGRESAR CENTRO DE COSTO A LA DERECHA</v>
      </c>
      <c r="E78" s="184" t="s">
        <v>3180</v>
      </c>
      <c r="F78" s="195" t="s">
        <v>2650</v>
      </c>
      <c r="G78" s="186" t="s">
        <v>3718</v>
      </c>
      <c r="H78" s="186">
        <v>17.0</v>
      </c>
      <c r="I78" s="186" t="s">
        <v>2541</v>
      </c>
      <c r="J78" s="184" t="s">
        <v>112</v>
      </c>
      <c r="K78" s="184" t="s">
        <v>120</v>
      </c>
      <c r="L78" s="184" t="s">
        <v>117</v>
      </c>
      <c r="M78" s="184">
        <v>1.0</v>
      </c>
      <c r="N78" s="184" t="s">
        <v>116</v>
      </c>
      <c r="O78" s="184">
        <v>12.0</v>
      </c>
      <c r="P78" s="184">
        <v>1.0</v>
      </c>
      <c r="Q78" s="184">
        <v>1.0</v>
      </c>
      <c r="R78" s="184" t="s">
        <v>121</v>
      </c>
      <c r="S78" s="218">
        <v>42917.0</v>
      </c>
      <c r="T78" s="105"/>
      <c r="U78" s="105" t="s">
        <v>3719</v>
      </c>
      <c r="V78" s="184" t="s">
        <v>3720</v>
      </c>
      <c r="W78" s="184" t="s">
        <v>122</v>
      </c>
      <c r="X78" s="170"/>
      <c r="Y78" s="170"/>
      <c r="Z78" s="170"/>
      <c r="AA78" s="219">
        <v>42843.0</v>
      </c>
      <c r="AB78" s="219">
        <v>42850.0</v>
      </c>
      <c r="AC78" s="4"/>
      <c r="AD78" s="4"/>
      <c r="AE78" s="184"/>
      <c r="AF78" s="4"/>
      <c r="AG78" s="4"/>
      <c r="AH78" s="216" t="s">
        <v>2071</v>
      </c>
      <c r="AI78" s="216" t="s">
        <v>3721</v>
      </c>
      <c r="AJ78" s="184"/>
      <c r="AK78" s="184"/>
      <c r="AL78" s="200">
        <f t="shared" si="2"/>
        <v>49</v>
      </c>
      <c r="AM78" s="201">
        <v>2017.0</v>
      </c>
    </row>
    <row r="79">
      <c r="A79" s="158">
        <f t="shared" si="1"/>
        <v>8540708</v>
      </c>
      <c r="B79" s="242">
        <v>79.0</v>
      </c>
      <c r="C79" s="242"/>
      <c r="D79" s="184" t="str">
        <f>IFERROR(VLOOKUP(E79,INFORMACION!D:E,2,0),"INGRESAR CENTRO DE COSTO A LA DERECHA")</f>
        <v>INGRESAR CENTRO DE COSTO A LA DERECHA</v>
      </c>
      <c r="E79" s="184" t="s">
        <v>2015</v>
      </c>
      <c r="F79" s="195" t="s">
        <v>2690</v>
      </c>
      <c r="G79" s="186" t="s">
        <v>1815</v>
      </c>
      <c r="H79" s="186"/>
      <c r="I79" s="186" t="s">
        <v>2582</v>
      </c>
      <c r="J79" s="184" t="s">
        <v>3722</v>
      </c>
      <c r="K79" s="184"/>
      <c r="L79" s="184" t="s">
        <v>122</v>
      </c>
      <c r="M79" s="184">
        <v>0.0</v>
      </c>
      <c r="N79" s="184" t="s">
        <v>116</v>
      </c>
      <c r="O79" s="184">
        <v>2.0</v>
      </c>
      <c r="P79" s="184">
        <v>2.0</v>
      </c>
      <c r="Q79" s="184">
        <v>3.0</v>
      </c>
      <c r="R79" s="184" t="s">
        <v>121</v>
      </c>
      <c r="S79" s="218">
        <v>43041.0</v>
      </c>
      <c r="T79" s="105"/>
      <c r="U79" s="105" t="s">
        <v>3723</v>
      </c>
      <c r="V79" s="184" t="s">
        <v>3724</v>
      </c>
      <c r="W79" s="184" t="s">
        <v>122</v>
      </c>
      <c r="X79" s="197"/>
      <c r="Y79" s="170"/>
      <c r="Z79" s="170"/>
      <c r="AA79" s="219">
        <v>42853.0</v>
      </c>
      <c r="AB79" s="219">
        <v>43007.0</v>
      </c>
      <c r="AC79" s="4"/>
      <c r="AD79" s="4"/>
      <c r="AE79" s="184"/>
      <c r="AF79" s="4"/>
      <c r="AG79" s="4"/>
      <c r="AH79" s="216" t="s">
        <v>2071</v>
      </c>
      <c r="AI79" s="216" t="s">
        <v>3725</v>
      </c>
      <c r="AJ79" s="184"/>
      <c r="AK79" s="184"/>
      <c r="AL79" s="200">
        <f t="shared" si="2"/>
        <v>25</v>
      </c>
      <c r="AM79" s="201">
        <v>2017.0</v>
      </c>
    </row>
    <row r="80">
      <c r="A80" s="158">
        <f t="shared" si="1"/>
        <v>13951491</v>
      </c>
      <c r="B80" s="242">
        <v>80.0</v>
      </c>
      <c r="C80" s="242"/>
      <c r="D80" s="184" t="str">
        <f>IFERROR(VLOOKUP(E80,INFORMACION!D:E,2,0),"INGRESAR CENTRO DE COSTO A LA DERECHA")</f>
        <v>INGRESAR CENTRO DE COSTO A LA DERECHA</v>
      </c>
      <c r="E80" s="184" t="s">
        <v>2015</v>
      </c>
      <c r="F80" s="195" t="s">
        <v>2690</v>
      </c>
      <c r="G80" s="186" t="s">
        <v>1815</v>
      </c>
      <c r="H80" s="186"/>
      <c r="I80" s="186" t="s">
        <v>2582</v>
      </c>
      <c r="J80" s="184" t="s">
        <v>3722</v>
      </c>
      <c r="K80" s="184"/>
      <c r="L80" s="184" t="s">
        <v>122</v>
      </c>
      <c r="M80" s="184">
        <v>0.0</v>
      </c>
      <c r="N80" s="184" t="s">
        <v>116</v>
      </c>
      <c r="O80" s="184">
        <v>2.0</v>
      </c>
      <c r="P80" s="184">
        <v>2.0</v>
      </c>
      <c r="Q80" s="184">
        <v>2.0</v>
      </c>
      <c r="R80" s="184" t="s">
        <v>121</v>
      </c>
      <c r="S80" s="218">
        <v>43039.0</v>
      </c>
      <c r="T80" s="105"/>
      <c r="U80" s="105" t="s">
        <v>3726</v>
      </c>
      <c r="V80" s="184" t="s">
        <v>3727</v>
      </c>
      <c r="W80" s="184" t="s">
        <v>122</v>
      </c>
      <c r="X80" s="197"/>
      <c r="Y80" s="170"/>
      <c r="Z80" s="170"/>
      <c r="AA80" s="219">
        <v>42853.0</v>
      </c>
      <c r="AB80" s="219">
        <v>43007.0</v>
      </c>
      <c r="AC80" s="4"/>
      <c r="AD80" s="4"/>
      <c r="AE80" s="184"/>
      <c r="AF80" s="4"/>
      <c r="AG80" s="4"/>
      <c r="AH80" s="216" t="s">
        <v>2071</v>
      </c>
      <c r="AI80" s="216" t="s">
        <v>3725</v>
      </c>
      <c r="AJ80" s="184"/>
      <c r="AK80" s="184"/>
      <c r="AL80" s="200">
        <f t="shared" si="2"/>
        <v>23</v>
      </c>
      <c r="AM80" s="201">
        <v>2017.0</v>
      </c>
    </row>
    <row r="81">
      <c r="A81" s="158">
        <f t="shared" si="1"/>
        <v>13048402</v>
      </c>
      <c r="B81" s="242">
        <v>81.0</v>
      </c>
      <c r="C81" s="242"/>
      <c r="D81" s="184" t="str">
        <f>IFERROR(VLOOKUP(E81,INFORMACION!D:E,2,0),"INGRESAR CENTRO DE COSTO A LA DERECHA")</f>
        <v>INGRESAR CENTRO DE COSTO A LA DERECHA</v>
      </c>
      <c r="E81" s="184" t="s">
        <v>1602</v>
      </c>
      <c r="F81" s="195" t="s">
        <v>2642</v>
      </c>
      <c r="G81" s="186" t="s">
        <v>1907</v>
      </c>
      <c r="H81" s="186">
        <v>13.0</v>
      </c>
      <c r="I81" s="186" t="s">
        <v>2541</v>
      </c>
      <c r="J81" s="184" t="s">
        <v>112</v>
      </c>
      <c r="K81" s="184" t="s">
        <v>114</v>
      </c>
      <c r="L81" s="184" t="s">
        <v>117</v>
      </c>
      <c r="M81" s="184">
        <v>0.0</v>
      </c>
      <c r="N81" s="184" t="s">
        <v>116</v>
      </c>
      <c r="O81" s="184">
        <v>38.0</v>
      </c>
      <c r="P81" s="184">
        <v>3.0</v>
      </c>
      <c r="Q81" s="184">
        <v>2.0</v>
      </c>
      <c r="R81" s="184" t="s">
        <v>115</v>
      </c>
      <c r="S81" s="218">
        <v>43010.0</v>
      </c>
      <c r="T81" s="105"/>
      <c r="U81" s="105" t="s">
        <v>3728</v>
      </c>
      <c r="V81" s="184" t="s">
        <v>3729</v>
      </c>
      <c r="W81" s="184" t="s">
        <v>118</v>
      </c>
      <c r="X81" s="197" t="s">
        <v>2523</v>
      </c>
      <c r="Y81" s="170"/>
      <c r="Z81" s="170"/>
      <c r="AA81" s="219">
        <v>42943.0</v>
      </c>
      <c r="AB81" s="219">
        <v>42950.0</v>
      </c>
      <c r="AC81" s="4"/>
      <c r="AD81" s="4"/>
      <c r="AE81" s="184"/>
      <c r="AF81" s="4"/>
      <c r="AG81" s="4"/>
      <c r="AH81" s="216" t="s">
        <v>2071</v>
      </c>
      <c r="AI81" s="216" t="s">
        <v>3730</v>
      </c>
      <c r="AJ81" s="184"/>
      <c r="AK81" s="184"/>
      <c r="AL81" s="200">
        <f t="shared" si="2"/>
        <v>43</v>
      </c>
      <c r="AM81" s="201">
        <v>2017.0</v>
      </c>
    </row>
    <row r="82">
      <c r="A82" s="158">
        <f t="shared" si="1"/>
        <v>16648725</v>
      </c>
      <c r="B82" s="242">
        <v>82.0</v>
      </c>
      <c r="C82" s="242"/>
      <c r="D82" s="184" t="str">
        <f>IFERROR(VLOOKUP(E82,INFORMACION!D:E,2,0),"INGRESAR CENTRO DE COSTO A LA DERECHA")</f>
        <v>INGRESAR CENTRO DE COSTO A LA DERECHA</v>
      </c>
      <c r="E82" s="184" t="s">
        <v>1637</v>
      </c>
      <c r="F82" s="195" t="s">
        <v>2679</v>
      </c>
      <c r="G82" s="186" t="s">
        <v>3731</v>
      </c>
      <c r="H82" s="186">
        <v>20.0</v>
      </c>
      <c r="I82" s="186" t="s">
        <v>2541</v>
      </c>
      <c r="J82" s="184" t="s">
        <v>112</v>
      </c>
      <c r="K82" s="184" t="s">
        <v>120</v>
      </c>
      <c r="L82" s="184" t="s">
        <v>117</v>
      </c>
      <c r="M82" s="184">
        <v>2.0</v>
      </c>
      <c r="N82" s="184" t="s">
        <v>116</v>
      </c>
      <c r="O82" s="184">
        <v>8.0</v>
      </c>
      <c r="P82" s="184">
        <v>3.0</v>
      </c>
      <c r="Q82" s="184">
        <v>1.0</v>
      </c>
      <c r="R82" s="184" t="s">
        <v>121</v>
      </c>
      <c r="S82" s="218">
        <v>43066.0</v>
      </c>
      <c r="T82" s="105"/>
      <c r="U82" s="105" t="s">
        <v>3732</v>
      </c>
      <c r="V82" s="184" t="s">
        <v>3733</v>
      </c>
      <c r="W82" s="184" t="s">
        <v>118</v>
      </c>
      <c r="X82" s="197" t="s">
        <v>2405</v>
      </c>
      <c r="Y82" s="170"/>
      <c r="Z82" s="170"/>
      <c r="AA82" s="219">
        <v>43021.0</v>
      </c>
      <c r="AB82" s="219">
        <v>43028.0</v>
      </c>
      <c r="AC82" s="4"/>
      <c r="AD82" s="4"/>
      <c r="AE82" s="184"/>
      <c r="AF82" s="4"/>
      <c r="AG82" s="4"/>
      <c r="AH82" s="216" t="s">
        <v>2071</v>
      </c>
      <c r="AI82" s="216" t="s">
        <v>3639</v>
      </c>
      <c r="AJ82" s="184"/>
      <c r="AK82" s="184"/>
      <c r="AL82" s="200">
        <f t="shared" si="2"/>
        <v>27</v>
      </c>
      <c r="AM82" s="201">
        <v>2017.0</v>
      </c>
    </row>
    <row r="83">
      <c r="A83" s="158">
        <f t="shared" si="1"/>
        <v>11168851</v>
      </c>
      <c r="B83" s="259">
        <v>83.0</v>
      </c>
      <c r="C83" s="259"/>
      <c r="D83" s="184" t="str">
        <f>IFERROR(VLOOKUP(E83,INFORMACION!D:E,2,0),"INGRESAR CENTRO DE COSTO A LA DERECHA")</f>
        <v>INGRESAR CENTRO DE COSTO A LA DERECHA</v>
      </c>
      <c r="E83" s="184" t="s">
        <v>1740</v>
      </c>
      <c r="F83" s="195" t="s">
        <v>2043</v>
      </c>
      <c r="G83" s="186" t="s">
        <v>1824</v>
      </c>
      <c r="H83" s="186">
        <v>20.0</v>
      </c>
      <c r="I83" s="186" t="s">
        <v>2541</v>
      </c>
      <c r="J83" s="184" t="s">
        <v>112</v>
      </c>
      <c r="K83" s="184" t="s">
        <v>120</v>
      </c>
      <c r="L83" s="184" t="s">
        <v>117</v>
      </c>
      <c r="M83" s="184">
        <v>1.0</v>
      </c>
      <c r="N83" s="184" t="s">
        <v>116</v>
      </c>
      <c r="O83" s="184">
        <v>13.0</v>
      </c>
      <c r="P83" s="184">
        <v>1.0</v>
      </c>
      <c r="Q83" s="184">
        <v>4.0</v>
      </c>
      <c r="R83" s="184" t="s">
        <v>121</v>
      </c>
      <c r="S83" s="218">
        <v>43066.0</v>
      </c>
      <c r="T83" s="105"/>
      <c r="U83" s="105" t="s">
        <v>3734</v>
      </c>
      <c r="V83" s="184" t="s">
        <v>3735</v>
      </c>
      <c r="W83" s="184" t="s">
        <v>118</v>
      </c>
      <c r="X83" s="197" t="s">
        <v>2405</v>
      </c>
      <c r="Y83" s="170"/>
      <c r="Z83" s="170"/>
      <c r="AA83" s="219">
        <v>43025.0</v>
      </c>
      <c r="AB83" s="219">
        <v>43032.0</v>
      </c>
      <c r="AC83" s="4"/>
      <c r="AD83" s="4"/>
      <c r="AE83" s="184"/>
      <c r="AF83" s="4"/>
      <c r="AG83" s="4"/>
      <c r="AH83" s="216" t="s">
        <v>2071</v>
      </c>
      <c r="AI83" s="216" t="s">
        <v>3639</v>
      </c>
      <c r="AJ83" s="184"/>
      <c r="AK83" s="184"/>
      <c r="AL83" s="200">
        <f t="shared" si="2"/>
        <v>25</v>
      </c>
      <c r="AM83" s="201">
        <v>2017.0</v>
      </c>
    </row>
    <row r="84">
      <c r="A84" s="158">
        <f t="shared" si="1"/>
        <v>17387266</v>
      </c>
      <c r="B84" s="236">
        <v>84.0</v>
      </c>
      <c r="C84" s="236"/>
      <c r="D84" s="184" t="str">
        <f>IFERROR(VLOOKUP(E84,INFORMACION!D:E,2,0),"INGRESAR CENTRO DE COSTO A LA DERECHA")</f>
        <v>INGRESAR CENTRO DE COSTO A LA DERECHA</v>
      </c>
      <c r="E84" s="184" t="s">
        <v>3011</v>
      </c>
      <c r="F84" s="195" t="s">
        <v>2635</v>
      </c>
      <c r="G84" s="186" t="s">
        <v>3736</v>
      </c>
      <c r="H84" s="186">
        <v>13.0</v>
      </c>
      <c r="I84" s="186" t="s">
        <v>2541</v>
      </c>
      <c r="J84" s="184" t="s">
        <v>112</v>
      </c>
      <c r="K84" s="184" t="s">
        <v>114</v>
      </c>
      <c r="L84" s="184" t="s">
        <v>117</v>
      </c>
      <c r="M84" s="184">
        <v>1.0</v>
      </c>
      <c r="N84" s="184" t="s">
        <v>116</v>
      </c>
      <c r="O84" s="184">
        <v>40.0</v>
      </c>
      <c r="P84" s="184">
        <v>2.0</v>
      </c>
      <c r="Q84" s="184">
        <v>2.0</v>
      </c>
      <c r="R84" s="184" t="s">
        <v>121</v>
      </c>
      <c r="S84" s="218">
        <v>43070.0</v>
      </c>
      <c r="T84" s="105"/>
      <c r="U84" s="105" t="s">
        <v>3737</v>
      </c>
      <c r="V84" s="184" t="s">
        <v>3738</v>
      </c>
      <c r="W84" s="184" t="s">
        <v>122</v>
      </c>
      <c r="X84" s="170"/>
      <c r="Y84" s="170"/>
      <c r="Z84" s="170"/>
      <c r="AA84" s="219">
        <v>43020.0</v>
      </c>
      <c r="AB84" s="219">
        <v>43027.0</v>
      </c>
      <c r="AC84" s="4"/>
      <c r="AD84" s="4"/>
      <c r="AE84" s="184"/>
      <c r="AF84" s="4"/>
      <c r="AG84" s="4"/>
      <c r="AH84" s="216" t="s">
        <v>2071</v>
      </c>
      <c r="AI84" s="216" t="s">
        <v>3600</v>
      </c>
      <c r="AJ84" s="184"/>
      <c r="AK84" s="184"/>
      <c r="AL84" s="200">
        <f t="shared" si="2"/>
        <v>32</v>
      </c>
      <c r="AM84" s="201">
        <v>2017.0</v>
      </c>
    </row>
    <row r="85">
      <c r="A85" s="158">
        <f t="shared" si="1"/>
        <v>18456224</v>
      </c>
      <c r="B85" s="236">
        <v>85.0</v>
      </c>
      <c r="C85" s="236"/>
      <c r="D85" s="184" t="str">
        <f>IFERROR(VLOOKUP(E85,INFORMACION!D:E,2,0),"INGRESAR CENTRO DE COSTO A LA DERECHA")</f>
        <v>INGRESAR CENTRO DE COSTO A LA DERECHA</v>
      </c>
      <c r="E85" s="184" t="s">
        <v>2937</v>
      </c>
      <c r="F85" s="195" t="s">
        <v>2650</v>
      </c>
      <c r="G85" s="186" t="s">
        <v>3739</v>
      </c>
      <c r="H85" s="186">
        <v>17.0</v>
      </c>
      <c r="I85" s="186" t="s">
        <v>2541</v>
      </c>
      <c r="J85" s="184" t="s">
        <v>112</v>
      </c>
      <c r="K85" s="184" t="s">
        <v>120</v>
      </c>
      <c r="L85" s="184" t="s">
        <v>117</v>
      </c>
      <c r="M85" s="184">
        <v>1.0</v>
      </c>
      <c r="N85" s="184" t="s">
        <v>116</v>
      </c>
      <c r="O85" s="184">
        <v>8.0</v>
      </c>
      <c r="P85" s="184">
        <v>1.0</v>
      </c>
      <c r="Q85" s="184">
        <v>1.0</v>
      </c>
      <c r="R85" s="184" t="s">
        <v>121</v>
      </c>
      <c r="S85" s="218">
        <v>43061.0</v>
      </c>
      <c r="T85" s="105"/>
      <c r="U85" s="105" t="s">
        <v>3740</v>
      </c>
      <c r="V85" s="184" t="s">
        <v>3741</v>
      </c>
      <c r="W85" s="184" t="s">
        <v>122</v>
      </c>
      <c r="X85" s="170"/>
      <c r="Y85" s="170"/>
      <c r="Z85" s="170"/>
      <c r="AA85" s="219">
        <v>43021.0</v>
      </c>
      <c r="AB85" s="219">
        <v>43028.0</v>
      </c>
      <c r="AC85" s="4"/>
      <c r="AD85" s="4"/>
      <c r="AE85" s="184"/>
      <c r="AF85" s="4"/>
      <c r="AG85" s="4"/>
      <c r="AH85" s="216" t="s">
        <v>2071</v>
      </c>
      <c r="AI85" s="216" t="s">
        <v>3742</v>
      </c>
      <c r="AJ85" s="184"/>
      <c r="AK85" s="184"/>
      <c r="AL85" s="200">
        <f t="shared" si="2"/>
        <v>24</v>
      </c>
      <c r="AM85" s="201">
        <v>2017.0</v>
      </c>
    </row>
    <row r="86">
      <c r="A86" s="158">
        <f t="shared" si="1"/>
        <v>15401585</v>
      </c>
      <c r="B86" s="242">
        <v>87.0</v>
      </c>
      <c r="C86" s="242"/>
      <c r="D86" s="184" t="str">
        <f>IFERROR(VLOOKUP(E86,INFORMACION!D:E,2,0),"INGRESAR CENTRO DE COSTO A LA DERECHA")</f>
        <v>INGRESAR CENTRO DE COSTO A LA DERECHA</v>
      </c>
      <c r="E86" s="184" t="s">
        <v>1975</v>
      </c>
      <c r="F86" s="195" t="s">
        <v>2631</v>
      </c>
      <c r="G86" s="186" t="s">
        <v>3353</v>
      </c>
      <c r="H86" s="186">
        <v>23.0</v>
      </c>
      <c r="I86" s="186" t="s">
        <v>2541</v>
      </c>
      <c r="J86" s="184" t="s">
        <v>112</v>
      </c>
      <c r="K86" s="184" t="s">
        <v>127</v>
      </c>
      <c r="L86" s="184" t="s">
        <v>117</v>
      </c>
      <c r="M86" s="184">
        <v>0.0</v>
      </c>
      <c r="N86" s="184" t="s">
        <v>116</v>
      </c>
      <c r="O86" s="184">
        <v>21.0</v>
      </c>
      <c r="P86" s="184">
        <v>1.0</v>
      </c>
      <c r="Q86" s="184">
        <v>6.0</v>
      </c>
      <c r="R86" s="184" t="s">
        <v>115</v>
      </c>
      <c r="S86" s="218">
        <v>43080.0</v>
      </c>
      <c r="T86" s="105"/>
      <c r="U86" s="105" t="s">
        <v>3743</v>
      </c>
      <c r="V86" s="184" t="s">
        <v>3744</v>
      </c>
      <c r="W86" s="184" t="s">
        <v>118</v>
      </c>
      <c r="X86" s="197" t="s">
        <v>2405</v>
      </c>
      <c r="Y86" s="170"/>
      <c r="Z86" s="197"/>
      <c r="AA86" s="219">
        <v>43045.0</v>
      </c>
      <c r="AB86" s="219">
        <v>43052.0</v>
      </c>
      <c r="AC86" s="4"/>
      <c r="AD86" s="4"/>
      <c r="AE86" s="184"/>
      <c r="AF86" s="4"/>
      <c r="AG86" s="4"/>
      <c r="AH86" s="216" t="s">
        <v>2071</v>
      </c>
      <c r="AI86" s="216" t="s">
        <v>2633</v>
      </c>
      <c r="AJ86" s="184"/>
      <c r="AK86" s="184"/>
      <c r="AL86" s="200">
        <f t="shared" si="2"/>
        <v>21</v>
      </c>
      <c r="AM86" s="201">
        <v>2017.0</v>
      </c>
    </row>
    <row r="87">
      <c r="A87" s="158">
        <f t="shared" si="1"/>
        <v>13887751</v>
      </c>
      <c r="B87" s="242">
        <v>88.0</v>
      </c>
      <c r="C87" s="242"/>
      <c r="D87" s="184" t="str">
        <f>IFERROR(VLOOKUP(E87,INFORMACION!D:E,2,0),"INGRESAR CENTRO DE COSTO A LA DERECHA")</f>
        <v>INGRESAR CENTRO DE COSTO A LA DERECHA</v>
      </c>
      <c r="E87" s="184" t="s">
        <v>2883</v>
      </c>
      <c r="F87" s="195" t="s">
        <v>2802</v>
      </c>
      <c r="G87" s="186" t="s">
        <v>3745</v>
      </c>
      <c r="H87" s="186">
        <v>17.0</v>
      </c>
      <c r="I87" s="186" t="s">
        <v>2541</v>
      </c>
      <c r="J87" s="184" t="s">
        <v>112</v>
      </c>
      <c r="K87" s="184" t="s">
        <v>125</v>
      </c>
      <c r="L87" s="184" t="s">
        <v>117</v>
      </c>
      <c r="M87" s="184">
        <v>0.0</v>
      </c>
      <c r="N87" s="184" t="s">
        <v>116</v>
      </c>
      <c r="O87" s="184">
        <v>5.0</v>
      </c>
      <c r="P87" s="184">
        <v>1.0</v>
      </c>
      <c r="Q87" s="184">
        <v>2.0</v>
      </c>
      <c r="R87" s="184" t="s">
        <v>121</v>
      </c>
      <c r="S87" s="218">
        <v>43087.0</v>
      </c>
      <c r="T87" s="105"/>
      <c r="U87" s="105" t="s">
        <v>3746</v>
      </c>
      <c r="V87" s="184" t="s">
        <v>3747</v>
      </c>
      <c r="W87" s="184" t="s">
        <v>118</v>
      </c>
      <c r="X87" s="197" t="s">
        <v>2413</v>
      </c>
      <c r="Y87" s="197" t="s">
        <v>2381</v>
      </c>
      <c r="Z87" s="170"/>
      <c r="AA87" s="219">
        <v>43025.0</v>
      </c>
      <c r="AB87" s="219">
        <v>43041.0</v>
      </c>
      <c r="AC87" s="4"/>
      <c r="AD87" s="4"/>
      <c r="AE87" s="184"/>
      <c r="AF87" s="4"/>
      <c r="AG87" s="4"/>
      <c r="AH87" s="216" t="s">
        <v>2071</v>
      </c>
      <c r="AI87" s="216" t="s">
        <v>3748</v>
      </c>
      <c r="AJ87" s="184"/>
      <c r="AK87" s="184"/>
      <c r="AL87" s="200">
        <f t="shared" si="2"/>
        <v>33</v>
      </c>
      <c r="AM87" s="201">
        <v>2017.0</v>
      </c>
    </row>
    <row r="88">
      <c r="A88" s="158">
        <f t="shared" si="1"/>
        <v>11884683</v>
      </c>
      <c r="B88" s="242">
        <v>89.0</v>
      </c>
      <c r="C88" s="242"/>
      <c r="D88" s="184" t="str">
        <f>IFERROR(VLOOKUP(E88,INFORMACION!D:E,2,0),"INGRESAR CENTRO DE COSTO A LA DERECHA")</f>
        <v>INGRESAR CENTRO DE COSTO A LA DERECHA</v>
      </c>
      <c r="E88" s="184" t="s">
        <v>2883</v>
      </c>
      <c r="F88" s="195" t="s">
        <v>2848</v>
      </c>
      <c r="G88" s="186" t="s">
        <v>3749</v>
      </c>
      <c r="H88" s="186">
        <v>13.0</v>
      </c>
      <c r="I88" s="186" t="s">
        <v>2541</v>
      </c>
      <c r="J88" s="184" t="s">
        <v>112</v>
      </c>
      <c r="K88" s="184" t="s">
        <v>114</v>
      </c>
      <c r="L88" s="184" t="s">
        <v>117</v>
      </c>
      <c r="M88" s="184">
        <v>0.0</v>
      </c>
      <c r="N88" s="184" t="s">
        <v>116</v>
      </c>
      <c r="O88" s="184">
        <v>10.0</v>
      </c>
      <c r="P88" s="184">
        <v>3.0</v>
      </c>
      <c r="Q88" s="184">
        <v>0.0</v>
      </c>
      <c r="R88" s="184" t="s">
        <v>115</v>
      </c>
      <c r="S88" s="218">
        <v>43059.0</v>
      </c>
      <c r="T88" s="105"/>
      <c r="U88" s="105" t="s">
        <v>3750</v>
      </c>
      <c r="V88" s="184" t="s">
        <v>3751</v>
      </c>
      <c r="W88" s="184" t="s">
        <v>118</v>
      </c>
      <c r="X88" s="197" t="s">
        <v>138</v>
      </c>
      <c r="Y88" s="197" t="s">
        <v>154</v>
      </c>
      <c r="Z88" s="197" t="s">
        <v>164</v>
      </c>
      <c r="AA88" s="219">
        <v>43024.0</v>
      </c>
      <c r="AB88" s="219">
        <v>43031.0</v>
      </c>
      <c r="AC88" s="4"/>
      <c r="AD88" s="4"/>
      <c r="AE88" s="184"/>
      <c r="AF88" s="4"/>
      <c r="AG88" s="4"/>
      <c r="AH88" s="216"/>
      <c r="AI88" s="216"/>
      <c r="AJ88" s="184"/>
      <c r="AK88" s="184"/>
      <c r="AL88" s="200">
        <f t="shared" si="2"/>
        <v>21</v>
      </c>
      <c r="AM88" s="201">
        <v>2017.0</v>
      </c>
    </row>
    <row r="89">
      <c r="A89" s="158">
        <f t="shared" si="1"/>
        <v>15854032</v>
      </c>
      <c r="B89" s="259">
        <v>90.0</v>
      </c>
      <c r="C89" s="259"/>
      <c r="D89" s="184" t="str">
        <f>IFERROR(VLOOKUP(E89,INFORMACION!D:E,2,0),"INGRESAR CENTRO DE COSTO A LA DERECHA")</f>
        <v>INGRESAR CENTRO DE COSTO A LA DERECHA</v>
      </c>
      <c r="E89" s="184" t="s">
        <v>2883</v>
      </c>
      <c r="F89" s="195" t="s">
        <v>2848</v>
      </c>
      <c r="G89" s="186" t="s">
        <v>2849</v>
      </c>
      <c r="H89" s="186">
        <v>13.0</v>
      </c>
      <c r="I89" s="186" t="s">
        <v>2541</v>
      </c>
      <c r="J89" s="184" t="s">
        <v>112</v>
      </c>
      <c r="K89" s="184" t="s">
        <v>114</v>
      </c>
      <c r="L89" s="184" t="s">
        <v>122</v>
      </c>
      <c r="M89" s="184">
        <v>0.0</v>
      </c>
      <c r="N89" s="184" t="s">
        <v>116</v>
      </c>
      <c r="O89" s="184">
        <v>5.0</v>
      </c>
      <c r="P89" s="184">
        <v>1.0</v>
      </c>
      <c r="Q89" s="184">
        <v>0.0</v>
      </c>
      <c r="R89" s="184" t="s">
        <v>115</v>
      </c>
      <c r="S89" s="218">
        <v>43088.0</v>
      </c>
      <c r="T89" s="105"/>
      <c r="U89" s="105" t="s">
        <v>3752</v>
      </c>
      <c r="V89" s="184" t="s">
        <v>3753</v>
      </c>
      <c r="W89" s="184" t="s">
        <v>122</v>
      </c>
      <c r="X89" s="197"/>
      <c r="Y89" s="197"/>
      <c r="Z89" s="197"/>
      <c r="AA89" s="219">
        <v>43056.0</v>
      </c>
      <c r="AB89" s="219">
        <v>43063.0</v>
      </c>
      <c r="AC89" s="4"/>
      <c r="AD89" s="4"/>
      <c r="AE89" s="184"/>
      <c r="AF89" s="4"/>
      <c r="AG89" s="4"/>
      <c r="AH89" s="216"/>
      <c r="AI89" s="216"/>
      <c r="AJ89" s="184"/>
      <c r="AK89" s="184"/>
      <c r="AL89" s="200">
        <f t="shared" si="2"/>
        <v>18</v>
      </c>
      <c r="AM89" s="201">
        <v>2017.0</v>
      </c>
    </row>
    <row r="90">
      <c r="A90" s="158">
        <f t="shared" si="1"/>
        <v>15003727</v>
      </c>
      <c r="B90" s="242">
        <v>91.0</v>
      </c>
      <c r="C90" s="242"/>
      <c r="D90" s="184" t="str">
        <f>IFERROR(VLOOKUP(E90,INFORMACION!D:E,2,0),"INGRESAR CENTRO DE COSTO A LA DERECHA")</f>
        <v>INGRESAR CENTRO DE COSTO A LA DERECHA</v>
      </c>
      <c r="E90" s="184" t="s">
        <v>15</v>
      </c>
      <c r="F90" s="195" t="s">
        <v>3424</v>
      </c>
      <c r="G90" s="186" t="s">
        <v>3754</v>
      </c>
      <c r="H90" s="186">
        <v>8.0</v>
      </c>
      <c r="I90" s="186" t="s">
        <v>2541</v>
      </c>
      <c r="J90" s="184" t="s">
        <v>112</v>
      </c>
      <c r="K90" s="184" t="s">
        <v>114</v>
      </c>
      <c r="L90" s="184" t="s">
        <v>117</v>
      </c>
      <c r="M90" s="184">
        <v>2.0</v>
      </c>
      <c r="N90" s="184" t="s">
        <v>116</v>
      </c>
      <c r="O90" s="184">
        <v>18.0</v>
      </c>
      <c r="P90" s="184">
        <v>2.0</v>
      </c>
      <c r="Q90" s="184">
        <v>0.0</v>
      </c>
      <c r="R90" s="184" t="s">
        <v>115</v>
      </c>
      <c r="S90" s="218">
        <v>42887.0</v>
      </c>
      <c r="T90" s="105"/>
      <c r="U90" s="105" t="s">
        <v>3755</v>
      </c>
      <c r="V90" s="184" t="s">
        <v>3756</v>
      </c>
      <c r="W90" s="184" t="s">
        <v>118</v>
      </c>
      <c r="X90" s="197" t="s">
        <v>166</v>
      </c>
      <c r="Y90" s="170"/>
      <c r="Z90" s="197" t="s">
        <v>138</v>
      </c>
      <c r="AA90" s="219">
        <v>42802.0</v>
      </c>
      <c r="AB90" s="219">
        <v>42809.0</v>
      </c>
      <c r="AC90" s="4"/>
      <c r="AD90" s="4"/>
      <c r="AE90" s="184"/>
      <c r="AF90" s="4"/>
      <c r="AG90" s="4"/>
      <c r="AH90" s="216" t="s">
        <v>2071</v>
      </c>
      <c r="AI90" s="216"/>
      <c r="AJ90" s="184"/>
      <c r="AK90" s="184" t="s">
        <v>2163</v>
      </c>
      <c r="AL90" s="200">
        <f t="shared" si="2"/>
        <v>57</v>
      </c>
      <c r="AM90" s="201">
        <v>2017.0</v>
      </c>
    </row>
    <row r="91">
      <c r="A91" s="256">
        <f t="shared" si="1"/>
        <v>12513253</v>
      </c>
      <c r="B91" s="259">
        <v>92.0</v>
      </c>
      <c r="C91" s="259"/>
      <c r="D91" s="184" t="str">
        <f>IFERROR(VLOOKUP(E91,INFORMACION!D:E,2,0),"INGRESAR CENTRO DE COSTO A LA DERECHA")</f>
        <v>INGRESAR CENTRO DE COSTO A LA DERECHA</v>
      </c>
      <c r="E91" s="184" t="s">
        <v>2891</v>
      </c>
      <c r="F91" s="195" t="s">
        <v>1947</v>
      </c>
      <c r="G91" s="186" t="s">
        <v>3757</v>
      </c>
      <c r="H91" s="186">
        <v>23.0</v>
      </c>
      <c r="I91" s="186" t="s">
        <v>2541</v>
      </c>
      <c r="J91" s="184" t="s">
        <v>112</v>
      </c>
      <c r="K91" s="184" t="s">
        <v>127</v>
      </c>
      <c r="L91" s="184" t="s">
        <v>117</v>
      </c>
      <c r="M91" s="184">
        <v>0.0</v>
      </c>
      <c r="N91" s="184" t="s">
        <v>116</v>
      </c>
      <c r="O91" s="184">
        <v>8.0</v>
      </c>
      <c r="P91" s="184">
        <v>1.0</v>
      </c>
      <c r="Q91" s="184">
        <v>7.0</v>
      </c>
      <c r="R91" s="184" t="s">
        <v>115</v>
      </c>
      <c r="S91" s="218">
        <v>42933.0</v>
      </c>
      <c r="T91" s="105"/>
      <c r="U91" s="105" t="s">
        <v>3758</v>
      </c>
      <c r="V91" s="184" t="s">
        <v>3759</v>
      </c>
      <c r="W91" s="184" t="s">
        <v>118</v>
      </c>
      <c r="X91" s="197" t="s">
        <v>140</v>
      </c>
      <c r="Y91" s="170"/>
      <c r="Z91" s="170"/>
      <c r="AA91" s="219">
        <v>42853.0</v>
      </c>
      <c r="AB91" s="219">
        <v>42860.0</v>
      </c>
      <c r="AC91" s="4"/>
      <c r="AD91" s="4"/>
      <c r="AE91" s="184"/>
      <c r="AF91" s="4"/>
      <c r="AG91" s="4"/>
      <c r="AH91" s="216" t="s">
        <v>2071</v>
      </c>
      <c r="AI91" s="216" t="s">
        <v>3760</v>
      </c>
      <c r="AJ91" s="184"/>
      <c r="AK91" s="184" t="s">
        <v>2163</v>
      </c>
      <c r="AL91" s="200">
        <f t="shared" si="2"/>
        <v>52</v>
      </c>
      <c r="AM91" s="201">
        <v>2017.0</v>
      </c>
    </row>
    <row r="92">
      <c r="A92" s="158">
        <f t="shared" si="1"/>
        <v>16931062</v>
      </c>
      <c r="B92" s="242">
        <v>93.0</v>
      </c>
      <c r="C92" s="242"/>
      <c r="D92" s="184" t="str">
        <f>IFERROR(VLOOKUP(E92,INFORMACION!D:E,2,0),"INGRESAR CENTRO DE COSTO A LA DERECHA")</f>
        <v>INGRESAR CENTRO DE COSTO A LA DERECHA</v>
      </c>
      <c r="E92" s="184" t="s">
        <v>3000</v>
      </c>
      <c r="F92" s="195" t="s">
        <v>2842</v>
      </c>
      <c r="G92" s="186" t="s">
        <v>2843</v>
      </c>
      <c r="H92" s="186">
        <v>17.0</v>
      </c>
      <c r="I92" s="186" t="s">
        <v>2541</v>
      </c>
      <c r="J92" s="184" t="s">
        <v>112</v>
      </c>
      <c r="K92" s="184" t="s">
        <v>125</v>
      </c>
      <c r="L92" s="184" t="s">
        <v>117</v>
      </c>
      <c r="M92" s="184">
        <v>0.0</v>
      </c>
      <c r="N92" s="184" t="s">
        <v>116</v>
      </c>
      <c r="O92" s="184">
        <v>11.0</v>
      </c>
      <c r="P92" s="184">
        <v>2.0</v>
      </c>
      <c r="Q92" s="184">
        <v>0.0</v>
      </c>
      <c r="R92" s="184" t="s">
        <v>115</v>
      </c>
      <c r="S92" s="218">
        <v>42917.0</v>
      </c>
      <c r="T92" s="105"/>
      <c r="U92" s="105" t="s">
        <v>3761</v>
      </c>
      <c r="V92" s="184" t="s">
        <v>3762</v>
      </c>
      <c r="W92" s="184" t="s">
        <v>118</v>
      </c>
      <c r="X92" s="197" t="s">
        <v>148</v>
      </c>
      <c r="Y92" s="170"/>
      <c r="Z92" s="170"/>
      <c r="AA92" s="219">
        <v>42871.0</v>
      </c>
      <c r="AB92" s="219">
        <v>42878.0</v>
      </c>
      <c r="AC92" s="4"/>
      <c r="AD92" s="4"/>
      <c r="AE92" s="184"/>
      <c r="AF92" s="4"/>
      <c r="AG92" s="4"/>
      <c r="AH92" s="216" t="s">
        <v>2071</v>
      </c>
      <c r="AI92" s="216" t="s">
        <v>2357</v>
      </c>
      <c r="AJ92" s="184"/>
      <c r="AK92" s="184" t="s">
        <v>2163</v>
      </c>
      <c r="AL92" s="200">
        <f t="shared" si="2"/>
        <v>29</v>
      </c>
      <c r="AM92" s="201">
        <v>2017.0</v>
      </c>
    </row>
    <row r="93">
      <c r="A93" s="158">
        <f t="shared" si="1"/>
        <v>17706868</v>
      </c>
      <c r="B93" s="259">
        <v>94.0</v>
      </c>
      <c r="C93" s="259"/>
      <c r="D93" s="184" t="str">
        <f>IFERROR(VLOOKUP(E93,INFORMACION!D:E,2,0),"INGRESAR CENTRO DE COSTO A LA DERECHA")</f>
        <v>INGRESAR CENTRO DE COSTO A LA DERECHA</v>
      </c>
      <c r="E93" s="184" t="s">
        <v>3000</v>
      </c>
      <c r="F93" s="195" t="s">
        <v>2842</v>
      </c>
      <c r="G93" s="186" t="s">
        <v>2843</v>
      </c>
      <c r="H93" s="186">
        <v>17.0</v>
      </c>
      <c r="I93" s="186" t="s">
        <v>2541</v>
      </c>
      <c r="J93" s="184" t="s">
        <v>112</v>
      </c>
      <c r="K93" s="184" t="s">
        <v>125</v>
      </c>
      <c r="L93" s="184" t="s">
        <v>117</v>
      </c>
      <c r="M93" s="184">
        <v>0.0</v>
      </c>
      <c r="N93" s="184" t="s">
        <v>116</v>
      </c>
      <c r="O93" s="184">
        <v>11.0</v>
      </c>
      <c r="P93" s="184">
        <v>2.0</v>
      </c>
      <c r="Q93" s="184">
        <v>0.0</v>
      </c>
      <c r="R93" s="184" t="s">
        <v>115</v>
      </c>
      <c r="S93" s="218">
        <v>42917.0</v>
      </c>
      <c r="T93" s="105"/>
      <c r="U93" s="105" t="s">
        <v>3763</v>
      </c>
      <c r="V93" s="184" t="s">
        <v>3764</v>
      </c>
      <c r="W93" s="184" t="s">
        <v>118</v>
      </c>
      <c r="X93" s="184" t="s">
        <v>148</v>
      </c>
      <c r="Y93" s="4"/>
      <c r="Z93" s="4"/>
      <c r="AA93" s="219">
        <v>42871.0</v>
      </c>
      <c r="AB93" s="219">
        <v>42878.0</v>
      </c>
      <c r="AC93" s="4"/>
      <c r="AD93" s="4"/>
      <c r="AE93" s="184"/>
      <c r="AF93" s="4"/>
      <c r="AG93" s="4"/>
      <c r="AH93" s="216" t="s">
        <v>2071</v>
      </c>
      <c r="AI93" s="216" t="s">
        <v>2359</v>
      </c>
      <c r="AJ93" s="184"/>
      <c r="AK93" s="184" t="s">
        <v>2163</v>
      </c>
      <c r="AL93" s="200">
        <f t="shared" si="2"/>
        <v>29</v>
      </c>
      <c r="AM93" s="201">
        <v>2017.0</v>
      </c>
    </row>
    <row r="94">
      <c r="A94" s="158">
        <f t="shared" si="1"/>
        <v>17941217</v>
      </c>
      <c r="B94" s="242">
        <v>95.0</v>
      </c>
      <c r="C94" s="242"/>
      <c r="D94" s="184" t="str">
        <f>IFERROR(VLOOKUP(E94,INFORMACION!D:E,2,0),"INGRESAR CENTRO DE COSTO A LA DERECHA")</f>
        <v>INGRESAR CENTRO DE COSTO A LA DERECHA</v>
      </c>
      <c r="E94" s="184" t="s">
        <v>1602</v>
      </c>
      <c r="F94" s="195" t="s">
        <v>2609</v>
      </c>
      <c r="G94" s="186" t="s">
        <v>3765</v>
      </c>
      <c r="H94" s="186">
        <v>20.0</v>
      </c>
      <c r="I94" s="186" t="s">
        <v>2541</v>
      </c>
      <c r="J94" s="184" t="s">
        <v>112</v>
      </c>
      <c r="K94" s="184" t="s">
        <v>120</v>
      </c>
      <c r="L94" s="184" t="s">
        <v>117</v>
      </c>
      <c r="M94" s="184">
        <v>0.0</v>
      </c>
      <c r="N94" s="184" t="s">
        <v>116</v>
      </c>
      <c r="O94" s="184">
        <v>14.0</v>
      </c>
      <c r="P94" s="184">
        <v>3.0</v>
      </c>
      <c r="Q94" s="184">
        <v>0.0</v>
      </c>
      <c r="R94" s="184" t="s">
        <v>121</v>
      </c>
      <c r="S94" s="218">
        <v>43164.0</v>
      </c>
      <c r="T94" s="105"/>
      <c r="U94" s="105" t="s">
        <v>3766</v>
      </c>
      <c r="V94" s="184" t="s">
        <v>3767</v>
      </c>
      <c r="W94" s="184" t="s">
        <v>118</v>
      </c>
      <c r="X94" s="184" t="s">
        <v>176</v>
      </c>
      <c r="Y94" s="184" t="s">
        <v>154</v>
      </c>
      <c r="Z94" s="184" t="s">
        <v>150</v>
      </c>
      <c r="AA94" s="219">
        <v>43055.0</v>
      </c>
      <c r="AB94" s="219">
        <v>43062.0</v>
      </c>
      <c r="AC94" s="4"/>
      <c r="AD94" s="4"/>
      <c r="AE94" s="184"/>
      <c r="AF94" s="4"/>
      <c r="AG94" s="4"/>
      <c r="AH94" s="216" t="s">
        <v>2071</v>
      </c>
      <c r="AI94" s="216" t="s">
        <v>2947</v>
      </c>
      <c r="AJ94" s="184"/>
      <c r="AK94" s="184"/>
      <c r="AL94" s="200">
        <f t="shared" si="2"/>
        <v>73</v>
      </c>
      <c r="AM94" s="201">
        <v>2017.0</v>
      </c>
    </row>
    <row r="95">
      <c r="A95" s="158">
        <f t="shared" si="1"/>
        <v>13064375</v>
      </c>
      <c r="B95" s="259">
        <v>96.0</v>
      </c>
      <c r="C95" s="259"/>
      <c r="D95" s="184" t="str">
        <f>IFERROR(VLOOKUP(E95,INFORMACION!D:E,2,0),"INGRESAR CENTRO DE COSTO A LA DERECHA")</f>
        <v>INGRESAR CENTRO DE COSTO A LA DERECHA</v>
      </c>
      <c r="E95" s="184" t="s">
        <v>1618</v>
      </c>
      <c r="F95" s="195" t="s">
        <v>2625</v>
      </c>
      <c r="G95" s="186" t="s">
        <v>3768</v>
      </c>
      <c r="H95" s="186">
        <v>10.0</v>
      </c>
      <c r="I95" s="186" t="s">
        <v>2541</v>
      </c>
      <c r="J95" s="184" t="s">
        <v>112</v>
      </c>
      <c r="K95" s="184" t="s">
        <v>114</v>
      </c>
      <c r="L95" s="184" t="s">
        <v>117</v>
      </c>
      <c r="M95" s="184">
        <v>1.0</v>
      </c>
      <c r="N95" s="184" t="s">
        <v>116</v>
      </c>
      <c r="O95" s="184">
        <v>15.0</v>
      </c>
      <c r="P95" s="184">
        <v>3.0</v>
      </c>
      <c r="Q95" s="184">
        <v>0.0</v>
      </c>
      <c r="R95" s="184" t="s">
        <v>115</v>
      </c>
      <c r="S95" s="218">
        <v>43164.0</v>
      </c>
      <c r="T95" s="105"/>
      <c r="U95" s="105" t="s">
        <v>3769</v>
      </c>
      <c r="V95" s="184" t="s">
        <v>3770</v>
      </c>
      <c r="W95" s="184" t="s">
        <v>118</v>
      </c>
      <c r="X95" s="184" t="s">
        <v>176</v>
      </c>
      <c r="Y95" s="4"/>
      <c r="Z95" s="4"/>
      <c r="AA95" s="219">
        <v>43073.0</v>
      </c>
      <c r="AB95" s="219">
        <v>43080.0</v>
      </c>
      <c r="AC95" s="4"/>
      <c r="AD95" s="4"/>
      <c r="AE95" s="184"/>
      <c r="AF95" s="4"/>
      <c r="AG95" s="4"/>
      <c r="AH95" s="216" t="s">
        <v>2071</v>
      </c>
      <c r="AI95" s="216" t="s">
        <v>3771</v>
      </c>
      <c r="AJ95" s="184"/>
      <c r="AK95" s="184"/>
      <c r="AL95" s="200">
        <f t="shared" si="2"/>
        <v>61</v>
      </c>
      <c r="AM95" s="201">
        <v>2017.0</v>
      </c>
    </row>
    <row r="96">
      <c r="A96" s="158">
        <f t="shared" si="1"/>
        <v>12578312</v>
      </c>
      <c r="B96" s="242">
        <v>97.0</v>
      </c>
      <c r="C96" s="242"/>
      <c r="D96" s="184" t="str">
        <f>IFERROR(VLOOKUP(E96,INFORMACION!D:E,2,0),"INGRESAR CENTRO DE COSTO A LA DERECHA")</f>
        <v>INGRESAR CENTRO DE COSTO A LA DERECHA</v>
      </c>
      <c r="E96" s="184" t="s">
        <v>2883</v>
      </c>
      <c r="F96" s="195" t="s">
        <v>2848</v>
      </c>
      <c r="G96" s="186" t="s">
        <v>2849</v>
      </c>
      <c r="H96" s="186">
        <v>13.0</v>
      </c>
      <c r="I96" s="186" t="s">
        <v>2541</v>
      </c>
      <c r="J96" s="184" t="s">
        <v>112</v>
      </c>
      <c r="K96" s="184" t="s">
        <v>114</v>
      </c>
      <c r="L96" s="184" t="s">
        <v>117</v>
      </c>
      <c r="M96" s="184">
        <v>0.0</v>
      </c>
      <c r="N96" s="184" t="s">
        <v>116</v>
      </c>
      <c r="O96" s="184">
        <v>1.0</v>
      </c>
      <c r="P96" s="184">
        <v>1.0</v>
      </c>
      <c r="Q96" s="184">
        <v>1.0</v>
      </c>
      <c r="R96" s="184" t="s">
        <v>115</v>
      </c>
      <c r="S96" s="218">
        <v>43129.0</v>
      </c>
      <c r="T96" s="105"/>
      <c r="U96" s="105" t="s">
        <v>3772</v>
      </c>
      <c r="V96" s="184" t="s">
        <v>3773</v>
      </c>
      <c r="W96" s="184" t="s">
        <v>118</v>
      </c>
      <c r="X96" s="184" t="s">
        <v>138</v>
      </c>
      <c r="Y96" s="4"/>
      <c r="Z96" s="4"/>
      <c r="AA96" s="219">
        <v>43102.0</v>
      </c>
      <c r="AB96" s="219">
        <v>43109.0</v>
      </c>
      <c r="AC96" s="4"/>
      <c r="AD96" s="4"/>
      <c r="AE96" s="184"/>
      <c r="AF96" s="4"/>
      <c r="AG96" s="4"/>
      <c r="AH96" s="216"/>
      <c r="AI96" s="216"/>
      <c r="AJ96" s="184"/>
      <c r="AK96" s="184"/>
      <c r="AL96" s="200">
        <f t="shared" si="2"/>
        <v>15</v>
      </c>
      <c r="AM96" s="201">
        <v>2017.0</v>
      </c>
    </row>
    <row r="97">
      <c r="A97" s="158">
        <f t="shared" si="1"/>
        <v>17203105</v>
      </c>
      <c r="B97" s="259">
        <v>98.0</v>
      </c>
      <c r="C97" s="259"/>
      <c r="D97" s="184" t="str">
        <f>IFERROR(VLOOKUP(E97,INFORMACION!D:E,2,0),"INGRESAR CENTRO DE COSTO A LA DERECHA")</f>
        <v>INGRESAR CENTRO DE COSTO A LA DERECHA</v>
      </c>
      <c r="E97" s="184" t="s">
        <v>2883</v>
      </c>
      <c r="F97" s="195" t="s">
        <v>2558</v>
      </c>
      <c r="G97" s="186" t="s">
        <v>3774</v>
      </c>
      <c r="H97" s="186">
        <v>12.0</v>
      </c>
      <c r="I97" s="186" t="s">
        <v>2541</v>
      </c>
      <c r="J97" s="184" t="s">
        <v>112</v>
      </c>
      <c r="K97" s="184" t="s">
        <v>120</v>
      </c>
      <c r="L97" s="184" t="s">
        <v>117</v>
      </c>
      <c r="M97" s="184">
        <v>4.0</v>
      </c>
      <c r="N97" s="184" t="s">
        <v>116</v>
      </c>
      <c r="O97" s="184">
        <v>4.0</v>
      </c>
      <c r="P97" s="184">
        <v>1.0</v>
      </c>
      <c r="Q97" s="184">
        <v>2.0</v>
      </c>
      <c r="R97" s="184" t="s">
        <v>121</v>
      </c>
      <c r="S97" s="218">
        <v>43174.0</v>
      </c>
      <c r="T97" s="105"/>
      <c r="U97" s="105" t="s">
        <v>3775</v>
      </c>
      <c r="V97" s="184" t="s">
        <v>3776</v>
      </c>
      <c r="W97" s="184" t="s">
        <v>118</v>
      </c>
      <c r="X97" s="184" t="s">
        <v>136</v>
      </c>
      <c r="Y97" s="4"/>
      <c r="Z97" s="4"/>
      <c r="AA97" s="219">
        <v>43102.0</v>
      </c>
      <c r="AB97" s="219">
        <v>43109.0</v>
      </c>
      <c r="AC97" s="4"/>
      <c r="AD97" s="4"/>
      <c r="AE97" s="184"/>
      <c r="AF97" s="4"/>
      <c r="AG97" s="4"/>
      <c r="AH97" s="216"/>
      <c r="AI97" s="216"/>
      <c r="AJ97" s="184"/>
      <c r="AK97" s="184"/>
      <c r="AL97" s="200">
        <f t="shared" si="2"/>
        <v>48</v>
      </c>
      <c r="AM97" s="201">
        <v>2017.0</v>
      </c>
    </row>
    <row r="98">
      <c r="A98" s="158">
        <f t="shared" si="1"/>
        <v>12270826</v>
      </c>
      <c r="B98" s="242">
        <v>99.0</v>
      </c>
      <c r="C98" s="242"/>
      <c r="D98" s="184" t="str">
        <f>IFERROR(VLOOKUP(E98,INFORMACION!D:E,2,0),"INGRESAR CENTRO DE COSTO A LA DERECHA")</f>
        <v>INGRESAR CENTRO DE COSTO A LA DERECHA</v>
      </c>
      <c r="E98" s="184" t="s">
        <v>2937</v>
      </c>
      <c r="F98" s="195" t="s">
        <v>2576</v>
      </c>
      <c r="G98" s="186" t="s">
        <v>1741</v>
      </c>
      <c r="H98" s="186">
        <v>21.0</v>
      </c>
      <c r="I98" s="186" t="s">
        <v>2541</v>
      </c>
      <c r="J98" s="184" t="s">
        <v>112</v>
      </c>
      <c r="K98" s="184" t="s">
        <v>127</v>
      </c>
      <c r="L98" s="184" t="s">
        <v>117</v>
      </c>
      <c r="M98" s="184">
        <v>0.0</v>
      </c>
      <c r="N98" s="184" t="s">
        <v>116</v>
      </c>
      <c r="O98" s="184">
        <v>5.0</v>
      </c>
      <c r="P98" s="184">
        <v>1.0</v>
      </c>
      <c r="Q98" s="184">
        <v>0.0</v>
      </c>
      <c r="R98" s="184" t="s">
        <v>115</v>
      </c>
      <c r="S98" s="218">
        <v>43166.0</v>
      </c>
      <c r="T98" s="105"/>
      <c r="U98" s="105" t="s">
        <v>3777</v>
      </c>
      <c r="V98" s="184" t="s">
        <v>3778</v>
      </c>
      <c r="W98" s="184" t="s">
        <v>122</v>
      </c>
      <c r="X98" s="4"/>
      <c r="Y98" s="4"/>
      <c r="Z98" s="4"/>
      <c r="AA98" s="219">
        <v>43105.0</v>
      </c>
      <c r="AB98" s="219">
        <v>43112.0</v>
      </c>
      <c r="AC98" s="4"/>
      <c r="AD98" s="4"/>
      <c r="AE98" s="184"/>
      <c r="AF98" s="4"/>
      <c r="AG98" s="4"/>
      <c r="AH98" s="216" t="s">
        <v>2071</v>
      </c>
      <c r="AI98" s="216" t="s">
        <v>3779</v>
      </c>
      <c r="AJ98" s="184"/>
      <c r="AK98" s="184"/>
      <c r="AL98" s="200">
        <f t="shared" si="2"/>
        <v>39</v>
      </c>
      <c r="AM98" s="201">
        <v>2017.0</v>
      </c>
    </row>
    <row r="99">
      <c r="A99" s="158">
        <f t="shared" si="1"/>
        <v>17467477</v>
      </c>
      <c r="B99" s="259">
        <v>100.0</v>
      </c>
      <c r="C99" s="259"/>
      <c r="D99" s="184" t="str">
        <f>IFERROR(VLOOKUP(E99,INFORMACION!D:E,2,0),"INGRESAR CENTRO DE COSTO A LA DERECHA")</f>
        <v>INGRESAR CENTRO DE COSTO A LA DERECHA</v>
      </c>
      <c r="E99" s="184" t="s">
        <v>1699</v>
      </c>
      <c r="F99" s="195" t="s">
        <v>3093</v>
      </c>
      <c r="G99" s="186" t="s">
        <v>3219</v>
      </c>
      <c r="H99" s="186">
        <v>6.0</v>
      </c>
      <c r="I99" s="186" t="s">
        <v>2541</v>
      </c>
      <c r="J99" s="184" t="s">
        <v>112</v>
      </c>
      <c r="K99" s="184" t="s">
        <v>114</v>
      </c>
      <c r="L99" s="184" t="s">
        <v>122</v>
      </c>
      <c r="M99" s="184">
        <v>0.0</v>
      </c>
      <c r="N99" s="184" t="s">
        <v>116</v>
      </c>
      <c r="O99" s="184">
        <v>27.0</v>
      </c>
      <c r="P99" s="184">
        <v>2.0</v>
      </c>
      <c r="Q99" s="184">
        <v>0.0</v>
      </c>
      <c r="R99" s="184" t="s">
        <v>121</v>
      </c>
      <c r="S99" s="218">
        <v>43174.0</v>
      </c>
      <c r="T99" s="105"/>
      <c r="U99" s="105" t="s">
        <v>3780</v>
      </c>
      <c r="V99" s="184" t="s">
        <v>3781</v>
      </c>
      <c r="W99" s="184" t="s">
        <v>122</v>
      </c>
      <c r="X99" s="4"/>
      <c r="Y99" s="4"/>
      <c r="Z99" s="4"/>
      <c r="AA99" s="219">
        <v>43110.0</v>
      </c>
      <c r="AB99" s="219">
        <v>43117.0</v>
      </c>
      <c r="AC99" s="4"/>
      <c r="AD99" s="4"/>
      <c r="AE99" s="184"/>
      <c r="AF99" s="4"/>
      <c r="AG99" s="4"/>
      <c r="AH99" s="216" t="s">
        <v>2071</v>
      </c>
      <c r="AI99" s="216" t="s">
        <v>3782</v>
      </c>
      <c r="AJ99" s="184"/>
      <c r="AK99" s="184"/>
      <c r="AL99" s="200">
        <f t="shared" si="2"/>
        <v>42</v>
      </c>
      <c r="AM99" s="201">
        <v>2017.0</v>
      </c>
    </row>
    <row r="100">
      <c r="A100" s="158">
        <f t="shared" si="1"/>
        <v>17819019</v>
      </c>
      <c r="B100" s="242">
        <v>101.0</v>
      </c>
      <c r="C100" s="242"/>
      <c r="D100" s="184" t="str">
        <f>IFERROR(VLOOKUP(E100,INFORMACION!D:E,2,0),"INGRESAR CENTRO DE COSTO A LA DERECHA")</f>
        <v>INGRESAR CENTRO DE COSTO A LA DERECHA</v>
      </c>
      <c r="E100" s="184" t="s">
        <v>1699</v>
      </c>
      <c r="F100" s="195" t="s">
        <v>3295</v>
      </c>
      <c r="G100" s="186" t="s">
        <v>3294</v>
      </c>
      <c r="H100" s="186">
        <v>9.0</v>
      </c>
      <c r="I100" s="186" t="s">
        <v>2541</v>
      </c>
      <c r="J100" s="184" t="s">
        <v>112</v>
      </c>
      <c r="K100" s="184" t="s">
        <v>114</v>
      </c>
      <c r="L100" s="184" t="s">
        <v>117</v>
      </c>
      <c r="M100" s="184">
        <v>0.0</v>
      </c>
      <c r="N100" s="184" t="s">
        <v>116</v>
      </c>
      <c r="O100" s="184">
        <v>1.0</v>
      </c>
      <c r="P100" s="184">
        <v>1.0</v>
      </c>
      <c r="Q100" s="184">
        <v>0.0</v>
      </c>
      <c r="R100" s="184" t="s">
        <v>115</v>
      </c>
      <c r="S100" s="218">
        <v>43164.0</v>
      </c>
      <c r="T100" s="105"/>
      <c r="U100" s="105" t="s">
        <v>3783</v>
      </c>
      <c r="V100" s="184" t="s">
        <v>3784</v>
      </c>
      <c r="W100" s="184" t="s">
        <v>118</v>
      </c>
      <c r="X100" s="184" t="s">
        <v>138</v>
      </c>
      <c r="Y100" s="184" t="s">
        <v>166</v>
      </c>
      <c r="Z100" s="4"/>
      <c r="AA100" s="219">
        <v>43118.0</v>
      </c>
      <c r="AB100" s="219">
        <v>43121.0</v>
      </c>
      <c r="AC100" s="4"/>
      <c r="AD100" s="4"/>
      <c r="AE100" s="184"/>
      <c r="AF100" s="4"/>
      <c r="AG100" s="4"/>
      <c r="AH100" s="216" t="s">
        <v>2071</v>
      </c>
      <c r="AI100" s="216" t="s">
        <v>3785</v>
      </c>
      <c r="AJ100" s="184"/>
      <c r="AK100" s="184"/>
      <c r="AL100" s="200">
        <f t="shared" si="2"/>
        <v>31</v>
      </c>
      <c r="AM100" s="201">
        <v>2017.0</v>
      </c>
    </row>
    <row r="101">
      <c r="A101" s="158">
        <f t="shared" si="1"/>
        <v>7810002</v>
      </c>
      <c r="B101" s="259">
        <v>102.0</v>
      </c>
      <c r="C101" s="259"/>
      <c r="D101" s="184" t="str">
        <f>IFERROR(VLOOKUP(E101,INFORMACION!D:E,2,0),"INGRESAR CENTRO DE COSTO A LA DERECHA")</f>
        <v>INGRESAR CENTRO DE COSTO A LA DERECHA</v>
      </c>
      <c r="E101" s="184" t="s">
        <v>2015</v>
      </c>
      <c r="F101" s="195" t="s">
        <v>2690</v>
      </c>
      <c r="G101" s="186" t="s">
        <v>3456</v>
      </c>
      <c r="H101" s="186"/>
      <c r="I101" s="186" t="s">
        <v>3017</v>
      </c>
      <c r="J101" s="184" t="s">
        <v>2692</v>
      </c>
      <c r="K101" s="184"/>
      <c r="L101" s="184" t="s">
        <v>122</v>
      </c>
      <c r="M101" s="184">
        <v>0.0</v>
      </c>
      <c r="N101" s="184" t="s">
        <v>116</v>
      </c>
      <c r="O101" s="184">
        <v>2.0</v>
      </c>
      <c r="P101" s="184">
        <v>1.0</v>
      </c>
      <c r="Q101" s="184">
        <v>1.0</v>
      </c>
      <c r="R101" s="184" t="s">
        <v>121</v>
      </c>
      <c r="S101" s="218">
        <v>43164.0</v>
      </c>
      <c r="T101" s="105"/>
      <c r="U101" s="105" t="s">
        <v>3786</v>
      </c>
      <c r="V101" s="184" t="s">
        <v>3787</v>
      </c>
      <c r="W101" s="184" t="s">
        <v>122</v>
      </c>
      <c r="X101" s="4"/>
      <c r="Y101" s="4"/>
      <c r="Z101" s="4"/>
      <c r="AA101" s="219">
        <v>42863.0</v>
      </c>
      <c r="AB101" s="219">
        <v>43007.0</v>
      </c>
      <c r="AC101" s="4"/>
      <c r="AD101" s="4"/>
      <c r="AE101" s="184"/>
      <c r="AF101" s="4"/>
      <c r="AG101" s="4"/>
      <c r="AH101" s="216" t="s">
        <v>2071</v>
      </c>
      <c r="AI101" s="216"/>
      <c r="AJ101" s="184"/>
      <c r="AK101" s="184"/>
      <c r="AL101" s="200">
        <f t="shared" si="2"/>
        <v>112</v>
      </c>
      <c r="AM101" s="201">
        <v>2017.0</v>
      </c>
    </row>
    <row r="102" hidden="1">
      <c r="A102" s="158">
        <f t="shared" si="1"/>
        <v>18079595</v>
      </c>
      <c r="B102" s="242">
        <v>103.0</v>
      </c>
      <c r="C102" s="242"/>
      <c r="D102" s="184" t="str">
        <f>IFERROR(VLOOKUP(E102,INFORMACION!D:E,2,0),"INGRESAR CENTRO DE COSTO A LA DERECHA")</f>
        <v>INGRESAR CENTRO DE COSTO A LA DERECHA</v>
      </c>
      <c r="E102" s="184" t="s">
        <v>3788</v>
      </c>
      <c r="F102" s="195" t="s">
        <v>2540</v>
      </c>
      <c r="G102" s="186" t="s">
        <v>3789</v>
      </c>
      <c r="H102" s="186">
        <v>17.0</v>
      </c>
      <c r="I102" s="186" t="s">
        <v>2541</v>
      </c>
      <c r="J102" s="184" t="s">
        <v>112</v>
      </c>
      <c r="K102" s="184" t="s">
        <v>120</v>
      </c>
      <c r="L102" s="184" t="s">
        <v>117</v>
      </c>
      <c r="M102" s="184">
        <v>1.0</v>
      </c>
      <c r="N102" s="184" t="s">
        <v>122</v>
      </c>
      <c r="O102" s="184">
        <v>0.0</v>
      </c>
      <c r="P102" s="184">
        <v>1.0</v>
      </c>
      <c r="Q102" s="184">
        <v>0.0</v>
      </c>
      <c r="R102" s="184" t="s">
        <v>121</v>
      </c>
      <c r="S102" s="218">
        <v>43164.0</v>
      </c>
      <c r="T102" s="105" t="s">
        <v>1039</v>
      </c>
      <c r="U102" s="105"/>
      <c r="V102" s="184" t="s">
        <v>2986</v>
      </c>
      <c r="W102" s="184" t="s">
        <v>118</v>
      </c>
      <c r="X102" s="184" t="s">
        <v>176</v>
      </c>
      <c r="Y102" s="184" t="s">
        <v>150</v>
      </c>
      <c r="Z102" s="4"/>
      <c r="AA102" s="219">
        <v>43039.0</v>
      </c>
      <c r="AB102" s="219">
        <v>43046.0</v>
      </c>
      <c r="AC102" s="184">
        <v>17.0</v>
      </c>
      <c r="AD102" s="184" t="s">
        <v>120</v>
      </c>
      <c r="AE102" s="184" t="s">
        <v>3790</v>
      </c>
      <c r="AF102" s="184" t="s">
        <v>3791</v>
      </c>
      <c r="AG102" s="4"/>
      <c r="AH102" s="216" t="s">
        <v>2071</v>
      </c>
      <c r="AI102" s="216" t="s">
        <v>2019</v>
      </c>
      <c r="AJ102" s="184"/>
      <c r="AK102" s="184" t="s">
        <v>2157</v>
      </c>
      <c r="AL102" s="200">
        <f t="shared" si="2"/>
        <v>85</v>
      </c>
      <c r="AM102" s="201">
        <v>2017.0</v>
      </c>
    </row>
    <row r="103" hidden="1">
      <c r="A103" s="158">
        <f t="shared" si="1"/>
        <v>13465223</v>
      </c>
      <c r="B103" s="242">
        <v>104.0</v>
      </c>
      <c r="C103" s="242"/>
      <c r="D103" s="184" t="str">
        <f>IFERROR(VLOOKUP(E103,INFORMACION!D:E,2,0),"INGRESAR CENTRO DE COSTO A LA DERECHA")</f>
        <v>INGRESAR CENTRO DE COSTO A LA DERECHA</v>
      </c>
      <c r="E103" s="184" t="s">
        <v>3792</v>
      </c>
      <c r="F103" s="195" t="s">
        <v>2650</v>
      </c>
      <c r="G103" s="186" t="s">
        <v>3793</v>
      </c>
      <c r="H103" s="186">
        <v>17.0</v>
      </c>
      <c r="I103" s="186" t="s">
        <v>2541</v>
      </c>
      <c r="J103" s="184" t="s">
        <v>112</v>
      </c>
      <c r="K103" s="184" t="s">
        <v>120</v>
      </c>
      <c r="L103" s="184" t="s">
        <v>117</v>
      </c>
      <c r="M103" s="184">
        <v>1.0</v>
      </c>
      <c r="N103" s="184" t="s">
        <v>122</v>
      </c>
      <c r="O103" s="184">
        <v>0.0</v>
      </c>
      <c r="P103" s="184">
        <v>1.0</v>
      </c>
      <c r="Q103" s="184">
        <v>0.0</v>
      </c>
      <c r="R103" s="184" t="s">
        <v>121</v>
      </c>
      <c r="S103" s="218">
        <v>43031.0</v>
      </c>
      <c r="T103" s="105" t="s">
        <v>765</v>
      </c>
      <c r="U103" s="105"/>
      <c r="V103" s="184" t="s">
        <v>2346</v>
      </c>
      <c r="W103" s="184" t="s">
        <v>122</v>
      </c>
      <c r="X103" s="4"/>
      <c r="Y103" s="4"/>
      <c r="Z103" s="4"/>
      <c r="AA103" s="219">
        <v>42968.0</v>
      </c>
      <c r="AB103" s="219">
        <v>42975.0</v>
      </c>
      <c r="AC103" s="184">
        <v>17.0</v>
      </c>
      <c r="AD103" s="184" t="s">
        <v>120</v>
      </c>
      <c r="AE103" s="184" t="s">
        <v>3518</v>
      </c>
      <c r="AF103" s="184" t="s">
        <v>3788</v>
      </c>
      <c r="AG103" s="4"/>
      <c r="AH103" s="216" t="s">
        <v>2071</v>
      </c>
      <c r="AI103" s="216" t="s">
        <v>2597</v>
      </c>
      <c r="AJ103" s="184"/>
      <c r="AK103" s="184"/>
      <c r="AL103" s="200">
        <f t="shared" si="2"/>
        <v>41</v>
      </c>
      <c r="AM103" s="201">
        <v>2017.0</v>
      </c>
    </row>
    <row r="104" hidden="1">
      <c r="A104" s="256">
        <f t="shared" si="1"/>
        <v>14003220</v>
      </c>
      <c r="B104" s="259">
        <v>105.0</v>
      </c>
      <c r="C104" s="259"/>
      <c r="D104" s="184" t="str">
        <f>IFERROR(VLOOKUP(E104,INFORMACION!D:E,2,0),"INGRESAR CENTRO DE COSTO A LA DERECHA")</f>
        <v>INGRESAR CENTRO DE COSTO A LA DERECHA</v>
      </c>
      <c r="E104" s="184" t="s">
        <v>1975</v>
      </c>
      <c r="F104" s="195" t="s">
        <v>2774</v>
      </c>
      <c r="G104" s="186" t="s">
        <v>1611</v>
      </c>
      <c r="H104" s="186">
        <v>14.0</v>
      </c>
      <c r="I104" s="186" t="s">
        <v>2541</v>
      </c>
      <c r="J104" s="184" t="s">
        <v>112</v>
      </c>
      <c r="K104" s="184" t="s">
        <v>114</v>
      </c>
      <c r="L104" s="184" t="s">
        <v>117</v>
      </c>
      <c r="M104" s="184">
        <v>1.0</v>
      </c>
      <c r="N104" s="184" t="s">
        <v>122</v>
      </c>
      <c r="O104" s="184">
        <v>0.0</v>
      </c>
      <c r="P104" s="184">
        <v>1.0</v>
      </c>
      <c r="Q104" s="184">
        <v>0.0</v>
      </c>
      <c r="R104" s="184" t="s">
        <v>121</v>
      </c>
      <c r="S104" s="218">
        <v>43038.0</v>
      </c>
      <c r="T104" s="105" t="s">
        <v>898</v>
      </c>
      <c r="U104" s="105"/>
      <c r="V104" s="184" t="s">
        <v>3794</v>
      </c>
      <c r="W104" s="184" t="s">
        <v>118</v>
      </c>
      <c r="X104" s="184" t="s">
        <v>176</v>
      </c>
      <c r="Y104" s="4"/>
      <c r="Z104" s="4"/>
      <c r="AA104" s="219">
        <v>42859.0</v>
      </c>
      <c r="AB104" s="219">
        <v>42866.0</v>
      </c>
      <c r="AC104" s="184">
        <v>14.0</v>
      </c>
      <c r="AD104" s="184" t="s">
        <v>114</v>
      </c>
      <c r="AE104" s="184" t="s">
        <v>3795</v>
      </c>
      <c r="AF104" s="184" t="s">
        <v>1643</v>
      </c>
      <c r="AG104" s="4"/>
      <c r="AH104" s="216" t="s">
        <v>2071</v>
      </c>
      <c r="AI104" s="216" t="s">
        <v>3796</v>
      </c>
      <c r="AJ104" s="184"/>
      <c r="AK104" s="184" t="s">
        <v>2157</v>
      </c>
      <c r="AL104" s="200">
        <f t="shared" si="2"/>
        <v>123</v>
      </c>
      <c r="AM104" s="201">
        <v>2017.0</v>
      </c>
    </row>
    <row r="105" hidden="1">
      <c r="A105" s="256">
        <f t="shared" si="1"/>
        <v>13207216</v>
      </c>
      <c r="B105" s="242">
        <v>106.0</v>
      </c>
      <c r="C105" s="242"/>
      <c r="D105" s="184" t="str">
        <f>IFERROR(VLOOKUP(E105,INFORMACION!D:E,2,0),"INGRESAR CENTRO DE COSTO A LA DERECHA")</f>
        <v>INGRESAR CENTRO DE COSTO A LA DERECHA</v>
      </c>
      <c r="E105" s="184" t="s">
        <v>1598</v>
      </c>
      <c r="F105" s="195" t="s">
        <v>2650</v>
      </c>
      <c r="G105" s="186" t="s">
        <v>3797</v>
      </c>
      <c r="H105" s="186">
        <v>14.0</v>
      </c>
      <c r="I105" s="186" t="s">
        <v>2541</v>
      </c>
      <c r="J105" s="184" t="s">
        <v>112</v>
      </c>
      <c r="K105" s="184" t="s">
        <v>120</v>
      </c>
      <c r="L105" s="184" t="s">
        <v>117</v>
      </c>
      <c r="M105" s="184">
        <v>2.0</v>
      </c>
      <c r="N105" s="184" t="s">
        <v>122</v>
      </c>
      <c r="O105" s="184">
        <v>0.0</v>
      </c>
      <c r="P105" s="184">
        <v>1.0</v>
      </c>
      <c r="Q105" s="184">
        <v>0.0</v>
      </c>
      <c r="R105" s="184" t="s">
        <v>121</v>
      </c>
      <c r="S105" s="218">
        <v>43027.0</v>
      </c>
      <c r="T105" s="105" t="s">
        <v>1479</v>
      </c>
      <c r="U105" s="105"/>
      <c r="V105" s="184" t="s">
        <v>3798</v>
      </c>
      <c r="W105" s="184" t="s">
        <v>118</v>
      </c>
      <c r="X105" s="184" t="s">
        <v>154</v>
      </c>
      <c r="Y105" s="184" t="s">
        <v>176</v>
      </c>
      <c r="Z105" s="4"/>
      <c r="AA105" s="219">
        <v>42954.0</v>
      </c>
      <c r="AB105" s="219">
        <v>42961.0</v>
      </c>
      <c r="AC105" s="184">
        <v>17.0</v>
      </c>
      <c r="AD105" s="184" t="s">
        <v>120</v>
      </c>
      <c r="AE105" s="184" t="s">
        <v>1603</v>
      </c>
      <c r="AF105" s="184" t="s">
        <v>1602</v>
      </c>
      <c r="AG105" s="4"/>
      <c r="AH105" s="216" t="s">
        <v>2071</v>
      </c>
      <c r="AI105" s="216" t="s">
        <v>3799</v>
      </c>
      <c r="AJ105" s="184"/>
      <c r="AK105" s="184" t="s">
        <v>2163</v>
      </c>
      <c r="AL105" s="200">
        <f t="shared" si="2"/>
        <v>49</v>
      </c>
      <c r="AM105" s="201">
        <v>2017.0</v>
      </c>
    </row>
    <row r="106" hidden="1">
      <c r="A106" s="256">
        <f t="shared" si="1"/>
        <v>17738116</v>
      </c>
      <c r="B106" s="259">
        <v>107.0</v>
      </c>
      <c r="C106" s="259"/>
      <c r="D106" s="184" t="str">
        <f>IFERROR(VLOOKUP(E106,INFORMACION!D:E,2,0),"INGRESAR CENTRO DE COSTO A LA DERECHA")</f>
        <v>INGRESAR CENTRO DE COSTO A LA DERECHA</v>
      </c>
      <c r="E106" s="184" t="s">
        <v>3800</v>
      </c>
      <c r="F106" s="195" t="s">
        <v>2650</v>
      </c>
      <c r="G106" s="186" t="s">
        <v>3801</v>
      </c>
      <c r="H106" s="186">
        <v>17.0</v>
      </c>
      <c r="I106" s="186" t="s">
        <v>2541</v>
      </c>
      <c r="J106" s="184" t="s">
        <v>112</v>
      </c>
      <c r="K106" s="184" t="s">
        <v>120</v>
      </c>
      <c r="L106" s="184" t="s">
        <v>117</v>
      </c>
      <c r="M106" s="184">
        <v>1.0</v>
      </c>
      <c r="N106" s="184" t="s">
        <v>122</v>
      </c>
      <c r="O106" s="184">
        <v>0.0</v>
      </c>
      <c r="P106" s="184">
        <v>1.0</v>
      </c>
      <c r="Q106" s="184">
        <v>0.0</v>
      </c>
      <c r="R106" s="184" t="s">
        <v>121</v>
      </c>
      <c r="S106" s="218">
        <v>42979.0</v>
      </c>
      <c r="T106" s="105" t="s">
        <v>613</v>
      </c>
      <c r="U106" s="105"/>
      <c r="V106" s="184" t="s">
        <v>2162</v>
      </c>
      <c r="W106" s="184" t="s">
        <v>118</v>
      </c>
      <c r="X106" s="184" t="s">
        <v>150</v>
      </c>
      <c r="Y106" s="184"/>
      <c r="Z106" s="4"/>
      <c r="AA106" s="219">
        <v>42829.0</v>
      </c>
      <c r="AB106" s="219">
        <v>42836.0</v>
      </c>
      <c r="AC106" s="184">
        <v>20.0</v>
      </c>
      <c r="AD106" s="184" t="s">
        <v>120</v>
      </c>
      <c r="AE106" s="184" t="s">
        <v>3543</v>
      </c>
      <c r="AF106" s="184" t="s">
        <v>3800</v>
      </c>
      <c r="AG106" s="4"/>
      <c r="AH106" s="216" t="s">
        <v>2071</v>
      </c>
      <c r="AI106" s="216"/>
      <c r="AJ106" s="184"/>
      <c r="AK106" s="184" t="s">
        <v>2157</v>
      </c>
      <c r="AL106" s="200">
        <f t="shared" si="2"/>
        <v>104</v>
      </c>
      <c r="AM106" s="201">
        <v>2017.0</v>
      </c>
    </row>
    <row r="107">
      <c r="A107" s="158">
        <f t="shared" si="1"/>
        <v>14126884</v>
      </c>
      <c r="B107" s="242">
        <v>108.0</v>
      </c>
      <c r="C107" s="242"/>
      <c r="D107" s="184" t="str">
        <f>IFERROR(VLOOKUP(E107,INFORMACION!D:E,2,0),"INGRESAR CENTRO DE COSTO A LA DERECHA")</f>
        <v>INGRESAR CENTRO DE COSTO A LA DERECHA</v>
      </c>
      <c r="E107" s="184" t="s">
        <v>1830</v>
      </c>
      <c r="F107" s="195" t="s">
        <v>2650</v>
      </c>
      <c r="G107" s="186" t="s">
        <v>3797</v>
      </c>
      <c r="H107" s="186">
        <v>17.0</v>
      </c>
      <c r="I107" s="186" t="s">
        <v>2541</v>
      </c>
      <c r="J107" s="184" t="s">
        <v>112</v>
      </c>
      <c r="K107" s="184" t="s">
        <v>120</v>
      </c>
      <c r="L107" s="184" t="s">
        <v>117</v>
      </c>
      <c r="M107" s="184">
        <v>0.0</v>
      </c>
      <c r="N107" s="184" t="s">
        <v>116</v>
      </c>
      <c r="O107" s="184">
        <v>13.0</v>
      </c>
      <c r="P107" s="184">
        <v>1.0</v>
      </c>
      <c r="Q107" s="184">
        <v>0.0</v>
      </c>
      <c r="R107" s="184" t="s">
        <v>121</v>
      </c>
      <c r="S107" s="218">
        <v>42979.0</v>
      </c>
      <c r="T107" s="105"/>
      <c r="U107" s="105" t="s">
        <v>3802</v>
      </c>
      <c r="V107" s="184" t="s">
        <v>3803</v>
      </c>
      <c r="W107" s="184" t="s">
        <v>122</v>
      </c>
      <c r="X107" s="184"/>
      <c r="Y107" s="184"/>
      <c r="Z107" s="4"/>
      <c r="AA107" s="219">
        <v>42929.0</v>
      </c>
      <c r="AB107" s="219">
        <v>42933.0</v>
      </c>
      <c r="AC107" s="184"/>
      <c r="AD107" s="184"/>
      <c r="AE107" s="184"/>
      <c r="AF107" s="184"/>
      <c r="AG107" s="4"/>
      <c r="AH107" s="216" t="s">
        <v>2071</v>
      </c>
      <c r="AI107" s="216"/>
      <c r="AJ107" s="184"/>
      <c r="AK107" s="184" t="s">
        <v>2157</v>
      </c>
      <c r="AL107" s="200">
        <f t="shared" si="2"/>
        <v>35</v>
      </c>
      <c r="AM107" s="201">
        <v>2017.0</v>
      </c>
    </row>
    <row r="108">
      <c r="A108" s="158">
        <f t="shared" si="1"/>
        <v>11851134</v>
      </c>
      <c r="B108" s="259">
        <v>109.0</v>
      </c>
      <c r="C108" s="259"/>
      <c r="D108" s="184" t="str">
        <f>IFERROR(VLOOKUP(E108,INFORMACION!D:E,2,0),"INGRESAR CENTRO DE COSTO A LA DERECHA")</f>
        <v>INGRESAR CENTRO DE COSTO A LA DERECHA</v>
      </c>
      <c r="E108" s="184" t="s">
        <v>2905</v>
      </c>
      <c r="F108" s="195" t="s">
        <v>2650</v>
      </c>
      <c r="G108" s="186" t="s">
        <v>3804</v>
      </c>
      <c r="H108" s="186">
        <v>17.0</v>
      </c>
      <c r="I108" s="186" t="s">
        <v>2541</v>
      </c>
      <c r="J108" s="184" t="s">
        <v>112</v>
      </c>
      <c r="K108" s="184" t="s">
        <v>120</v>
      </c>
      <c r="L108" s="184" t="s">
        <v>117</v>
      </c>
      <c r="M108" s="184">
        <v>0.0</v>
      </c>
      <c r="N108" s="184" t="s">
        <v>116</v>
      </c>
      <c r="O108" s="184">
        <v>15.0</v>
      </c>
      <c r="P108" s="184">
        <v>1.0</v>
      </c>
      <c r="Q108" s="184">
        <v>1.0</v>
      </c>
      <c r="R108" s="184" t="s">
        <v>121</v>
      </c>
      <c r="S108" s="218">
        <v>43024.0</v>
      </c>
      <c r="T108" s="105"/>
      <c r="U108" s="105" t="s">
        <v>3805</v>
      </c>
      <c r="V108" s="184" t="s">
        <v>3806</v>
      </c>
      <c r="W108" s="184" t="s">
        <v>122</v>
      </c>
      <c r="X108" s="184"/>
      <c r="Y108" s="184"/>
      <c r="Z108" s="4"/>
      <c r="AA108" s="219">
        <v>42963.0</v>
      </c>
      <c r="AB108" s="219">
        <v>42968.0</v>
      </c>
      <c r="AC108" s="184"/>
      <c r="AD108" s="184"/>
      <c r="AE108" s="184"/>
      <c r="AF108" s="184"/>
      <c r="AG108" s="4"/>
      <c r="AH108" s="216" t="s">
        <v>2071</v>
      </c>
      <c r="AI108" s="216" t="s">
        <v>3807</v>
      </c>
      <c r="AJ108" s="184"/>
      <c r="AK108" s="184" t="s">
        <v>2163</v>
      </c>
      <c r="AL108" s="200">
        <f t="shared" si="2"/>
        <v>41</v>
      </c>
      <c r="AM108" s="201">
        <v>2017.0</v>
      </c>
    </row>
    <row r="109" hidden="1">
      <c r="A109" s="158">
        <f t="shared" si="1"/>
        <v>15045222</v>
      </c>
      <c r="B109" s="242">
        <v>110.0</v>
      </c>
      <c r="C109" s="242" t="s">
        <v>3808</v>
      </c>
      <c r="D109" s="184" t="str">
        <f>IFERROR(VLOOKUP(E109,INFORMACION!D:E,2,0),"INGRESAR CENTRO DE COSTO A LA DERECHA")</f>
        <v>INGRESAR CENTRO DE COSTO A LA DERECHA</v>
      </c>
      <c r="E109" s="184" t="s">
        <v>3554</v>
      </c>
      <c r="F109" s="195" t="s">
        <v>2650</v>
      </c>
      <c r="G109" s="186" t="s">
        <v>3809</v>
      </c>
      <c r="H109" s="186">
        <v>17.0</v>
      </c>
      <c r="I109" s="186" t="s">
        <v>2541</v>
      </c>
      <c r="J109" s="184" t="s">
        <v>112</v>
      </c>
      <c r="K109" s="184" t="s">
        <v>120</v>
      </c>
      <c r="L109" s="184" t="s">
        <v>117</v>
      </c>
      <c r="M109" s="184">
        <v>1.0</v>
      </c>
      <c r="N109" s="184" t="s">
        <v>122</v>
      </c>
      <c r="O109" s="184">
        <v>0.0</v>
      </c>
      <c r="P109" s="184">
        <v>1.0</v>
      </c>
      <c r="Q109" s="184">
        <v>0.0</v>
      </c>
      <c r="R109" s="184" t="s">
        <v>121</v>
      </c>
      <c r="S109" s="218">
        <v>43222.0</v>
      </c>
      <c r="T109" s="105" t="s">
        <v>235</v>
      </c>
      <c r="U109" s="105"/>
      <c r="V109" s="184" t="s">
        <v>3080</v>
      </c>
      <c r="W109" s="184" t="s">
        <v>118</v>
      </c>
      <c r="X109" s="184" t="s">
        <v>154</v>
      </c>
      <c r="Y109" s="184" t="s">
        <v>150</v>
      </c>
      <c r="Z109" s="4"/>
      <c r="AA109" s="219">
        <v>43123.0</v>
      </c>
      <c r="AB109" s="219">
        <v>43125.0</v>
      </c>
      <c r="AC109" s="184">
        <v>20.0</v>
      </c>
      <c r="AD109" s="184" t="s">
        <v>3810</v>
      </c>
      <c r="AE109" s="184" t="s">
        <v>1816</v>
      </c>
      <c r="AF109" s="184" t="s">
        <v>1637</v>
      </c>
      <c r="AG109" s="4"/>
      <c r="AH109" s="216" t="s">
        <v>2071</v>
      </c>
      <c r="AI109" s="216"/>
      <c r="AJ109" s="184"/>
      <c r="AK109" s="184" t="s">
        <v>2157</v>
      </c>
      <c r="AL109" s="200">
        <f t="shared" si="2"/>
        <v>70</v>
      </c>
      <c r="AM109" s="201">
        <v>2017.0</v>
      </c>
    </row>
    <row r="110">
      <c r="A110" s="158">
        <f t="shared" si="1"/>
        <v>16747770</v>
      </c>
      <c r="B110" s="259">
        <v>111.0</v>
      </c>
      <c r="C110" s="259"/>
      <c r="D110" s="184" t="str">
        <f>IFERROR(VLOOKUP(E110,INFORMACION!D:E,2,0),"INGRESAR CENTRO DE COSTO A LA DERECHA")</f>
        <v>INGRESAR CENTRO DE COSTO A LA DERECHA</v>
      </c>
      <c r="E110" s="184" t="s">
        <v>3081</v>
      </c>
      <c r="F110" s="195" t="s">
        <v>2598</v>
      </c>
      <c r="G110" s="186" t="s">
        <v>3811</v>
      </c>
      <c r="H110" s="186">
        <v>14.0</v>
      </c>
      <c r="I110" s="186" t="s">
        <v>2541</v>
      </c>
      <c r="J110" s="184" t="s">
        <v>112</v>
      </c>
      <c r="K110" s="184" t="s">
        <v>125</v>
      </c>
      <c r="L110" s="184" t="s">
        <v>122</v>
      </c>
      <c r="M110" s="184">
        <v>0.0</v>
      </c>
      <c r="N110" s="184" t="s">
        <v>116</v>
      </c>
      <c r="O110" s="184">
        <v>2.0</v>
      </c>
      <c r="P110" s="184">
        <v>1.0</v>
      </c>
      <c r="Q110" s="184">
        <v>1.0</v>
      </c>
      <c r="R110" s="184" t="s">
        <v>115</v>
      </c>
      <c r="S110" s="218">
        <v>43080.0</v>
      </c>
      <c r="T110" s="105"/>
      <c r="U110" s="105" t="s">
        <v>3812</v>
      </c>
      <c r="V110" s="184" t="s">
        <v>3813</v>
      </c>
      <c r="W110" s="184" t="s">
        <v>118</v>
      </c>
      <c r="X110" s="184" t="s">
        <v>138</v>
      </c>
      <c r="Y110" s="184" t="s">
        <v>154</v>
      </c>
      <c r="Z110" s="4"/>
      <c r="AA110" s="219">
        <v>43024.0</v>
      </c>
      <c r="AB110" s="219">
        <v>43039.0</v>
      </c>
      <c r="AC110" s="184"/>
      <c r="AD110" s="184"/>
      <c r="AE110" s="184"/>
      <c r="AF110" s="184"/>
      <c r="AG110" s="4"/>
      <c r="AH110" s="216" t="s">
        <v>2071</v>
      </c>
      <c r="AI110" s="216"/>
      <c r="AJ110" s="184"/>
      <c r="AK110" s="184" t="s">
        <v>2163</v>
      </c>
      <c r="AL110" s="200">
        <f t="shared" si="2"/>
        <v>30</v>
      </c>
      <c r="AM110" s="201">
        <v>2017.0</v>
      </c>
    </row>
    <row r="111" hidden="1">
      <c r="A111" s="158">
        <f t="shared" si="1"/>
        <v>16447409</v>
      </c>
      <c r="B111" s="242">
        <v>112.0</v>
      </c>
      <c r="C111" s="242"/>
      <c r="D111" s="184" t="str">
        <f>IFERROR(VLOOKUP(E111,INFORMACION!D:E,2,0),"INGRESAR CENTRO DE COSTO A LA DERECHA")</f>
        <v>INGRESAR CENTRO DE COSTO A LA DERECHA</v>
      </c>
      <c r="E111" s="184" t="s">
        <v>2980</v>
      </c>
      <c r="F111" s="195" t="s">
        <v>2977</v>
      </c>
      <c r="G111" s="186" t="s">
        <v>2099</v>
      </c>
      <c r="H111" s="186">
        <v>8.0</v>
      </c>
      <c r="I111" s="186" t="s">
        <v>2541</v>
      </c>
      <c r="J111" s="184" t="s">
        <v>112</v>
      </c>
      <c r="K111" s="184" t="s">
        <v>114</v>
      </c>
      <c r="L111" s="184" t="s">
        <v>117</v>
      </c>
      <c r="M111" s="184">
        <v>7.0</v>
      </c>
      <c r="N111" s="184" t="s">
        <v>122</v>
      </c>
      <c r="O111" s="184"/>
      <c r="P111" s="184">
        <v>1.0</v>
      </c>
      <c r="Q111" s="184">
        <v>0.0</v>
      </c>
      <c r="R111" s="184" t="s">
        <v>121</v>
      </c>
      <c r="S111" s="263">
        <v>43052.0</v>
      </c>
      <c r="T111" s="105" t="s">
        <v>396</v>
      </c>
      <c r="U111" s="105"/>
      <c r="V111" s="184" t="s">
        <v>3814</v>
      </c>
      <c r="W111" s="184" t="s">
        <v>118</v>
      </c>
      <c r="X111" s="184" t="s">
        <v>138</v>
      </c>
      <c r="Y111" s="184" t="s">
        <v>160</v>
      </c>
      <c r="Z111" s="184" t="s">
        <v>164</v>
      </c>
      <c r="AA111" s="219">
        <v>42977.0</v>
      </c>
      <c r="AB111" s="219">
        <v>42984.0</v>
      </c>
      <c r="AC111" s="184">
        <v>10.0</v>
      </c>
      <c r="AD111" s="184" t="s">
        <v>114</v>
      </c>
      <c r="AE111" s="184" t="s">
        <v>1799</v>
      </c>
      <c r="AF111" s="184" t="s">
        <v>3617</v>
      </c>
      <c r="AG111" s="4"/>
      <c r="AH111" s="216" t="s">
        <v>2071</v>
      </c>
      <c r="AI111" s="216"/>
      <c r="AJ111" s="184"/>
      <c r="AK111" s="184" t="s">
        <v>1612</v>
      </c>
      <c r="AL111" s="200">
        <f t="shared" si="2"/>
        <v>49</v>
      </c>
      <c r="AM111" s="201">
        <v>2017.0</v>
      </c>
    </row>
    <row r="112" hidden="1">
      <c r="A112" s="158">
        <f t="shared" si="1"/>
        <v>12870862</v>
      </c>
      <c r="B112" s="264">
        <v>113.0</v>
      </c>
      <c r="C112" s="264"/>
      <c r="D112" s="184" t="str">
        <f>IFERROR(VLOOKUP(E112,INFORMACION!D:E,2,0),"INGRESAR CENTRO DE COSTO A LA DERECHA")</f>
        <v>INGRESAR CENTRO DE COSTO A LA DERECHA</v>
      </c>
      <c r="E112" s="184" t="s">
        <v>1598</v>
      </c>
      <c r="F112" s="195" t="s">
        <v>3102</v>
      </c>
      <c r="G112" s="186" t="s">
        <v>3815</v>
      </c>
      <c r="H112" s="186">
        <v>13.0</v>
      </c>
      <c r="I112" s="186" t="s">
        <v>2541</v>
      </c>
      <c r="J112" s="184" t="s">
        <v>112</v>
      </c>
      <c r="K112" s="184" t="s">
        <v>120</v>
      </c>
      <c r="L112" s="184" t="s">
        <v>117</v>
      </c>
      <c r="M112" s="184">
        <v>3.0</v>
      </c>
      <c r="N112" s="184" t="s">
        <v>116</v>
      </c>
      <c r="O112" s="184">
        <v>5.0</v>
      </c>
      <c r="P112" s="184">
        <v>5.0</v>
      </c>
      <c r="Q112" s="184">
        <v>2.0</v>
      </c>
      <c r="R112" s="184" t="s">
        <v>121</v>
      </c>
      <c r="S112" s="218">
        <v>42954.0</v>
      </c>
      <c r="T112" s="105" t="s">
        <v>1030</v>
      </c>
      <c r="U112" s="105"/>
      <c r="V112" s="184" t="s">
        <v>3816</v>
      </c>
      <c r="W112" s="184" t="s">
        <v>122</v>
      </c>
      <c r="X112" s="184"/>
      <c r="Y112" s="184"/>
      <c r="Z112" s="4"/>
      <c r="AA112" s="219">
        <v>42900.0</v>
      </c>
      <c r="AB112" s="219">
        <v>42907.0</v>
      </c>
      <c r="AC112" s="184">
        <v>16.0</v>
      </c>
      <c r="AD112" s="184" t="s">
        <v>120</v>
      </c>
      <c r="AE112" s="184" t="s">
        <v>3463</v>
      </c>
      <c r="AF112" s="184" t="s">
        <v>1598</v>
      </c>
      <c r="AG112" s="4"/>
      <c r="AH112" s="216" t="s">
        <v>2071</v>
      </c>
      <c r="AI112" s="216" t="s">
        <v>3807</v>
      </c>
      <c r="AJ112" s="184"/>
      <c r="AK112" s="184"/>
      <c r="AL112" s="200">
        <f t="shared" si="2"/>
        <v>34</v>
      </c>
      <c r="AM112" s="201">
        <v>2017.0</v>
      </c>
    </row>
    <row r="113" hidden="1">
      <c r="A113" s="158">
        <f t="shared" si="1"/>
        <v>11524154</v>
      </c>
      <c r="B113" s="265">
        <v>114.0</v>
      </c>
      <c r="C113" s="265"/>
      <c r="D113" s="184" t="str">
        <f>IFERROR(VLOOKUP(E113,INFORMACION!D:E,2,0),"INGRESAR CENTRO DE COSTO A LA DERECHA")</f>
        <v>INGRESAR CENTRO DE COSTO A LA DERECHA</v>
      </c>
      <c r="E113" s="184" t="s">
        <v>2974</v>
      </c>
      <c r="F113" s="195" t="s">
        <v>2650</v>
      </c>
      <c r="G113" s="186" t="s">
        <v>3797</v>
      </c>
      <c r="H113" s="186">
        <v>17.0</v>
      </c>
      <c r="I113" s="186" t="s">
        <v>2541</v>
      </c>
      <c r="J113" s="184" t="s">
        <v>112</v>
      </c>
      <c r="K113" s="184" t="s">
        <v>120</v>
      </c>
      <c r="L113" s="184" t="s">
        <v>117</v>
      </c>
      <c r="M113" s="184">
        <v>2.0</v>
      </c>
      <c r="N113" s="184" t="s">
        <v>122</v>
      </c>
      <c r="O113" s="184"/>
      <c r="P113" s="184">
        <v>2.0</v>
      </c>
      <c r="Q113" s="184">
        <v>0.0</v>
      </c>
      <c r="R113" s="184" t="s">
        <v>121</v>
      </c>
      <c r="S113" s="218">
        <v>43222.0</v>
      </c>
      <c r="T113" s="105" t="s">
        <v>444</v>
      </c>
      <c r="U113" s="105"/>
      <c r="V113" s="184" t="s">
        <v>3817</v>
      </c>
      <c r="W113" s="184" t="s">
        <v>118</v>
      </c>
      <c r="X113" s="184" t="s">
        <v>154</v>
      </c>
      <c r="Y113" s="184"/>
      <c r="Z113" s="4"/>
      <c r="AA113" s="219">
        <v>43111.0</v>
      </c>
      <c r="AB113" s="219">
        <v>43118.0</v>
      </c>
      <c r="AC113" s="184">
        <v>16.0</v>
      </c>
      <c r="AD113" s="184" t="s">
        <v>120</v>
      </c>
      <c r="AE113" s="184" t="s">
        <v>3818</v>
      </c>
      <c r="AF113" s="184" t="s">
        <v>3819</v>
      </c>
      <c r="AG113" s="4"/>
      <c r="AH113" s="216" t="s">
        <v>2071</v>
      </c>
      <c r="AI113" s="216" t="s">
        <v>3820</v>
      </c>
      <c r="AJ113" s="184"/>
      <c r="AK113" s="184" t="s">
        <v>2157</v>
      </c>
      <c r="AL113" s="200">
        <f t="shared" si="2"/>
        <v>75</v>
      </c>
      <c r="AM113" s="201">
        <v>2017.0</v>
      </c>
    </row>
    <row r="114">
      <c r="A114" s="158">
        <f t="shared" si="1"/>
        <v>13297941</v>
      </c>
      <c r="B114" s="265">
        <v>115.0</v>
      </c>
      <c r="C114" s="265"/>
      <c r="D114" s="184" t="str">
        <f>IFERROR(VLOOKUP(E114,INFORMACION!D:E,2,0),"INGRESAR CENTRO DE COSTO A LA DERECHA")</f>
        <v>INGRESAR CENTRO DE COSTO A LA DERECHA</v>
      </c>
      <c r="E114" s="184" t="s">
        <v>3554</v>
      </c>
      <c r="F114" s="195" t="s">
        <v>2576</v>
      </c>
      <c r="G114" s="186" t="s">
        <v>1741</v>
      </c>
      <c r="H114" s="186">
        <v>21.0</v>
      </c>
      <c r="I114" s="186" t="s">
        <v>2541</v>
      </c>
      <c r="J114" s="184" t="s">
        <v>112</v>
      </c>
      <c r="K114" s="184" t="s">
        <v>127</v>
      </c>
      <c r="L114" s="184" t="s">
        <v>117</v>
      </c>
      <c r="M114" s="184">
        <v>0.0</v>
      </c>
      <c r="N114" s="184" t="s">
        <v>116</v>
      </c>
      <c r="O114" s="184">
        <v>8.0</v>
      </c>
      <c r="P114" s="184">
        <v>1.0</v>
      </c>
      <c r="Q114" s="184">
        <v>0.0</v>
      </c>
      <c r="R114" s="184" t="s">
        <v>115</v>
      </c>
      <c r="S114" s="218">
        <v>43164.0</v>
      </c>
      <c r="T114" s="105"/>
      <c r="U114" s="105" t="s">
        <v>3821</v>
      </c>
      <c r="V114" s="184" t="s">
        <v>3822</v>
      </c>
      <c r="W114" s="184" t="s">
        <v>122</v>
      </c>
      <c r="X114" s="184"/>
      <c r="Y114" s="184"/>
      <c r="Z114" s="4"/>
      <c r="AA114" s="219">
        <v>43039.0</v>
      </c>
      <c r="AB114" s="219">
        <v>43046.0</v>
      </c>
      <c r="AC114" s="184"/>
      <c r="AD114" s="184"/>
      <c r="AE114" s="184"/>
      <c r="AF114" s="184"/>
      <c r="AG114" s="4"/>
      <c r="AH114" s="216" t="s">
        <v>2071</v>
      </c>
      <c r="AI114" s="216" t="s">
        <v>3823</v>
      </c>
      <c r="AJ114" s="184"/>
      <c r="AK114" s="184" t="s">
        <v>2163</v>
      </c>
      <c r="AL114" s="200">
        <f t="shared" si="2"/>
        <v>85</v>
      </c>
      <c r="AM114" s="201">
        <v>2017.0</v>
      </c>
    </row>
    <row r="115" hidden="1">
      <c r="A115" s="158">
        <f t="shared" si="1"/>
        <v>12490135</v>
      </c>
      <c r="B115" s="265">
        <v>116.0</v>
      </c>
      <c r="C115" s="265"/>
      <c r="D115" s="184" t="str">
        <f>IFERROR(VLOOKUP(E115,INFORMACION!D:E,2,0),"INGRESAR CENTRO DE COSTO A LA DERECHA")</f>
        <v>INGRESAR CENTRO DE COSTO A LA DERECHA</v>
      </c>
      <c r="E115" s="184" t="s">
        <v>2891</v>
      </c>
      <c r="F115" s="195" t="s">
        <v>3371</v>
      </c>
      <c r="G115" s="186" t="s">
        <v>3824</v>
      </c>
      <c r="H115" s="186">
        <v>10.0</v>
      </c>
      <c r="I115" s="186" t="s">
        <v>2541</v>
      </c>
      <c r="J115" s="184" t="s">
        <v>112</v>
      </c>
      <c r="K115" s="184" t="s">
        <v>114</v>
      </c>
      <c r="L115" s="184" t="s">
        <v>117</v>
      </c>
      <c r="M115" s="184">
        <v>12.0</v>
      </c>
      <c r="N115" s="184" t="s">
        <v>122</v>
      </c>
      <c r="O115" s="184"/>
      <c r="P115" s="184">
        <v>3.0</v>
      </c>
      <c r="Q115" s="184">
        <v>0.0</v>
      </c>
      <c r="R115" s="184" t="s">
        <v>115</v>
      </c>
      <c r="S115" s="218">
        <v>43164.0</v>
      </c>
      <c r="T115" s="105" t="s">
        <v>1090</v>
      </c>
      <c r="U115" s="105"/>
      <c r="V115" s="184" t="s">
        <v>3825</v>
      </c>
      <c r="W115" s="184" t="s">
        <v>118</v>
      </c>
      <c r="X115" s="184" t="s">
        <v>138</v>
      </c>
      <c r="Y115" s="184"/>
      <c r="Z115" s="4"/>
      <c r="AA115" s="219">
        <v>43028.0</v>
      </c>
      <c r="AB115" s="219">
        <v>43034.0</v>
      </c>
      <c r="AC115" s="184">
        <v>14.0</v>
      </c>
      <c r="AD115" s="184" t="s">
        <v>114</v>
      </c>
      <c r="AE115" s="184" t="s">
        <v>3826</v>
      </c>
      <c r="AF115" s="184" t="s">
        <v>2213</v>
      </c>
      <c r="AG115" s="4"/>
      <c r="AH115" s="216" t="s">
        <v>2071</v>
      </c>
      <c r="AI115" s="216" t="s">
        <v>3827</v>
      </c>
      <c r="AJ115" s="184"/>
      <c r="AK115" s="184" t="s">
        <v>2157</v>
      </c>
      <c r="AL115" s="200">
        <f t="shared" si="2"/>
        <v>93</v>
      </c>
      <c r="AM115" s="201">
        <v>2017.0</v>
      </c>
    </row>
    <row r="116" hidden="1">
      <c r="A116" s="158">
        <f t="shared" si="1"/>
        <v>16452017</v>
      </c>
      <c r="B116" s="265">
        <v>117.0</v>
      </c>
      <c r="C116" s="265"/>
      <c r="D116" s="184" t="str">
        <f>IFERROR(VLOOKUP(E116,INFORMACION!D:E,2,0),"INGRESAR CENTRO DE COSTO A LA DERECHA")</f>
        <v>INGRESAR CENTRO DE COSTO A LA DERECHA</v>
      </c>
      <c r="E116" s="184" t="s">
        <v>2213</v>
      </c>
      <c r="F116" s="195" t="s">
        <v>3260</v>
      </c>
      <c r="G116" s="186" t="s">
        <v>3828</v>
      </c>
      <c r="H116" s="186">
        <v>14.0</v>
      </c>
      <c r="I116" s="186" t="s">
        <v>2541</v>
      </c>
      <c r="J116" s="184" t="s">
        <v>112</v>
      </c>
      <c r="K116" s="184" t="s">
        <v>114</v>
      </c>
      <c r="L116" s="184" t="s">
        <v>117</v>
      </c>
      <c r="M116" s="184">
        <v>7.0</v>
      </c>
      <c r="N116" s="184" t="s">
        <v>122</v>
      </c>
      <c r="O116" s="184"/>
      <c r="P116" s="184"/>
      <c r="Q116" s="184">
        <v>0.0</v>
      </c>
      <c r="R116" s="184" t="s">
        <v>121</v>
      </c>
      <c r="S116" s="218">
        <v>43185.0</v>
      </c>
      <c r="T116" s="105" t="s">
        <v>916</v>
      </c>
      <c r="U116" s="105"/>
      <c r="V116" s="184" t="s">
        <v>3829</v>
      </c>
      <c r="W116" s="184" t="s">
        <v>118</v>
      </c>
      <c r="X116" s="184" t="s">
        <v>138</v>
      </c>
      <c r="Y116" s="184" t="s">
        <v>154</v>
      </c>
      <c r="Z116" s="4"/>
      <c r="AA116" s="219">
        <v>43111.0</v>
      </c>
      <c r="AB116" s="219">
        <v>43118.0</v>
      </c>
      <c r="AC116" s="184">
        <v>17.0</v>
      </c>
      <c r="AD116" s="184" t="s">
        <v>120</v>
      </c>
      <c r="AE116" s="184" t="s">
        <v>2333</v>
      </c>
      <c r="AF116" s="184" t="s">
        <v>3042</v>
      </c>
      <c r="AG116" s="4"/>
      <c r="AH116" s="216" t="s">
        <v>2071</v>
      </c>
      <c r="AI116" s="216" t="s">
        <v>3830</v>
      </c>
      <c r="AJ116" s="184"/>
      <c r="AK116" s="184" t="s">
        <v>2157</v>
      </c>
      <c r="AL116" s="200">
        <f t="shared" si="2"/>
        <v>48</v>
      </c>
      <c r="AM116" s="201">
        <v>2017.0</v>
      </c>
    </row>
    <row r="117">
      <c r="A117" s="158">
        <f t="shared" si="1"/>
        <v>6992571</v>
      </c>
      <c r="B117" s="265">
        <v>118.0</v>
      </c>
      <c r="C117" s="265" t="s">
        <v>3831</v>
      </c>
      <c r="D117" s="184" t="str">
        <f>IFERROR(VLOOKUP(E117,INFORMACION!D:E,2,0),"INGRESAR CENTRO DE COSTO A LA DERECHA")</f>
        <v>INGRESAR CENTRO DE COSTO A LA DERECHA</v>
      </c>
      <c r="E117" s="184" t="s">
        <v>2891</v>
      </c>
      <c r="F117" s="195" t="s">
        <v>2576</v>
      </c>
      <c r="G117" s="186" t="s">
        <v>1741</v>
      </c>
      <c r="H117" s="186">
        <v>21.0</v>
      </c>
      <c r="I117" s="186" t="s">
        <v>2541</v>
      </c>
      <c r="J117" s="184" t="s">
        <v>112</v>
      </c>
      <c r="K117" s="184" t="s">
        <v>127</v>
      </c>
      <c r="L117" s="184" t="s">
        <v>117</v>
      </c>
      <c r="M117" s="184">
        <v>0.0</v>
      </c>
      <c r="N117" s="184" t="s">
        <v>116</v>
      </c>
      <c r="O117" s="184">
        <v>12.0</v>
      </c>
      <c r="P117" s="184">
        <v>2.0</v>
      </c>
      <c r="Q117" s="184">
        <v>1.0</v>
      </c>
      <c r="R117" s="184" t="s">
        <v>115</v>
      </c>
      <c r="S117" s="218">
        <v>43080.0</v>
      </c>
      <c r="T117" s="105"/>
      <c r="U117" s="105" t="s">
        <v>3832</v>
      </c>
      <c r="V117" s="184" t="s">
        <v>3833</v>
      </c>
      <c r="W117" s="184" t="s">
        <v>122</v>
      </c>
      <c r="X117" s="184"/>
      <c r="Y117" s="184"/>
      <c r="Z117" s="4"/>
      <c r="AA117" s="219">
        <v>43025.0</v>
      </c>
      <c r="AB117" s="219">
        <v>43032.0</v>
      </c>
      <c r="AC117" s="184"/>
      <c r="AD117" s="184"/>
      <c r="AE117" s="184"/>
      <c r="AF117" s="184"/>
      <c r="AG117" s="4"/>
      <c r="AH117" s="216" t="s">
        <v>2071</v>
      </c>
      <c r="AI117" s="216" t="s">
        <v>2597</v>
      </c>
      <c r="AJ117" s="184"/>
      <c r="AK117" s="184" t="s">
        <v>2163</v>
      </c>
      <c r="AL117" s="200">
        <f t="shared" si="2"/>
        <v>35</v>
      </c>
      <c r="AM117" s="201">
        <v>2017.0</v>
      </c>
    </row>
    <row r="118">
      <c r="A118" s="158">
        <f t="shared" si="1"/>
        <v>14367085</v>
      </c>
      <c r="B118" s="265">
        <v>118.0</v>
      </c>
      <c r="C118" s="265"/>
      <c r="D118" s="184" t="str">
        <f>IFERROR(VLOOKUP(E118,INFORMACION!D:E,2,0),"INGRESAR CENTRO DE COSTO A LA DERECHA")</f>
        <v>INGRESAR CENTRO DE COSTO A LA DERECHA</v>
      </c>
      <c r="E118" s="184" t="s">
        <v>3834</v>
      </c>
      <c r="F118" s="195" t="s">
        <v>2609</v>
      </c>
      <c r="G118" s="186" t="s">
        <v>3765</v>
      </c>
      <c r="H118" s="186">
        <v>20.0</v>
      </c>
      <c r="I118" s="186" t="s">
        <v>2541</v>
      </c>
      <c r="J118" s="184" t="s">
        <v>112</v>
      </c>
      <c r="K118" s="184" t="s">
        <v>120</v>
      </c>
      <c r="L118" s="184" t="s">
        <v>117</v>
      </c>
      <c r="M118" s="184">
        <v>0.0</v>
      </c>
      <c r="N118" s="184" t="s">
        <v>116</v>
      </c>
      <c r="O118" s="184">
        <v>14.0</v>
      </c>
      <c r="P118" s="184">
        <v>1.0</v>
      </c>
      <c r="Q118" s="184">
        <v>0.0</v>
      </c>
      <c r="R118" s="184" t="s">
        <v>121</v>
      </c>
      <c r="S118" s="218">
        <v>43074.0</v>
      </c>
      <c r="T118" s="105"/>
      <c r="U118" s="105" t="s">
        <v>3835</v>
      </c>
      <c r="V118" s="184" t="s">
        <v>3836</v>
      </c>
      <c r="W118" s="184" t="s">
        <v>118</v>
      </c>
      <c r="X118" s="184" t="s">
        <v>150</v>
      </c>
      <c r="Y118" s="184"/>
      <c r="Z118" s="4"/>
      <c r="AA118" s="219">
        <v>43039.0</v>
      </c>
      <c r="AB118" s="266">
        <v>43046.0</v>
      </c>
      <c r="AC118" s="184"/>
      <c r="AD118" s="184"/>
      <c r="AE118" s="184"/>
      <c r="AF118" s="184"/>
      <c r="AG118" s="4"/>
      <c r="AH118" s="216" t="s">
        <v>2071</v>
      </c>
      <c r="AI118" s="216" t="s">
        <v>2902</v>
      </c>
      <c r="AJ118" s="184"/>
      <c r="AK118" s="184" t="s">
        <v>2163</v>
      </c>
      <c r="AL118" s="200">
        <f t="shared" si="2"/>
        <v>21</v>
      </c>
      <c r="AM118" s="201">
        <v>2017.0</v>
      </c>
    </row>
  </sheetData>
  <autoFilter ref="$A$1:$AM$118">
    <filterColumn colId="20">
      <filters>
        <filter val="TERESA FIGUEROA GONZÁLEZ"/>
        <filter val="LUIS CONTRERAS GONZÁLEZ"/>
        <filter val="ENZO BORRONI RICARDI"/>
        <filter val="MATIAS ASTETE FUENTES"/>
        <filter val="SARA ALBORNOZ BOSICH"/>
        <filter val="WILSON GUTIERREZ GALDAMEZ"/>
        <filter val="DANIEL PEREZ ALCANTARA"/>
        <filter val="CAROLINA PINCHEIRA SEPULVEDA"/>
        <filter val="CRISTIAN ESCOBAR ZUÑIGA"/>
        <filter val="KATHERINE GARATE MILLAN"/>
        <filter val="MARIBEL MUÑOZ GUERRA"/>
        <filter val="GONZALO VILLARROEL AYALA"/>
        <filter val="EVELYN SOTO AID"/>
        <filter val="VALESKA ARELLANO ARELLANO"/>
        <filter val="DIEGO BUSTAMANTE FLORES"/>
        <filter val="GUIDO PARADA QUILALEO"/>
        <filter val="CAROL MEZA VALDERRAMA"/>
        <filter val="CHRISTIAN BAHAMONDES BARRIOS"/>
        <filter val="CLAUDIO PIZARRO MUÑOZ"/>
        <filter val="PAULINA GUTIERREZ PEÑAILILLO"/>
        <filter val="PATRICIO ARENAS LONCOMILLA"/>
        <filter val="ISABEL SAEZ SALAS"/>
        <filter val="MICHELLE RIBAUT KOMPATZKI"/>
        <filter val="BARBARA VALENCIA CONTRERAS"/>
        <filter val="RICARDO FRANCESCONI ARAVENA"/>
        <filter val="PAMELA ARMIJO CONTRERAS"/>
        <filter val="MAURICIO ROJAS MARTINEZ"/>
        <filter val="VICTOR DOCMAC CARVAJAL"/>
        <filter val="ANTONIO VICENT CORTES"/>
        <filter val="EDITH AGUILERA GONZALEZ"/>
        <filter val="AGUSTÍN FARIAS ORELLANA"/>
        <filter val="DANIEL ROJAS ARANEDA"/>
        <filter val="SEBASTIAN RIVERO GUZMAN"/>
        <filter val="MARCO FERNANDEZ ASTORGA"/>
        <filter val="CAMILO DIAZ CONTRERAS"/>
        <filter val="JAVIERA OSORIO BRAVO"/>
        <filter val="ALEXIS RIFFO CAMPOS"/>
        <filter val="CARLOS GUAZZINI YAÑEZ"/>
        <filter val="CRISTOPHER ALVAREZ VALENZUELA"/>
        <filter val="MELISSA OSSES VELASQUEZ"/>
        <filter val="DOUGLAS SUAREZ ZAMORANO"/>
        <filter val="YOLANDA LEON PARDO"/>
        <filter val="GRACIELA GAMBOA MONSALVE"/>
        <filter val="ANDREA ROJAS CANDIA"/>
        <filter val="DANIELA SEPULVEDA ROJAS"/>
        <filter val="PAMELA PADILLA ORTIZ"/>
        <filter val="RODRIGO AGUILAR AVENDAÑO"/>
        <filter val="KARLA TORO FLORES"/>
        <filter val="RAMON CARVAJAL NANJARI"/>
        <filter val="CECILIA LISBOA BANDA"/>
        <filter val="CRISTIAN SAAVEDRA DONOSO"/>
        <filter val="ELIZABETH QUEZADA CAÑETE"/>
        <filter val="MARITZA DÍAZ GALINDO"/>
        <filter val="JUAN GUTIERREZ ACOSTA"/>
        <filter val="SEBASTIAN SALAMANCA ARANDA"/>
        <filter val="DANIEL CUEVAS MIRANDA"/>
        <filter val="SILVINA MAYO AVILA"/>
        <filter val="DANILO LARENAS FARIAS"/>
        <filter val="PABLO TOBAR PALMA"/>
        <filter val="PAULA MUÑOZ VASQUEZ"/>
        <filter val="GUISELLA BEECHER PARRA"/>
        <filter val="ALEJANDRA PINTO LOPEZ"/>
        <filter val="MARCO FUENTES SAEZ"/>
        <filter val="ROSA MARIN TOLEDO"/>
        <filter val="PAOLA MESA ROZAS"/>
        <filter val="ROCIO JEREZ NUÑEZ"/>
        <filter val="VICTOR GONZALEZ AGUAYO"/>
        <filter val="ISAAC ESTAY ROSALES"/>
        <filter val="FRANCISCA GONZALEZ AVILES"/>
        <filter val="JUAN MADRID CORTES"/>
        <filter val="GISELLA RAMIREZ ASTUDILLO"/>
        <filter val="LUIS ARAYA LAGUNAS"/>
        <filter val="LISETTE GARCIA MESINA"/>
        <filter val="ISMAEL DIAZ ARANEDA"/>
        <filter val="CLAUDIA DIAZ MOLINA"/>
        <filter val="CLAUDIA PENTENERO TOLOZA"/>
        <filter val="MAURICIO BARRIOS CALDERON"/>
        <filter val="ROSA TAPIA MUÑOZ"/>
        <filter val="CLAUDIA CANALES MUÑOZ"/>
        <filter val="CLAUDIA FUENTES PEZOA"/>
        <filter val="SEBASTIAN LABRA DIAZ"/>
        <filter val="JOSE GUTIERREZ FERNANDEZ"/>
        <filter val="ADENS GONZALEZ CHIA"/>
        <filter val="MARCELA VÁSQUEZ BECERRA"/>
        <filter val="PAZ HENRIQUEZ CAAMAÑO"/>
        <filter val="MARTA ADRIAZOLA MORENO"/>
        <filter val="SILVIA ACEVEDO BERRIOS"/>
        <filter val="PAMELA ROMERO SANTANDER"/>
        <filter val="OMAR SOTO BECERRA"/>
        <filter val="DANIELA ANDIA CLAVERO"/>
        <filter val="ELISA ARAUS SALAZAR"/>
        <filter val="MARCOS CORNES CARES"/>
      </filters>
    </filterColumn>
  </autoFilter>
  <customSheetViews>
    <customSheetView guid="{4B4747F1-D512-4E10-8175-6EFE5527EAAE}" filter="1" showAutoFilter="1">
      <autoFilter ref="$A$1:$AL$114">
        <filterColumn colId="22">
          <filters>
            <filter val="SI"/>
          </filters>
        </filterColumn>
        <filterColumn colId="23">
          <filters blank="1">
            <filter val="Trabajo en Equipo"/>
            <filter val="Comunicacion"/>
            <filter val="Capacidad de Planificacion y Organizacion"/>
            <filter val="Flexibilidad"/>
            <filter val="Pensamiento Analitico"/>
          </filters>
        </filterColumn>
      </autoFilter>
    </customSheetView>
  </customSheetViews>
  <conditionalFormatting sqref="V2:V118">
    <cfRule type="notContainsBlanks" dxfId="0" priority="1">
      <formula>LEN(TRIM(V2))&gt;0</formula>
    </cfRule>
  </conditionalFormatting>
  <dataValidations>
    <dataValidation type="list" allowBlank="1" showInputMessage="1" showErrorMessage="1" prompt="Brechas - Ingresar si existen brechas a capacitar y en las siguientes columnas ingresar la competencia." sqref="W2:W118">
      <formula1>"SI,NO"</formula1>
    </dataValidation>
    <dataValidation type="custom" allowBlank="1" showInputMessage="1" prompt="Indicar si reemplaza a algún funcionario. Esto puede aparecer en los documentos de autorización presupestaria, en cartas de renuncia archivadas al proceso o en pone término o no-renovación.   SI NO REEMPLAZA A NADIE, FAVOR COLOCAR EL SIGNO &quot;-&quot;." sqref="AI1">
      <formula1>ISERROR(SEARCH((""/""),(AI1)))</formula1>
    </dataValidation>
    <dataValidation type="list" allowBlank="1" showInputMessage="1" prompt="Ingrese un funcionario de la lista (Dotación Diciembre [AÑO ANTERIOR])" sqref="T2:T118">
      <formula1>INFORMACION!$G:$G</formula1>
    </dataValidation>
    <dataValidation type="custom" allowBlank="1" showInputMessage="1" prompt="En caso de que el proceso haya concluido con un interno, ingresar datos relativos al grado anterior, el estamento al cual pertenecía (Administrativo, Técnico, Profesional, Auxiliar) y la Unidad de Desempeño Anterior." sqref="AC1:AC3 AF1:AF3 AC12:AC13 AF12:AF13">
      <formula1>ISERROR(SEARCH((""/""),(AC1)))</formula1>
    </dataValidation>
    <dataValidation type="decimal" allowBlank="1" showInputMessage="1" showErrorMessage="1" prompt="Ingresar grado válido - Entre el 1 y el 24" sqref="H2:H44 H47:H118">
      <formula1>1.0</formula1>
      <formula2>24.0</formula2>
    </dataValidation>
    <dataValidation type="list" allowBlank="1" showInputMessage="1" showErrorMessage="1" prompt="Indicar escalafón - Si es técnico, administrativo, profesional o auxiliar. No indicar en el caso de los médicos o personal de la Ley 15.076." sqref="K2:K118">
      <formula1>"PROFESIONAL,ADMINISTRATIVO,TECNICO,AUXILIAR"</formula1>
    </dataValidation>
    <dataValidation type="custom" allowBlank="1" showInputMessage="1" prompt="Escribir la Vicerrectoría, Facultad o Prorrectoría que corresponda según sea el caso usando MAYÚSCULA Y SIN TILDE." sqref="D1:D118">
      <formula1>ISERROR(SEARCH((""/""),(D1)))</formula1>
    </dataValidation>
    <dataValidation type="date" operator="greaterThan" allowBlank="1" showInputMessage="1" showErrorMessage="1" prompt="Formato - Favor ingresar con formato de fecha." sqref="S2:S3 S12:S13">
      <formula1>42005.0</formula1>
    </dataValidation>
    <dataValidation type="date" allowBlank="1" showDropDown="1" showInputMessage="1" showErrorMessage="1" prompt="Fecha 2017 - Debes ingresar sólo los procesos en que el último proceso esté publicado entre Marzo de 2017 y Enero de 2018" sqref="AA2:AA19">
      <formula1>42795.0</formula1>
      <formula2>43159.0</formula2>
    </dataValidation>
    <dataValidation type="custom" allowBlank="1" showInputMessage="1" prompt="Indicar si reemplaza a algún funcionario. Esto puede aparecer en los documentos de autorización presupestaria, en cartas de renuncia archivadas al proceso o en pone término o no-renovación.   SI NO REEMPLAZA A NADIE, FAVOR COLOCAR EL SIGNO &quot;-&quot;. Indicar si" sqref="AI2:AI118">
      <formula1>ISERROR(SEARCH((""/""),(AI2)))</formula1>
    </dataValidation>
    <dataValidation type="list" allowBlank="1" showInputMessage="1" prompt="Haz clic e introduce un valor de intervalo INFORMACION!A2:A1000" sqref="F2:F40 F41:G41 F42:F118">
      <formula1>INFORMACION!$A$2:$A$1000</formula1>
    </dataValidation>
    <dataValidation type="decimal" allowBlank="1" showInputMessage="1" showErrorMessage="1" prompt="N° Postulantes APARTIR 2° Proces - Indicar el n° de postulantes DE TODOS LOS PROCESOS EXTERNOS que cumplieron con los requisitos para postular. CUIDADO CON LOS POSTULANTES REPETIDOS, dado que no deben incluirse 2 veces._x000a_" sqref="O2:O3 O12:O13">
      <formula1>1.0</formula1>
      <formula2>60.0</formula2>
    </dataValidation>
    <dataValidation type="list" allowBlank="1" showInputMessage="1" showErrorMessage="1" prompt="Indicar si hubo proceso interno - No: No hubo / Interno: Sí hubo / 2: lo volvieron a pedir" sqref="L2:L87">
      <formula1>"INTERNO,NO,2"</formula1>
    </dataValidation>
    <dataValidation type="custom" allowBlank="1" showInputMessage="1" prompt="NO TOCAR ESTA COLUMNA" sqref="A1:A118">
      <formula1>ISERROR(SEARCH(("/"),(A1)))</formula1>
    </dataValidation>
    <dataValidation type="custom" allowBlank="1" showInputMessage="1" prompt="Escriba el Departamento, Unidad, Facultad o Vicerrectoría, según corresponda en cada caso usando MAYÚSCULA Y SIN TILDE." sqref="E1">
      <formula1>ISERROR(SEARCH((""/""),(E1)))</formula1>
    </dataValidation>
    <dataValidation type="list" allowBlank="1" showInputMessage="1" showErrorMessage="1" prompt="Indicar género - Indicar de acuerdo al género si es &quot;seleccionada&quot; o &quot;seleccionado&quot;." sqref="R2:R118">
      <formula1>"SELECCIONADO,SELECCIONADA"</formula1>
    </dataValidation>
    <dataValidation type="list" allowBlank="1" showInputMessage="1" showErrorMessage="1" prompt="Jornada - Precisar la jornada asignada al proceso de selección" sqref="I2:I118">
      <formula1>"Jornada Completa,3/4 Jornada,1/2 Jornada,1/4 Jornada"</formula1>
    </dataValidation>
    <dataValidation type="list" allowBlank="1" showInputMessage="1" showErrorMessage="1" prompt="Tipo de Contrato - Separar con los médicos, quienes se rigen por otra legislación." sqref="J2:J118">
      <formula1>"A CONTRATA,Por 11 hrs. Ley 15.076,Por 22 hrs. Ley 15.076,Por 33 hrs. Ley 15.076,Por 44 hrs. Ley 15.076"</formula1>
    </dataValidation>
    <dataValidation type="list" allowBlank="1" showInputMessage="1" showErrorMessage="1" prompt="Indicar si hubo proceso interno - No: No hubo_x000a_Interno: Sí hubo" sqref="L88:L118">
      <formula1>"INTERNO,NO,2"</formula1>
    </dataValidation>
    <dataValidation type="decimal" allowBlank="1" showInputMessage="1" showErrorMessage="1" prompt="Indicar n° de postulantes int - Puede variar de 0 en adelante. Favor indicar el total de postulantes internos que cumplieron con los requisitos." sqref="M2:M3 M12:M13">
      <formula1>0.0</formula1>
      <formula2>60.0</formula2>
    </dataValidation>
    <dataValidation type="list" allowBlank="1" showInputMessage="1" showErrorMessage="1" prompt="Motivo Contratación - Ingrese si la contratación se debe a un proceso de selección, una regularización contractual o a una autorización directa." sqref="AH2:AH118">
      <formula1>"PROCESO DE SELECCIÓN,REGULARIZACIÓN CONTRACTUAL,CONTRATACIÓN DIRECTA"</formula1>
    </dataValidation>
    <dataValidation type="decimal" allowBlank="1" showInputMessage="1" showErrorMessage="1" promptTitle="Informes Psi Realizados" prompt="Ingrese la cantidad de informes realizados de acuerdo al TOTAL de procesos de selección correspondientes a la vacante. FIJARSE QUE LA UNIDAD HAYA DEVUELTO LA DOCUMENTACIÓN. Si son regularizaciones o auto. directas, indicar número de informes por vacante." sqref="P2:P3 P12:P13">
      <formula1>1.0</formula1>
      <formula2>15.0</formula2>
    </dataValidation>
    <dataValidation type="custom" allowBlank="1" showInputMessage="1" prompt="Ingrese las competencias en que es necesario capacitar al primer candidato de acuerdo al orden de importancia (1crítica-3necesaria). " sqref="X1:Z1">
      <formula1>ISERROR(SEARCH((""/""),(X1)))</formula1>
    </dataValidation>
    <dataValidation type="list" allowBlank="1" showInputMessage="1" prompt="Ingrese las competencias en que es necesario capacitar al primer candidato de acuerdo al orden de importancia (1crítica-3necesaria). " sqref="X2:Z118">
      <formula1>INFORMACION!$H$2:$H$24</formula1>
    </dataValidation>
    <dataValidation type="decimal" allowBlank="1" showInputMessage="1" showErrorMessage="1" prompt="Ingrese Núm. Procesos Externos - Debe ingresar SÓLO la cantidad de los PROCESOS EXTERNOS." sqref="Q2:Q3 Q12:Q13">
      <formula1>0.0</formula1>
      <formula2>15.0</formula2>
    </dataValidation>
    <dataValidation type="list" allowBlank="1" showInputMessage="1" showErrorMessage="1" prompt="Elegir bien - Elija de acuerdo a la fuente por donde la persona seleccionada postuló o se participó del proceso._x000a_Puede ser P, C (CORREO) o E (EXTERNO), dependiendo el caso." sqref="AK2:AK118">
      <formula1>"C,P,E"</formula1>
    </dataValidation>
    <dataValidation type="custom" allowBlank="1" showInputMessage="1" prompt="Ingresar RUT en el formato indicado. Si esta celda está en rojo es porque la persona ya ha resultado seleccionada a lo largo del año, o bien porque se ha ingresado un proceso idéntico a la base de datos." sqref="V1:V3 V12:V13">
      <formula1>LEN(10)</formula1>
    </dataValidation>
    <dataValidation type="list" allowBlank="1" showInputMessage="1" showErrorMessage="1" prompt="Indicar si hubo 2° proceso - Indicar si hubo:_x000a_Proceso Externo: Externo_x000a_No hubo: No" sqref="N2:N118">
      <formula1>"EXTERNO,NO"</formula1>
    </dataValidation>
    <dataValidation type="list" allowBlank="1" showInputMessage="1" prompt="Escriba el Departamento, Unidad, Facultad o Vicerrectoría, según corresponda en cada caso usando MAYÚSCULA Y SIN TILDE." sqref="E2:E118">
      <formula1>INFORMACION!$D:$D</formula1>
    </dataValidation>
    <dataValidation type="custom" allowBlank="1" showInputMessage="1" prompt="Escribalo con mayúscula y sin tilde." sqref="F1">
      <formula1>ISERROR(SEARCH((""/""),(F1)))</formula1>
    </dataValidation>
    <dataValidation type="date" allowBlank="1" showDropDown="1" showInputMessage="1" showErrorMessage="1" prompt="Fecha 2017 - Debes ingresar sólo los procesos en que el último proceso esté publicado entre Marzo de 2017 y Enero de 2018" sqref="AA20:AA118">
      <formula1>42793.0</formula1>
      <formula2>43159.0</formula2>
    </dataValidation>
    <dataValidation type="custom" allowBlank="1" showInputMessage="1" prompt="Ingresar primer nombre y apellidos en mayúscula, sin tilde y sin Ñ." sqref="T1:U1 U2:U3 U12:U13">
      <formula1>ISERROR(SEARCH((""/""),(T1)))</formula1>
    </dataValidation>
  </dataValidations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6.57"/>
    <col customWidth="1" min="2" max="2" width="9.43"/>
    <col customWidth="1" min="3" max="4" width="12.86"/>
    <col customWidth="1" min="5" max="5" width="31.0"/>
    <col customWidth="1" min="6" max="6" width="34.86"/>
    <col customWidth="1" min="7" max="7" width="57.29"/>
    <col customWidth="1" min="17" max="17" width="18.0"/>
    <col customWidth="1" min="20" max="20" width="24.71"/>
    <col customWidth="1" min="21" max="21" width="29.14"/>
    <col customWidth="1" min="31" max="31" width="16.14"/>
    <col customWidth="1" min="32" max="32" width="34.29"/>
    <col customWidth="1" min="33" max="33" width="47.0"/>
    <col customWidth="1" min="34" max="34" width="22.29"/>
    <col customWidth="1" min="35" max="35" width="24.29"/>
    <col customWidth="1" min="38" max="39" width="8.57"/>
  </cols>
  <sheetData>
    <row r="1">
      <c r="A1" s="44" t="s">
        <v>1542</v>
      </c>
      <c r="B1" s="27" t="s">
        <v>1543</v>
      </c>
      <c r="C1" s="28" t="s">
        <v>1544</v>
      </c>
      <c r="D1" s="29" t="s">
        <v>1545</v>
      </c>
      <c r="E1" s="29" t="s">
        <v>1546</v>
      </c>
      <c r="F1" s="30" t="s">
        <v>1547</v>
      </c>
      <c r="G1" s="28" t="s">
        <v>1548</v>
      </c>
      <c r="H1" s="29" t="s">
        <v>1589</v>
      </c>
      <c r="I1" s="29" t="s">
        <v>1550</v>
      </c>
      <c r="J1" s="29" t="s">
        <v>1551</v>
      </c>
      <c r="K1" s="29" t="s">
        <v>1552</v>
      </c>
      <c r="L1" s="29" t="s">
        <v>2535</v>
      </c>
      <c r="M1" s="29" t="s">
        <v>1554</v>
      </c>
      <c r="N1" s="29" t="s">
        <v>2536</v>
      </c>
      <c r="O1" s="29" t="s">
        <v>1556</v>
      </c>
      <c r="P1" s="29" t="s">
        <v>1557</v>
      </c>
      <c r="Q1" s="28" t="s">
        <v>2537</v>
      </c>
      <c r="R1" s="29" t="s">
        <v>1559</v>
      </c>
      <c r="S1" s="31" t="s">
        <v>1560</v>
      </c>
      <c r="T1" s="29" t="s">
        <v>1561</v>
      </c>
      <c r="U1" s="28" t="s">
        <v>1562</v>
      </c>
      <c r="V1" s="28" t="s">
        <v>2060</v>
      </c>
      <c r="W1" s="29" t="s">
        <v>1563</v>
      </c>
      <c r="X1" s="29" t="s">
        <v>1564</v>
      </c>
      <c r="Y1" s="29" t="s">
        <v>1565</v>
      </c>
      <c r="Z1" s="29" t="s">
        <v>1566</v>
      </c>
      <c r="AA1" s="31" t="s">
        <v>1567</v>
      </c>
      <c r="AB1" s="31" t="s">
        <v>1568</v>
      </c>
      <c r="AC1" s="29" t="s">
        <v>1569</v>
      </c>
      <c r="AD1" s="29" t="s">
        <v>1570</v>
      </c>
      <c r="AE1" s="29" t="s">
        <v>1571</v>
      </c>
      <c r="AF1" s="29" t="s">
        <v>1572</v>
      </c>
      <c r="AG1" s="32" t="s">
        <v>1573</v>
      </c>
      <c r="AH1" s="194" t="s">
        <v>1574</v>
      </c>
      <c r="AI1" s="194" t="s">
        <v>1575</v>
      </c>
      <c r="AJ1" s="156" t="s">
        <v>1576</v>
      </c>
      <c r="AK1" s="29" t="s">
        <v>1577</v>
      </c>
      <c r="AL1" s="29" t="s">
        <v>2538</v>
      </c>
      <c r="AM1" s="44" t="s">
        <v>2539</v>
      </c>
    </row>
    <row r="2">
      <c r="A2" s="158">
        <f t="shared" ref="A2:A129" si="1">IFERROR(LEFT(V2,LEN(V2)-2)*1,"")</f>
        <v>20040743</v>
      </c>
      <c r="B2" s="236">
        <v>1.0</v>
      </c>
      <c r="C2" s="184" t="s">
        <v>3837</v>
      </c>
      <c r="D2" s="184" t="str">
        <f>IFERROR(VLOOKUP(E2,INFORMACION!D:E,2,0),"INGRESAR CENTRO DE COSTO A LA DERECHA")</f>
        <v>INGRESAR CENTRO DE COSTO A LA DERECHA</v>
      </c>
      <c r="E2" s="184" t="s">
        <v>3838</v>
      </c>
      <c r="F2" s="195" t="s">
        <v>2545</v>
      </c>
      <c r="G2" s="186" t="s">
        <v>1625</v>
      </c>
      <c r="H2" s="186">
        <v>17.0</v>
      </c>
      <c r="I2" s="186" t="s">
        <v>2541</v>
      </c>
      <c r="J2" s="184" t="s">
        <v>112</v>
      </c>
      <c r="K2" s="184" t="s">
        <v>125</v>
      </c>
      <c r="L2" s="184" t="s">
        <v>117</v>
      </c>
      <c r="M2" s="184">
        <v>2.0</v>
      </c>
      <c r="N2" s="184" t="s">
        <v>116</v>
      </c>
      <c r="O2" s="184">
        <v>3.0</v>
      </c>
      <c r="P2" s="184">
        <v>1.0</v>
      </c>
      <c r="Q2" s="184"/>
      <c r="R2" s="184" t="s">
        <v>121</v>
      </c>
      <c r="S2" s="218">
        <v>43193.0</v>
      </c>
      <c r="T2" s="241"/>
      <c r="U2" s="105" t="s">
        <v>3839</v>
      </c>
      <c r="V2" s="184" t="s">
        <v>3840</v>
      </c>
      <c r="W2" s="184" t="s">
        <v>118</v>
      </c>
      <c r="X2" s="197" t="s">
        <v>138</v>
      </c>
      <c r="Y2" s="197" t="s">
        <v>154</v>
      </c>
      <c r="Z2" s="197"/>
      <c r="AA2" s="219">
        <v>43164.0</v>
      </c>
      <c r="AB2" s="219">
        <v>43171.0</v>
      </c>
      <c r="AC2" s="4"/>
      <c r="AD2" s="4"/>
      <c r="AE2" s="4"/>
      <c r="AF2" s="4"/>
      <c r="AG2" s="4"/>
      <c r="AH2" s="244" t="s">
        <v>2071</v>
      </c>
      <c r="AI2" s="244" t="s">
        <v>3841</v>
      </c>
      <c r="AJ2" s="184"/>
      <c r="AK2" s="184" t="s">
        <v>1612</v>
      </c>
      <c r="AL2" s="200">
        <f t="shared" ref="AL2:AL57" si="2">IF(AB2="","",IF(AND(NETWORKDAYS(AB2,S2)&gt;1000,NETWORKDAYS(AB2,S2)&lt;1),"",(NETWORKDAYS(AB2,S2))))</f>
        <v>17</v>
      </c>
      <c r="AM2" s="201">
        <v>2018.0</v>
      </c>
    </row>
    <row r="3">
      <c r="A3" s="158">
        <f t="shared" si="1"/>
        <v>17959771</v>
      </c>
      <c r="B3" s="236">
        <v>2.0</v>
      </c>
      <c r="C3" s="184" t="s">
        <v>3842</v>
      </c>
      <c r="D3" s="184" t="str">
        <f>IFERROR(VLOOKUP(E3,INFORMACION!D:E,2,0),"INGRESAR CENTRO DE COSTO A LA DERECHA")</f>
        <v>INGRESAR CENTRO DE COSTO A LA DERECHA</v>
      </c>
      <c r="E3" s="184" t="s">
        <v>2911</v>
      </c>
      <c r="F3" s="195" t="s">
        <v>2031</v>
      </c>
      <c r="G3" s="186" t="s">
        <v>3002</v>
      </c>
      <c r="H3" s="186">
        <v>13.0</v>
      </c>
      <c r="I3" s="186" t="s">
        <v>2541</v>
      </c>
      <c r="J3" s="184" t="s">
        <v>112</v>
      </c>
      <c r="K3" s="184" t="s">
        <v>114</v>
      </c>
      <c r="L3" s="184" t="s">
        <v>117</v>
      </c>
      <c r="M3" s="184">
        <v>0.0</v>
      </c>
      <c r="N3" s="184" t="s">
        <v>116</v>
      </c>
      <c r="O3" s="184">
        <v>6.0</v>
      </c>
      <c r="P3" s="184">
        <v>1.0</v>
      </c>
      <c r="Q3" s="184"/>
      <c r="R3" s="184" t="s">
        <v>121</v>
      </c>
      <c r="S3" s="218">
        <v>43187.0</v>
      </c>
      <c r="T3" s="105"/>
      <c r="U3" s="105" t="s">
        <v>3843</v>
      </c>
      <c r="V3" s="184" t="s">
        <v>3844</v>
      </c>
      <c r="W3" s="184" t="s">
        <v>118</v>
      </c>
      <c r="X3" s="197" t="s">
        <v>138</v>
      </c>
      <c r="Y3" s="170"/>
      <c r="Z3" s="170"/>
      <c r="AA3" s="219">
        <v>43178.0</v>
      </c>
      <c r="AB3" s="219">
        <v>43180.0</v>
      </c>
      <c r="AC3" s="184"/>
      <c r="AD3" s="184"/>
      <c r="AE3" s="184"/>
      <c r="AF3" s="184"/>
      <c r="AG3" s="184"/>
      <c r="AH3" s="244" t="s">
        <v>2071</v>
      </c>
      <c r="AI3" s="244" t="s">
        <v>3845</v>
      </c>
      <c r="AJ3" s="184"/>
      <c r="AK3" s="184" t="s">
        <v>2163</v>
      </c>
      <c r="AL3" s="200">
        <f t="shared" si="2"/>
        <v>6</v>
      </c>
      <c r="AM3" s="201">
        <v>2018.0</v>
      </c>
    </row>
    <row r="4">
      <c r="A4" s="158">
        <f t="shared" si="1"/>
        <v>15579586</v>
      </c>
      <c r="B4" s="242">
        <v>3.0</v>
      </c>
      <c r="C4" s="267" t="s">
        <v>3846</v>
      </c>
      <c r="D4" s="184" t="str">
        <f>IFERROR(VLOOKUP(E4,INFORMACION!D:E,2,0),"INGRESAR CENTRO DE COSTO A LA DERECHA")</f>
        <v>INGRESAR CENTRO DE COSTO A LA DERECHA</v>
      </c>
      <c r="E4" s="184" t="s">
        <v>1623</v>
      </c>
      <c r="F4" s="195" t="s">
        <v>2576</v>
      </c>
      <c r="G4" s="186" t="s">
        <v>1741</v>
      </c>
      <c r="H4" s="186">
        <v>21.0</v>
      </c>
      <c r="I4" s="186" t="s">
        <v>2541</v>
      </c>
      <c r="J4" s="184" t="s">
        <v>112</v>
      </c>
      <c r="K4" s="184" t="s">
        <v>127</v>
      </c>
      <c r="L4" s="184" t="s">
        <v>117</v>
      </c>
      <c r="M4" s="184">
        <v>0.0</v>
      </c>
      <c r="N4" s="184" t="s">
        <v>116</v>
      </c>
      <c r="O4" s="184">
        <v>10.0</v>
      </c>
      <c r="P4" s="184">
        <v>1.0</v>
      </c>
      <c r="Q4" s="184"/>
      <c r="R4" s="184" t="s">
        <v>115</v>
      </c>
      <c r="S4" s="218">
        <v>43201.0</v>
      </c>
      <c r="T4" s="105"/>
      <c r="U4" s="105" t="s">
        <v>3847</v>
      </c>
      <c r="V4" s="184" t="s">
        <v>3848</v>
      </c>
      <c r="W4" s="184" t="s">
        <v>122</v>
      </c>
      <c r="X4" s="170"/>
      <c r="Y4" s="170"/>
      <c r="Z4" s="170"/>
      <c r="AA4" s="219">
        <v>43165.0</v>
      </c>
      <c r="AB4" s="219">
        <v>43172.0</v>
      </c>
      <c r="AC4" s="184"/>
      <c r="AD4" s="184"/>
      <c r="AE4" s="184"/>
      <c r="AF4" s="184"/>
      <c r="AG4" s="4"/>
      <c r="AH4" s="244" t="s">
        <v>2071</v>
      </c>
      <c r="AI4" s="244" t="s">
        <v>3849</v>
      </c>
      <c r="AJ4" s="184"/>
      <c r="AK4" s="184" t="s">
        <v>2163</v>
      </c>
      <c r="AL4" s="200">
        <f t="shared" si="2"/>
        <v>22</v>
      </c>
      <c r="AM4" s="201">
        <v>2018.0</v>
      </c>
    </row>
    <row r="5">
      <c r="A5" s="158">
        <f t="shared" si="1"/>
        <v>18057011</v>
      </c>
      <c r="B5" s="242">
        <v>4.0</v>
      </c>
      <c r="C5" s="267" t="s">
        <v>3850</v>
      </c>
      <c r="D5" s="184" t="str">
        <f>IFERROR(VLOOKUP(E5,INFORMACION!D:E,2,0),"INGRESAR CENTRO DE COSTO A LA DERECHA")</f>
        <v>INGRESAR CENTRO DE COSTO A LA DERECHA</v>
      </c>
      <c r="E5" s="184" t="s">
        <v>3788</v>
      </c>
      <c r="F5" s="195" t="s">
        <v>1970</v>
      </c>
      <c r="G5" s="186" t="s">
        <v>1638</v>
      </c>
      <c r="H5" s="186">
        <v>23.0</v>
      </c>
      <c r="I5" s="186" t="s">
        <v>2541</v>
      </c>
      <c r="J5" s="184" t="s">
        <v>112</v>
      </c>
      <c r="K5" s="184" t="s">
        <v>127</v>
      </c>
      <c r="L5" s="184" t="s">
        <v>117</v>
      </c>
      <c r="M5" s="184">
        <v>0.0</v>
      </c>
      <c r="N5" s="184" t="s">
        <v>116</v>
      </c>
      <c r="O5" s="184">
        <v>22.0</v>
      </c>
      <c r="P5" s="184">
        <v>3.0</v>
      </c>
      <c r="Q5" s="184">
        <v>2.0</v>
      </c>
      <c r="R5" s="184" t="s">
        <v>115</v>
      </c>
      <c r="S5" s="218">
        <v>43222.0</v>
      </c>
      <c r="T5" s="105"/>
      <c r="U5" s="105" t="s">
        <v>3851</v>
      </c>
      <c r="V5" s="184" t="s">
        <v>3852</v>
      </c>
      <c r="W5" s="184" t="s">
        <v>122</v>
      </c>
      <c r="X5" s="197"/>
      <c r="Y5" s="170"/>
      <c r="Z5" s="170"/>
      <c r="AA5" s="219">
        <v>43165.0</v>
      </c>
      <c r="AB5" s="219">
        <v>43172.0</v>
      </c>
      <c r="AC5" s="4"/>
      <c r="AD5" s="4"/>
      <c r="AE5" s="184"/>
      <c r="AF5" s="4"/>
      <c r="AG5" s="4"/>
      <c r="AH5" s="244" t="s">
        <v>2071</v>
      </c>
      <c r="AI5" s="244" t="s">
        <v>3853</v>
      </c>
      <c r="AJ5" s="184"/>
      <c r="AK5" s="184" t="s">
        <v>2163</v>
      </c>
      <c r="AL5" s="200">
        <f t="shared" si="2"/>
        <v>37</v>
      </c>
      <c r="AM5" s="201">
        <v>2018.0</v>
      </c>
    </row>
    <row r="6">
      <c r="A6" s="158">
        <f t="shared" si="1"/>
        <v>16088193</v>
      </c>
      <c r="B6" s="242">
        <v>5.0</v>
      </c>
      <c r="C6" s="267" t="s">
        <v>3854</v>
      </c>
      <c r="D6" s="184" t="str">
        <f>IFERROR(VLOOKUP(E6,INFORMACION!D:E,2,0),"INGRESAR CENTRO DE COSTO A LA DERECHA")</f>
        <v>INGRESAR CENTRO DE COSTO A LA DERECHA</v>
      </c>
      <c r="E6" s="244" t="s">
        <v>3855</v>
      </c>
      <c r="F6" s="195" t="s">
        <v>2031</v>
      </c>
      <c r="G6" s="186" t="s">
        <v>3002</v>
      </c>
      <c r="H6" s="186">
        <v>13.0</v>
      </c>
      <c r="I6" s="186" t="s">
        <v>2541</v>
      </c>
      <c r="J6" s="184" t="s">
        <v>112</v>
      </c>
      <c r="K6" s="184" t="s">
        <v>114</v>
      </c>
      <c r="L6" s="184" t="s">
        <v>117</v>
      </c>
      <c r="M6" s="184">
        <v>2.0</v>
      </c>
      <c r="N6" s="184" t="s">
        <v>116</v>
      </c>
      <c r="O6" s="184">
        <v>14.0</v>
      </c>
      <c r="P6" s="184">
        <v>1.0</v>
      </c>
      <c r="Q6" s="184">
        <v>1.0</v>
      </c>
      <c r="R6" s="184" t="s">
        <v>121</v>
      </c>
      <c r="S6" s="218">
        <v>43221.0</v>
      </c>
      <c r="T6" s="105"/>
      <c r="U6" s="105" t="s">
        <v>3856</v>
      </c>
      <c r="V6" s="184" t="s">
        <v>3857</v>
      </c>
      <c r="W6" s="184" t="s">
        <v>118</v>
      </c>
      <c r="X6" s="197" t="s">
        <v>154</v>
      </c>
      <c r="Y6" s="170"/>
      <c r="Z6" s="170"/>
      <c r="AA6" s="219">
        <v>43182.0</v>
      </c>
      <c r="AB6" s="219">
        <v>43189.0</v>
      </c>
      <c r="AC6" s="184"/>
      <c r="AD6" s="184"/>
      <c r="AE6" s="184"/>
      <c r="AF6" s="184"/>
      <c r="AG6" s="4"/>
      <c r="AH6" s="244" t="s">
        <v>2071</v>
      </c>
      <c r="AI6" s="244" t="s">
        <v>545</v>
      </c>
      <c r="AJ6" s="184"/>
      <c r="AK6" s="184" t="s">
        <v>2163</v>
      </c>
      <c r="AL6" s="200">
        <f t="shared" si="2"/>
        <v>23</v>
      </c>
      <c r="AM6" s="201">
        <v>2018.0</v>
      </c>
    </row>
    <row r="7">
      <c r="A7" s="158">
        <f t="shared" si="1"/>
        <v>13460559</v>
      </c>
      <c r="B7" s="242">
        <v>6.0</v>
      </c>
      <c r="C7" s="267" t="s">
        <v>3858</v>
      </c>
      <c r="D7" s="184" t="str">
        <f>IFERROR(VLOOKUP(E7,INFORMACION!D:E,2,0),"INGRESAR CENTRO DE COSTO A LA DERECHA")</f>
        <v>INGRESAR CENTRO DE COSTO A LA DERECHA</v>
      </c>
      <c r="E7" s="184" t="s">
        <v>3554</v>
      </c>
      <c r="F7" s="195" t="s">
        <v>3371</v>
      </c>
      <c r="G7" s="186" t="s">
        <v>1631</v>
      </c>
      <c r="H7" s="186">
        <v>10.0</v>
      </c>
      <c r="I7" s="186" t="s">
        <v>2541</v>
      </c>
      <c r="J7" s="184" t="s">
        <v>112</v>
      </c>
      <c r="K7" s="184" t="s">
        <v>114</v>
      </c>
      <c r="L7" s="184" t="s">
        <v>117</v>
      </c>
      <c r="M7" s="184">
        <v>9.0</v>
      </c>
      <c r="N7" s="184" t="s">
        <v>122</v>
      </c>
      <c r="O7" s="184"/>
      <c r="P7" s="184">
        <v>3.0</v>
      </c>
      <c r="Q7" s="184"/>
      <c r="R7" s="184" t="s">
        <v>121</v>
      </c>
      <c r="S7" s="218">
        <v>43227.0</v>
      </c>
      <c r="T7" s="105" t="s">
        <v>189</v>
      </c>
      <c r="U7" s="105"/>
      <c r="V7" s="184" t="s">
        <v>3859</v>
      </c>
      <c r="W7" s="184" t="s">
        <v>118</v>
      </c>
      <c r="X7" s="197" t="s">
        <v>154</v>
      </c>
      <c r="Y7" s="197"/>
      <c r="Z7" s="170"/>
      <c r="AA7" s="219">
        <v>43180.0</v>
      </c>
      <c r="AB7" s="219">
        <v>43185.0</v>
      </c>
      <c r="AC7" s="184">
        <v>14.0</v>
      </c>
      <c r="AD7" s="184" t="s">
        <v>114</v>
      </c>
      <c r="AE7" s="184" t="s">
        <v>3261</v>
      </c>
      <c r="AF7" s="184" t="s">
        <v>3860</v>
      </c>
      <c r="AG7" s="4"/>
      <c r="AH7" s="244" t="s">
        <v>2071</v>
      </c>
      <c r="AI7" s="244" t="s">
        <v>2597</v>
      </c>
      <c r="AJ7" s="184"/>
      <c r="AK7" s="184" t="s">
        <v>2157</v>
      </c>
      <c r="AL7" s="200">
        <f t="shared" si="2"/>
        <v>31</v>
      </c>
      <c r="AM7" s="201">
        <v>2018.0</v>
      </c>
    </row>
    <row r="8">
      <c r="A8" s="158">
        <f t="shared" si="1"/>
        <v>12782003</v>
      </c>
      <c r="B8" s="259">
        <v>7.0</v>
      </c>
      <c r="C8" s="267" t="s">
        <v>3861</v>
      </c>
      <c r="D8" s="184" t="str">
        <f>IFERROR(VLOOKUP(E8,INFORMACION!D:E,2,0),"INGRESAR CENTRO DE COSTO A LA DERECHA")</f>
        <v>INGRESAR CENTRO DE COSTO A LA DERECHA</v>
      </c>
      <c r="E8" s="244" t="s">
        <v>2891</v>
      </c>
      <c r="F8" s="195" t="s">
        <v>2576</v>
      </c>
      <c r="G8" s="245" t="s">
        <v>1741</v>
      </c>
      <c r="H8" s="245">
        <v>21.0</v>
      </c>
      <c r="I8" s="245" t="s">
        <v>2541</v>
      </c>
      <c r="J8" s="244" t="s">
        <v>112</v>
      </c>
      <c r="K8" s="244" t="s">
        <v>127</v>
      </c>
      <c r="L8" s="244" t="s">
        <v>117</v>
      </c>
      <c r="M8" s="244">
        <v>0.0</v>
      </c>
      <c r="N8" s="244" t="s">
        <v>116</v>
      </c>
      <c r="O8" s="244">
        <v>5.0</v>
      </c>
      <c r="P8" s="244">
        <v>3.0</v>
      </c>
      <c r="Q8" s="244">
        <v>3.0</v>
      </c>
      <c r="R8" s="244" t="s">
        <v>115</v>
      </c>
      <c r="S8" s="246">
        <v>43223.0</v>
      </c>
      <c r="T8" s="247"/>
      <c r="U8" s="247" t="s">
        <v>3862</v>
      </c>
      <c r="V8" s="244" t="s">
        <v>3863</v>
      </c>
      <c r="W8" s="244" t="s">
        <v>122</v>
      </c>
      <c r="X8" s="248"/>
      <c r="Y8" s="248"/>
      <c r="Z8" s="249"/>
      <c r="AA8" s="250">
        <v>43187.0</v>
      </c>
      <c r="AB8" s="250">
        <v>43194.0</v>
      </c>
      <c r="AC8" s="251"/>
      <c r="AD8" s="251"/>
      <c r="AE8" s="244"/>
      <c r="AF8" s="251"/>
      <c r="AG8" s="251"/>
      <c r="AH8" s="244" t="s">
        <v>2071</v>
      </c>
      <c r="AI8" s="244" t="s">
        <v>2597</v>
      </c>
      <c r="AJ8" s="244"/>
      <c r="AK8" s="244" t="s">
        <v>2163</v>
      </c>
      <c r="AL8" s="200">
        <f t="shared" si="2"/>
        <v>22</v>
      </c>
      <c r="AM8" s="201">
        <v>2018.0</v>
      </c>
    </row>
    <row r="9">
      <c r="A9" s="158">
        <f t="shared" si="1"/>
        <v>16360131</v>
      </c>
      <c r="B9" s="236">
        <v>8.0</v>
      </c>
      <c r="C9" s="184" t="s">
        <v>3864</v>
      </c>
      <c r="D9" s="184" t="str">
        <f>IFERROR(VLOOKUP(E9,INFORMACION!D:E,2,0),"INGRESAR CENTRO DE COSTO A LA DERECHA")</f>
        <v>INGRESAR CENTRO DE COSTO A LA DERECHA</v>
      </c>
      <c r="E9" s="244" t="s">
        <v>2886</v>
      </c>
      <c r="F9" s="195" t="s">
        <v>2710</v>
      </c>
      <c r="G9" s="245" t="s">
        <v>3865</v>
      </c>
      <c r="H9" s="245">
        <v>10.0</v>
      </c>
      <c r="I9" s="245" t="s">
        <v>2541</v>
      </c>
      <c r="J9" s="244" t="s">
        <v>112</v>
      </c>
      <c r="K9" s="244" t="s">
        <v>114</v>
      </c>
      <c r="L9" s="244" t="s">
        <v>117</v>
      </c>
      <c r="M9" s="244">
        <v>0.0</v>
      </c>
      <c r="N9" s="244" t="s">
        <v>116</v>
      </c>
      <c r="O9" s="244">
        <v>5.0</v>
      </c>
      <c r="P9" s="244">
        <v>3.0</v>
      </c>
      <c r="Q9" s="244">
        <v>2.0</v>
      </c>
      <c r="R9" s="244" t="s">
        <v>115</v>
      </c>
      <c r="S9" s="246">
        <v>43234.0</v>
      </c>
      <c r="T9" s="247" t="s">
        <v>128</v>
      </c>
      <c r="U9" s="247"/>
      <c r="V9" s="244" t="s">
        <v>3866</v>
      </c>
      <c r="W9" s="244" t="s">
        <v>122</v>
      </c>
      <c r="X9" s="249"/>
      <c r="Y9" s="249"/>
      <c r="Z9" s="249"/>
      <c r="AA9" s="250">
        <v>43217.0</v>
      </c>
      <c r="AB9" s="250">
        <v>43223.0</v>
      </c>
      <c r="AC9" s="244"/>
      <c r="AD9" s="244" t="s">
        <v>3867</v>
      </c>
      <c r="AE9" s="244" t="s">
        <v>3868</v>
      </c>
      <c r="AF9" s="244" t="s">
        <v>2886</v>
      </c>
      <c r="AG9" s="251"/>
      <c r="AH9" s="244" t="s">
        <v>2071</v>
      </c>
      <c r="AI9" s="244" t="s">
        <v>3869</v>
      </c>
      <c r="AJ9" s="244"/>
      <c r="AK9" s="244" t="s">
        <v>2157</v>
      </c>
      <c r="AL9" s="200">
        <f t="shared" si="2"/>
        <v>8</v>
      </c>
      <c r="AM9" s="201">
        <v>2018.0</v>
      </c>
    </row>
    <row r="10">
      <c r="A10" s="158">
        <f t="shared" si="1"/>
        <v>13072507</v>
      </c>
      <c r="B10" s="236">
        <v>9.0</v>
      </c>
      <c r="C10" s="184" t="s">
        <v>3870</v>
      </c>
      <c r="D10" s="184" t="str">
        <f>IFERROR(VLOOKUP(E10,INFORMACION!D:E,2,0),"INGRESAR CENTRO DE COSTO A LA DERECHA")</f>
        <v>INGRESAR CENTRO DE COSTO A LA DERECHA</v>
      </c>
      <c r="E10" s="184" t="s">
        <v>1627</v>
      </c>
      <c r="F10" s="195" t="s">
        <v>2094</v>
      </c>
      <c r="G10" s="186" t="s">
        <v>3871</v>
      </c>
      <c r="H10" s="186">
        <v>10.0</v>
      </c>
      <c r="I10" s="186" t="s">
        <v>2541</v>
      </c>
      <c r="J10" s="184" t="s">
        <v>112</v>
      </c>
      <c r="K10" s="184" t="s">
        <v>114</v>
      </c>
      <c r="L10" s="184" t="s">
        <v>117</v>
      </c>
      <c r="M10" s="184">
        <v>4.0</v>
      </c>
      <c r="N10" s="184" t="s">
        <v>122</v>
      </c>
      <c r="O10" s="184"/>
      <c r="P10" s="184">
        <v>1.0</v>
      </c>
      <c r="Q10" s="184">
        <v>0.0</v>
      </c>
      <c r="R10" s="184" t="s">
        <v>121</v>
      </c>
      <c r="S10" s="218">
        <v>43234.0</v>
      </c>
      <c r="T10" s="105" t="s">
        <v>400</v>
      </c>
      <c r="U10" s="105"/>
      <c r="V10" s="184" t="s">
        <v>3872</v>
      </c>
      <c r="W10" s="184" t="s">
        <v>118</v>
      </c>
      <c r="X10" s="197" t="s">
        <v>138</v>
      </c>
      <c r="Y10" s="197" t="s">
        <v>166</v>
      </c>
      <c r="Z10" s="170"/>
      <c r="AA10" s="219">
        <v>43196.0</v>
      </c>
      <c r="AB10" s="219">
        <v>43201.0</v>
      </c>
      <c r="AC10" s="184">
        <v>10.0</v>
      </c>
      <c r="AD10" s="184" t="s">
        <v>114</v>
      </c>
      <c r="AE10" s="184" t="s">
        <v>1706</v>
      </c>
      <c r="AF10" s="184" t="s">
        <v>3873</v>
      </c>
      <c r="AG10" s="184" t="s">
        <v>3874</v>
      </c>
      <c r="AH10" s="244" t="s">
        <v>2071</v>
      </c>
      <c r="AI10" s="244" t="s">
        <v>1609</v>
      </c>
      <c r="AJ10" s="184"/>
      <c r="AK10" s="184" t="s">
        <v>2157</v>
      </c>
      <c r="AL10" s="200">
        <f t="shared" si="2"/>
        <v>24</v>
      </c>
      <c r="AM10" s="201">
        <v>2018.0</v>
      </c>
    </row>
    <row r="11">
      <c r="A11" s="158">
        <f t="shared" si="1"/>
        <v>17699481</v>
      </c>
      <c r="B11" s="242">
        <v>10.0</v>
      </c>
      <c r="C11" s="267" t="s">
        <v>3875</v>
      </c>
      <c r="D11" s="184" t="str">
        <f>IFERROR(VLOOKUP(E11,INFORMACION!D:E,2,0),"INGRESAR CENTRO DE COSTO A LA DERECHA")</f>
        <v>INGRESAR CENTRO DE COSTO A LA DERECHA</v>
      </c>
      <c r="E11" s="184" t="s">
        <v>3554</v>
      </c>
      <c r="F11" s="195" t="s">
        <v>2977</v>
      </c>
      <c r="G11" s="186" t="s">
        <v>3876</v>
      </c>
      <c r="H11" s="186">
        <v>8.0</v>
      </c>
      <c r="I11" s="186" t="s">
        <v>2541</v>
      </c>
      <c r="J11" s="184" t="s">
        <v>112</v>
      </c>
      <c r="K11" s="184" t="s">
        <v>114</v>
      </c>
      <c r="L11" s="184" t="s">
        <v>117</v>
      </c>
      <c r="M11" s="184">
        <v>2.0</v>
      </c>
      <c r="N11" s="184" t="s">
        <v>116</v>
      </c>
      <c r="O11" s="184">
        <v>27.0</v>
      </c>
      <c r="P11" s="184">
        <v>1.0</v>
      </c>
      <c r="Q11" s="184">
        <v>0.0</v>
      </c>
      <c r="R11" s="184" t="s">
        <v>115</v>
      </c>
      <c r="S11" s="218">
        <v>43230.0</v>
      </c>
      <c r="T11" s="105"/>
      <c r="U11" s="105" t="s">
        <v>3877</v>
      </c>
      <c r="V11" s="184" t="s">
        <v>3878</v>
      </c>
      <c r="W11" s="184" t="s">
        <v>118</v>
      </c>
      <c r="X11" s="197" t="s">
        <v>138</v>
      </c>
      <c r="Y11" s="170"/>
      <c r="Z11" s="170"/>
      <c r="AA11" s="219">
        <v>43194.0</v>
      </c>
      <c r="AB11" s="219">
        <v>43201.0</v>
      </c>
      <c r="AC11" s="4"/>
      <c r="AD11" s="4"/>
      <c r="AE11" s="184"/>
      <c r="AF11" s="4"/>
      <c r="AG11" s="4"/>
      <c r="AH11" s="244" t="s">
        <v>2071</v>
      </c>
      <c r="AI11" s="244" t="s">
        <v>3841</v>
      </c>
      <c r="AJ11" s="184"/>
      <c r="AK11" s="184" t="s">
        <v>2163</v>
      </c>
      <c r="AL11" s="200">
        <f t="shared" si="2"/>
        <v>22</v>
      </c>
      <c r="AM11" s="201">
        <v>2018.0</v>
      </c>
    </row>
    <row r="12">
      <c r="A12" s="158">
        <f t="shared" si="1"/>
        <v>14127573</v>
      </c>
      <c r="B12" s="242">
        <v>11.0</v>
      </c>
      <c r="C12" s="267" t="s">
        <v>3879</v>
      </c>
      <c r="D12" s="184" t="str">
        <f>IFERROR(VLOOKUP(E12,INFORMACION!D:E,2,0),"INGRESAR CENTRO DE COSTO A LA DERECHA")</f>
        <v>INGRESAR CENTRO DE COSTO A LA DERECHA</v>
      </c>
      <c r="E12" s="115" t="s">
        <v>2883</v>
      </c>
      <c r="F12" s="195" t="s">
        <v>2848</v>
      </c>
      <c r="G12" s="186" t="s">
        <v>2849</v>
      </c>
      <c r="H12" s="186">
        <v>13.0</v>
      </c>
      <c r="I12" s="186" t="s">
        <v>2541</v>
      </c>
      <c r="J12" s="184" t="s">
        <v>112</v>
      </c>
      <c r="K12" s="184" t="s">
        <v>114</v>
      </c>
      <c r="L12" s="184" t="s">
        <v>117</v>
      </c>
      <c r="M12" s="184">
        <v>0.0</v>
      </c>
      <c r="N12" s="184" t="s">
        <v>116</v>
      </c>
      <c r="O12" s="184">
        <v>10.0</v>
      </c>
      <c r="P12" s="184">
        <v>2.0</v>
      </c>
      <c r="Q12" s="184">
        <v>0.0</v>
      </c>
      <c r="R12" s="184" t="s">
        <v>121</v>
      </c>
      <c r="S12" s="218">
        <v>43222.0</v>
      </c>
      <c r="T12" s="105"/>
      <c r="U12" s="105" t="s">
        <v>3880</v>
      </c>
      <c r="V12" s="184" t="s">
        <v>3881</v>
      </c>
      <c r="W12" s="184" t="s">
        <v>118</v>
      </c>
      <c r="X12" s="197" t="s">
        <v>164</v>
      </c>
      <c r="Y12" s="170"/>
      <c r="Z12" s="170"/>
      <c r="AA12" s="219">
        <v>43187.0</v>
      </c>
      <c r="AB12" s="219">
        <v>43194.0</v>
      </c>
      <c r="AC12" s="4"/>
      <c r="AD12" s="4"/>
      <c r="AE12" s="184"/>
      <c r="AF12" s="4"/>
      <c r="AG12" s="184" t="s">
        <v>3882</v>
      </c>
      <c r="AH12" s="244" t="s">
        <v>2071</v>
      </c>
      <c r="AI12" s="244" t="s">
        <v>3750</v>
      </c>
      <c r="AJ12" s="184"/>
      <c r="AK12" s="184" t="s">
        <v>2163</v>
      </c>
      <c r="AL12" s="200">
        <f t="shared" si="2"/>
        <v>21</v>
      </c>
      <c r="AM12" s="201">
        <v>2018.0</v>
      </c>
    </row>
    <row r="13">
      <c r="A13" s="158">
        <f t="shared" si="1"/>
        <v>11491519</v>
      </c>
      <c r="B13" s="242">
        <v>12.0</v>
      </c>
      <c r="C13" s="267" t="s">
        <v>3883</v>
      </c>
      <c r="D13" s="184" t="str">
        <f>IFERROR(VLOOKUP(E13,INFORMACION!D:E,2,0),"INGRESAR CENTRO DE COSTO A LA DERECHA")</f>
        <v>INGRESAR CENTRO DE COSTO A LA DERECHA</v>
      </c>
      <c r="E13" s="184" t="s">
        <v>2937</v>
      </c>
      <c r="F13" s="195" t="s">
        <v>2540</v>
      </c>
      <c r="G13" s="186" t="s">
        <v>3789</v>
      </c>
      <c r="H13" s="186">
        <v>17.0</v>
      </c>
      <c r="I13" s="186" t="s">
        <v>2541</v>
      </c>
      <c r="J13" s="184" t="s">
        <v>112</v>
      </c>
      <c r="K13" s="184" t="s">
        <v>120</v>
      </c>
      <c r="L13" s="184" t="s">
        <v>117</v>
      </c>
      <c r="M13" s="184">
        <v>4.0</v>
      </c>
      <c r="N13" s="184" t="s">
        <v>116</v>
      </c>
      <c r="O13" s="184">
        <v>12.0</v>
      </c>
      <c r="P13" s="184">
        <v>1.0</v>
      </c>
      <c r="Q13" s="184">
        <v>1.0</v>
      </c>
      <c r="R13" s="184" t="s">
        <v>121</v>
      </c>
      <c r="S13" s="218">
        <v>43234.0</v>
      </c>
      <c r="T13" s="105"/>
      <c r="U13" s="105" t="s">
        <v>3884</v>
      </c>
      <c r="V13" s="184" t="s">
        <v>3885</v>
      </c>
      <c r="W13" s="184" t="s">
        <v>118</v>
      </c>
      <c r="X13" s="197" t="s">
        <v>154</v>
      </c>
      <c r="Y13" s="197" t="s">
        <v>150</v>
      </c>
      <c r="Z13" s="170"/>
      <c r="AA13" s="219">
        <v>43175.0</v>
      </c>
      <c r="AB13" s="219">
        <v>43182.0</v>
      </c>
      <c r="AC13" s="184"/>
      <c r="AD13" s="4"/>
      <c r="AE13" s="184"/>
      <c r="AF13" s="4"/>
      <c r="AG13" s="4"/>
      <c r="AH13" s="244" t="s">
        <v>2071</v>
      </c>
      <c r="AI13" s="244" t="s">
        <v>3886</v>
      </c>
      <c r="AJ13" s="184"/>
      <c r="AK13" s="184" t="s">
        <v>1612</v>
      </c>
      <c r="AL13" s="200">
        <f t="shared" si="2"/>
        <v>37</v>
      </c>
      <c r="AM13" s="201">
        <v>2018.0</v>
      </c>
    </row>
    <row r="14">
      <c r="A14" s="158">
        <f t="shared" si="1"/>
        <v>17237050</v>
      </c>
      <c r="B14" s="259">
        <v>13.0</v>
      </c>
      <c r="C14" s="267" t="s">
        <v>3887</v>
      </c>
      <c r="D14" s="184" t="str">
        <f>IFERROR(VLOOKUP(E14,INFORMACION!D:E,2,0),"INGRESAR CENTRO DE COSTO A LA DERECHA")</f>
        <v>INGRESAR CENTRO DE COSTO A LA DERECHA</v>
      </c>
      <c r="E14" s="184" t="s">
        <v>3888</v>
      </c>
      <c r="F14" s="195" t="s">
        <v>3236</v>
      </c>
      <c r="G14" s="186" t="s">
        <v>1629</v>
      </c>
      <c r="H14" s="186">
        <v>10.0</v>
      </c>
      <c r="I14" s="186" t="s">
        <v>2541</v>
      </c>
      <c r="J14" s="184" t="s">
        <v>112</v>
      </c>
      <c r="K14" s="184" t="s">
        <v>114</v>
      </c>
      <c r="L14" s="184" t="s">
        <v>117</v>
      </c>
      <c r="M14" s="184">
        <v>1.0</v>
      </c>
      <c r="N14" s="184" t="s">
        <v>116</v>
      </c>
      <c r="O14" s="184">
        <v>27.0</v>
      </c>
      <c r="P14" s="184">
        <v>3.0</v>
      </c>
      <c r="Q14" s="184">
        <v>0.0</v>
      </c>
      <c r="R14" s="184" t="s">
        <v>121</v>
      </c>
      <c r="S14" s="218">
        <v>43227.0</v>
      </c>
      <c r="T14" s="105"/>
      <c r="U14" s="105" t="s">
        <v>3889</v>
      </c>
      <c r="V14" s="184" t="s">
        <v>3890</v>
      </c>
      <c r="W14" s="184" t="s">
        <v>118</v>
      </c>
      <c r="X14" s="197" t="s">
        <v>138</v>
      </c>
      <c r="Y14" s="197"/>
      <c r="Z14" s="170"/>
      <c r="AA14" s="219">
        <v>43187.0</v>
      </c>
      <c r="AB14" s="219">
        <v>43196.0</v>
      </c>
      <c r="AC14" s="4"/>
      <c r="AD14" s="4"/>
      <c r="AE14" s="184"/>
      <c r="AF14" s="4"/>
      <c r="AG14" s="4"/>
      <c r="AH14" s="184" t="s">
        <v>2071</v>
      </c>
      <c r="AI14" s="184" t="s">
        <v>3891</v>
      </c>
      <c r="AJ14" s="184"/>
      <c r="AK14" s="184" t="s">
        <v>2163</v>
      </c>
      <c r="AL14" s="200">
        <f t="shared" si="2"/>
        <v>22</v>
      </c>
      <c r="AM14" s="201">
        <v>2018.0</v>
      </c>
    </row>
    <row r="15">
      <c r="A15" s="158">
        <f t="shared" si="1"/>
        <v>19528552</v>
      </c>
      <c r="B15" s="259">
        <v>14.0</v>
      </c>
      <c r="C15" s="267" t="s">
        <v>3892</v>
      </c>
      <c r="D15" s="184" t="str">
        <f>IFERROR(VLOOKUP(E15,INFORMACION!D:E,2,0),"INGRESAR CENTRO DE COSTO A LA DERECHA")</f>
        <v>INGRESAR CENTRO DE COSTO A LA DERECHA</v>
      </c>
      <c r="E15" s="184" t="s">
        <v>3788</v>
      </c>
      <c r="F15" s="195" t="s">
        <v>2679</v>
      </c>
      <c r="G15" s="186" t="s">
        <v>1816</v>
      </c>
      <c r="H15" s="186">
        <v>20.0</v>
      </c>
      <c r="I15" s="186" t="s">
        <v>2541</v>
      </c>
      <c r="J15" s="184" t="s">
        <v>112</v>
      </c>
      <c r="K15" s="184" t="s">
        <v>120</v>
      </c>
      <c r="L15" s="184" t="s">
        <v>117</v>
      </c>
      <c r="M15" s="184">
        <v>0.0</v>
      </c>
      <c r="N15" s="184" t="s">
        <v>116</v>
      </c>
      <c r="O15" s="184">
        <v>9.0</v>
      </c>
      <c r="P15" s="184">
        <v>4.0</v>
      </c>
      <c r="Q15" s="184">
        <v>3.0</v>
      </c>
      <c r="R15" s="184" t="s">
        <v>121</v>
      </c>
      <c r="S15" s="218">
        <v>43227.0</v>
      </c>
      <c r="T15" s="105"/>
      <c r="U15" s="105" t="s">
        <v>3893</v>
      </c>
      <c r="V15" s="184" t="s">
        <v>3894</v>
      </c>
      <c r="W15" s="184" t="s">
        <v>118</v>
      </c>
      <c r="X15" s="197" t="s">
        <v>140</v>
      </c>
      <c r="Y15" s="170"/>
      <c r="Z15" s="170"/>
      <c r="AA15" s="219">
        <v>43165.0</v>
      </c>
      <c r="AB15" s="219">
        <v>43172.0</v>
      </c>
      <c r="AC15" s="4"/>
      <c r="AD15" s="4"/>
      <c r="AE15" s="184"/>
      <c r="AF15" s="4"/>
      <c r="AG15" s="4"/>
      <c r="AH15" s="244" t="s">
        <v>2071</v>
      </c>
      <c r="AI15" s="244" t="s">
        <v>3895</v>
      </c>
      <c r="AJ15" s="184"/>
      <c r="AK15" s="184" t="s">
        <v>2163</v>
      </c>
      <c r="AL15" s="200">
        <f t="shared" si="2"/>
        <v>40</v>
      </c>
      <c r="AM15" s="201">
        <v>2018.0</v>
      </c>
    </row>
    <row r="16">
      <c r="A16" s="158">
        <f t="shared" si="1"/>
        <v>18167401</v>
      </c>
      <c r="B16" s="236">
        <v>15.0</v>
      </c>
      <c r="C16" s="184" t="s">
        <v>3896</v>
      </c>
      <c r="D16" s="184" t="str">
        <f>IFERROR(VLOOKUP(E16,INFORMACION!D:E,2,0),"INGRESAR CENTRO DE COSTO A LA DERECHA")</f>
        <v>INGRESAR CENTRO DE COSTO A LA DERECHA</v>
      </c>
      <c r="E16" s="184" t="s">
        <v>3552</v>
      </c>
      <c r="F16" s="195" t="s">
        <v>2679</v>
      </c>
      <c r="G16" s="186" t="s">
        <v>1816</v>
      </c>
      <c r="H16" s="186">
        <v>20.0</v>
      </c>
      <c r="I16" s="186" t="s">
        <v>2541</v>
      </c>
      <c r="J16" s="184" t="s">
        <v>112</v>
      </c>
      <c r="K16" s="184" t="s">
        <v>120</v>
      </c>
      <c r="L16" s="184" t="s">
        <v>117</v>
      </c>
      <c r="M16" s="184">
        <v>2.0</v>
      </c>
      <c r="N16" s="184" t="s">
        <v>116</v>
      </c>
      <c r="O16" s="184">
        <v>13.0</v>
      </c>
      <c r="P16" s="184">
        <v>3.0</v>
      </c>
      <c r="Q16" s="184">
        <v>0.0</v>
      </c>
      <c r="R16" s="184" t="s">
        <v>115</v>
      </c>
      <c r="S16" s="218">
        <v>43236.0</v>
      </c>
      <c r="T16" s="105"/>
      <c r="U16" s="105" t="s">
        <v>3897</v>
      </c>
      <c r="V16" s="184" t="s">
        <v>3898</v>
      </c>
      <c r="W16" s="184" t="s">
        <v>122</v>
      </c>
      <c r="X16" s="197"/>
      <c r="Y16" s="197"/>
      <c r="Z16" s="170"/>
      <c r="AA16" s="219">
        <v>43193.0</v>
      </c>
      <c r="AB16" s="219">
        <v>43200.0</v>
      </c>
      <c r="AC16" s="4"/>
      <c r="AD16" s="4"/>
      <c r="AE16" s="184"/>
      <c r="AF16" s="4"/>
      <c r="AG16" s="4"/>
      <c r="AH16" s="244" t="s">
        <v>2071</v>
      </c>
      <c r="AI16" s="244" t="s">
        <v>3841</v>
      </c>
      <c r="AJ16" s="184"/>
      <c r="AK16" s="184" t="s">
        <v>2163</v>
      </c>
      <c r="AL16" s="200">
        <f t="shared" si="2"/>
        <v>27</v>
      </c>
      <c r="AM16" s="201">
        <v>2018.0</v>
      </c>
    </row>
    <row r="17">
      <c r="A17" s="158">
        <f t="shared" si="1"/>
        <v>11172372</v>
      </c>
      <c r="B17" s="236">
        <v>16.0</v>
      </c>
      <c r="C17" s="184" t="s">
        <v>3899</v>
      </c>
      <c r="D17" s="184" t="str">
        <f>IFERROR(VLOOKUP(E17,INFORMACION!D:E,2,0),"INGRESAR CENTRO DE COSTO A LA DERECHA")</f>
        <v>INGRESAR CENTRO DE COSTO A LA DERECHA</v>
      </c>
      <c r="E17" s="184" t="s">
        <v>3554</v>
      </c>
      <c r="F17" s="195" t="s">
        <v>2650</v>
      </c>
      <c r="G17" s="186" t="s">
        <v>3900</v>
      </c>
      <c r="H17" s="186">
        <v>17.0</v>
      </c>
      <c r="I17" s="186" t="s">
        <v>2541</v>
      </c>
      <c r="J17" s="184" t="s">
        <v>112</v>
      </c>
      <c r="K17" s="184" t="s">
        <v>120</v>
      </c>
      <c r="L17" s="184" t="s">
        <v>122</v>
      </c>
      <c r="M17" s="184" t="s">
        <v>2597</v>
      </c>
      <c r="N17" s="184" t="s">
        <v>116</v>
      </c>
      <c r="O17" s="184">
        <v>13.0</v>
      </c>
      <c r="P17" s="184">
        <v>1.0</v>
      </c>
      <c r="Q17" s="184">
        <v>0.0</v>
      </c>
      <c r="R17" s="184" t="s">
        <v>121</v>
      </c>
      <c r="S17" s="218">
        <v>43252.0</v>
      </c>
      <c r="T17" s="105"/>
      <c r="U17" s="105" t="s">
        <v>3901</v>
      </c>
      <c r="V17" s="184" t="s">
        <v>3902</v>
      </c>
      <c r="W17" s="184" t="s">
        <v>118</v>
      </c>
      <c r="X17" s="197" t="s">
        <v>150</v>
      </c>
      <c r="Y17" s="170"/>
      <c r="Z17" s="170"/>
      <c r="AA17" s="219">
        <v>43187.0</v>
      </c>
      <c r="AB17" s="219">
        <v>43194.0</v>
      </c>
      <c r="AC17" s="4"/>
      <c r="AD17" s="4"/>
      <c r="AE17" s="184"/>
      <c r="AF17" s="4"/>
      <c r="AG17" s="4"/>
      <c r="AH17" s="244" t="s">
        <v>2071</v>
      </c>
      <c r="AI17" s="244" t="s">
        <v>3841</v>
      </c>
      <c r="AJ17" s="184"/>
      <c r="AK17" s="184" t="s">
        <v>1612</v>
      </c>
      <c r="AL17" s="200">
        <f t="shared" si="2"/>
        <v>43</v>
      </c>
      <c r="AM17" s="201">
        <v>2018.0</v>
      </c>
    </row>
    <row r="18">
      <c r="A18" s="158">
        <f t="shared" si="1"/>
        <v>16709992</v>
      </c>
      <c r="B18" s="236">
        <v>17.0</v>
      </c>
      <c r="C18" s="184" t="s">
        <v>3892</v>
      </c>
      <c r="D18" s="184" t="str">
        <f>IFERROR(VLOOKUP(E18,INFORMACION!D:E,2,0),"INGRESAR CENTRO DE COSTO A LA DERECHA")</f>
        <v>INGRESAR CENTRO DE COSTO A LA DERECHA</v>
      </c>
      <c r="E18" s="184" t="s">
        <v>3554</v>
      </c>
      <c r="F18" s="195" t="s">
        <v>2094</v>
      </c>
      <c r="G18" s="186" t="s">
        <v>3207</v>
      </c>
      <c r="H18" s="186">
        <v>10.0</v>
      </c>
      <c r="I18" s="186" t="s">
        <v>2541</v>
      </c>
      <c r="J18" s="184" t="s">
        <v>112</v>
      </c>
      <c r="K18" s="184" t="s">
        <v>114</v>
      </c>
      <c r="L18" s="184" t="s">
        <v>117</v>
      </c>
      <c r="M18" s="184">
        <v>7.0</v>
      </c>
      <c r="N18" s="184" t="s">
        <v>122</v>
      </c>
      <c r="O18" s="184"/>
      <c r="P18" s="184">
        <v>1.0</v>
      </c>
      <c r="Q18" s="184"/>
      <c r="R18" s="184" t="s">
        <v>115</v>
      </c>
      <c r="S18" s="218">
        <v>43209.0</v>
      </c>
      <c r="T18" s="105" t="s">
        <v>3903</v>
      </c>
      <c r="U18" s="105"/>
      <c r="V18" s="184" t="s">
        <v>3904</v>
      </c>
      <c r="W18" s="184" t="s">
        <v>118</v>
      </c>
      <c r="X18" s="197" t="s">
        <v>138</v>
      </c>
      <c r="Y18" s="170"/>
      <c r="Z18" s="170"/>
      <c r="AA18" s="219">
        <v>43180.0</v>
      </c>
      <c r="AB18" s="219">
        <v>43185.0</v>
      </c>
      <c r="AC18" s="184"/>
      <c r="AD18" s="184" t="s">
        <v>3905</v>
      </c>
      <c r="AE18" s="184" t="s">
        <v>3868</v>
      </c>
      <c r="AF18" s="184"/>
      <c r="AG18" s="4"/>
      <c r="AH18" s="244" t="s">
        <v>2071</v>
      </c>
      <c r="AI18" s="244" t="s">
        <v>2597</v>
      </c>
      <c r="AJ18" s="184"/>
      <c r="AK18" s="184" t="s">
        <v>2157</v>
      </c>
      <c r="AL18" s="200">
        <f t="shared" si="2"/>
        <v>19</v>
      </c>
      <c r="AM18" s="201">
        <v>2018.0</v>
      </c>
    </row>
    <row r="19">
      <c r="A19" s="158">
        <f t="shared" si="1"/>
        <v>17608606</v>
      </c>
      <c r="B19" s="242">
        <v>18.0</v>
      </c>
      <c r="C19" s="267" t="s">
        <v>3906</v>
      </c>
      <c r="D19" s="184" t="str">
        <f>IFERROR(VLOOKUP(E19,INFORMACION!D:E,2,0),"INGRESAR CENTRO DE COSTO A LA DERECHA")</f>
        <v>INGRESAR CENTRO DE COSTO A LA DERECHA</v>
      </c>
      <c r="E19" s="184" t="s">
        <v>2974</v>
      </c>
      <c r="F19" s="195" t="s">
        <v>1915</v>
      </c>
      <c r="G19" s="186" t="s">
        <v>1916</v>
      </c>
      <c r="H19" s="186">
        <v>20.0</v>
      </c>
      <c r="I19" s="186" t="s">
        <v>2541</v>
      </c>
      <c r="J19" s="184" t="s">
        <v>112</v>
      </c>
      <c r="K19" s="184" t="s">
        <v>125</v>
      </c>
      <c r="L19" s="184" t="s">
        <v>117</v>
      </c>
      <c r="M19" s="184">
        <v>0.0</v>
      </c>
      <c r="N19" s="184" t="s">
        <v>116</v>
      </c>
      <c r="O19" s="184">
        <v>13.0</v>
      </c>
      <c r="P19" s="184">
        <v>3.0</v>
      </c>
      <c r="Q19" s="184">
        <v>1.0</v>
      </c>
      <c r="R19" s="184" t="s">
        <v>115</v>
      </c>
      <c r="S19" s="218">
        <v>43234.0</v>
      </c>
      <c r="T19" s="105"/>
      <c r="U19" s="105" t="s">
        <v>3907</v>
      </c>
      <c r="V19" s="184" t="s">
        <v>3908</v>
      </c>
      <c r="W19" s="184" t="s">
        <v>122</v>
      </c>
      <c r="X19" s="197"/>
      <c r="Y19" s="170"/>
      <c r="Z19" s="170"/>
      <c r="AA19" s="219">
        <v>43194.0</v>
      </c>
      <c r="AB19" s="219">
        <v>43201.0</v>
      </c>
      <c r="AC19" s="184"/>
      <c r="AD19" s="184"/>
      <c r="AE19" s="184"/>
      <c r="AF19" s="184"/>
      <c r="AG19" s="4"/>
      <c r="AH19" s="244" t="s">
        <v>2071</v>
      </c>
      <c r="AI19" s="244" t="s">
        <v>3841</v>
      </c>
      <c r="AJ19" s="184"/>
      <c r="AK19" s="184" t="s">
        <v>2157</v>
      </c>
      <c r="AL19" s="200">
        <f t="shared" si="2"/>
        <v>24</v>
      </c>
      <c r="AM19" s="201">
        <v>2018.0</v>
      </c>
    </row>
    <row r="20">
      <c r="A20" s="158">
        <f t="shared" si="1"/>
        <v>19792801</v>
      </c>
      <c r="B20" s="242">
        <v>19.0</v>
      </c>
      <c r="C20" s="267"/>
      <c r="D20" s="184" t="str">
        <f>IFERROR(VLOOKUP(E20,INFORMACION!D:E,2,0),"INGRESAR CENTRO DE COSTO A LA DERECHA")</f>
        <v>INGRESAR CENTRO DE COSTO A LA DERECHA</v>
      </c>
      <c r="E20" s="184" t="s">
        <v>2891</v>
      </c>
      <c r="F20" s="195" t="s">
        <v>1970</v>
      </c>
      <c r="G20" s="186" t="s">
        <v>1638</v>
      </c>
      <c r="H20" s="186">
        <v>23.0</v>
      </c>
      <c r="I20" s="186" t="s">
        <v>2541</v>
      </c>
      <c r="J20" s="184" t="s">
        <v>112</v>
      </c>
      <c r="K20" s="184" t="s">
        <v>127</v>
      </c>
      <c r="L20" s="184" t="s">
        <v>117</v>
      </c>
      <c r="M20" s="184">
        <v>1.0</v>
      </c>
      <c r="N20" s="184" t="s">
        <v>116</v>
      </c>
      <c r="O20" s="184">
        <v>16.0</v>
      </c>
      <c r="P20" s="184">
        <v>5.0</v>
      </c>
      <c r="Q20" s="184">
        <v>2.0</v>
      </c>
      <c r="R20" s="184" t="s">
        <v>115</v>
      </c>
      <c r="S20" s="218">
        <v>43199.0</v>
      </c>
      <c r="T20" s="105"/>
      <c r="U20" s="105" t="s">
        <v>3909</v>
      </c>
      <c r="V20" s="184" t="s">
        <v>3910</v>
      </c>
      <c r="W20" s="184" t="s">
        <v>122</v>
      </c>
      <c r="X20" s="170"/>
      <c r="Y20" s="170"/>
      <c r="Z20" s="170"/>
      <c r="AA20" s="219">
        <v>43165.0</v>
      </c>
      <c r="AB20" s="219">
        <v>43172.0</v>
      </c>
      <c r="AC20" s="4"/>
      <c r="AD20" s="4"/>
      <c r="AE20" s="184"/>
      <c r="AF20" s="4"/>
      <c r="AG20" s="4"/>
      <c r="AH20" s="244" t="s">
        <v>2071</v>
      </c>
      <c r="AI20" s="244" t="s">
        <v>3911</v>
      </c>
      <c r="AJ20" s="184"/>
      <c r="AK20" s="184" t="s">
        <v>2163</v>
      </c>
      <c r="AL20" s="200">
        <f t="shared" si="2"/>
        <v>20</v>
      </c>
      <c r="AM20" s="201">
        <v>2018.0</v>
      </c>
    </row>
    <row r="21">
      <c r="A21" s="158">
        <f t="shared" si="1"/>
        <v>17434877</v>
      </c>
      <c r="B21" s="236">
        <v>20.0</v>
      </c>
      <c r="C21" s="184" t="s">
        <v>3912</v>
      </c>
      <c r="D21" s="184" t="str">
        <f>IFERROR(VLOOKUP(E21,INFORMACION!D:E,2,0),"INGRESAR CENTRO DE COSTO A LA DERECHA")</f>
        <v>INGRESAR CENTRO DE COSTO A LA DERECHA</v>
      </c>
      <c r="E21" s="184" t="s">
        <v>3888</v>
      </c>
      <c r="F21" s="195" t="s">
        <v>3236</v>
      </c>
      <c r="G21" s="186" t="s">
        <v>1629</v>
      </c>
      <c r="H21" s="186">
        <v>10.0</v>
      </c>
      <c r="I21" s="186" t="s">
        <v>2541</v>
      </c>
      <c r="J21" s="184" t="s">
        <v>112</v>
      </c>
      <c r="K21" s="184" t="s">
        <v>114</v>
      </c>
      <c r="L21" s="184" t="s">
        <v>117</v>
      </c>
      <c r="M21" s="184">
        <v>1.0</v>
      </c>
      <c r="N21" s="184" t="s">
        <v>116</v>
      </c>
      <c r="O21" s="184">
        <v>27.0</v>
      </c>
      <c r="P21" s="184">
        <v>3.0</v>
      </c>
      <c r="Q21" s="184">
        <v>0.0</v>
      </c>
      <c r="R21" s="184" t="s">
        <v>115</v>
      </c>
      <c r="S21" s="218">
        <v>43222.0</v>
      </c>
      <c r="T21" s="105"/>
      <c r="U21" s="105" t="s">
        <v>3913</v>
      </c>
      <c r="V21" s="184" t="s">
        <v>3914</v>
      </c>
      <c r="W21" s="184" t="s">
        <v>118</v>
      </c>
      <c r="X21" s="197" t="s">
        <v>166</v>
      </c>
      <c r="Y21" s="197" t="s">
        <v>164</v>
      </c>
      <c r="Z21" s="197" t="s">
        <v>138</v>
      </c>
      <c r="AA21" s="219">
        <v>43187.0</v>
      </c>
      <c r="AB21" s="219">
        <v>43196.0</v>
      </c>
      <c r="AC21" s="4"/>
      <c r="AD21" s="4"/>
      <c r="AE21" s="184"/>
      <c r="AF21" s="4"/>
      <c r="AG21" s="4"/>
      <c r="AH21" s="244" t="s">
        <v>2071</v>
      </c>
      <c r="AI21" s="244" t="s">
        <v>1878</v>
      </c>
      <c r="AJ21" s="184"/>
      <c r="AK21" s="184" t="s">
        <v>1612</v>
      </c>
      <c r="AL21" s="200">
        <f t="shared" si="2"/>
        <v>19</v>
      </c>
      <c r="AM21" s="201">
        <v>2018.0</v>
      </c>
    </row>
    <row r="22">
      <c r="A22" s="158">
        <f t="shared" si="1"/>
        <v>16716976</v>
      </c>
      <c r="B22" s="236">
        <v>21.0</v>
      </c>
      <c r="C22" s="184"/>
      <c r="D22" s="184" t="str">
        <f>IFERROR(VLOOKUP(E22,INFORMACION!D:E,2,0),"INGRESAR CENTRO DE COSTO A LA DERECHA")</f>
        <v>INGRESAR CENTRO DE COSTO A LA DERECHA</v>
      </c>
      <c r="E22" s="184" t="s">
        <v>1623</v>
      </c>
      <c r="F22" s="195" t="s">
        <v>2043</v>
      </c>
      <c r="G22" s="186" t="s">
        <v>3915</v>
      </c>
      <c r="H22" s="186">
        <v>20.0</v>
      </c>
      <c r="I22" s="186" t="s">
        <v>2541</v>
      </c>
      <c r="J22" s="184" t="s">
        <v>112</v>
      </c>
      <c r="K22" s="184" t="s">
        <v>120</v>
      </c>
      <c r="L22" s="184" t="s">
        <v>117</v>
      </c>
      <c r="M22" s="184">
        <v>0.0</v>
      </c>
      <c r="N22" s="184" t="s">
        <v>116</v>
      </c>
      <c r="O22" s="184">
        <v>9.0</v>
      </c>
      <c r="P22" s="184">
        <v>3.0</v>
      </c>
      <c r="Q22" s="184">
        <v>0.0</v>
      </c>
      <c r="R22" s="184" t="s">
        <v>115</v>
      </c>
      <c r="S22" s="218">
        <v>43248.0</v>
      </c>
      <c r="T22" s="105"/>
      <c r="U22" s="105" t="s">
        <v>3916</v>
      </c>
      <c r="V22" s="184" t="s">
        <v>3917</v>
      </c>
      <c r="W22" s="184" t="s">
        <v>122</v>
      </c>
      <c r="X22" s="170"/>
      <c r="Y22" s="170"/>
      <c r="Z22" s="170"/>
      <c r="AA22" s="219">
        <v>43192.0</v>
      </c>
      <c r="AB22" s="219">
        <v>43199.0</v>
      </c>
      <c r="AC22" s="184"/>
      <c r="AD22" s="184"/>
      <c r="AE22" s="184"/>
      <c r="AF22" s="184"/>
      <c r="AG22" s="202"/>
      <c r="AH22" s="244" t="s">
        <v>2071</v>
      </c>
      <c r="AI22" s="244" t="s">
        <v>3918</v>
      </c>
      <c r="AJ22" s="184"/>
      <c r="AK22" s="184" t="s">
        <v>2163</v>
      </c>
      <c r="AL22" s="200">
        <f t="shared" si="2"/>
        <v>36</v>
      </c>
      <c r="AM22" s="201">
        <v>2018.0</v>
      </c>
    </row>
    <row r="23">
      <c r="A23" s="158">
        <f t="shared" si="1"/>
        <v>13592396</v>
      </c>
      <c r="B23" s="242">
        <v>22.0</v>
      </c>
      <c r="C23" s="267" t="s">
        <v>3919</v>
      </c>
      <c r="D23" s="184" t="str">
        <f>IFERROR(VLOOKUP(E23,INFORMACION!D:E,2,0),"INGRESAR CENTRO DE COSTO A LA DERECHA")</f>
        <v>INGRESAR CENTRO DE COSTO A LA DERECHA</v>
      </c>
      <c r="E23" s="184" t="s">
        <v>2961</v>
      </c>
      <c r="F23" s="195" t="s">
        <v>2962</v>
      </c>
      <c r="G23" s="186" t="s">
        <v>3452</v>
      </c>
      <c r="H23" s="186">
        <v>13.0</v>
      </c>
      <c r="I23" s="186" t="s">
        <v>2541</v>
      </c>
      <c r="J23" s="184" t="s">
        <v>112</v>
      </c>
      <c r="K23" s="184" t="s">
        <v>114</v>
      </c>
      <c r="L23" s="184" t="s">
        <v>117</v>
      </c>
      <c r="M23" s="184">
        <v>1.0</v>
      </c>
      <c r="N23" s="184" t="s">
        <v>116</v>
      </c>
      <c r="O23" s="184">
        <v>21.0</v>
      </c>
      <c r="P23" s="184">
        <v>1.0</v>
      </c>
      <c r="Q23" s="184">
        <v>0.0</v>
      </c>
      <c r="R23" s="184" t="s">
        <v>121</v>
      </c>
      <c r="S23" s="218">
        <v>43248.0</v>
      </c>
      <c r="T23" s="105"/>
      <c r="U23" s="105" t="s">
        <v>3920</v>
      </c>
      <c r="V23" s="184" t="s">
        <v>3921</v>
      </c>
      <c r="W23" s="184" t="s">
        <v>122</v>
      </c>
      <c r="X23" s="170"/>
      <c r="Y23" s="170"/>
      <c r="Z23" s="170"/>
      <c r="AA23" s="219">
        <v>43209.0</v>
      </c>
      <c r="AB23" s="219">
        <v>43244.0</v>
      </c>
      <c r="AC23" s="4"/>
      <c r="AD23" s="4"/>
      <c r="AE23" s="184"/>
      <c r="AF23" s="4"/>
      <c r="AG23" s="4"/>
      <c r="AH23" s="244" t="s">
        <v>2071</v>
      </c>
      <c r="AI23" s="244" t="s">
        <v>2115</v>
      </c>
      <c r="AJ23" s="184"/>
      <c r="AK23" s="184" t="s">
        <v>2163</v>
      </c>
      <c r="AL23" s="200">
        <f t="shared" si="2"/>
        <v>3</v>
      </c>
      <c r="AM23" s="201">
        <v>2018.0</v>
      </c>
    </row>
    <row r="24">
      <c r="A24" s="158">
        <f t="shared" si="1"/>
        <v>14165767</v>
      </c>
      <c r="B24" s="242">
        <v>23.0</v>
      </c>
      <c r="C24" s="267"/>
      <c r="D24" s="184" t="str">
        <f>IFERROR(VLOOKUP(E24,INFORMACION!D:E,2,0),"INGRESAR CENTRO DE COSTO A LA DERECHA")</f>
        <v>INGRESAR CENTRO DE COSTO A LA DERECHA</v>
      </c>
      <c r="E24" s="184" t="s">
        <v>3042</v>
      </c>
      <c r="F24" s="195" t="s">
        <v>2592</v>
      </c>
      <c r="G24" s="186" t="s">
        <v>2333</v>
      </c>
      <c r="H24" s="186">
        <v>17.0</v>
      </c>
      <c r="I24" s="186" t="s">
        <v>2541</v>
      </c>
      <c r="J24" s="184" t="s">
        <v>112</v>
      </c>
      <c r="K24" s="184" t="s">
        <v>120</v>
      </c>
      <c r="L24" s="184" t="s">
        <v>117</v>
      </c>
      <c r="M24" s="184">
        <v>2.0</v>
      </c>
      <c r="N24" s="184" t="s">
        <v>116</v>
      </c>
      <c r="O24" s="184">
        <v>14.0</v>
      </c>
      <c r="P24" s="184">
        <v>3.0</v>
      </c>
      <c r="Q24" s="184">
        <v>0.0</v>
      </c>
      <c r="R24" s="184" t="s">
        <v>121</v>
      </c>
      <c r="S24" s="218">
        <v>43252.0</v>
      </c>
      <c r="T24" s="105"/>
      <c r="U24" s="105" t="s">
        <v>3922</v>
      </c>
      <c r="V24" s="184" t="s">
        <v>3923</v>
      </c>
      <c r="W24" s="184" t="s">
        <v>122</v>
      </c>
      <c r="X24" s="170"/>
      <c r="Y24" s="170"/>
      <c r="Z24" s="170"/>
      <c r="AA24" s="219">
        <v>43206.0</v>
      </c>
      <c r="AB24" s="219">
        <v>43213.0</v>
      </c>
      <c r="AC24" s="184"/>
      <c r="AD24" s="184"/>
      <c r="AE24" s="184"/>
      <c r="AF24" s="184"/>
      <c r="AG24" s="4"/>
      <c r="AH24" s="244" t="s">
        <v>2071</v>
      </c>
      <c r="AI24" s="244" t="s">
        <v>2597</v>
      </c>
      <c r="AJ24" s="184"/>
      <c r="AK24" s="184" t="s">
        <v>2163</v>
      </c>
      <c r="AL24" s="200">
        <f t="shared" si="2"/>
        <v>30</v>
      </c>
      <c r="AM24" s="201">
        <v>2018.0</v>
      </c>
    </row>
    <row r="25">
      <c r="A25" s="158">
        <f t="shared" si="1"/>
        <v>17484988</v>
      </c>
      <c r="B25" s="242">
        <v>24.0</v>
      </c>
      <c r="C25" s="267"/>
      <c r="D25" s="184" t="str">
        <f>IFERROR(VLOOKUP(E25,INFORMACION!D:E,2,0),"INGRESAR CENTRO DE COSTO A LA DERECHA")</f>
        <v>INGRESAR CENTRO DE COSTO A LA DERECHA</v>
      </c>
      <c r="E25" s="184" t="s">
        <v>3042</v>
      </c>
      <c r="F25" s="195" t="s">
        <v>2592</v>
      </c>
      <c r="G25" s="186" t="s">
        <v>2333</v>
      </c>
      <c r="H25" s="186">
        <v>17.0</v>
      </c>
      <c r="I25" s="186" t="s">
        <v>2541</v>
      </c>
      <c r="J25" s="184" t="s">
        <v>112</v>
      </c>
      <c r="K25" s="184" t="s">
        <v>120</v>
      </c>
      <c r="L25" s="184" t="s">
        <v>117</v>
      </c>
      <c r="M25" s="184">
        <v>2.0</v>
      </c>
      <c r="N25" s="184" t="s">
        <v>116</v>
      </c>
      <c r="O25" s="184">
        <v>14.0</v>
      </c>
      <c r="P25" s="184">
        <v>3.0</v>
      </c>
      <c r="Q25" s="184">
        <v>0.0</v>
      </c>
      <c r="R25" s="184" t="s">
        <v>121</v>
      </c>
      <c r="S25" s="218">
        <v>43252.0</v>
      </c>
      <c r="T25" s="105"/>
      <c r="U25" s="105" t="s">
        <v>3924</v>
      </c>
      <c r="V25" s="184" t="s">
        <v>3925</v>
      </c>
      <c r="W25" s="184" t="s">
        <v>118</v>
      </c>
      <c r="X25" s="197" t="s">
        <v>164</v>
      </c>
      <c r="Y25" s="170"/>
      <c r="Z25" s="170"/>
      <c r="AA25" s="219">
        <v>43206.0</v>
      </c>
      <c r="AB25" s="219">
        <v>43213.0</v>
      </c>
      <c r="AC25" s="4"/>
      <c r="AD25" s="4"/>
      <c r="AE25" s="184"/>
      <c r="AF25" s="4"/>
      <c r="AG25" s="4"/>
      <c r="AH25" s="244" t="s">
        <v>2071</v>
      </c>
      <c r="AI25" s="244" t="s">
        <v>2597</v>
      </c>
      <c r="AJ25" s="184"/>
      <c r="AK25" s="184" t="s">
        <v>2163</v>
      </c>
      <c r="AL25" s="200">
        <f t="shared" si="2"/>
        <v>30</v>
      </c>
      <c r="AM25" s="201">
        <v>2018.0</v>
      </c>
    </row>
    <row r="26">
      <c r="A26" s="158">
        <f t="shared" si="1"/>
        <v>16201292</v>
      </c>
      <c r="B26" s="242">
        <v>25.0</v>
      </c>
      <c r="C26" s="267"/>
      <c r="D26" s="184" t="str">
        <f>IFERROR(VLOOKUP(E26,INFORMACION!D:E,2,0),"INGRESAR CENTRO DE COSTO A LA DERECHA")</f>
        <v>INGRESAR CENTRO DE COSTO A LA DERECHA</v>
      </c>
      <c r="E26" s="184" t="s">
        <v>3193</v>
      </c>
      <c r="F26" s="195" t="s">
        <v>3222</v>
      </c>
      <c r="G26" s="186" t="s">
        <v>3926</v>
      </c>
      <c r="H26" s="186">
        <v>6.0</v>
      </c>
      <c r="I26" s="186" t="s">
        <v>2541</v>
      </c>
      <c r="J26" s="184" t="s">
        <v>112</v>
      </c>
      <c r="K26" s="184" t="s">
        <v>114</v>
      </c>
      <c r="L26" s="184" t="s">
        <v>122</v>
      </c>
      <c r="M26" s="184">
        <v>0.0</v>
      </c>
      <c r="N26" s="184" t="s">
        <v>116</v>
      </c>
      <c r="O26" s="184">
        <v>84.0</v>
      </c>
      <c r="P26" s="184">
        <v>5.0</v>
      </c>
      <c r="Q26" s="184">
        <v>0.0</v>
      </c>
      <c r="R26" s="184" t="s">
        <v>121</v>
      </c>
      <c r="S26" s="218">
        <v>43248.0</v>
      </c>
      <c r="T26" s="105"/>
      <c r="U26" s="105" t="s">
        <v>3927</v>
      </c>
      <c r="V26" s="184" t="s">
        <v>3928</v>
      </c>
      <c r="W26" s="184" t="s">
        <v>118</v>
      </c>
      <c r="X26" s="197" t="s">
        <v>166</v>
      </c>
      <c r="Y26" s="197" t="s">
        <v>154</v>
      </c>
      <c r="Z26" s="170"/>
      <c r="AA26" s="219">
        <v>43180.0</v>
      </c>
      <c r="AB26" s="219">
        <v>43187.0</v>
      </c>
      <c r="AC26" s="4"/>
      <c r="AD26" s="4"/>
      <c r="AE26" s="184"/>
      <c r="AF26" s="4"/>
      <c r="AG26" s="4"/>
      <c r="AH26" s="244" t="s">
        <v>2071</v>
      </c>
      <c r="AI26" s="244" t="s">
        <v>3929</v>
      </c>
      <c r="AJ26" s="184"/>
      <c r="AK26" s="184" t="s">
        <v>2163</v>
      </c>
      <c r="AL26" s="200">
        <f t="shared" si="2"/>
        <v>44</v>
      </c>
      <c r="AM26" s="201">
        <v>2018.0</v>
      </c>
    </row>
    <row r="27">
      <c r="A27" s="158">
        <f t="shared" si="1"/>
        <v>16088029</v>
      </c>
      <c r="B27" s="259">
        <v>26.0</v>
      </c>
      <c r="C27" s="267" t="s">
        <v>3930</v>
      </c>
      <c r="D27" s="184" t="str">
        <f>IFERROR(VLOOKUP(E27,INFORMACION!D:E,2,0),"INGRESAR CENTRO DE COSTO A LA DERECHA")</f>
        <v>INGRESAR CENTRO DE COSTO A LA DERECHA</v>
      </c>
      <c r="E27" s="184" t="s">
        <v>3552</v>
      </c>
      <c r="F27" s="195" t="s">
        <v>2679</v>
      </c>
      <c r="G27" s="186" t="s">
        <v>1816</v>
      </c>
      <c r="H27" s="186">
        <v>20.0</v>
      </c>
      <c r="I27" s="186" t="s">
        <v>2541</v>
      </c>
      <c r="J27" s="184" t="s">
        <v>112</v>
      </c>
      <c r="K27" s="184" t="s">
        <v>120</v>
      </c>
      <c r="L27" s="184" t="s">
        <v>117</v>
      </c>
      <c r="M27" s="184">
        <v>0.0</v>
      </c>
      <c r="N27" s="184" t="s">
        <v>116</v>
      </c>
      <c r="O27" s="184">
        <v>15.0</v>
      </c>
      <c r="P27" s="184">
        <v>1.0</v>
      </c>
      <c r="Q27" s="184">
        <v>0.0</v>
      </c>
      <c r="R27" s="184" t="s">
        <v>121</v>
      </c>
      <c r="S27" s="218">
        <v>43252.0</v>
      </c>
      <c r="T27" s="105"/>
      <c r="U27" s="105" t="s">
        <v>3931</v>
      </c>
      <c r="V27" s="184" t="s">
        <v>3932</v>
      </c>
      <c r="W27" s="184" t="s">
        <v>122</v>
      </c>
      <c r="X27" s="170"/>
      <c r="Y27" s="170"/>
      <c r="Z27" s="170"/>
      <c r="AA27" s="219">
        <v>43223.0</v>
      </c>
      <c r="AB27" s="219">
        <v>43230.0</v>
      </c>
      <c r="AC27" s="4"/>
      <c r="AD27" s="4"/>
      <c r="AE27" s="184"/>
      <c r="AF27" s="4"/>
      <c r="AG27" s="4"/>
      <c r="AH27" s="244" t="s">
        <v>2071</v>
      </c>
      <c r="AI27" s="244" t="s">
        <v>3933</v>
      </c>
      <c r="AJ27" s="184"/>
      <c r="AK27" s="184" t="s">
        <v>1612</v>
      </c>
      <c r="AL27" s="200">
        <f t="shared" si="2"/>
        <v>17</v>
      </c>
      <c r="AM27" s="201">
        <v>2018.0</v>
      </c>
    </row>
    <row r="28">
      <c r="A28" s="158">
        <f t="shared" si="1"/>
        <v>13886041</v>
      </c>
      <c r="B28" s="236">
        <v>27.0</v>
      </c>
      <c r="C28" s="184" t="s">
        <v>3934</v>
      </c>
      <c r="D28" s="184" t="str">
        <f>IFERROR(VLOOKUP(E28,INFORMACION!D:E,2,0),"INGRESAR CENTRO DE COSTO A LA DERECHA")</f>
        <v>INGRESAR CENTRO DE COSTO A LA DERECHA</v>
      </c>
      <c r="E28" s="184" t="s">
        <v>2015</v>
      </c>
      <c r="F28" s="195" t="s">
        <v>3259</v>
      </c>
      <c r="G28" s="186" t="s">
        <v>3935</v>
      </c>
      <c r="H28" s="186">
        <v>18.0</v>
      </c>
      <c r="I28" s="186" t="s">
        <v>2541</v>
      </c>
      <c r="J28" s="184" t="s">
        <v>112</v>
      </c>
      <c r="K28" s="184" t="s">
        <v>125</v>
      </c>
      <c r="L28" s="184" t="s">
        <v>117</v>
      </c>
      <c r="M28" s="184">
        <v>0.0</v>
      </c>
      <c r="N28" s="184" t="s">
        <v>116</v>
      </c>
      <c r="O28" s="184">
        <v>7.0</v>
      </c>
      <c r="P28" s="184">
        <v>3.0</v>
      </c>
      <c r="Q28" s="184">
        <v>0.0</v>
      </c>
      <c r="R28" s="184" t="s">
        <v>115</v>
      </c>
      <c r="S28" s="218">
        <v>43252.0</v>
      </c>
      <c r="T28" s="105"/>
      <c r="U28" s="105" t="s">
        <v>3936</v>
      </c>
      <c r="V28" s="184" t="s">
        <v>3937</v>
      </c>
      <c r="W28" s="184" t="s">
        <v>122</v>
      </c>
      <c r="X28" s="197"/>
      <c r="Y28" s="197"/>
      <c r="Z28" s="170"/>
      <c r="AA28" s="219">
        <v>43214.0</v>
      </c>
      <c r="AB28" s="219">
        <v>43220.0</v>
      </c>
      <c r="AC28" s="4"/>
      <c r="AD28" s="4"/>
      <c r="AE28" s="184"/>
      <c r="AF28" s="4"/>
      <c r="AG28" s="4"/>
      <c r="AH28" s="244" t="s">
        <v>2071</v>
      </c>
      <c r="AI28" s="244" t="s">
        <v>3938</v>
      </c>
      <c r="AJ28" s="184"/>
      <c r="AK28" s="184" t="s">
        <v>2163</v>
      </c>
      <c r="AL28" s="200">
        <f t="shared" si="2"/>
        <v>25</v>
      </c>
      <c r="AM28" s="201">
        <v>2018.0</v>
      </c>
    </row>
    <row r="29">
      <c r="A29" s="158">
        <f t="shared" si="1"/>
        <v>9243470</v>
      </c>
      <c r="B29" s="236">
        <v>28.0</v>
      </c>
      <c r="C29" s="184"/>
      <c r="D29" s="184" t="str">
        <f>IFERROR(VLOOKUP(E29,INFORMACION!D:E,2,0),"INGRESAR CENTRO DE COSTO A LA DERECHA")</f>
        <v>INGRESAR CENTRO DE COSTO A LA DERECHA</v>
      </c>
      <c r="E29" s="184" t="s">
        <v>3554</v>
      </c>
      <c r="F29" s="195" t="s">
        <v>2977</v>
      </c>
      <c r="G29" s="186" t="s">
        <v>3939</v>
      </c>
      <c r="H29" s="186">
        <v>8.0</v>
      </c>
      <c r="I29" s="186" t="s">
        <v>2541</v>
      </c>
      <c r="J29" s="184" t="s">
        <v>112</v>
      </c>
      <c r="K29" s="184" t="s">
        <v>114</v>
      </c>
      <c r="L29" s="184" t="s">
        <v>117</v>
      </c>
      <c r="M29" s="184">
        <v>2.0</v>
      </c>
      <c r="N29" s="184" t="s">
        <v>116</v>
      </c>
      <c r="O29" s="184">
        <v>18.0</v>
      </c>
      <c r="P29" s="184">
        <v>1.0</v>
      </c>
      <c r="Q29" s="184">
        <v>0.0</v>
      </c>
      <c r="R29" s="184" t="s">
        <v>115</v>
      </c>
      <c r="S29" s="218">
        <v>43252.0</v>
      </c>
      <c r="T29" s="105"/>
      <c r="U29" s="105" t="s">
        <v>3940</v>
      </c>
      <c r="V29" s="184" t="s">
        <v>3941</v>
      </c>
      <c r="W29" s="184" t="s">
        <v>118</v>
      </c>
      <c r="X29" s="197" t="s">
        <v>138</v>
      </c>
      <c r="Y29" s="197" t="s">
        <v>164</v>
      </c>
      <c r="Z29" s="170"/>
      <c r="AA29" s="219">
        <v>43214.0</v>
      </c>
      <c r="AB29" s="219">
        <v>43220.0</v>
      </c>
      <c r="AC29" s="4"/>
      <c r="AD29" s="4"/>
      <c r="AE29" s="184"/>
      <c r="AF29" s="4"/>
      <c r="AG29" s="4"/>
      <c r="AH29" s="244" t="s">
        <v>2071</v>
      </c>
      <c r="AI29" s="244" t="s">
        <v>3942</v>
      </c>
      <c r="AJ29" s="184"/>
      <c r="AK29" s="184" t="s">
        <v>1612</v>
      </c>
      <c r="AL29" s="200">
        <f t="shared" si="2"/>
        <v>25</v>
      </c>
      <c r="AM29" s="201">
        <v>2018.0</v>
      </c>
    </row>
    <row r="30">
      <c r="A30" s="158">
        <f t="shared" si="1"/>
        <v>9665534</v>
      </c>
      <c r="B30" s="242">
        <v>29.0</v>
      </c>
      <c r="C30" s="267"/>
      <c r="D30" s="184" t="str">
        <f>IFERROR(VLOOKUP(E30,INFORMACION!D:E,2,0),"INGRESAR CENTRO DE COSTO A LA DERECHA")</f>
        <v>INGRESAR CENTRO DE COSTO A LA DERECHA</v>
      </c>
      <c r="E30" s="184" t="s">
        <v>3943</v>
      </c>
      <c r="F30" s="195" t="s">
        <v>2576</v>
      </c>
      <c r="G30" s="186" t="s">
        <v>1741</v>
      </c>
      <c r="H30" s="186">
        <v>21.0</v>
      </c>
      <c r="I30" s="186" t="s">
        <v>2541</v>
      </c>
      <c r="J30" s="184" t="s">
        <v>112</v>
      </c>
      <c r="K30" s="184" t="s">
        <v>127</v>
      </c>
      <c r="L30" s="184" t="s">
        <v>117</v>
      </c>
      <c r="M30" s="184">
        <v>0.0</v>
      </c>
      <c r="N30" s="184" t="s">
        <v>116</v>
      </c>
      <c r="O30" s="184">
        <v>5.0</v>
      </c>
      <c r="P30" s="184">
        <v>1.0</v>
      </c>
      <c r="Q30" s="184">
        <v>1.0</v>
      </c>
      <c r="R30" s="184" t="s">
        <v>121</v>
      </c>
      <c r="S30" s="218">
        <v>43256.0</v>
      </c>
      <c r="T30" s="105"/>
      <c r="U30" s="105" t="s">
        <v>3944</v>
      </c>
      <c r="V30" s="184" t="s">
        <v>3945</v>
      </c>
      <c r="W30" s="184" t="s">
        <v>118</v>
      </c>
      <c r="X30" s="197" t="s">
        <v>176</v>
      </c>
      <c r="Y30" s="170"/>
      <c r="Z30" s="170"/>
      <c r="AA30" s="219">
        <v>43217.0</v>
      </c>
      <c r="AB30" s="219">
        <v>43224.0</v>
      </c>
      <c r="AC30" s="4"/>
      <c r="AD30" s="4"/>
      <c r="AE30" s="184"/>
      <c r="AF30" s="4"/>
      <c r="AG30" s="4"/>
      <c r="AH30" s="244" t="s">
        <v>2071</v>
      </c>
      <c r="AI30" s="244" t="s">
        <v>3946</v>
      </c>
      <c r="AJ30" s="184"/>
      <c r="AK30" s="184" t="s">
        <v>2163</v>
      </c>
      <c r="AL30" s="200">
        <f t="shared" si="2"/>
        <v>23</v>
      </c>
      <c r="AM30" s="201">
        <v>2018.0</v>
      </c>
    </row>
    <row r="31">
      <c r="A31" s="158">
        <f t="shared" si="1"/>
        <v>13031839</v>
      </c>
      <c r="B31" s="242">
        <v>30.0</v>
      </c>
      <c r="C31" s="267"/>
      <c r="D31" s="184" t="str">
        <f>IFERROR(VLOOKUP(E31,INFORMACION!D:E,2,0),"INGRESAR CENTRO DE COSTO A LA DERECHA")</f>
        <v>INGRESAR CENTRO DE COSTO A LA DERECHA</v>
      </c>
      <c r="E31" s="184" t="s">
        <v>2877</v>
      </c>
      <c r="F31" s="195" t="s">
        <v>2576</v>
      </c>
      <c r="G31" s="186" t="s">
        <v>1741</v>
      </c>
      <c r="H31" s="186">
        <v>21.0</v>
      </c>
      <c r="I31" s="186" t="s">
        <v>2541</v>
      </c>
      <c r="J31" s="184" t="s">
        <v>112</v>
      </c>
      <c r="K31" s="184" t="s">
        <v>127</v>
      </c>
      <c r="L31" s="184" t="s">
        <v>117</v>
      </c>
      <c r="M31" s="184">
        <v>0.0</v>
      </c>
      <c r="N31" s="184" t="s">
        <v>116</v>
      </c>
      <c r="O31" s="184">
        <v>4.0</v>
      </c>
      <c r="P31" s="184">
        <v>2.0</v>
      </c>
      <c r="Q31" s="184">
        <v>0.0</v>
      </c>
      <c r="R31" s="184" t="s">
        <v>121</v>
      </c>
      <c r="S31" s="218">
        <v>43252.0</v>
      </c>
      <c r="T31" s="105"/>
      <c r="U31" s="105" t="s">
        <v>3947</v>
      </c>
      <c r="V31" s="184" t="s">
        <v>3948</v>
      </c>
      <c r="W31" s="184" t="s">
        <v>118</v>
      </c>
      <c r="X31" s="197" t="s">
        <v>176</v>
      </c>
      <c r="Y31" s="170"/>
      <c r="Z31" s="170"/>
      <c r="AA31" s="219">
        <v>43182.0</v>
      </c>
      <c r="AB31" s="219">
        <v>43189.0</v>
      </c>
      <c r="AC31" s="4"/>
      <c r="AD31" s="4"/>
      <c r="AE31" s="184"/>
      <c r="AF31" s="4"/>
      <c r="AG31" s="4"/>
      <c r="AH31" s="244" t="s">
        <v>2071</v>
      </c>
      <c r="AI31" s="244" t="s">
        <v>3949</v>
      </c>
      <c r="AJ31" s="184"/>
      <c r="AK31" s="184" t="s">
        <v>2163</v>
      </c>
      <c r="AL31" s="200">
        <f t="shared" si="2"/>
        <v>46</v>
      </c>
      <c r="AM31" s="201">
        <v>2018.0</v>
      </c>
    </row>
    <row r="32">
      <c r="A32" s="158">
        <f t="shared" si="1"/>
        <v>17014369</v>
      </c>
      <c r="B32" s="242">
        <v>31.0</v>
      </c>
      <c r="C32" s="268" t="s">
        <v>3892</v>
      </c>
      <c r="D32" s="269" t="str">
        <f>IFERROR(VLOOKUP(E32,INFORMACION!D:E,2,0),"INGRESAR CENTRO DE COSTO A LA DERECHA")</f>
        <v>INGRESAR CENTRO DE COSTO A LA DERECHA</v>
      </c>
      <c r="E32" s="270" t="s">
        <v>3554</v>
      </c>
      <c r="F32" s="271" t="s">
        <v>2094</v>
      </c>
      <c r="G32" s="272" t="s">
        <v>3207</v>
      </c>
      <c r="H32" s="272">
        <v>10.0</v>
      </c>
      <c r="I32" s="272" t="s">
        <v>2541</v>
      </c>
      <c r="J32" s="270" t="s">
        <v>112</v>
      </c>
      <c r="K32" s="270" t="s">
        <v>114</v>
      </c>
      <c r="L32" s="270" t="s">
        <v>117</v>
      </c>
      <c r="M32" s="270">
        <v>4.0</v>
      </c>
      <c r="N32" s="270" t="s">
        <v>116</v>
      </c>
      <c r="O32" s="270">
        <v>26.0</v>
      </c>
      <c r="P32" s="270">
        <v>2.0</v>
      </c>
      <c r="Q32" s="270">
        <v>0.0</v>
      </c>
      <c r="R32" s="184" t="s">
        <v>115</v>
      </c>
      <c r="S32" s="218">
        <v>43263.0</v>
      </c>
      <c r="T32" s="105"/>
      <c r="U32" s="105" t="s">
        <v>3950</v>
      </c>
      <c r="V32" s="184" t="s">
        <v>3951</v>
      </c>
      <c r="W32" s="184" t="s">
        <v>118</v>
      </c>
      <c r="X32" s="197" t="s">
        <v>166</v>
      </c>
      <c r="Y32" s="170"/>
      <c r="Z32" s="170"/>
      <c r="AA32" s="219">
        <v>43200.0</v>
      </c>
      <c r="AB32" s="266">
        <v>43207.0</v>
      </c>
      <c r="AC32" s="4"/>
      <c r="AD32" s="4"/>
      <c r="AE32" s="184"/>
      <c r="AF32" s="4"/>
      <c r="AG32" s="4"/>
      <c r="AH32" s="244" t="s">
        <v>2071</v>
      </c>
      <c r="AI32" s="244" t="s">
        <v>2597</v>
      </c>
      <c r="AJ32" s="184"/>
      <c r="AK32" s="184" t="s">
        <v>2163</v>
      </c>
      <c r="AL32" s="200">
        <f t="shared" si="2"/>
        <v>41</v>
      </c>
      <c r="AM32" s="201">
        <v>2018.0</v>
      </c>
    </row>
    <row r="33">
      <c r="A33" s="158">
        <f t="shared" si="1"/>
        <v>11167270</v>
      </c>
      <c r="B33" s="242">
        <v>32.0</v>
      </c>
      <c r="C33" s="267"/>
      <c r="D33" s="184" t="str">
        <f>IFERROR(VLOOKUP(E33,INFORMACION!D:E,2,0),"INGRESAR CENTRO DE COSTO A LA DERECHA")</f>
        <v>INGRESAR CENTRO DE COSTO A LA DERECHA</v>
      </c>
      <c r="E33" s="184" t="s">
        <v>2891</v>
      </c>
      <c r="F33" s="195" t="s">
        <v>1947</v>
      </c>
      <c r="G33" s="186" t="s">
        <v>1948</v>
      </c>
      <c r="H33" s="186">
        <v>23.0</v>
      </c>
      <c r="I33" s="186" t="s">
        <v>2541</v>
      </c>
      <c r="J33" s="184" t="s">
        <v>112</v>
      </c>
      <c r="K33" s="184" t="s">
        <v>127</v>
      </c>
      <c r="L33" s="184" t="s">
        <v>122</v>
      </c>
      <c r="M33" s="184">
        <v>0.0</v>
      </c>
      <c r="N33" s="184" t="s">
        <v>116</v>
      </c>
      <c r="O33" s="184">
        <v>3.0</v>
      </c>
      <c r="P33" s="184">
        <v>1.0</v>
      </c>
      <c r="Q33" s="184">
        <v>4.0</v>
      </c>
      <c r="R33" s="184" t="s">
        <v>115</v>
      </c>
      <c r="S33" s="218">
        <v>43251.0</v>
      </c>
      <c r="T33" s="105"/>
      <c r="U33" s="105" t="s">
        <v>3952</v>
      </c>
      <c r="V33" s="184" t="s">
        <v>3953</v>
      </c>
      <c r="W33" s="184" t="s">
        <v>122</v>
      </c>
      <c r="X33" s="197"/>
      <c r="Y33" s="170"/>
      <c r="Z33" s="170"/>
      <c r="AA33" s="219">
        <v>43210.0</v>
      </c>
      <c r="AB33" s="219">
        <v>43217.0</v>
      </c>
      <c r="AC33" s="4"/>
      <c r="AD33" s="4"/>
      <c r="AE33" s="184"/>
      <c r="AF33" s="4"/>
      <c r="AG33" s="4"/>
      <c r="AH33" s="244" t="s">
        <v>2071</v>
      </c>
      <c r="AI33" s="244"/>
      <c r="AJ33" s="184"/>
      <c r="AK33" s="184" t="s">
        <v>2163</v>
      </c>
      <c r="AL33" s="200">
        <f t="shared" si="2"/>
        <v>25</v>
      </c>
      <c r="AM33" s="201">
        <v>2018.0</v>
      </c>
    </row>
    <row r="34">
      <c r="A34" s="158">
        <f t="shared" si="1"/>
        <v>17879126</v>
      </c>
      <c r="B34" s="259">
        <v>33.0</v>
      </c>
      <c r="C34" s="267" t="s">
        <v>3954</v>
      </c>
      <c r="D34" s="184" t="str">
        <f>IFERROR(VLOOKUP(E34,INFORMACION!D:E,2,0),"INGRESAR CENTRO DE COSTO A LA DERECHA")</f>
        <v>INGRESAR CENTRO DE COSTO A LA DERECHA</v>
      </c>
      <c r="E34" s="184" t="s">
        <v>3011</v>
      </c>
      <c r="F34" s="195" t="s">
        <v>3260</v>
      </c>
      <c r="G34" s="186" t="s">
        <v>3261</v>
      </c>
      <c r="H34" s="186">
        <v>14.0</v>
      </c>
      <c r="I34" s="186" t="s">
        <v>2541</v>
      </c>
      <c r="J34" s="184" t="s">
        <v>112</v>
      </c>
      <c r="K34" s="184" t="s">
        <v>114</v>
      </c>
      <c r="L34" s="184" t="s">
        <v>117</v>
      </c>
      <c r="M34" s="184">
        <v>2.0</v>
      </c>
      <c r="N34" s="184" t="s">
        <v>116</v>
      </c>
      <c r="O34" s="184">
        <v>10.0</v>
      </c>
      <c r="P34" s="184">
        <v>4.0</v>
      </c>
      <c r="Q34" s="184">
        <v>0.0</v>
      </c>
      <c r="R34" s="184" t="s">
        <v>121</v>
      </c>
      <c r="S34" s="218">
        <v>43262.0</v>
      </c>
      <c r="T34" s="105"/>
      <c r="U34" s="105" t="s">
        <v>3955</v>
      </c>
      <c r="V34" s="184" t="s">
        <v>3956</v>
      </c>
      <c r="W34" s="184" t="s">
        <v>122</v>
      </c>
      <c r="X34" s="197"/>
      <c r="Y34" s="170"/>
      <c r="Z34" s="170"/>
      <c r="AA34" s="219">
        <v>43230.0</v>
      </c>
      <c r="AB34" s="219">
        <v>43237.0</v>
      </c>
      <c r="AC34" s="4"/>
      <c r="AD34" s="4"/>
      <c r="AE34" s="184"/>
      <c r="AF34" s="4"/>
      <c r="AG34" s="4"/>
      <c r="AH34" s="244" t="s">
        <v>2071</v>
      </c>
      <c r="AI34" s="244" t="s">
        <v>3957</v>
      </c>
      <c r="AJ34" s="184"/>
      <c r="AK34" s="184" t="s">
        <v>2163</v>
      </c>
      <c r="AL34" s="200">
        <f t="shared" si="2"/>
        <v>18</v>
      </c>
      <c r="AM34" s="201">
        <v>2018.0</v>
      </c>
    </row>
    <row r="35">
      <c r="A35" s="158">
        <f t="shared" si="1"/>
        <v>17737715</v>
      </c>
      <c r="B35" s="236">
        <v>34.0</v>
      </c>
      <c r="C35" s="184"/>
      <c r="D35" s="184" t="str">
        <f>IFERROR(VLOOKUP(E35,INFORMACION!D:E,2,0),"INGRESAR CENTRO DE COSTO A LA DERECHA")</f>
        <v>INGRESAR CENTRO DE COSTO A LA DERECHA</v>
      </c>
      <c r="E35" s="184" t="s">
        <v>3800</v>
      </c>
      <c r="F35" s="195" t="s">
        <v>2609</v>
      </c>
      <c r="G35" s="186" t="s">
        <v>3765</v>
      </c>
      <c r="H35" s="186">
        <v>20.0</v>
      </c>
      <c r="I35" s="186" t="s">
        <v>2541</v>
      </c>
      <c r="J35" s="184" t="s">
        <v>112</v>
      </c>
      <c r="K35" s="184" t="s">
        <v>120</v>
      </c>
      <c r="L35" s="184" t="s">
        <v>117</v>
      </c>
      <c r="M35" s="184">
        <v>0.0</v>
      </c>
      <c r="N35" s="184" t="s">
        <v>116</v>
      </c>
      <c r="O35" s="184">
        <v>6.0</v>
      </c>
      <c r="P35" s="184">
        <v>2.0</v>
      </c>
      <c r="Q35" s="184">
        <v>1.0</v>
      </c>
      <c r="R35" s="184" t="s">
        <v>121</v>
      </c>
      <c r="S35" s="218">
        <v>43266.0</v>
      </c>
      <c r="T35" s="105"/>
      <c r="U35" s="105" t="s">
        <v>3958</v>
      </c>
      <c r="V35" s="184" t="s">
        <v>3959</v>
      </c>
      <c r="W35" s="184" t="s">
        <v>122</v>
      </c>
      <c r="X35" s="197"/>
      <c r="Y35" s="170"/>
      <c r="Z35" s="170"/>
      <c r="AA35" s="219">
        <v>43173.0</v>
      </c>
      <c r="AB35" s="219">
        <v>43179.0</v>
      </c>
      <c r="AC35" s="4"/>
      <c r="AD35" s="4"/>
      <c r="AE35" s="184"/>
      <c r="AF35" s="4"/>
      <c r="AG35" s="4"/>
      <c r="AH35" s="244" t="s">
        <v>2071</v>
      </c>
      <c r="AI35" s="244" t="s">
        <v>3960</v>
      </c>
      <c r="AJ35" s="184"/>
      <c r="AK35" s="184" t="s">
        <v>2157</v>
      </c>
      <c r="AL35" s="200">
        <f t="shared" si="2"/>
        <v>64</v>
      </c>
      <c r="AM35" s="201">
        <v>2018.0</v>
      </c>
    </row>
    <row r="36">
      <c r="A36" s="158">
        <f t="shared" si="1"/>
        <v>17484138</v>
      </c>
      <c r="B36" s="236">
        <v>35.0</v>
      </c>
      <c r="C36" s="184" t="s">
        <v>3892</v>
      </c>
      <c r="D36" s="184" t="str">
        <f>IFERROR(VLOOKUP(E36,INFORMACION!D:E,2,0),"INGRESAR CENTRO DE COSTO A LA DERECHA")</f>
        <v>INGRESAR CENTRO DE COSTO A LA DERECHA</v>
      </c>
      <c r="E36" s="184" t="s">
        <v>3554</v>
      </c>
      <c r="F36" s="195" t="s">
        <v>2094</v>
      </c>
      <c r="G36" s="186" t="s">
        <v>3207</v>
      </c>
      <c r="H36" s="186">
        <v>10.0</v>
      </c>
      <c r="I36" s="186" t="s">
        <v>2541</v>
      </c>
      <c r="J36" s="184" t="s">
        <v>112</v>
      </c>
      <c r="K36" s="184" t="s">
        <v>114</v>
      </c>
      <c r="L36" s="184" t="s">
        <v>117</v>
      </c>
      <c r="M36" s="184">
        <v>4.0</v>
      </c>
      <c r="N36" s="184" t="s">
        <v>116</v>
      </c>
      <c r="O36" s="184">
        <v>26.0</v>
      </c>
      <c r="P36" s="184">
        <v>2.0</v>
      </c>
      <c r="Q36" s="184">
        <v>0.0</v>
      </c>
      <c r="R36" s="184" t="s">
        <v>115</v>
      </c>
      <c r="S36" s="218">
        <v>43282.0</v>
      </c>
      <c r="T36" s="105"/>
      <c r="U36" s="105" t="s">
        <v>3961</v>
      </c>
      <c r="V36" s="184" t="s">
        <v>3962</v>
      </c>
      <c r="W36" s="184" t="s">
        <v>118</v>
      </c>
      <c r="X36" s="197" t="s">
        <v>138</v>
      </c>
      <c r="Y36" s="170"/>
      <c r="Z36" s="170"/>
      <c r="AA36" s="219">
        <v>43200.0</v>
      </c>
      <c r="AB36" s="219">
        <v>43207.0</v>
      </c>
      <c r="AC36" s="184"/>
      <c r="AD36" s="184"/>
      <c r="AE36" s="184"/>
      <c r="AF36" s="184"/>
      <c r="AG36" s="4"/>
      <c r="AH36" s="244" t="s">
        <v>2071</v>
      </c>
      <c r="AI36" s="244" t="s">
        <v>2597</v>
      </c>
      <c r="AJ36" s="184"/>
      <c r="AK36" s="184" t="s">
        <v>1612</v>
      </c>
      <c r="AL36" s="200">
        <f t="shared" si="2"/>
        <v>54</v>
      </c>
      <c r="AM36" s="201">
        <v>2018.0</v>
      </c>
    </row>
    <row r="37">
      <c r="A37" s="158">
        <f t="shared" si="1"/>
        <v>15550090</v>
      </c>
      <c r="B37" s="242">
        <v>36.0</v>
      </c>
      <c r="C37" s="267"/>
      <c r="D37" s="184" t="str">
        <f>IFERROR(VLOOKUP(E37,INFORMACION!D:E,2,0),"INGRESAR CENTRO DE COSTO A LA DERECHA")</f>
        <v>INGRESAR CENTRO DE COSTO A LA DERECHA</v>
      </c>
      <c r="E37" s="184" t="s">
        <v>3193</v>
      </c>
      <c r="F37" s="195" t="s">
        <v>3222</v>
      </c>
      <c r="G37" s="186" t="s">
        <v>3926</v>
      </c>
      <c r="H37" s="186">
        <v>8.0</v>
      </c>
      <c r="I37" s="186" t="s">
        <v>2541</v>
      </c>
      <c r="J37" s="184" t="s">
        <v>112</v>
      </c>
      <c r="K37" s="184" t="s">
        <v>114</v>
      </c>
      <c r="L37" s="184" t="s">
        <v>122</v>
      </c>
      <c r="M37" s="184">
        <v>0.0</v>
      </c>
      <c r="N37" s="184" t="s">
        <v>116</v>
      </c>
      <c r="O37" s="184">
        <v>52.0</v>
      </c>
      <c r="P37" s="184">
        <v>1.0</v>
      </c>
      <c r="Q37" s="184">
        <v>0.0</v>
      </c>
      <c r="R37" s="184" t="s">
        <v>115</v>
      </c>
      <c r="S37" s="218">
        <v>43269.0</v>
      </c>
      <c r="T37" s="105"/>
      <c r="U37" s="105" t="s">
        <v>3963</v>
      </c>
      <c r="V37" s="184" t="s">
        <v>3964</v>
      </c>
      <c r="W37" s="184" t="s">
        <v>122</v>
      </c>
      <c r="X37" s="197"/>
      <c r="Y37" s="170"/>
      <c r="Z37" s="170"/>
      <c r="AA37" s="219">
        <v>43259.0</v>
      </c>
      <c r="AB37" s="219">
        <v>43263.0</v>
      </c>
      <c r="AC37" s="184"/>
      <c r="AD37" s="184"/>
      <c r="AE37" s="184"/>
      <c r="AF37" s="184"/>
      <c r="AG37" s="4"/>
      <c r="AH37" s="244" t="s">
        <v>2071</v>
      </c>
      <c r="AI37" s="244" t="s">
        <v>3841</v>
      </c>
      <c r="AJ37" s="184"/>
      <c r="AK37" s="184" t="s">
        <v>2163</v>
      </c>
      <c r="AL37" s="200">
        <f t="shared" si="2"/>
        <v>5</v>
      </c>
      <c r="AM37" s="201">
        <v>2018.0</v>
      </c>
    </row>
    <row r="38">
      <c r="A38" s="158">
        <f t="shared" si="1"/>
        <v>15841378</v>
      </c>
      <c r="B38" s="242">
        <v>37.0</v>
      </c>
      <c r="C38" s="267" t="s">
        <v>3965</v>
      </c>
      <c r="D38" s="184" t="str">
        <f>IFERROR(VLOOKUP(E38,INFORMACION!D:E,2,0),"INGRESAR CENTRO DE COSTO A LA DERECHA")</f>
        <v>INGRESAR CENTRO DE COSTO A LA DERECHA</v>
      </c>
      <c r="E38" s="184" t="s">
        <v>2195</v>
      </c>
      <c r="F38" s="195" t="s">
        <v>3255</v>
      </c>
      <c r="G38" s="186" t="s">
        <v>3966</v>
      </c>
      <c r="H38" s="186">
        <v>13.0</v>
      </c>
      <c r="I38" s="186" t="s">
        <v>2541</v>
      </c>
      <c r="J38" s="184" t="s">
        <v>112</v>
      </c>
      <c r="K38" s="184" t="s">
        <v>114</v>
      </c>
      <c r="L38" s="184" t="s">
        <v>117</v>
      </c>
      <c r="M38" s="184">
        <v>0.0</v>
      </c>
      <c r="N38" s="184" t="s">
        <v>116</v>
      </c>
      <c r="O38" s="184">
        <v>7.0</v>
      </c>
      <c r="P38" s="184">
        <v>1.0</v>
      </c>
      <c r="Q38" s="184">
        <v>0.0</v>
      </c>
      <c r="R38" s="184" t="s">
        <v>115</v>
      </c>
      <c r="S38" s="218">
        <v>43252.0</v>
      </c>
      <c r="T38" s="105"/>
      <c r="U38" s="105" t="s">
        <v>3967</v>
      </c>
      <c r="V38" s="184" t="s">
        <v>3968</v>
      </c>
      <c r="W38" s="184" t="s">
        <v>122</v>
      </c>
      <c r="X38" s="197"/>
      <c r="Y38" s="170"/>
      <c r="Z38" s="170"/>
      <c r="AA38" s="219">
        <v>43165.0</v>
      </c>
      <c r="AB38" s="219">
        <v>43172.0</v>
      </c>
      <c r="AC38" s="184"/>
      <c r="AD38" s="184"/>
      <c r="AE38" s="184"/>
      <c r="AF38" s="184"/>
      <c r="AG38" s="4"/>
      <c r="AH38" s="244" t="s">
        <v>2071</v>
      </c>
      <c r="AI38" s="244" t="s">
        <v>3841</v>
      </c>
      <c r="AJ38" s="184"/>
      <c r="AK38" s="184" t="s">
        <v>2163</v>
      </c>
      <c r="AL38" s="200">
        <f t="shared" si="2"/>
        <v>59</v>
      </c>
      <c r="AM38" s="201">
        <v>2018.0</v>
      </c>
    </row>
    <row r="39">
      <c r="A39" s="158">
        <f t="shared" si="1"/>
        <v>15894218</v>
      </c>
      <c r="B39" s="242">
        <v>38.0</v>
      </c>
      <c r="C39" s="267" t="s">
        <v>3969</v>
      </c>
      <c r="D39" s="184" t="str">
        <f>IFERROR(VLOOKUP(E39,INFORMACION!D:E,2,0),"INGRESAR CENTRO DE COSTO A LA DERECHA")</f>
        <v>INGRESAR CENTRO DE COSTO A LA DERECHA</v>
      </c>
      <c r="E39" s="184" t="s">
        <v>3180</v>
      </c>
      <c r="F39" s="195" t="s">
        <v>2635</v>
      </c>
      <c r="G39" s="186" t="s">
        <v>3970</v>
      </c>
      <c r="H39" s="186">
        <v>13.0</v>
      </c>
      <c r="I39" s="186" t="s">
        <v>2541</v>
      </c>
      <c r="J39" s="184" t="s">
        <v>112</v>
      </c>
      <c r="K39" s="184" t="s">
        <v>114</v>
      </c>
      <c r="L39" s="184" t="s">
        <v>117</v>
      </c>
      <c r="M39" s="184">
        <v>1.0</v>
      </c>
      <c r="N39" s="184" t="s">
        <v>122</v>
      </c>
      <c r="O39" s="184">
        <v>0.0</v>
      </c>
      <c r="P39" s="184">
        <v>1.0</v>
      </c>
      <c r="Q39" s="184">
        <v>0.0</v>
      </c>
      <c r="R39" s="184" t="s">
        <v>115</v>
      </c>
      <c r="S39" s="218">
        <v>43282.0</v>
      </c>
      <c r="T39" s="105"/>
      <c r="U39" s="105" t="s">
        <v>3971</v>
      </c>
      <c r="V39" s="184" t="s">
        <v>3972</v>
      </c>
      <c r="W39" s="184" t="s">
        <v>118</v>
      </c>
      <c r="X39" s="197" t="s">
        <v>176</v>
      </c>
      <c r="Y39" s="197" t="s">
        <v>138</v>
      </c>
      <c r="Z39" s="170"/>
      <c r="AA39" s="219">
        <v>43251.0</v>
      </c>
      <c r="AB39" s="219">
        <v>43257.0</v>
      </c>
      <c r="AC39" s="184"/>
      <c r="AD39" s="184"/>
      <c r="AE39" s="184"/>
      <c r="AF39" s="184"/>
      <c r="AG39" s="4"/>
      <c r="AH39" s="244" t="s">
        <v>2071</v>
      </c>
      <c r="AI39" s="244" t="s">
        <v>3973</v>
      </c>
      <c r="AJ39" s="184"/>
      <c r="AK39" s="184" t="s">
        <v>2163</v>
      </c>
      <c r="AL39" s="200">
        <f t="shared" si="2"/>
        <v>18</v>
      </c>
      <c r="AM39" s="201">
        <v>2018.0</v>
      </c>
    </row>
    <row r="40">
      <c r="A40" s="158">
        <f t="shared" si="1"/>
        <v>17381673</v>
      </c>
      <c r="B40" s="236">
        <v>39.0</v>
      </c>
      <c r="C40" s="184" t="s">
        <v>3974</v>
      </c>
      <c r="D40" s="184" t="str">
        <f>IFERROR(VLOOKUP(E40,INFORMACION!D:E,2,0),"INGRESAR CENTRO DE COSTO A LA DERECHA")</f>
        <v>INGRESAR CENTRO DE COSTO A LA DERECHA</v>
      </c>
      <c r="E40" s="184" t="s">
        <v>2914</v>
      </c>
      <c r="F40" s="195" t="s">
        <v>1947</v>
      </c>
      <c r="G40" s="186" t="s">
        <v>1948</v>
      </c>
      <c r="H40" s="186">
        <v>23.0</v>
      </c>
      <c r="I40" s="186" t="s">
        <v>2541</v>
      </c>
      <c r="J40" s="184" t="s">
        <v>112</v>
      </c>
      <c r="K40" s="184" t="s">
        <v>127</v>
      </c>
      <c r="L40" s="184" t="s">
        <v>117</v>
      </c>
      <c r="M40" s="184">
        <v>0.0</v>
      </c>
      <c r="N40" s="184" t="s">
        <v>116</v>
      </c>
      <c r="O40" s="184">
        <v>10.0</v>
      </c>
      <c r="P40" s="184">
        <v>3.0</v>
      </c>
      <c r="Q40" s="184">
        <v>4.0</v>
      </c>
      <c r="R40" s="184" t="s">
        <v>115</v>
      </c>
      <c r="S40" s="218">
        <v>43252.0</v>
      </c>
      <c r="T40" s="105"/>
      <c r="U40" s="105" t="s">
        <v>3975</v>
      </c>
      <c r="V40" s="184" t="s">
        <v>3976</v>
      </c>
      <c r="W40" s="184" t="s">
        <v>118</v>
      </c>
      <c r="X40" s="197" t="s">
        <v>176</v>
      </c>
      <c r="Y40" s="197" t="s">
        <v>154</v>
      </c>
      <c r="Z40" s="197" t="s">
        <v>140</v>
      </c>
      <c r="AA40" s="219">
        <v>43222.0</v>
      </c>
      <c r="AB40" s="219">
        <v>43228.0</v>
      </c>
      <c r="AC40" s="184"/>
      <c r="AD40" s="184"/>
      <c r="AE40" s="184"/>
      <c r="AF40" s="184"/>
      <c r="AG40" s="4"/>
      <c r="AH40" s="244" t="s">
        <v>2071</v>
      </c>
      <c r="AI40" s="244" t="s">
        <v>3977</v>
      </c>
      <c r="AJ40" s="184"/>
      <c r="AK40" s="184" t="s">
        <v>2163</v>
      </c>
      <c r="AL40" s="200">
        <f t="shared" si="2"/>
        <v>19</v>
      </c>
      <c r="AM40" s="201">
        <v>2018.0</v>
      </c>
    </row>
    <row r="41">
      <c r="A41" s="158">
        <f t="shared" si="1"/>
        <v>9577358</v>
      </c>
      <c r="B41" s="236">
        <v>40.0</v>
      </c>
      <c r="C41" s="184"/>
      <c r="D41" s="184" t="str">
        <f>IFERROR(VLOOKUP(E41,INFORMACION!D:E,2,0),"INGRESAR CENTRO DE COSTO A LA DERECHA")</f>
        <v>INGRESAR CENTRO DE COSTO A LA DERECHA</v>
      </c>
      <c r="E41" s="184" t="s">
        <v>2969</v>
      </c>
      <c r="F41" s="195" t="s">
        <v>2576</v>
      </c>
      <c r="G41" s="186" t="s">
        <v>1741</v>
      </c>
      <c r="H41" s="186">
        <v>21.0</v>
      </c>
      <c r="I41" s="186" t="s">
        <v>2541</v>
      </c>
      <c r="J41" s="184" t="s">
        <v>112</v>
      </c>
      <c r="K41" s="184" t="s">
        <v>127</v>
      </c>
      <c r="L41" s="184" t="s">
        <v>117</v>
      </c>
      <c r="M41" s="184">
        <v>0.0</v>
      </c>
      <c r="N41" s="184" t="s">
        <v>116</v>
      </c>
      <c r="O41" s="184">
        <v>4.0</v>
      </c>
      <c r="P41" s="184">
        <v>1.0</v>
      </c>
      <c r="Q41" s="184">
        <v>3.0</v>
      </c>
      <c r="R41" s="184" t="s">
        <v>115</v>
      </c>
      <c r="S41" s="218">
        <v>43266.0</v>
      </c>
      <c r="T41" s="105"/>
      <c r="U41" s="105" t="s">
        <v>3978</v>
      </c>
      <c r="V41" s="184" t="s">
        <v>3979</v>
      </c>
      <c r="W41" s="184" t="s">
        <v>122</v>
      </c>
      <c r="X41" s="170"/>
      <c r="Y41" s="170"/>
      <c r="Z41" s="170"/>
      <c r="AA41" s="219">
        <v>43207.0</v>
      </c>
      <c r="AB41" s="219">
        <v>43214.0</v>
      </c>
      <c r="AC41" s="184"/>
      <c r="AD41" s="184"/>
      <c r="AE41" s="184"/>
      <c r="AF41" s="184"/>
      <c r="AG41" s="4"/>
      <c r="AH41" s="244" t="s">
        <v>2071</v>
      </c>
      <c r="AI41" s="244" t="s">
        <v>3980</v>
      </c>
      <c r="AJ41" s="184"/>
      <c r="AK41" s="184"/>
      <c r="AL41" s="200">
        <f t="shared" si="2"/>
        <v>39</v>
      </c>
      <c r="AM41" s="201">
        <v>2018.0</v>
      </c>
    </row>
    <row r="42">
      <c r="A42" s="158">
        <f t="shared" si="1"/>
        <v>17150350</v>
      </c>
      <c r="B42" s="242">
        <v>41.0</v>
      </c>
      <c r="C42" s="267"/>
      <c r="D42" s="184" t="str">
        <f>IFERROR(VLOOKUP(E42,INFORMACION!D:E,2,0),"INGRESAR CENTRO DE COSTO A LA DERECHA")</f>
        <v>INGRESAR CENTRO DE COSTO A LA DERECHA</v>
      </c>
      <c r="E42" s="184" t="s">
        <v>1699</v>
      </c>
      <c r="F42" s="195" t="s">
        <v>3093</v>
      </c>
      <c r="G42" s="186" t="s">
        <v>3219</v>
      </c>
      <c r="H42" s="186">
        <v>8.0</v>
      </c>
      <c r="I42" s="186" t="s">
        <v>2541</v>
      </c>
      <c r="J42" s="184" t="s">
        <v>112</v>
      </c>
      <c r="K42" s="184" t="s">
        <v>114</v>
      </c>
      <c r="L42" s="184" t="s">
        <v>117</v>
      </c>
      <c r="M42" s="184">
        <v>0.0</v>
      </c>
      <c r="N42" s="184" t="s">
        <v>116</v>
      </c>
      <c r="O42" s="184">
        <v>34.0</v>
      </c>
      <c r="P42" s="184">
        <v>1.0</v>
      </c>
      <c r="Q42" s="184">
        <v>0.0</v>
      </c>
      <c r="R42" s="184" t="s">
        <v>121</v>
      </c>
      <c r="S42" s="218">
        <v>43284.0</v>
      </c>
      <c r="T42" s="105"/>
      <c r="U42" s="105" t="s">
        <v>3981</v>
      </c>
      <c r="V42" s="184" t="s">
        <v>3982</v>
      </c>
      <c r="W42" s="184" t="s">
        <v>118</v>
      </c>
      <c r="X42" s="197" t="s">
        <v>166</v>
      </c>
      <c r="Y42" s="197" t="s">
        <v>154</v>
      </c>
      <c r="Z42" s="170"/>
      <c r="AA42" s="219">
        <v>43258.0</v>
      </c>
      <c r="AB42" s="219">
        <v>43263.0</v>
      </c>
      <c r="AC42" s="4"/>
      <c r="AD42" s="4"/>
      <c r="AE42" s="184"/>
      <c r="AF42" s="4"/>
      <c r="AG42" s="4"/>
      <c r="AH42" s="244" t="s">
        <v>2071</v>
      </c>
      <c r="AI42" s="244" t="s">
        <v>3983</v>
      </c>
      <c r="AJ42" s="184"/>
      <c r="AK42" s="184" t="s">
        <v>2157</v>
      </c>
      <c r="AL42" s="200">
        <f t="shared" si="2"/>
        <v>16</v>
      </c>
      <c r="AM42" s="201">
        <v>2018.0</v>
      </c>
    </row>
    <row r="43">
      <c r="A43" s="158">
        <f t="shared" si="1"/>
        <v>15639128</v>
      </c>
      <c r="B43" s="242">
        <v>42.0</v>
      </c>
      <c r="C43" s="267" t="s">
        <v>3984</v>
      </c>
      <c r="D43" s="184" t="str">
        <f>IFERROR(VLOOKUP(E43,INFORMACION!D:E,2,0),"INGRESAR CENTRO DE COSTO A LA DERECHA")</f>
        <v>INGRESAR CENTRO DE COSTO A LA DERECHA</v>
      </c>
      <c r="E43" s="261" t="s">
        <v>3032</v>
      </c>
      <c r="F43" s="195" t="s">
        <v>2650</v>
      </c>
      <c r="G43" s="186" t="s">
        <v>3985</v>
      </c>
      <c r="H43" s="186">
        <v>17.0</v>
      </c>
      <c r="I43" s="186" t="s">
        <v>2541</v>
      </c>
      <c r="J43" s="184" t="s">
        <v>112</v>
      </c>
      <c r="K43" s="184" t="s">
        <v>120</v>
      </c>
      <c r="L43" s="184" t="s">
        <v>117</v>
      </c>
      <c r="M43" s="184">
        <v>2.0</v>
      </c>
      <c r="N43" s="184" t="s">
        <v>122</v>
      </c>
      <c r="O43" s="184">
        <v>0.0</v>
      </c>
      <c r="P43" s="184">
        <v>2.0</v>
      </c>
      <c r="Q43" s="184">
        <v>0.0</v>
      </c>
      <c r="R43" s="184" t="s">
        <v>121</v>
      </c>
      <c r="S43" s="218">
        <v>43293.0</v>
      </c>
      <c r="T43" s="273" t="s">
        <v>941</v>
      </c>
      <c r="U43" s="105"/>
      <c r="V43" s="184" t="s">
        <v>2483</v>
      </c>
      <c r="W43" s="184" t="s">
        <v>122</v>
      </c>
      <c r="X43" s="170"/>
      <c r="Y43" s="170"/>
      <c r="Z43" s="170"/>
      <c r="AA43" s="219">
        <v>43248.0</v>
      </c>
      <c r="AB43" s="219">
        <v>43255.0</v>
      </c>
      <c r="AC43" s="274"/>
      <c r="AD43" s="274"/>
      <c r="AE43" s="275"/>
      <c r="AF43" s="274"/>
      <c r="AG43" s="274"/>
      <c r="AH43" s="244" t="s">
        <v>2071</v>
      </c>
      <c r="AI43" s="244" t="s">
        <v>2597</v>
      </c>
      <c r="AJ43" s="184"/>
      <c r="AK43" s="184" t="s">
        <v>2157</v>
      </c>
      <c r="AL43" s="200">
        <f t="shared" si="2"/>
        <v>29</v>
      </c>
      <c r="AM43" s="201">
        <v>2018.0</v>
      </c>
    </row>
    <row r="44">
      <c r="A44" s="158">
        <f t="shared" si="1"/>
        <v>13926873</v>
      </c>
      <c r="B44" s="242">
        <v>43.0</v>
      </c>
      <c r="C44" s="267" t="s">
        <v>3965</v>
      </c>
      <c r="D44" s="184" t="str">
        <f>IFERROR(VLOOKUP(E44,INFORMACION!D:E,2,0),"INGRESAR CENTRO DE COSTO A LA DERECHA")</f>
        <v>INGRESAR CENTRO DE COSTO A LA DERECHA</v>
      </c>
      <c r="E44" s="184" t="s">
        <v>2914</v>
      </c>
      <c r="F44" s="195" t="s">
        <v>1947</v>
      </c>
      <c r="G44" s="186" t="s">
        <v>1948</v>
      </c>
      <c r="H44" s="186">
        <v>23.0</v>
      </c>
      <c r="I44" s="186" t="s">
        <v>2541</v>
      </c>
      <c r="J44" s="184" t="s">
        <v>112</v>
      </c>
      <c r="K44" s="184" t="s">
        <v>127</v>
      </c>
      <c r="L44" s="184" t="s">
        <v>117</v>
      </c>
      <c r="M44" s="184">
        <v>0.0</v>
      </c>
      <c r="N44" s="184" t="s">
        <v>116</v>
      </c>
      <c r="O44" s="184">
        <v>5.0</v>
      </c>
      <c r="P44" s="184">
        <v>2.0</v>
      </c>
      <c r="Q44" s="184">
        <v>1.0</v>
      </c>
      <c r="R44" s="184" t="s">
        <v>115</v>
      </c>
      <c r="S44" s="218">
        <v>43299.0</v>
      </c>
      <c r="T44" s="105"/>
      <c r="U44" s="105" t="s">
        <v>3986</v>
      </c>
      <c r="V44" s="184" t="s">
        <v>3987</v>
      </c>
      <c r="W44" s="184" t="s">
        <v>118</v>
      </c>
      <c r="X44" s="197" t="s">
        <v>176</v>
      </c>
      <c r="Y44" s="170"/>
      <c r="Z44" s="170"/>
      <c r="AA44" s="219">
        <v>43248.0</v>
      </c>
      <c r="AB44" s="219">
        <v>43255.0</v>
      </c>
      <c r="AC44" s="4"/>
      <c r="AD44" s="4"/>
      <c r="AE44" s="184"/>
      <c r="AF44" s="4"/>
      <c r="AG44" s="4"/>
      <c r="AH44" s="244" t="s">
        <v>2071</v>
      </c>
      <c r="AI44" s="244" t="s">
        <v>3841</v>
      </c>
      <c r="AJ44" s="184"/>
      <c r="AK44" s="184" t="s">
        <v>2163</v>
      </c>
      <c r="AL44" s="200">
        <f t="shared" si="2"/>
        <v>33</v>
      </c>
      <c r="AM44" s="201">
        <v>2018.0</v>
      </c>
    </row>
    <row r="45">
      <c r="A45" s="158">
        <f t="shared" si="1"/>
        <v>12894346</v>
      </c>
      <c r="B45" s="242">
        <v>44.0</v>
      </c>
      <c r="C45" s="267"/>
      <c r="D45" s="184" t="str">
        <f>IFERROR(VLOOKUP(E45,INFORMACION!D:E,2,0),"INGRESAR CENTRO DE COSTO A LA DERECHA")</f>
        <v>INGRESAR CENTRO DE COSTO A LA DERECHA</v>
      </c>
      <c r="E45" s="184" t="s">
        <v>3042</v>
      </c>
      <c r="F45" s="195" t="s">
        <v>2650</v>
      </c>
      <c r="G45" s="159" t="s">
        <v>3988</v>
      </c>
      <c r="H45" s="159">
        <v>17.0</v>
      </c>
      <c r="I45" s="186" t="s">
        <v>2541</v>
      </c>
      <c r="J45" s="184" t="s">
        <v>112</v>
      </c>
      <c r="K45" s="184" t="s">
        <v>120</v>
      </c>
      <c r="L45" s="184" t="s">
        <v>117</v>
      </c>
      <c r="M45" s="184">
        <v>2.0</v>
      </c>
      <c r="N45" s="184" t="s">
        <v>116</v>
      </c>
      <c r="O45" s="184">
        <v>19.0</v>
      </c>
      <c r="P45" s="184">
        <v>2.0</v>
      </c>
      <c r="Q45" s="184">
        <v>0.0</v>
      </c>
      <c r="R45" s="184" t="s">
        <v>121</v>
      </c>
      <c r="S45" s="218">
        <v>43299.0</v>
      </c>
      <c r="T45" s="105"/>
      <c r="U45" s="105" t="s">
        <v>3989</v>
      </c>
      <c r="V45" s="184" t="s">
        <v>3990</v>
      </c>
      <c r="W45" s="184" t="s">
        <v>122</v>
      </c>
      <c r="X45" s="197"/>
      <c r="Y45" s="197"/>
      <c r="Z45" s="170"/>
      <c r="AA45" s="219">
        <v>43266.0</v>
      </c>
      <c r="AB45" s="219">
        <v>43271.0</v>
      </c>
      <c r="AC45" s="4"/>
      <c r="AD45" s="4"/>
      <c r="AE45" s="184"/>
      <c r="AF45" s="4"/>
      <c r="AG45" s="4"/>
      <c r="AH45" s="244" t="s">
        <v>2071</v>
      </c>
      <c r="AI45" s="244" t="s">
        <v>3991</v>
      </c>
      <c r="AJ45" s="184"/>
      <c r="AK45" s="184" t="s">
        <v>2157</v>
      </c>
      <c r="AL45" s="200">
        <f t="shared" si="2"/>
        <v>21</v>
      </c>
      <c r="AM45" s="201">
        <v>2018.0</v>
      </c>
    </row>
    <row r="46">
      <c r="A46" s="158">
        <f t="shared" si="1"/>
        <v>14128405</v>
      </c>
      <c r="B46" s="259">
        <v>45.0</v>
      </c>
      <c r="C46" s="267" t="s">
        <v>3992</v>
      </c>
      <c r="D46" s="184" t="str">
        <f>IFERROR(VLOOKUP(E46,INFORMACION!D:E,2,0),"INGRESAR CENTRO DE COSTO A LA DERECHA")</f>
        <v>INGRESAR CENTRO DE COSTO A LA DERECHA</v>
      </c>
      <c r="E46" s="184" t="s">
        <v>1618</v>
      </c>
      <c r="F46" s="195" t="s">
        <v>3476</v>
      </c>
      <c r="G46" s="159" t="s">
        <v>3993</v>
      </c>
      <c r="H46" s="159">
        <v>14.0</v>
      </c>
      <c r="I46" s="186" t="s">
        <v>2541</v>
      </c>
      <c r="J46" s="184" t="s">
        <v>112</v>
      </c>
      <c r="K46" s="184" t="s">
        <v>125</v>
      </c>
      <c r="L46" s="184" t="s">
        <v>122</v>
      </c>
      <c r="M46" s="184">
        <v>0.0</v>
      </c>
      <c r="N46" s="184" t="s">
        <v>116</v>
      </c>
      <c r="O46" s="184">
        <v>7.0</v>
      </c>
      <c r="P46" s="184">
        <v>1.0</v>
      </c>
      <c r="Q46" s="184">
        <v>0.0</v>
      </c>
      <c r="R46" s="184" t="s">
        <v>115</v>
      </c>
      <c r="S46" s="218">
        <v>43284.0</v>
      </c>
      <c r="T46" s="105"/>
      <c r="U46" s="105" t="s">
        <v>3994</v>
      </c>
      <c r="V46" s="184" t="s">
        <v>3995</v>
      </c>
      <c r="W46" s="184" t="s">
        <v>118</v>
      </c>
      <c r="X46" s="197" t="s">
        <v>176</v>
      </c>
      <c r="Y46" s="197" t="s">
        <v>154</v>
      </c>
      <c r="Z46" s="197"/>
      <c r="AA46" s="219">
        <v>43234.0</v>
      </c>
      <c r="AB46" s="219">
        <v>43236.0</v>
      </c>
      <c r="AC46" s="4"/>
      <c r="AD46" s="4"/>
      <c r="AE46" s="184"/>
      <c r="AF46" s="4"/>
      <c r="AG46" s="4"/>
      <c r="AH46" s="244" t="s">
        <v>2071</v>
      </c>
      <c r="AI46" s="244" t="s">
        <v>2597</v>
      </c>
      <c r="AJ46" s="184"/>
      <c r="AK46" s="184" t="s">
        <v>2163</v>
      </c>
      <c r="AL46" s="200">
        <f t="shared" si="2"/>
        <v>35</v>
      </c>
      <c r="AM46" s="201">
        <v>2018.0</v>
      </c>
    </row>
    <row r="47">
      <c r="A47" s="158">
        <f t="shared" si="1"/>
        <v>10328126</v>
      </c>
      <c r="B47" s="236">
        <v>46.0</v>
      </c>
      <c r="C47" s="184" t="s">
        <v>3996</v>
      </c>
      <c r="D47" s="184" t="str">
        <f>IFERROR(VLOOKUP(E47,INFORMACION!D:E,2,0),"INGRESAR CENTRO DE COSTO A LA DERECHA")</f>
        <v>INGRESAR CENTRO DE COSTO A LA DERECHA</v>
      </c>
      <c r="E47" s="184" t="s">
        <v>2015</v>
      </c>
      <c r="F47" s="195" t="s">
        <v>2690</v>
      </c>
      <c r="G47" s="186" t="s">
        <v>3997</v>
      </c>
      <c r="H47" s="186"/>
      <c r="I47" s="186" t="s">
        <v>2582</v>
      </c>
      <c r="J47" s="184" t="s">
        <v>112</v>
      </c>
      <c r="K47" s="184"/>
      <c r="L47" s="184" t="s">
        <v>122</v>
      </c>
      <c r="M47" s="184">
        <v>0.0</v>
      </c>
      <c r="N47" s="184" t="s">
        <v>116</v>
      </c>
      <c r="O47" s="184">
        <v>6.0</v>
      </c>
      <c r="P47" s="184">
        <v>2.0</v>
      </c>
      <c r="Q47" s="184">
        <v>0.0</v>
      </c>
      <c r="R47" s="184" t="s">
        <v>115</v>
      </c>
      <c r="S47" s="218">
        <v>43298.0</v>
      </c>
      <c r="T47" s="105"/>
      <c r="U47" s="105" t="s">
        <v>3998</v>
      </c>
      <c r="V47" s="184" t="s">
        <v>3999</v>
      </c>
      <c r="W47" s="184" t="s">
        <v>118</v>
      </c>
      <c r="X47" s="197" t="s">
        <v>138</v>
      </c>
      <c r="Y47" s="170"/>
      <c r="Z47" s="170"/>
      <c r="AA47" s="219">
        <v>43257.0</v>
      </c>
      <c r="AB47" s="219">
        <v>43264.0</v>
      </c>
      <c r="AC47" s="4"/>
      <c r="AD47" s="4"/>
      <c r="AE47" s="184"/>
      <c r="AF47" s="4"/>
      <c r="AG47" s="4"/>
      <c r="AH47" s="244" t="s">
        <v>2071</v>
      </c>
      <c r="AI47" s="244" t="s">
        <v>4000</v>
      </c>
      <c r="AJ47" s="184"/>
      <c r="AK47" s="184" t="s">
        <v>2157</v>
      </c>
      <c r="AL47" s="200">
        <f t="shared" si="2"/>
        <v>25</v>
      </c>
      <c r="AM47" s="201">
        <v>2018.0</v>
      </c>
    </row>
    <row r="48">
      <c r="A48" s="158">
        <f t="shared" si="1"/>
        <v>17306385</v>
      </c>
      <c r="B48" s="236">
        <v>47.0</v>
      </c>
      <c r="C48" s="184" t="s">
        <v>4001</v>
      </c>
      <c r="D48" s="184" t="str">
        <f>IFERROR(VLOOKUP(E48,INFORMACION!D:E,2,0),"INGRESAR CENTRO DE COSTO A LA DERECHA")</f>
        <v>INGRESAR CENTRO DE COSTO A LA DERECHA</v>
      </c>
      <c r="E48" s="184" t="s">
        <v>4002</v>
      </c>
      <c r="F48" s="195" t="s">
        <v>3286</v>
      </c>
      <c r="G48" s="186" t="s">
        <v>4003</v>
      </c>
      <c r="H48" s="186">
        <v>20.0</v>
      </c>
      <c r="I48" s="186" t="s">
        <v>2541</v>
      </c>
      <c r="J48" s="184" t="s">
        <v>112</v>
      </c>
      <c r="K48" s="184" t="s">
        <v>125</v>
      </c>
      <c r="L48" s="184" t="s">
        <v>117</v>
      </c>
      <c r="M48" s="184">
        <v>1.0</v>
      </c>
      <c r="N48" s="184" t="s">
        <v>116</v>
      </c>
      <c r="O48" s="184">
        <v>2.0</v>
      </c>
      <c r="P48" s="184">
        <v>1.0</v>
      </c>
      <c r="Q48" s="184">
        <v>0.0</v>
      </c>
      <c r="R48" s="184" t="s">
        <v>121</v>
      </c>
      <c r="S48" s="218">
        <v>43313.0</v>
      </c>
      <c r="T48" s="105"/>
      <c r="U48" s="105" t="s">
        <v>4004</v>
      </c>
      <c r="V48" s="184" t="s">
        <v>4005</v>
      </c>
      <c r="W48" s="184" t="s">
        <v>122</v>
      </c>
      <c r="X48" s="170"/>
      <c r="Y48" s="170"/>
      <c r="Z48" s="170"/>
      <c r="AA48" s="219">
        <v>43279.0</v>
      </c>
      <c r="AB48" s="219">
        <v>43283.0</v>
      </c>
      <c r="AC48" s="4"/>
      <c r="AD48" s="4"/>
      <c r="AE48" s="184"/>
      <c r="AF48" s="4"/>
      <c r="AG48" s="4"/>
      <c r="AH48" s="244" t="s">
        <v>2071</v>
      </c>
      <c r="AI48" s="244" t="s">
        <v>4006</v>
      </c>
      <c r="AJ48" s="184"/>
      <c r="AK48" s="184" t="s">
        <v>2157</v>
      </c>
      <c r="AL48" s="200">
        <f t="shared" si="2"/>
        <v>23</v>
      </c>
      <c r="AM48" s="201">
        <v>2018.0</v>
      </c>
    </row>
    <row r="49">
      <c r="A49" s="158">
        <f t="shared" si="1"/>
        <v>13661288</v>
      </c>
      <c r="B49" s="242">
        <v>48.0</v>
      </c>
      <c r="C49" s="267"/>
      <c r="D49" s="184" t="str">
        <f>IFERROR(VLOOKUP(E49,INFORMACION!D:E,2,0),"INGRESAR CENTRO DE COSTO A LA DERECHA")</f>
        <v>INGRESAR CENTRO DE COSTO A LA DERECHA</v>
      </c>
      <c r="E49" s="184" t="s">
        <v>1740</v>
      </c>
      <c r="F49" s="195" t="s">
        <v>2540</v>
      </c>
      <c r="G49" s="186" t="s">
        <v>4007</v>
      </c>
      <c r="H49" s="186">
        <v>17.0</v>
      </c>
      <c r="I49" s="186" t="s">
        <v>2541</v>
      </c>
      <c r="J49" s="184" t="s">
        <v>112</v>
      </c>
      <c r="K49" s="184" t="s">
        <v>120</v>
      </c>
      <c r="L49" s="184" t="s">
        <v>117</v>
      </c>
      <c r="M49" s="184">
        <v>3.0</v>
      </c>
      <c r="N49" s="184" t="s">
        <v>116</v>
      </c>
      <c r="O49" s="184">
        <v>17.0</v>
      </c>
      <c r="P49" s="184">
        <v>4.0</v>
      </c>
      <c r="Q49" s="184">
        <v>0.0</v>
      </c>
      <c r="R49" s="184" t="s">
        <v>121</v>
      </c>
      <c r="S49" s="218">
        <v>43299.0</v>
      </c>
      <c r="T49" s="105"/>
      <c r="U49" s="105" t="s">
        <v>4008</v>
      </c>
      <c r="V49" s="184" t="s">
        <v>4009</v>
      </c>
      <c r="W49" s="184" t="s">
        <v>118</v>
      </c>
      <c r="X49" s="197" t="s">
        <v>154</v>
      </c>
      <c r="Y49" s="170"/>
      <c r="Z49" s="170"/>
      <c r="AA49" s="219">
        <v>43242.0</v>
      </c>
      <c r="AB49" s="219">
        <v>43248.0</v>
      </c>
      <c r="AC49" s="4"/>
      <c r="AD49" s="4"/>
      <c r="AE49" s="184"/>
      <c r="AF49" s="4"/>
      <c r="AG49" s="4"/>
      <c r="AH49" s="244" t="s">
        <v>2071</v>
      </c>
      <c r="AI49" s="244" t="s">
        <v>2597</v>
      </c>
      <c r="AJ49" s="184"/>
      <c r="AK49" s="184" t="s">
        <v>2163</v>
      </c>
      <c r="AL49" s="200">
        <f t="shared" si="2"/>
        <v>38</v>
      </c>
      <c r="AM49" s="201">
        <v>2018.0</v>
      </c>
    </row>
    <row r="50">
      <c r="A50" s="158">
        <f t="shared" si="1"/>
        <v>18305027</v>
      </c>
      <c r="B50" s="242">
        <v>49.0</v>
      </c>
      <c r="C50" s="267" t="s">
        <v>4010</v>
      </c>
      <c r="D50" s="184" t="str">
        <f>IFERROR(VLOOKUP(E50,INFORMACION!D:E,2,0),"INGRESAR CENTRO DE COSTO A LA DERECHA")</f>
        <v>INGRESAR CENTRO DE COSTO A LA DERECHA</v>
      </c>
      <c r="E50" s="184" t="s">
        <v>1975</v>
      </c>
      <c r="F50" s="195" t="s">
        <v>2774</v>
      </c>
      <c r="G50" s="186" t="s">
        <v>1611</v>
      </c>
      <c r="H50" s="186">
        <v>14.0</v>
      </c>
      <c r="I50" s="186" t="s">
        <v>2541</v>
      </c>
      <c r="J50" s="184" t="s">
        <v>112</v>
      </c>
      <c r="K50" s="184" t="s">
        <v>114</v>
      </c>
      <c r="L50" s="184" t="s">
        <v>117</v>
      </c>
      <c r="M50" s="184">
        <v>0.0</v>
      </c>
      <c r="N50" s="184" t="s">
        <v>116</v>
      </c>
      <c r="O50" s="184">
        <v>16.0</v>
      </c>
      <c r="P50" s="184">
        <v>2.0</v>
      </c>
      <c r="Q50" s="184">
        <v>0.0</v>
      </c>
      <c r="R50" s="184" t="s">
        <v>121</v>
      </c>
      <c r="S50" s="218">
        <v>43313.0</v>
      </c>
      <c r="T50" s="105"/>
      <c r="U50" s="105" t="s">
        <v>4011</v>
      </c>
      <c r="V50" s="184" t="s">
        <v>4012</v>
      </c>
      <c r="W50" s="184" t="s">
        <v>118</v>
      </c>
      <c r="X50" s="197" t="s">
        <v>176</v>
      </c>
      <c r="Y50" s="197"/>
      <c r="Z50" s="170"/>
      <c r="AA50" s="219">
        <v>43259.0</v>
      </c>
      <c r="AB50" s="219">
        <v>43264.0</v>
      </c>
      <c r="AC50" s="4"/>
      <c r="AD50" s="4"/>
      <c r="AE50" s="184"/>
      <c r="AF50" s="4"/>
      <c r="AG50" s="4"/>
      <c r="AH50" s="244" t="s">
        <v>2071</v>
      </c>
      <c r="AI50" s="244" t="s">
        <v>4013</v>
      </c>
      <c r="AJ50" s="184"/>
      <c r="AK50" s="184" t="s">
        <v>2163</v>
      </c>
      <c r="AL50" s="200">
        <f t="shared" si="2"/>
        <v>36</v>
      </c>
      <c r="AM50" s="201">
        <v>2018.0</v>
      </c>
    </row>
    <row r="51">
      <c r="A51" s="158">
        <f t="shared" si="1"/>
        <v>17030596</v>
      </c>
      <c r="B51" s="242">
        <v>50.0</v>
      </c>
      <c r="C51" s="267" t="s">
        <v>3892</v>
      </c>
      <c r="D51" s="184" t="str">
        <f>IFERROR(VLOOKUP(E51,INFORMACION!D:E,2,0),"INGRESAR CENTRO DE COSTO A LA DERECHA")</f>
        <v>INGRESAR CENTRO DE COSTO A LA DERECHA</v>
      </c>
      <c r="E51" s="184" t="s">
        <v>3554</v>
      </c>
      <c r="F51" s="195" t="s">
        <v>2094</v>
      </c>
      <c r="G51" s="186" t="s">
        <v>3871</v>
      </c>
      <c r="H51" s="186">
        <v>10.0</v>
      </c>
      <c r="I51" s="186" t="s">
        <v>2541</v>
      </c>
      <c r="J51" s="184" t="s">
        <v>112</v>
      </c>
      <c r="K51" s="184" t="s">
        <v>114</v>
      </c>
      <c r="L51" s="184" t="s">
        <v>117</v>
      </c>
      <c r="M51" s="184">
        <v>2.0</v>
      </c>
      <c r="N51" s="184" t="s">
        <v>116</v>
      </c>
      <c r="O51" s="184">
        <v>32.0</v>
      </c>
      <c r="P51" s="184">
        <v>3.0</v>
      </c>
      <c r="Q51" s="184">
        <v>0.0</v>
      </c>
      <c r="R51" s="184" t="s">
        <v>121</v>
      </c>
      <c r="S51" s="218">
        <v>43318.0</v>
      </c>
      <c r="T51" s="105"/>
      <c r="U51" s="105" t="s">
        <v>4014</v>
      </c>
      <c r="V51" s="184" t="s">
        <v>4015</v>
      </c>
      <c r="W51" s="184" t="s">
        <v>122</v>
      </c>
      <c r="X51" s="170"/>
      <c r="Y51" s="170"/>
      <c r="Z51" s="170"/>
      <c r="AA51" s="219">
        <v>43259.0</v>
      </c>
      <c r="AB51" s="219">
        <v>43266.0</v>
      </c>
      <c r="AC51" s="4"/>
      <c r="AD51" s="4"/>
      <c r="AE51" s="184"/>
      <c r="AF51" s="4"/>
      <c r="AG51" s="4"/>
      <c r="AH51" s="244" t="s">
        <v>2071</v>
      </c>
      <c r="AI51" s="244" t="s">
        <v>3841</v>
      </c>
      <c r="AJ51" s="184"/>
      <c r="AK51" s="184"/>
      <c r="AL51" s="200">
        <f t="shared" si="2"/>
        <v>37</v>
      </c>
      <c r="AM51" s="201">
        <v>2018.0</v>
      </c>
    </row>
    <row r="52">
      <c r="A52" s="158">
        <f t="shared" si="1"/>
        <v>17286770</v>
      </c>
      <c r="B52" s="242">
        <v>51.0</v>
      </c>
      <c r="C52" s="267" t="s">
        <v>4016</v>
      </c>
      <c r="D52" s="184" t="str">
        <f>IFERROR(VLOOKUP(E52,INFORMACION!D:E,2,0),"INGRESAR CENTRO DE COSTO A LA DERECHA")</f>
        <v>INGRESAR CENTRO DE COSTO A LA DERECHA</v>
      </c>
      <c r="E52" s="184" t="s">
        <v>3042</v>
      </c>
      <c r="F52" s="195" t="s">
        <v>2606</v>
      </c>
      <c r="G52" s="186" t="s">
        <v>1930</v>
      </c>
      <c r="H52" s="186">
        <v>17.0</v>
      </c>
      <c r="I52" s="186" t="s">
        <v>2541</v>
      </c>
      <c r="J52" s="184" t="s">
        <v>112</v>
      </c>
      <c r="K52" s="184" t="s">
        <v>120</v>
      </c>
      <c r="L52" s="184" t="s">
        <v>117</v>
      </c>
      <c r="M52" s="184">
        <v>6.0</v>
      </c>
      <c r="N52" s="184" t="s">
        <v>122</v>
      </c>
      <c r="O52" s="184">
        <v>0.0</v>
      </c>
      <c r="P52" s="184">
        <v>3.0</v>
      </c>
      <c r="Q52" s="184">
        <v>0.0</v>
      </c>
      <c r="R52" s="184" t="s">
        <v>121</v>
      </c>
      <c r="S52" s="218">
        <v>43315.0</v>
      </c>
      <c r="T52" s="105" t="s">
        <v>1503</v>
      </c>
      <c r="U52" s="105"/>
      <c r="V52" s="184" t="s">
        <v>3062</v>
      </c>
      <c r="W52" s="184" t="s">
        <v>122</v>
      </c>
      <c r="X52" s="197"/>
      <c r="Y52" s="170"/>
      <c r="Z52" s="170"/>
      <c r="AA52" s="219">
        <v>43273.0</v>
      </c>
      <c r="AB52" s="219">
        <v>43277.0</v>
      </c>
      <c r="AC52" s="274"/>
      <c r="AD52" s="274"/>
      <c r="AE52" s="275"/>
      <c r="AF52" s="274"/>
      <c r="AG52" s="274"/>
      <c r="AH52" s="244" t="s">
        <v>2071</v>
      </c>
      <c r="AI52" s="244" t="s">
        <v>4017</v>
      </c>
      <c r="AJ52" s="184"/>
      <c r="AK52" s="184" t="s">
        <v>2157</v>
      </c>
      <c r="AL52" s="200">
        <f t="shared" si="2"/>
        <v>29</v>
      </c>
      <c r="AM52" s="201">
        <v>2018.0</v>
      </c>
    </row>
    <row r="53">
      <c r="A53" s="158">
        <f t="shared" si="1"/>
        <v>15463491</v>
      </c>
      <c r="B53" s="259">
        <v>52.0</v>
      </c>
      <c r="C53" s="267" t="s">
        <v>4018</v>
      </c>
      <c r="D53" s="184" t="str">
        <f>IFERROR(VLOOKUP(E53,INFORMACION!D:E,2,0),"INGRESAR CENTRO DE COSTO A LA DERECHA")</f>
        <v>INGRESAR CENTRO DE COSTO A LA DERECHA</v>
      </c>
      <c r="E53" s="184" t="s">
        <v>2015</v>
      </c>
      <c r="F53" s="195" t="s">
        <v>2247</v>
      </c>
      <c r="G53" s="186" t="s">
        <v>2248</v>
      </c>
      <c r="H53" s="186">
        <v>17.0</v>
      </c>
      <c r="I53" s="186" t="s">
        <v>2541</v>
      </c>
      <c r="J53" s="184" t="s">
        <v>112</v>
      </c>
      <c r="K53" s="184" t="s">
        <v>125</v>
      </c>
      <c r="L53" s="184" t="s">
        <v>117</v>
      </c>
      <c r="M53" s="184">
        <v>0.0</v>
      </c>
      <c r="N53" s="184" t="s">
        <v>116</v>
      </c>
      <c r="O53" s="184">
        <v>19.0</v>
      </c>
      <c r="P53" s="184">
        <v>3.0</v>
      </c>
      <c r="Q53" s="184">
        <v>0.0</v>
      </c>
      <c r="R53" s="184" t="s">
        <v>121</v>
      </c>
      <c r="S53" s="218">
        <v>43318.0</v>
      </c>
      <c r="T53" s="105"/>
      <c r="U53" s="105" t="s">
        <v>4019</v>
      </c>
      <c r="V53" s="184" t="s">
        <v>4020</v>
      </c>
      <c r="W53" s="184" t="s">
        <v>118</v>
      </c>
      <c r="X53" s="197" t="s">
        <v>176</v>
      </c>
      <c r="Y53" s="170"/>
      <c r="Z53" s="170"/>
      <c r="AA53" s="219">
        <v>43279.0</v>
      </c>
      <c r="AB53" s="219">
        <v>43285.0</v>
      </c>
      <c r="AC53" s="4"/>
      <c r="AD53" s="4"/>
      <c r="AE53" s="184"/>
      <c r="AF53" s="4"/>
      <c r="AG53" s="4"/>
      <c r="AH53" s="244" t="s">
        <v>2071</v>
      </c>
      <c r="AI53" s="244" t="s">
        <v>4021</v>
      </c>
      <c r="AJ53" s="184"/>
      <c r="AK53" s="184" t="s">
        <v>2163</v>
      </c>
      <c r="AL53" s="200">
        <f t="shared" si="2"/>
        <v>24</v>
      </c>
      <c r="AM53" s="201">
        <v>2018.0</v>
      </c>
    </row>
    <row r="54">
      <c r="A54" s="158">
        <f t="shared" si="1"/>
        <v>17340975</v>
      </c>
      <c r="B54" s="236">
        <v>53.0</v>
      </c>
      <c r="C54" s="184"/>
      <c r="D54" s="184" t="str">
        <f>IFERROR(VLOOKUP(E54,INFORMACION!D:E,2,0),"INGRESAR CENTRO DE COSTO A LA DERECHA")</f>
        <v>INGRESAR CENTRO DE COSTO A LA DERECHA</v>
      </c>
      <c r="E54" s="184" t="s">
        <v>2883</v>
      </c>
      <c r="F54" s="195" t="s">
        <v>2558</v>
      </c>
      <c r="G54" s="186" t="s">
        <v>4022</v>
      </c>
      <c r="H54" s="186">
        <v>12.0</v>
      </c>
      <c r="I54" s="186" t="s">
        <v>2541</v>
      </c>
      <c r="J54" s="184" t="s">
        <v>112</v>
      </c>
      <c r="K54" s="184" t="s">
        <v>120</v>
      </c>
      <c r="L54" s="184" t="s">
        <v>122</v>
      </c>
      <c r="M54" s="184">
        <v>0.0</v>
      </c>
      <c r="N54" s="184" t="s">
        <v>116</v>
      </c>
      <c r="O54" s="184">
        <v>9.0</v>
      </c>
      <c r="P54" s="184">
        <v>2.0</v>
      </c>
      <c r="Q54" s="184">
        <v>0.0</v>
      </c>
      <c r="R54" s="184" t="s">
        <v>115</v>
      </c>
      <c r="S54" s="218">
        <v>43313.0</v>
      </c>
      <c r="T54" s="105"/>
      <c r="U54" s="105" t="s">
        <v>4023</v>
      </c>
      <c r="V54" s="184" t="s">
        <v>4024</v>
      </c>
      <c r="W54" s="184" t="s">
        <v>118</v>
      </c>
      <c r="X54" s="197" t="s">
        <v>136</v>
      </c>
      <c r="Y54" s="197"/>
      <c r="Z54" s="170"/>
      <c r="AA54" s="219">
        <v>43278.0</v>
      </c>
      <c r="AB54" s="219">
        <v>43283.0</v>
      </c>
      <c r="AC54" s="4"/>
      <c r="AD54" s="4"/>
      <c r="AE54" s="184"/>
      <c r="AF54" s="4"/>
      <c r="AG54" s="4"/>
      <c r="AH54" s="244" t="s">
        <v>2071</v>
      </c>
      <c r="AI54" s="244" t="s">
        <v>4025</v>
      </c>
      <c r="AJ54" s="184"/>
      <c r="AK54" s="184" t="s">
        <v>2163</v>
      </c>
      <c r="AL54" s="200">
        <f t="shared" si="2"/>
        <v>23</v>
      </c>
      <c r="AM54" s="201">
        <v>2018.0</v>
      </c>
    </row>
    <row r="55">
      <c r="A55" s="158">
        <f t="shared" si="1"/>
        <v>16418228</v>
      </c>
      <c r="B55" s="236">
        <v>54.0</v>
      </c>
      <c r="C55" s="184" t="s">
        <v>4026</v>
      </c>
      <c r="D55" s="184" t="str">
        <f>IFERROR(VLOOKUP(E55,INFORMACION!D:E,2,0),"INGRESAR CENTRO DE COSTO A LA DERECHA")</f>
        <v>INGRESAR CENTRO DE COSTO A LA DERECHA</v>
      </c>
      <c r="E55" s="184" t="s">
        <v>2015</v>
      </c>
      <c r="F55" s="195" t="s">
        <v>2679</v>
      </c>
      <c r="G55" s="186" t="s">
        <v>4027</v>
      </c>
      <c r="H55" s="186">
        <v>20.0</v>
      </c>
      <c r="I55" s="186" t="s">
        <v>2541</v>
      </c>
      <c r="J55" s="184" t="s">
        <v>112</v>
      </c>
      <c r="K55" s="184" t="s">
        <v>120</v>
      </c>
      <c r="L55" s="184" t="s">
        <v>117</v>
      </c>
      <c r="M55" s="184">
        <v>1.0</v>
      </c>
      <c r="N55" s="184" t="s">
        <v>122</v>
      </c>
      <c r="O55" s="184">
        <v>0.0</v>
      </c>
      <c r="P55" s="184">
        <v>1.0</v>
      </c>
      <c r="Q55" s="184">
        <v>0.0</v>
      </c>
      <c r="R55" s="184" t="s">
        <v>115</v>
      </c>
      <c r="S55" s="218">
        <v>43326.0</v>
      </c>
      <c r="T55" s="105" t="s">
        <v>760</v>
      </c>
      <c r="U55" s="105"/>
      <c r="V55" s="184" t="s">
        <v>2222</v>
      </c>
      <c r="W55" s="184" t="s">
        <v>118</v>
      </c>
      <c r="X55" s="197" t="s">
        <v>176</v>
      </c>
      <c r="Y55" s="170"/>
      <c r="Z55" s="170"/>
      <c r="AA55" s="219">
        <v>43273.0</v>
      </c>
      <c r="AB55" s="219">
        <v>43278.0</v>
      </c>
      <c r="AC55" s="274"/>
      <c r="AD55" s="274"/>
      <c r="AE55" s="275"/>
      <c r="AF55" s="274"/>
      <c r="AG55" s="274"/>
      <c r="AH55" s="244" t="s">
        <v>2071</v>
      </c>
      <c r="AI55" s="244" t="s">
        <v>4028</v>
      </c>
      <c r="AJ55" s="184"/>
      <c r="AK55" s="184" t="s">
        <v>2157</v>
      </c>
      <c r="AL55" s="200">
        <f t="shared" si="2"/>
        <v>35</v>
      </c>
      <c r="AM55" s="201">
        <v>2018.0</v>
      </c>
    </row>
    <row r="56">
      <c r="A56" s="158">
        <f t="shared" si="1"/>
        <v>14284438</v>
      </c>
      <c r="B56" s="242">
        <v>55.0</v>
      </c>
      <c r="C56" s="267" t="s">
        <v>4029</v>
      </c>
      <c r="D56" s="184" t="str">
        <f>IFERROR(VLOOKUP(E56,INFORMACION!D:E,2,0),"INGRESAR CENTRO DE COSTO A LA DERECHA")</f>
        <v>INGRESAR CENTRO DE COSTO A LA DERECHA</v>
      </c>
      <c r="E56" s="184" t="s">
        <v>3788</v>
      </c>
      <c r="F56" s="195" t="s">
        <v>2576</v>
      </c>
      <c r="G56" s="186" t="s">
        <v>1741</v>
      </c>
      <c r="H56" s="186">
        <v>21.0</v>
      </c>
      <c r="I56" s="186" t="s">
        <v>2541</v>
      </c>
      <c r="J56" s="184" t="s">
        <v>112</v>
      </c>
      <c r="K56" s="184" t="s">
        <v>127</v>
      </c>
      <c r="L56" s="184" t="s">
        <v>117</v>
      </c>
      <c r="M56" s="184">
        <v>1.0</v>
      </c>
      <c r="N56" s="184" t="s">
        <v>122</v>
      </c>
      <c r="O56" s="184">
        <v>0.0</v>
      </c>
      <c r="P56" s="184">
        <v>1.0</v>
      </c>
      <c r="Q56" s="184">
        <v>0.0</v>
      </c>
      <c r="R56" s="184" t="s">
        <v>115</v>
      </c>
      <c r="S56" s="218">
        <v>43333.0</v>
      </c>
      <c r="T56" s="105" t="s">
        <v>358</v>
      </c>
      <c r="U56" s="105"/>
      <c r="V56" s="184" t="s">
        <v>2316</v>
      </c>
      <c r="W56" s="184" t="s">
        <v>118</v>
      </c>
      <c r="X56" s="197" t="s">
        <v>176</v>
      </c>
      <c r="Y56" s="170"/>
      <c r="Z56" s="170"/>
      <c r="AA56" s="219">
        <v>43271.0</v>
      </c>
      <c r="AB56" s="219">
        <v>43276.0</v>
      </c>
      <c r="AC56" s="274"/>
      <c r="AD56" s="274"/>
      <c r="AE56" s="275"/>
      <c r="AF56" s="274"/>
      <c r="AG56" s="274"/>
      <c r="AH56" s="244" t="s">
        <v>2071</v>
      </c>
      <c r="AI56" s="244" t="s">
        <v>4030</v>
      </c>
      <c r="AJ56" s="184"/>
      <c r="AK56" s="184" t="s">
        <v>2157</v>
      </c>
      <c r="AL56" s="200">
        <f t="shared" si="2"/>
        <v>42</v>
      </c>
      <c r="AM56" s="201">
        <v>2018.0</v>
      </c>
    </row>
    <row r="57">
      <c r="A57" s="158">
        <f t="shared" si="1"/>
        <v>11667471</v>
      </c>
      <c r="B57" s="242">
        <v>56.0</v>
      </c>
      <c r="C57" s="267" t="s">
        <v>4031</v>
      </c>
      <c r="D57" s="184" t="str">
        <f>IFERROR(VLOOKUP(E57,INFORMACION!D:E,2,0),"INGRESAR CENTRO DE COSTO A LA DERECHA")</f>
        <v>INGRESAR CENTRO DE COSTO A LA DERECHA</v>
      </c>
      <c r="E57" s="184" t="s">
        <v>2980</v>
      </c>
      <c r="F57" s="195" t="s">
        <v>3260</v>
      </c>
      <c r="G57" s="186" t="s">
        <v>3261</v>
      </c>
      <c r="H57" s="186">
        <v>14.0</v>
      </c>
      <c r="I57" s="186" t="s">
        <v>2541</v>
      </c>
      <c r="J57" s="184" t="s">
        <v>112</v>
      </c>
      <c r="K57" s="184" t="s">
        <v>114</v>
      </c>
      <c r="L57" s="184" t="s">
        <v>117</v>
      </c>
      <c r="M57" s="184">
        <v>2.0</v>
      </c>
      <c r="N57" s="184" t="s">
        <v>122</v>
      </c>
      <c r="O57" s="184">
        <v>0.0</v>
      </c>
      <c r="P57" s="184">
        <v>1.0</v>
      </c>
      <c r="Q57" s="184">
        <v>0.0</v>
      </c>
      <c r="R57" s="184" t="s">
        <v>115</v>
      </c>
      <c r="S57" s="218">
        <v>43332.0</v>
      </c>
      <c r="T57" s="105" t="s">
        <v>794</v>
      </c>
      <c r="U57" s="105"/>
      <c r="V57" s="184" t="s">
        <v>4032</v>
      </c>
      <c r="W57" s="184" t="s">
        <v>122</v>
      </c>
      <c r="X57" s="197"/>
      <c r="Y57" s="170"/>
      <c r="Z57" s="170"/>
      <c r="AA57" s="219">
        <v>43306.0</v>
      </c>
      <c r="AB57" s="219">
        <v>43311.0</v>
      </c>
      <c r="AC57" s="274"/>
      <c r="AD57" s="274"/>
      <c r="AE57" s="275"/>
      <c r="AF57" s="274"/>
      <c r="AG57" s="274"/>
      <c r="AH57" s="244" t="s">
        <v>2071</v>
      </c>
      <c r="AI57" s="244" t="s">
        <v>4033</v>
      </c>
      <c r="AJ57" s="184"/>
      <c r="AK57" s="184" t="s">
        <v>1612</v>
      </c>
      <c r="AL57" s="200">
        <f t="shared" si="2"/>
        <v>16</v>
      </c>
      <c r="AM57" s="201">
        <v>2018.0</v>
      </c>
    </row>
    <row r="58">
      <c r="A58" s="158">
        <f t="shared" si="1"/>
        <v>17705852</v>
      </c>
      <c r="B58" s="242">
        <v>57.0</v>
      </c>
      <c r="C58" s="267"/>
      <c r="D58" s="184" t="str">
        <f>IFERROR(VLOOKUP(E58,INFORMACION!D:E,2,0),"INGRESAR CENTRO DE COSTO A LA DERECHA")</f>
        <v>INGRESAR CENTRO DE COSTO A LA DERECHA</v>
      </c>
      <c r="E58" s="184" t="s">
        <v>3193</v>
      </c>
      <c r="F58" s="195" t="s">
        <v>3222</v>
      </c>
      <c r="G58" s="186" t="s">
        <v>3926</v>
      </c>
      <c r="H58" s="186">
        <v>8.0</v>
      </c>
      <c r="I58" s="186" t="s">
        <v>2541</v>
      </c>
      <c r="J58" s="184" t="s">
        <v>112</v>
      </c>
      <c r="K58" s="184" t="s">
        <v>114</v>
      </c>
      <c r="L58" s="184" t="s">
        <v>122</v>
      </c>
      <c r="M58" s="184">
        <v>0.0</v>
      </c>
      <c r="N58" s="184" t="s">
        <v>116</v>
      </c>
      <c r="O58" s="184">
        <v>52.0</v>
      </c>
      <c r="P58" s="184">
        <v>3.0</v>
      </c>
      <c r="Q58" s="184">
        <v>0.0</v>
      </c>
      <c r="R58" s="184" t="s">
        <v>115</v>
      </c>
      <c r="S58" s="218">
        <v>43325.0</v>
      </c>
      <c r="T58" s="105"/>
      <c r="U58" s="105" t="s">
        <v>4034</v>
      </c>
      <c r="V58" s="184" t="s">
        <v>4035</v>
      </c>
      <c r="W58" s="184" t="s">
        <v>122</v>
      </c>
      <c r="X58" s="197"/>
      <c r="Y58" s="170"/>
      <c r="Z58" s="170"/>
      <c r="AA58" s="219">
        <v>43259.0</v>
      </c>
      <c r="AB58" s="219">
        <v>43263.0</v>
      </c>
      <c r="AC58" s="4"/>
      <c r="AD58" s="4"/>
      <c r="AE58" s="184"/>
      <c r="AF58" s="4"/>
      <c r="AG58" s="4"/>
      <c r="AH58" s="244"/>
      <c r="AI58" s="244"/>
      <c r="AJ58" s="184"/>
      <c r="AK58" s="184"/>
      <c r="AL58" s="200"/>
      <c r="AM58" s="201">
        <v>2018.0</v>
      </c>
    </row>
    <row r="59">
      <c r="A59" s="158">
        <f t="shared" si="1"/>
        <v>16226942</v>
      </c>
      <c r="B59" s="236">
        <v>58.0</v>
      </c>
      <c r="C59" s="184"/>
      <c r="D59" s="184" t="str">
        <f>IFERROR(VLOOKUP(E59,INFORMACION!D:E,2,0),"INGRESAR CENTRO DE COSTO A LA DERECHA")</f>
        <v>INGRESAR CENTRO DE COSTO A LA DERECHA</v>
      </c>
      <c r="E59" s="184" t="s">
        <v>3081</v>
      </c>
      <c r="F59" s="184" t="s">
        <v>2635</v>
      </c>
      <c r="G59" s="186" t="s">
        <v>4036</v>
      </c>
      <c r="H59" s="186">
        <v>13.0</v>
      </c>
      <c r="I59" s="186" t="s">
        <v>2541</v>
      </c>
      <c r="J59" s="184" t="s">
        <v>112</v>
      </c>
      <c r="K59" s="184" t="s">
        <v>114</v>
      </c>
      <c r="L59" s="184" t="s">
        <v>117</v>
      </c>
      <c r="M59" s="184">
        <v>0.0</v>
      </c>
      <c r="N59" s="184" t="s">
        <v>116</v>
      </c>
      <c r="O59" s="184">
        <v>29.0</v>
      </c>
      <c r="P59" s="184">
        <v>3.0</v>
      </c>
      <c r="Q59" s="184">
        <v>0.0</v>
      </c>
      <c r="R59" s="184" t="s">
        <v>115</v>
      </c>
      <c r="S59" s="218">
        <v>43344.0</v>
      </c>
      <c r="T59" s="105"/>
      <c r="U59" s="105" t="s">
        <v>4037</v>
      </c>
      <c r="V59" s="184" t="s">
        <v>4038</v>
      </c>
      <c r="W59" s="184" t="s">
        <v>118</v>
      </c>
      <c r="X59" s="197" t="s">
        <v>138</v>
      </c>
      <c r="Y59" s="197"/>
      <c r="Z59" s="170"/>
      <c r="AA59" s="219">
        <v>43236.0</v>
      </c>
      <c r="AB59" s="219">
        <v>43255.0</v>
      </c>
      <c r="AC59" s="4"/>
      <c r="AD59" s="4"/>
      <c r="AE59" s="184"/>
      <c r="AF59" s="4"/>
      <c r="AG59" s="4"/>
      <c r="AH59" s="244" t="s">
        <v>2071</v>
      </c>
      <c r="AI59" s="244" t="s">
        <v>4039</v>
      </c>
      <c r="AJ59" s="184"/>
      <c r="AK59" s="184" t="s">
        <v>2163</v>
      </c>
      <c r="AL59" s="200">
        <f t="shared" ref="AL59:AL131" si="3">IF(AB59="","",IF(AND(NETWORKDAYS(AB59,S59)&gt;1000,NETWORKDAYS(AB59,S59)&lt;1),"",(NETWORKDAYS(AB59,S59))))</f>
        <v>65</v>
      </c>
      <c r="AM59" s="201">
        <v>2018.0</v>
      </c>
    </row>
    <row r="60">
      <c r="A60" s="158">
        <f t="shared" si="1"/>
        <v>12673028</v>
      </c>
      <c r="B60" s="236">
        <v>59.0</v>
      </c>
      <c r="C60" s="184"/>
      <c r="D60" s="184" t="str">
        <f>IFERROR(VLOOKUP(E60,INFORMACION!D:E,2,0),"INGRESAR CENTRO DE COSTO A LA DERECHA")</f>
        <v>INGRESAR CENTRO DE COSTO A LA DERECHA</v>
      </c>
      <c r="E60" s="184" t="s">
        <v>4040</v>
      </c>
      <c r="F60" s="184" t="s">
        <v>2540</v>
      </c>
      <c r="G60" s="186" t="s">
        <v>4041</v>
      </c>
      <c r="H60" s="186">
        <v>17.0</v>
      </c>
      <c r="I60" s="186" t="s">
        <v>2541</v>
      </c>
      <c r="J60" s="184" t="s">
        <v>112</v>
      </c>
      <c r="K60" s="184" t="s">
        <v>120</v>
      </c>
      <c r="L60" s="184" t="s">
        <v>117</v>
      </c>
      <c r="M60" s="184">
        <v>1.0</v>
      </c>
      <c r="N60" s="184" t="s">
        <v>116</v>
      </c>
      <c r="O60" s="184">
        <v>23.0</v>
      </c>
      <c r="P60" s="184">
        <v>3.0</v>
      </c>
      <c r="Q60" s="184">
        <v>0.0</v>
      </c>
      <c r="R60" s="184" t="s">
        <v>121</v>
      </c>
      <c r="S60" s="218">
        <v>43346.0</v>
      </c>
      <c r="T60" s="105"/>
      <c r="U60" s="105" t="s">
        <v>4042</v>
      </c>
      <c r="V60" s="184" t="s">
        <v>4043</v>
      </c>
      <c r="W60" s="184" t="s">
        <v>118</v>
      </c>
      <c r="X60" s="197" t="s">
        <v>176</v>
      </c>
      <c r="Y60" s="197" t="s">
        <v>150</v>
      </c>
      <c r="Z60" s="170"/>
      <c r="AA60" s="219">
        <v>43292.0</v>
      </c>
      <c r="AB60" s="219">
        <v>43299.0</v>
      </c>
      <c r="AC60" s="4"/>
      <c r="AD60" s="4"/>
      <c r="AE60" s="184"/>
      <c r="AF60" s="4"/>
      <c r="AG60" s="4"/>
      <c r="AH60" s="244" t="s">
        <v>2071</v>
      </c>
      <c r="AI60" s="244" t="s">
        <v>4044</v>
      </c>
      <c r="AJ60" s="184"/>
      <c r="AK60" s="184" t="s">
        <v>2163</v>
      </c>
      <c r="AL60" s="200">
        <f t="shared" si="3"/>
        <v>34</v>
      </c>
      <c r="AM60" s="201">
        <v>2018.0</v>
      </c>
    </row>
    <row r="61">
      <c r="A61" s="158">
        <f t="shared" si="1"/>
        <v>10531801</v>
      </c>
      <c r="B61" s="242">
        <v>60.0</v>
      </c>
      <c r="C61" s="267" t="s">
        <v>4045</v>
      </c>
      <c r="D61" s="184" t="str">
        <f>IFERROR(VLOOKUP(E61,INFORMACION!D:E,2,0),"INGRESAR CENTRO DE COSTO A LA DERECHA")</f>
        <v>INGRESAR CENTRO DE COSTO A LA DERECHA</v>
      </c>
      <c r="E61" s="184" t="s">
        <v>1623</v>
      </c>
      <c r="F61" s="184" t="s">
        <v>3102</v>
      </c>
      <c r="G61" s="186" t="s">
        <v>4046</v>
      </c>
      <c r="H61" s="186">
        <v>13.0</v>
      </c>
      <c r="I61" s="186" t="s">
        <v>2541</v>
      </c>
      <c r="J61" s="184" t="s">
        <v>112</v>
      </c>
      <c r="K61" s="184" t="s">
        <v>120</v>
      </c>
      <c r="L61" s="184" t="s">
        <v>117</v>
      </c>
      <c r="M61" s="184">
        <v>9.0</v>
      </c>
      <c r="N61" s="184" t="s">
        <v>122</v>
      </c>
      <c r="O61" s="184">
        <v>0.0</v>
      </c>
      <c r="P61" s="184">
        <v>3.0</v>
      </c>
      <c r="Q61" s="184">
        <v>0.0</v>
      </c>
      <c r="R61" s="184" t="s">
        <v>121</v>
      </c>
      <c r="S61" s="218">
        <v>43346.0</v>
      </c>
      <c r="T61" s="105" t="s">
        <v>1115</v>
      </c>
      <c r="U61" s="105"/>
      <c r="V61" s="184" t="s">
        <v>4047</v>
      </c>
      <c r="W61" s="184" t="s">
        <v>118</v>
      </c>
      <c r="X61" s="197" t="s">
        <v>150</v>
      </c>
      <c r="Y61" s="197"/>
      <c r="Z61" s="170"/>
      <c r="AA61" s="219">
        <v>43298.0</v>
      </c>
      <c r="AB61" s="219">
        <v>43301.0</v>
      </c>
      <c r="AC61" s="274"/>
      <c r="AD61" s="274"/>
      <c r="AE61" s="275"/>
      <c r="AF61" s="274"/>
      <c r="AG61" s="274"/>
      <c r="AH61" s="244" t="s">
        <v>2071</v>
      </c>
      <c r="AI61" s="244" t="s">
        <v>4048</v>
      </c>
      <c r="AJ61" s="184"/>
      <c r="AK61" s="184" t="s">
        <v>1612</v>
      </c>
      <c r="AL61" s="200">
        <f t="shared" si="3"/>
        <v>32</v>
      </c>
      <c r="AM61" s="201">
        <v>2018.0</v>
      </c>
    </row>
    <row r="62">
      <c r="A62" s="158">
        <f t="shared" si="1"/>
        <v>10044346</v>
      </c>
      <c r="B62" s="242">
        <v>61.0</v>
      </c>
      <c r="C62" s="267"/>
      <c r="D62" s="184" t="str">
        <f>IFERROR(VLOOKUP(E62,INFORMACION!D:E,2,0),"INGRESAR CENTRO DE COSTO A LA DERECHA")</f>
        <v>INGRESAR CENTRO DE COSTO A LA DERECHA</v>
      </c>
      <c r="E62" s="184" t="s">
        <v>1643</v>
      </c>
      <c r="F62" s="184" t="s">
        <v>2576</v>
      </c>
      <c r="G62" s="186" t="s">
        <v>1741</v>
      </c>
      <c r="H62" s="186">
        <v>21.0</v>
      </c>
      <c r="I62" s="186" t="s">
        <v>2541</v>
      </c>
      <c r="J62" s="184" t="s">
        <v>112</v>
      </c>
      <c r="K62" s="184" t="s">
        <v>127</v>
      </c>
      <c r="L62" s="184" t="s">
        <v>117</v>
      </c>
      <c r="M62" s="184">
        <v>0.0</v>
      </c>
      <c r="N62" s="184" t="s">
        <v>116</v>
      </c>
      <c r="O62" s="184">
        <v>20.0</v>
      </c>
      <c r="P62" s="184">
        <v>5.0</v>
      </c>
      <c r="Q62" s="184">
        <v>1.0</v>
      </c>
      <c r="R62" s="184" t="s">
        <v>115</v>
      </c>
      <c r="S62" s="218">
        <v>43346.0</v>
      </c>
      <c r="T62" s="105"/>
      <c r="U62" s="105" t="s">
        <v>4049</v>
      </c>
      <c r="V62" s="184" t="s">
        <v>4050</v>
      </c>
      <c r="W62" s="184" t="s">
        <v>122</v>
      </c>
      <c r="X62" s="197"/>
      <c r="Y62" s="170"/>
      <c r="Z62" s="170"/>
      <c r="AA62" s="219">
        <v>43292.0</v>
      </c>
      <c r="AB62" s="219">
        <v>43299.0</v>
      </c>
      <c r="AC62" s="4"/>
      <c r="AD62" s="4"/>
      <c r="AE62" s="184"/>
      <c r="AF62" s="4"/>
      <c r="AG62" s="4"/>
      <c r="AH62" s="244" t="s">
        <v>2071</v>
      </c>
      <c r="AI62" s="244" t="s">
        <v>4051</v>
      </c>
      <c r="AJ62" s="184"/>
      <c r="AK62" s="184" t="s">
        <v>2163</v>
      </c>
      <c r="AL62" s="200">
        <f t="shared" si="3"/>
        <v>34</v>
      </c>
      <c r="AM62" s="201">
        <v>2018.0</v>
      </c>
    </row>
    <row r="63">
      <c r="A63" s="158">
        <f t="shared" si="1"/>
        <v>18410852</v>
      </c>
      <c r="B63" s="242">
        <v>62.0</v>
      </c>
      <c r="C63" s="267"/>
      <c r="D63" s="184" t="str">
        <f>IFERROR(VLOOKUP(E63,INFORMACION!D:E,2,0),"INGRESAR CENTRO DE COSTO A LA DERECHA")</f>
        <v>INGRESAR CENTRO DE COSTO A LA DERECHA</v>
      </c>
      <c r="E63" s="184" t="s">
        <v>1643</v>
      </c>
      <c r="F63" s="184" t="s">
        <v>2598</v>
      </c>
      <c r="G63" s="186" t="s">
        <v>2391</v>
      </c>
      <c r="H63" s="186">
        <v>14.0</v>
      </c>
      <c r="I63" s="186" t="s">
        <v>2541</v>
      </c>
      <c r="J63" s="184" t="s">
        <v>112</v>
      </c>
      <c r="K63" s="184" t="s">
        <v>125</v>
      </c>
      <c r="L63" s="184" t="s">
        <v>117</v>
      </c>
      <c r="M63" s="184">
        <v>5.0</v>
      </c>
      <c r="N63" s="184" t="s">
        <v>116</v>
      </c>
      <c r="O63" s="184">
        <v>11.0</v>
      </c>
      <c r="P63" s="184">
        <v>6.0</v>
      </c>
      <c r="Q63" s="184">
        <v>1.0</v>
      </c>
      <c r="R63" s="184" t="s">
        <v>115</v>
      </c>
      <c r="S63" s="218">
        <v>43346.0</v>
      </c>
      <c r="T63" s="105"/>
      <c r="U63" s="105" t="s">
        <v>4052</v>
      </c>
      <c r="V63" s="184" t="s">
        <v>4053</v>
      </c>
      <c r="W63" s="184" t="s">
        <v>118</v>
      </c>
      <c r="X63" s="197" t="s">
        <v>138</v>
      </c>
      <c r="Y63" s="197" t="s">
        <v>154</v>
      </c>
      <c r="Z63" s="197" t="s">
        <v>164</v>
      </c>
      <c r="AA63" s="219">
        <v>43315.0</v>
      </c>
      <c r="AB63" s="219">
        <v>43320.0</v>
      </c>
      <c r="AC63" s="4"/>
      <c r="AD63" s="4"/>
      <c r="AE63" s="184"/>
      <c r="AF63" s="4"/>
      <c r="AG63" s="4"/>
      <c r="AH63" s="244" t="s">
        <v>2071</v>
      </c>
      <c r="AI63" s="244" t="s">
        <v>4054</v>
      </c>
      <c r="AJ63" s="184"/>
      <c r="AK63" s="184" t="s">
        <v>2157</v>
      </c>
      <c r="AL63" s="200">
        <f t="shared" si="3"/>
        <v>19</v>
      </c>
      <c r="AM63" s="201">
        <v>2018.0</v>
      </c>
    </row>
    <row r="64">
      <c r="A64" s="158">
        <f t="shared" si="1"/>
        <v>10499435</v>
      </c>
      <c r="B64" s="242">
        <v>63.0</v>
      </c>
      <c r="C64" s="267" t="s">
        <v>4055</v>
      </c>
      <c r="D64" s="184" t="str">
        <f>IFERROR(VLOOKUP(E64,INFORMACION!D:E,2,0),"INGRESAR CENTRO DE COSTO A LA DERECHA")</f>
        <v>INGRESAR CENTRO DE COSTO A LA DERECHA</v>
      </c>
      <c r="E64" s="184" t="s">
        <v>3552</v>
      </c>
      <c r="F64" s="184" t="s">
        <v>3308</v>
      </c>
      <c r="G64" s="186" t="s">
        <v>4056</v>
      </c>
      <c r="H64" s="186">
        <v>17.0</v>
      </c>
      <c r="I64" s="186" t="s">
        <v>2541</v>
      </c>
      <c r="J64" s="184" t="s">
        <v>112</v>
      </c>
      <c r="K64" s="184" t="s">
        <v>125</v>
      </c>
      <c r="L64" s="184" t="s">
        <v>117</v>
      </c>
      <c r="M64" s="184">
        <v>1.0</v>
      </c>
      <c r="N64" s="184" t="s">
        <v>122</v>
      </c>
      <c r="O64" s="184">
        <v>0.0</v>
      </c>
      <c r="P64" s="184">
        <v>1.0</v>
      </c>
      <c r="Q64" s="184">
        <v>0.0</v>
      </c>
      <c r="R64" s="184" t="s">
        <v>115</v>
      </c>
      <c r="S64" s="218">
        <v>43374.0</v>
      </c>
      <c r="T64" s="105" t="s">
        <v>1351</v>
      </c>
      <c r="U64" s="105"/>
      <c r="V64" s="184" t="s">
        <v>4057</v>
      </c>
      <c r="W64" s="184" t="s">
        <v>118</v>
      </c>
      <c r="X64" s="197" t="s">
        <v>176</v>
      </c>
      <c r="Y64" s="170"/>
      <c r="Z64" s="170"/>
      <c r="AA64" s="219">
        <v>43332.0</v>
      </c>
      <c r="AB64" s="219">
        <v>43339.0</v>
      </c>
      <c r="AC64" s="274"/>
      <c r="AD64" s="274"/>
      <c r="AE64" s="275"/>
      <c r="AF64" s="274"/>
      <c r="AG64" s="274"/>
      <c r="AH64" s="244" t="s">
        <v>2071</v>
      </c>
      <c r="AI64" s="244" t="s">
        <v>4058</v>
      </c>
      <c r="AJ64" s="184"/>
      <c r="AK64" s="184" t="s">
        <v>1612</v>
      </c>
      <c r="AL64" s="200">
        <f t="shared" si="3"/>
        <v>26</v>
      </c>
      <c r="AM64" s="201">
        <v>2018.0</v>
      </c>
    </row>
    <row r="65">
      <c r="A65" s="158">
        <f t="shared" si="1"/>
        <v>11752677</v>
      </c>
      <c r="B65" s="259">
        <v>64.0</v>
      </c>
      <c r="C65" s="267" t="s">
        <v>4059</v>
      </c>
      <c r="D65" s="184" t="str">
        <f>IFERROR(VLOOKUP(E65,INFORMACION!D:E,2,0),"INGRESAR CENTRO DE COSTO A LA DERECHA")</f>
        <v>INGRESAR CENTRO DE COSTO A LA DERECHA</v>
      </c>
      <c r="E65" s="184" t="s">
        <v>2307</v>
      </c>
      <c r="F65" s="184" t="s">
        <v>2568</v>
      </c>
      <c r="G65" s="186" t="s">
        <v>4060</v>
      </c>
      <c r="H65" s="186">
        <v>17.0</v>
      </c>
      <c r="I65" s="186" t="s">
        <v>2541</v>
      </c>
      <c r="J65" s="184" t="s">
        <v>112</v>
      </c>
      <c r="K65" s="184" t="s">
        <v>125</v>
      </c>
      <c r="L65" s="184" t="s">
        <v>117</v>
      </c>
      <c r="M65" s="184">
        <v>0.0</v>
      </c>
      <c r="N65" s="184" t="s">
        <v>116</v>
      </c>
      <c r="O65" s="184">
        <v>14.0</v>
      </c>
      <c r="P65" s="184">
        <v>3.0</v>
      </c>
      <c r="Q65" s="184">
        <v>0.0</v>
      </c>
      <c r="R65" s="184" t="s">
        <v>121</v>
      </c>
      <c r="S65" s="218">
        <v>43374.0</v>
      </c>
      <c r="T65" s="105"/>
      <c r="U65" s="105" t="s">
        <v>4061</v>
      </c>
      <c r="V65" s="184" t="s">
        <v>4062</v>
      </c>
      <c r="W65" s="184" t="s">
        <v>118</v>
      </c>
      <c r="X65" s="197" t="s">
        <v>174</v>
      </c>
      <c r="Y65" s="197" t="s">
        <v>134</v>
      </c>
      <c r="Z65" s="170"/>
      <c r="AA65" s="219">
        <v>43308.0</v>
      </c>
      <c r="AB65" s="219">
        <v>43315.0</v>
      </c>
      <c r="AC65" s="4"/>
      <c r="AD65" s="4"/>
      <c r="AE65" s="184"/>
      <c r="AF65" s="4"/>
      <c r="AG65" s="4"/>
      <c r="AH65" s="244" t="s">
        <v>2071</v>
      </c>
      <c r="AI65" s="244" t="s">
        <v>4063</v>
      </c>
      <c r="AJ65" s="184"/>
      <c r="AK65" s="184" t="s">
        <v>2163</v>
      </c>
      <c r="AL65" s="200">
        <f t="shared" si="3"/>
        <v>42</v>
      </c>
      <c r="AM65" s="201">
        <v>2018.0</v>
      </c>
    </row>
    <row r="66">
      <c r="A66" s="158">
        <f t="shared" si="1"/>
        <v>17663754</v>
      </c>
      <c r="B66" s="236">
        <v>65.0</v>
      </c>
      <c r="C66" s="184" t="s">
        <v>4064</v>
      </c>
      <c r="D66" s="184" t="str">
        <f>IFERROR(VLOOKUP(E66,INFORMACION!D:E,2,0),"INGRESAR CENTRO DE COSTO A LA DERECHA")</f>
        <v>INGRESAR CENTRO DE COSTO A LA DERECHA</v>
      </c>
      <c r="E66" s="184" t="s">
        <v>2980</v>
      </c>
      <c r="F66" s="184" t="s">
        <v>2606</v>
      </c>
      <c r="G66" s="186" t="s">
        <v>1930</v>
      </c>
      <c r="H66" s="186">
        <v>17.0</v>
      </c>
      <c r="I66" s="186" t="s">
        <v>2541</v>
      </c>
      <c r="J66" s="184" t="s">
        <v>112</v>
      </c>
      <c r="K66" s="184" t="s">
        <v>120</v>
      </c>
      <c r="L66" s="184" t="s">
        <v>117</v>
      </c>
      <c r="M66" s="184">
        <v>3.0</v>
      </c>
      <c r="N66" s="184" t="s">
        <v>122</v>
      </c>
      <c r="O66" s="184">
        <v>5.0</v>
      </c>
      <c r="P66" s="184">
        <v>1.0</v>
      </c>
      <c r="Q66" s="184">
        <v>1.0</v>
      </c>
      <c r="R66" s="184" t="s">
        <v>121</v>
      </c>
      <c r="S66" s="262">
        <v>43356.0</v>
      </c>
      <c r="T66" s="105" t="s">
        <v>493</v>
      </c>
      <c r="U66" s="105"/>
      <c r="V66" s="184" t="s">
        <v>2804</v>
      </c>
      <c r="W66" s="184" t="s">
        <v>118</v>
      </c>
      <c r="X66" s="197" t="s">
        <v>164</v>
      </c>
      <c r="Y66" s="170"/>
      <c r="Z66" s="170"/>
      <c r="AA66" s="219">
        <v>43314.0</v>
      </c>
      <c r="AB66" s="219">
        <v>43320.0</v>
      </c>
      <c r="AC66" s="274"/>
      <c r="AD66" s="274"/>
      <c r="AE66" s="275"/>
      <c r="AF66" s="274"/>
      <c r="AG66" s="274"/>
      <c r="AH66" s="244" t="s">
        <v>2071</v>
      </c>
      <c r="AI66" s="244" t="s">
        <v>4065</v>
      </c>
      <c r="AJ66" s="184"/>
      <c r="AK66" s="184" t="s">
        <v>2157</v>
      </c>
      <c r="AL66" s="200">
        <f t="shared" si="3"/>
        <v>27</v>
      </c>
      <c r="AM66" s="201">
        <v>2018.0</v>
      </c>
    </row>
    <row r="67">
      <c r="A67" s="158">
        <f t="shared" si="1"/>
        <v>17225035</v>
      </c>
      <c r="B67" s="236">
        <v>66.0</v>
      </c>
      <c r="C67" s="184" t="s">
        <v>4066</v>
      </c>
      <c r="D67" s="184" t="str">
        <f>IFERROR(VLOOKUP(E67,INFORMACION!D:E,2,0),"INGRESAR CENTRO DE COSTO A LA DERECHA")</f>
        <v>INGRESAR CENTRO DE COSTO A LA DERECHA</v>
      </c>
      <c r="E67" s="184" t="s">
        <v>3624</v>
      </c>
      <c r="F67" s="184" t="s">
        <v>2052</v>
      </c>
      <c r="G67" s="186" t="s">
        <v>3252</v>
      </c>
      <c r="H67" s="186">
        <v>10.0</v>
      </c>
      <c r="I67" s="186" t="s">
        <v>2541</v>
      </c>
      <c r="J67" s="184" t="s">
        <v>112</v>
      </c>
      <c r="K67" s="184" t="s">
        <v>114</v>
      </c>
      <c r="L67" s="184" t="s">
        <v>117</v>
      </c>
      <c r="M67" s="184">
        <v>2.0</v>
      </c>
      <c r="N67" s="184" t="s">
        <v>116</v>
      </c>
      <c r="O67" s="184">
        <v>14.0</v>
      </c>
      <c r="P67" s="184">
        <v>1.0</v>
      </c>
      <c r="Q67" s="184">
        <v>0.0</v>
      </c>
      <c r="R67" s="184" t="s">
        <v>115</v>
      </c>
      <c r="S67" s="218">
        <v>43344.0</v>
      </c>
      <c r="T67" s="105"/>
      <c r="U67" s="105" t="s">
        <v>4067</v>
      </c>
      <c r="V67" s="184" t="s">
        <v>4068</v>
      </c>
      <c r="W67" s="184" t="s">
        <v>118</v>
      </c>
      <c r="X67" s="197" t="s">
        <v>166</v>
      </c>
      <c r="Y67" s="197" t="s">
        <v>138</v>
      </c>
      <c r="Z67" s="170"/>
      <c r="AA67" s="219">
        <v>43306.0</v>
      </c>
      <c r="AB67" s="219">
        <v>43312.0</v>
      </c>
      <c r="AC67" s="4"/>
      <c r="AD67" s="4"/>
      <c r="AE67" s="184"/>
      <c r="AF67" s="4"/>
      <c r="AG67" s="4"/>
      <c r="AH67" s="244" t="s">
        <v>2071</v>
      </c>
      <c r="AI67" s="244" t="s">
        <v>4069</v>
      </c>
      <c r="AJ67" s="184"/>
      <c r="AK67" s="184" t="s">
        <v>2163</v>
      </c>
      <c r="AL67" s="200">
        <f t="shared" si="3"/>
        <v>24</v>
      </c>
      <c r="AM67" s="201">
        <v>2018.0</v>
      </c>
    </row>
    <row r="68">
      <c r="A68" s="158">
        <f t="shared" si="1"/>
        <v>17879933</v>
      </c>
      <c r="B68" s="242">
        <v>67.0</v>
      </c>
      <c r="C68" s="267" t="s">
        <v>4070</v>
      </c>
      <c r="D68" s="184" t="str">
        <f>IFERROR(VLOOKUP(E68,INFORMACION!D:E,2,0),"INGRESAR CENTRO DE COSTO A LA DERECHA")</f>
        <v>INGRESAR CENTRO DE COSTO A LA DERECHA</v>
      </c>
      <c r="E68" s="184" t="s">
        <v>1975</v>
      </c>
      <c r="F68" s="184" t="s">
        <v>2043</v>
      </c>
      <c r="G68" s="186" t="s">
        <v>4071</v>
      </c>
      <c r="H68" s="186">
        <v>20.0</v>
      </c>
      <c r="I68" s="186" t="s">
        <v>2541</v>
      </c>
      <c r="J68" s="184" t="s">
        <v>112</v>
      </c>
      <c r="K68" s="184" t="s">
        <v>120</v>
      </c>
      <c r="L68" s="184" t="s">
        <v>117</v>
      </c>
      <c r="M68" s="184">
        <v>1.0</v>
      </c>
      <c r="N68" s="184" t="s">
        <v>122</v>
      </c>
      <c r="O68" s="184">
        <v>0.0</v>
      </c>
      <c r="P68" s="184">
        <v>1.0</v>
      </c>
      <c r="Q68" s="184">
        <v>0.0</v>
      </c>
      <c r="R68" s="184" t="s">
        <v>121</v>
      </c>
      <c r="S68" s="218">
        <v>43374.0</v>
      </c>
      <c r="T68" s="105" t="s">
        <v>448</v>
      </c>
      <c r="U68" s="105"/>
      <c r="V68" s="184" t="s">
        <v>2800</v>
      </c>
      <c r="W68" s="184" t="s">
        <v>118</v>
      </c>
      <c r="X68" s="197" t="s">
        <v>170</v>
      </c>
      <c r="Y68" s="170"/>
      <c r="Z68" s="170"/>
      <c r="AA68" s="219">
        <v>43381.0</v>
      </c>
      <c r="AB68" s="219">
        <v>43325.0</v>
      </c>
      <c r="AC68" s="274"/>
      <c r="AD68" s="274"/>
      <c r="AE68" s="275"/>
      <c r="AF68" s="274"/>
      <c r="AG68" s="274"/>
      <c r="AH68" s="244" t="s">
        <v>2071</v>
      </c>
      <c r="AI68" s="244" t="s">
        <v>3841</v>
      </c>
      <c r="AJ68" s="184"/>
      <c r="AK68" s="184" t="s">
        <v>2157</v>
      </c>
      <c r="AL68" s="200">
        <f t="shared" si="3"/>
        <v>36</v>
      </c>
      <c r="AM68" s="201">
        <v>2018.0</v>
      </c>
    </row>
    <row r="69">
      <c r="A69" s="158">
        <f t="shared" si="1"/>
        <v>9095484</v>
      </c>
      <c r="B69" s="242">
        <v>68.0</v>
      </c>
      <c r="C69" s="267" t="s">
        <v>4072</v>
      </c>
      <c r="D69" s="184" t="str">
        <f>IFERROR(VLOOKUP(E69,INFORMACION!D:E,2,0),"INGRESAR CENTRO DE COSTO A LA DERECHA")</f>
        <v>INGRESAR CENTRO DE COSTO A LA DERECHA</v>
      </c>
      <c r="E69" s="184" t="s">
        <v>1975</v>
      </c>
      <c r="F69" s="184" t="s">
        <v>2043</v>
      </c>
      <c r="G69" s="186" t="s">
        <v>3915</v>
      </c>
      <c r="H69" s="186">
        <v>20.0</v>
      </c>
      <c r="I69" s="186" t="s">
        <v>2541</v>
      </c>
      <c r="J69" s="184" t="s">
        <v>112</v>
      </c>
      <c r="K69" s="184" t="s">
        <v>120</v>
      </c>
      <c r="L69" s="184" t="s">
        <v>117</v>
      </c>
      <c r="M69" s="184">
        <v>0.0</v>
      </c>
      <c r="N69" s="184" t="s">
        <v>116</v>
      </c>
      <c r="O69" s="184">
        <v>6.0</v>
      </c>
      <c r="P69" s="184">
        <v>1.0</v>
      </c>
      <c r="Q69" s="184">
        <v>0.0</v>
      </c>
      <c r="R69" s="184" t="s">
        <v>115</v>
      </c>
      <c r="S69" s="218">
        <v>43374.0</v>
      </c>
      <c r="T69" s="105"/>
      <c r="U69" s="105" t="s">
        <v>4073</v>
      </c>
      <c r="V69" s="184" t="s">
        <v>4074</v>
      </c>
      <c r="W69" s="184" t="s">
        <v>118</v>
      </c>
      <c r="X69" s="197" t="s">
        <v>140</v>
      </c>
      <c r="Y69" s="170"/>
      <c r="Z69" s="170"/>
      <c r="AA69" s="219">
        <v>43316.0</v>
      </c>
      <c r="AB69" s="219">
        <v>43332.0</v>
      </c>
      <c r="AC69" s="4"/>
      <c r="AD69" s="4"/>
      <c r="AE69" s="184"/>
      <c r="AF69" s="4"/>
      <c r="AG69" s="4"/>
      <c r="AH69" s="244" t="s">
        <v>2071</v>
      </c>
      <c r="AI69" s="244" t="s">
        <v>4039</v>
      </c>
      <c r="AJ69" s="184"/>
      <c r="AK69" s="184" t="s">
        <v>2157</v>
      </c>
      <c r="AL69" s="200">
        <f t="shared" si="3"/>
        <v>31</v>
      </c>
      <c r="AM69" s="201">
        <v>2018.0</v>
      </c>
    </row>
    <row r="70">
      <c r="A70" s="158">
        <f t="shared" si="1"/>
        <v>16562789</v>
      </c>
      <c r="B70" s="242">
        <v>70.0</v>
      </c>
      <c r="C70" s="267" t="s">
        <v>4075</v>
      </c>
      <c r="D70" s="184" t="str">
        <f>IFERROR(VLOOKUP(E70,INFORMACION!D:E,2,0),"INGRESAR CENTRO DE COSTO A LA DERECHA")</f>
        <v>INGRESAR CENTRO DE COSTO A LA DERECHA</v>
      </c>
      <c r="E70" s="184" t="s">
        <v>2914</v>
      </c>
      <c r="F70" s="184" t="s">
        <v>3352</v>
      </c>
      <c r="G70" s="186" t="s">
        <v>3351</v>
      </c>
      <c r="H70" s="186">
        <v>17.0</v>
      </c>
      <c r="I70" s="186" t="s">
        <v>2541</v>
      </c>
      <c r="J70" s="184" t="s">
        <v>112</v>
      </c>
      <c r="K70" s="184" t="s">
        <v>120</v>
      </c>
      <c r="L70" s="184" t="s">
        <v>117</v>
      </c>
      <c r="M70" s="184">
        <v>2.0</v>
      </c>
      <c r="N70" s="184" t="s">
        <v>122</v>
      </c>
      <c r="O70" s="184">
        <v>0.0</v>
      </c>
      <c r="P70" s="184">
        <v>2.0</v>
      </c>
      <c r="Q70" s="184">
        <v>0.0</v>
      </c>
      <c r="R70" s="184" t="s">
        <v>115</v>
      </c>
      <c r="S70" s="218">
        <v>43376.0</v>
      </c>
      <c r="T70" s="105" t="s">
        <v>405</v>
      </c>
      <c r="U70" s="105"/>
      <c r="V70" s="184" t="s">
        <v>4076</v>
      </c>
      <c r="W70" s="184" t="s">
        <v>118</v>
      </c>
      <c r="X70" s="197" t="s">
        <v>170</v>
      </c>
      <c r="Y70" s="197"/>
      <c r="Z70" s="197"/>
      <c r="AA70" s="219">
        <v>43329.0</v>
      </c>
      <c r="AB70" s="219">
        <v>43336.0</v>
      </c>
      <c r="AC70" s="274"/>
      <c r="AD70" s="274"/>
      <c r="AE70" s="275"/>
      <c r="AF70" s="274"/>
      <c r="AG70" s="274"/>
      <c r="AH70" s="244" t="s">
        <v>2071</v>
      </c>
      <c r="AI70" s="244" t="s">
        <v>4077</v>
      </c>
      <c r="AJ70" s="184"/>
      <c r="AK70" s="184" t="s">
        <v>1612</v>
      </c>
      <c r="AL70" s="200">
        <f t="shared" si="3"/>
        <v>29</v>
      </c>
      <c r="AM70" s="201">
        <v>2018.0</v>
      </c>
    </row>
    <row r="71">
      <c r="A71" s="158">
        <f t="shared" si="1"/>
        <v>26033733</v>
      </c>
      <c r="B71" s="259">
        <v>71.0</v>
      </c>
      <c r="C71" s="267"/>
      <c r="D71" s="184" t="str">
        <f>IFERROR(VLOOKUP(E71,INFORMACION!D:E,2,0),"INGRESAR CENTRO DE COSTO A LA DERECHA")</f>
        <v>INGRESAR CENTRO DE COSTO A LA DERECHA</v>
      </c>
      <c r="E71" s="184" t="s">
        <v>2015</v>
      </c>
      <c r="F71" s="184" t="s">
        <v>2690</v>
      </c>
      <c r="G71" s="186" t="s">
        <v>4078</v>
      </c>
      <c r="H71" s="186"/>
      <c r="I71" s="186" t="s">
        <v>2582</v>
      </c>
      <c r="J71" s="184" t="s">
        <v>112</v>
      </c>
      <c r="K71" s="184"/>
      <c r="L71" s="184" t="s">
        <v>122</v>
      </c>
      <c r="M71" s="184">
        <v>0.0</v>
      </c>
      <c r="N71" s="184" t="s">
        <v>116</v>
      </c>
      <c r="O71" s="184">
        <v>5.0</v>
      </c>
      <c r="P71" s="184">
        <v>3.0</v>
      </c>
      <c r="Q71" s="184">
        <v>5.0</v>
      </c>
      <c r="R71" s="184" t="s">
        <v>121</v>
      </c>
      <c r="S71" s="218">
        <v>43374.0</v>
      </c>
      <c r="T71" s="105"/>
      <c r="U71" s="105" t="s">
        <v>4079</v>
      </c>
      <c r="V71" s="184" t="s">
        <v>4080</v>
      </c>
      <c r="W71" s="184" t="s">
        <v>122</v>
      </c>
      <c r="X71" s="197"/>
      <c r="Y71" s="197"/>
      <c r="Z71" s="170"/>
      <c r="AA71" s="219">
        <v>43301.0</v>
      </c>
      <c r="AB71" s="219">
        <v>43332.0</v>
      </c>
      <c r="AC71" s="4"/>
      <c r="AD71" s="4"/>
      <c r="AE71" s="184"/>
      <c r="AF71" s="4"/>
      <c r="AG71" s="4"/>
      <c r="AH71" s="244" t="s">
        <v>2071</v>
      </c>
      <c r="AI71" s="244" t="s">
        <v>3841</v>
      </c>
      <c r="AJ71" s="184"/>
      <c r="AK71" s="184" t="s">
        <v>2157</v>
      </c>
      <c r="AL71" s="200">
        <f t="shared" si="3"/>
        <v>31</v>
      </c>
      <c r="AM71" s="201">
        <v>2018.0</v>
      </c>
    </row>
    <row r="72">
      <c r="A72" s="158">
        <f t="shared" si="1"/>
        <v>18538269</v>
      </c>
      <c r="B72" s="236">
        <v>72.0</v>
      </c>
      <c r="C72" s="184" t="s">
        <v>4081</v>
      </c>
      <c r="D72" s="184" t="str">
        <f>IFERROR(VLOOKUP(E72,INFORMACION!D:E,2,0),"INGRESAR CENTRO DE COSTO A LA DERECHA")</f>
        <v>INGRESAR CENTRO DE COSTO A LA DERECHA</v>
      </c>
      <c r="E72" s="184" t="s">
        <v>2899</v>
      </c>
      <c r="F72" s="184" t="s">
        <v>2635</v>
      </c>
      <c r="G72" s="186" t="s">
        <v>4082</v>
      </c>
      <c r="H72" s="186">
        <v>13.0</v>
      </c>
      <c r="I72" s="186" t="s">
        <v>2541</v>
      </c>
      <c r="J72" s="184" t="s">
        <v>112</v>
      </c>
      <c r="K72" s="184" t="s">
        <v>114</v>
      </c>
      <c r="L72" s="184" t="s">
        <v>117</v>
      </c>
      <c r="M72" s="184">
        <v>0.0</v>
      </c>
      <c r="N72" s="184" t="s">
        <v>116</v>
      </c>
      <c r="O72" s="184">
        <v>7.0</v>
      </c>
      <c r="P72" s="184">
        <v>1.0</v>
      </c>
      <c r="Q72" s="184">
        <v>0.0</v>
      </c>
      <c r="R72" s="184" t="s">
        <v>115</v>
      </c>
      <c r="S72" s="218">
        <v>43381.0</v>
      </c>
      <c r="T72" s="105"/>
      <c r="U72" s="105" t="s">
        <v>4083</v>
      </c>
      <c r="V72" s="184" t="s">
        <v>4084</v>
      </c>
      <c r="W72" s="184" t="s">
        <v>118</v>
      </c>
      <c r="X72" s="197" t="s">
        <v>176</v>
      </c>
      <c r="Y72" s="197" t="s">
        <v>138</v>
      </c>
      <c r="Z72" s="170"/>
      <c r="AA72" s="219">
        <v>43356.0</v>
      </c>
      <c r="AB72" s="219">
        <v>43364.0</v>
      </c>
      <c r="AC72" s="4"/>
      <c r="AD72" s="4"/>
      <c r="AE72" s="184"/>
      <c r="AF72" s="4"/>
      <c r="AG72" s="4"/>
      <c r="AH72" s="244" t="s">
        <v>2071</v>
      </c>
      <c r="AI72" s="244" t="s">
        <v>4085</v>
      </c>
      <c r="AJ72" s="184"/>
      <c r="AK72" s="184" t="s">
        <v>2163</v>
      </c>
      <c r="AL72" s="200">
        <f t="shared" si="3"/>
        <v>12</v>
      </c>
      <c r="AM72" s="201">
        <v>2018.0</v>
      </c>
    </row>
    <row r="73">
      <c r="A73" s="158">
        <f t="shared" si="1"/>
        <v>17834829</v>
      </c>
      <c r="B73" s="236">
        <v>73.0</v>
      </c>
      <c r="C73" s="184"/>
      <c r="D73" s="184" t="str">
        <f>IFERROR(VLOOKUP(E73,INFORMACION!D:E,2,0),"INGRESAR CENTRO DE COSTO A LA DERECHA")</f>
        <v>INGRESAR CENTRO DE COSTO A LA DERECHA</v>
      </c>
      <c r="E73" s="184" t="s">
        <v>3193</v>
      </c>
      <c r="F73" s="195" t="s">
        <v>3222</v>
      </c>
      <c r="G73" s="186" t="s">
        <v>3926</v>
      </c>
      <c r="H73" s="186">
        <v>8.0</v>
      </c>
      <c r="I73" s="186" t="s">
        <v>2541</v>
      </c>
      <c r="J73" s="184" t="s">
        <v>112</v>
      </c>
      <c r="K73" s="184" t="s">
        <v>114</v>
      </c>
      <c r="L73" s="184" t="s">
        <v>122</v>
      </c>
      <c r="M73" s="184">
        <v>0.0</v>
      </c>
      <c r="N73" s="184" t="s">
        <v>116</v>
      </c>
      <c r="O73" s="184">
        <v>52.0</v>
      </c>
      <c r="P73" s="184">
        <v>3.0</v>
      </c>
      <c r="Q73" s="184">
        <v>0.0</v>
      </c>
      <c r="R73" s="184" t="s">
        <v>121</v>
      </c>
      <c r="S73" s="218">
        <v>43339.0</v>
      </c>
      <c r="T73" s="105"/>
      <c r="U73" s="105" t="s">
        <v>4086</v>
      </c>
      <c r="V73" s="184" t="s">
        <v>4087</v>
      </c>
      <c r="W73" s="184" t="s">
        <v>122</v>
      </c>
      <c r="X73" s="170"/>
      <c r="Y73" s="170"/>
      <c r="Z73" s="170"/>
      <c r="AA73" s="219">
        <v>43259.0</v>
      </c>
      <c r="AB73" s="219">
        <v>43263.0</v>
      </c>
      <c r="AC73" s="4"/>
      <c r="AD73" s="4"/>
      <c r="AE73" s="184"/>
      <c r="AF73" s="4"/>
      <c r="AG73" s="4"/>
      <c r="AH73" s="244"/>
      <c r="AI73" s="244"/>
      <c r="AJ73" s="184"/>
      <c r="AK73" s="184" t="s">
        <v>2163</v>
      </c>
      <c r="AL73" s="200">
        <f t="shared" si="3"/>
        <v>55</v>
      </c>
      <c r="AM73" s="201">
        <v>2018.0</v>
      </c>
    </row>
    <row r="74">
      <c r="A74" s="158">
        <f t="shared" si="1"/>
        <v>18756738</v>
      </c>
      <c r="B74" s="242">
        <v>74.0</v>
      </c>
      <c r="C74" s="267" t="s">
        <v>4088</v>
      </c>
      <c r="D74" s="184" t="str">
        <f>IFERROR(VLOOKUP(E74,INFORMACION!D:E,2,0),"INGRESAR CENTRO DE COSTO A LA DERECHA")</f>
        <v>INGRESAR CENTRO DE COSTO A LA DERECHA</v>
      </c>
      <c r="E74" s="184" t="s">
        <v>2883</v>
      </c>
      <c r="F74" s="184" t="s">
        <v>2802</v>
      </c>
      <c r="G74" s="186" t="s">
        <v>4089</v>
      </c>
      <c r="H74" s="186">
        <v>17.0</v>
      </c>
      <c r="I74" s="186" t="s">
        <v>2541</v>
      </c>
      <c r="J74" s="184" t="s">
        <v>112</v>
      </c>
      <c r="K74" s="184" t="s">
        <v>125</v>
      </c>
      <c r="L74" s="184" t="s">
        <v>117</v>
      </c>
      <c r="M74" s="184">
        <v>1.0</v>
      </c>
      <c r="N74" s="184" t="s">
        <v>116</v>
      </c>
      <c r="O74" s="184">
        <v>7.0</v>
      </c>
      <c r="P74" s="184">
        <v>1.0</v>
      </c>
      <c r="Q74" s="184">
        <v>0.0</v>
      </c>
      <c r="R74" s="184" t="s">
        <v>115</v>
      </c>
      <c r="S74" s="218">
        <v>43381.0</v>
      </c>
      <c r="T74" s="105"/>
      <c r="U74" s="105" t="s">
        <v>4090</v>
      </c>
      <c r="V74" s="184" t="s">
        <v>4091</v>
      </c>
      <c r="W74" s="184" t="s">
        <v>118</v>
      </c>
      <c r="X74" s="197" t="s">
        <v>176</v>
      </c>
      <c r="Y74" s="197"/>
      <c r="Z74" s="170"/>
      <c r="AA74" s="219">
        <v>43315.0</v>
      </c>
      <c r="AB74" s="219">
        <v>43322.0</v>
      </c>
      <c r="AC74" s="4"/>
      <c r="AD74" s="4"/>
      <c r="AE74" s="184"/>
      <c r="AF74" s="4"/>
      <c r="AG74" s="4"/>
      <c r="AH74" s="244" t="s">
        <v>2071</v>
      </c>
      <c r="AI74" s="244" t="s">
        <v>4092</v>
      </c>
      <c r="AJ74" s="184"/>
      <c r="AK74" s="184" t="s">
        <v>2157</v>
      </c>
      <c r="AL74" s="200">
        <f t="shared" si="3"/>
        <v>42</v>
      </c>
      <c r="AM74" s="201">
        <v>2018.0</v>
      </c>
    </row>
    <row r="75">
      <c r="A75" s="158">
        <f t="shared" si="1"/>
        <v>18535351</v>
      </c>
      <c r="B75" s="242">
        <v>75.0</v>
      </c>
      <c r="C75" s="267" t="s">
        <v>4093</v>
      </c>
      <c r="D75" s="184" t="str">
        <f>IFERROR(VLOOKUP(E75,INFORMACION!D:E,2,0),"INGRESAR CENTRO DE COSTO A LA DERECHA")</f>
        <v>INGRESAR CENTRO DE COSTO A LA DERECHA</v>
      </c>
      <c r="E75" s="184" t="s">
        <v>3011</v>
      </c>
      <c r="F75" s="184" t="s">
        <v>2962</v>
      </c>
      <c r="G75" s="186" t="s">
        <v>4094</v>
      </c>
      <c r="H75" s="186">
        <v>13.0</v>
      </c>
      <c r="I75" s="186" t="s">
        <v>2541</v>
      </c>
      <c r="J75" s="184" t="s">
        <v>112</v>
      </c>
      <c r="K75" s="184" t="s">
        <v>114</v>
      </c>
      <c r="L75" s="184" t="s">
        <v>117</v>
      </c>
      <c r="M75" s="184">
        <v>3.0</v>
      </c>
      <c r="N75" s="184" t="s">
        <v>116</v>
      </c>
      <c r="O75" s="184">
        <v>28.0</v>
      </c>
      <c r="P75" s="184">
        <v>3.0</v>
      </c>
      <c r="Q75" s="184">
        <v>0.0</v>
      </c>
      <c r="R75" s="184" t="s">
        <v>121</v>
      </c>
      <c r="S75" s="218">
        <v>43389.0</v>
      </c>
      <c r="T75" s="105"/>
      <c r="U75" s="105" t="s">
        <v>4095</v>
      </c>
      <c r="V75" s="184" t="s">
        <v>4096</v>
      </c>
      <c r="W75" s="184" t="s">
        <v>122</v>
      </c>
      <c r="X75" s="197"/>
      <c r="Y75" s="197"/>
      <c r="Z75" s="197"/>
      <c r="AA75" s="219">
        <v>43347.0</v>
      </c>
      <c r="AB75" s="219">
        <v>43353.0</v>
      </c>
      <c r="AC75" s="4"/>
      <c r="AD75" s="4"/>
      <c r="AE75" s="184"/>
      <c r="AF75" s="4"/>
      <c r="AG75" s="4"/>
      <c r="AH75" s="244" t="s">
        <v>2071</v>
      </c>
      <c r="AI75" s="244" t="s">
        <v>4039</v>
      </c>
      <c r="AJ75" s="184"/>
      <c r="AK75" s="184" t="s">
        <v>2163</v>
      </c>
      <c r="AL75" s="200">
        <f t="shared" si="3"/>
        <v>27</v>
      </c>
      <c r="AM75" s="201">
        <v>2018.0</v>
      </c>
    </row>
    <row r="76">
      <c r="A76" s="158">
        <f t="shared" si="1"/>
        <v>12879504</v>
      </c>
      <c r="B76" s="242">
        <v>76.0</v>
      </c>
      <c r="C76" s="267" t="s">
        <v>4097</v>
      </c>
      <c r="D76" s="184" t="str">
        <f>IFERROR(VLOOKUP(E76,INFORMACION!D:E,2,0),"INGRESAR CENTRO DE COSTO A LA DERECHA")</f>
        <v>INGRESAR CENTRO DE COSTO A LA DERECHA</v>
      </c>
      <c r="E76" s="184" t="s">
        <v>2886</v>
      </c>
      <c r="F76" s="184" t="s">
        <v>2650</v>
      </c>
      <c r="G76" s="186" t="s">
        <v>4098</v>
      </c>
      <c r="H76" s="186">
        <v>17.0</v>
      </c>
      <c r="I76" s="186" t="s">
        <v>2541</v>
      </c>
      <c r="J76" s="184" t="s">
        <v>112</v>
      </c>
      <c r="K76" s="184" t="s">
        <v>120</v>
      </c>
      <c r="L76" s="184" t="s">
        <v>117</v>
      </c>
      <c r="M76" s="184">
        <v>2.0</v>
      </c>
      <c r="N76" s="184" t="s">
        <v>116</v>
      </c>
      <c r="O76" s="184">
        <v>33.0</v>
      </c>
      <c r="P76" s="184">
        <v>3.0</v>
      </c>
      <c r="Q76" s="184">
        <v>1.0</v>
      </c>
      <c r="R76" s="184" t="s">
        <v>121</v>
      </c>
      <c r="S76" s="218">
        <v>43389.0</v>
      </c>
      <c r="T76" s="105"/>
      <c r="U76" s="105" t="s">
        <v>4099</v>
      </c>
      <c r="V76" s="184" t="s">
        <v>4100</v>
      </c>
      <c r="W76" s="184" t="s">
        <v>118</v>
      </c>
      <c r="X76" s="197" t="s">
        <v>134</v>
      </c>
      <c r="Y76" s="170"/>
      <c r="Z76" s="170"/>
      <c r="AA76" s="219">
        <v>43314.0</v>
      </c>
      <c r="AB76" s="219">
        <v>43323.0</v>
      </c>
      <c r="AC76" s="4"/>
      <c r="AD76" s="4"/>
      <c r="AE76" s="184"/>
      <c r="AF76" s="4"/>
      <c r="AG76" s="4"/>
      <c r="AH76" s="244" t="s">
        <v>2071</v>
      </c>
      <c r="AI76" s="244" t="s">
        <v>4101</v>
      </c>
      <c r="AJ76" s="184"/>
      <c r="AK76" s="184" t="s">
        <v>2163</v>
      </c>
      <c r="AL76" s="200">
        <f t="shared" si="3"/>
        <v>47</v>
      </c>
      <c r="AM76" s="201">
        <v>2018.0</v>
      </c>
    </row>
    <row r="77">
      <c r="A77" s="158">
        <f t="shared" si="1"/>
        <v>12007137</v>
      </c>
      <c r="B77" s="236">
        <v>77.0</v>
      </c>
      <c r="C77" s="184" t="s">
        <v>4070</v>
      </c>
      <c r="D77" s="184" t="str">
        <f>IFERROR(VLOOKUP(E77,INFORMACION!D:E,2,0),"INGRESAR CENTRO DE COSTO A LA DERECHA")</f>
        <v>INGRESAR CENTRO DE COSTO A LA DERECHA</v>
      </c>
      <c r="E77" s="184" t="s">
        <v>3176</v>
      </c>
      <c r="F77" s="184" t="s">
        <v>2540</v>
      </c>
      <c r="G77" s="186" t="s">
        <v>1898</v>
      </c>
      <c r="H77" s="186">
        <v>17.0</v>
      </c>
      <c r="I77" s="186" t="s">
        <v>2541</v>
      </c>
      <c r="J77" s="184" t="s">
        <v>112</v>
      </c>
      <c r="K77" s="184" t="s">
        <v>120</v>
      </c>
      <c r="L77" s="184" t="s">
        <v>117</v>
      </c>
      <c r="M77" s="184">
        <v>2.0</v>
      </c>
      <c r="N77" s="184" t="s">
        <v>116</v>
      </c>
      <c r="O77" s="184">
        <v>20.0</v>
      </c>
      <c r="P77" s="184">
        <v>1.0</v>
      </c>
      <c r="Q77" s="184">
        <v>0.0</v>
      </c>
      <c r="R77" s="184" t="s">
        <v>121</v>
      </c>
      <c r="S77" s="218">
        <v>43405.0</v>
      </c>
      <c r="T77" s="105"/>
      <c r="U77" s="105" t="s">
        <v>4102</v>
      </c>
      <c r="V77" s="184" t="s">
        <v>4103</v>
      </c>
      <c r="W77" s="184" t="s">
        <v>122</v>
      </c>
      <c r="X77" s="197"/>
      <c r="Y77" s="170"/>
      <c r="Z77" s="170"/>
      <c r="AA77" s="219">
        <v>43343.0</v>
      </c>
      <c r="AB77" s="219">
        <v>43350.0</v>
      </c>
      <c r="AC77" s="4"/>
      <c r="AD77" s="4"/>
      <c r="AE77" s="184"/>
      <c r="AF77" s="4"/>
      <c r="AG77" s="4"/>
      <c r="AH77" s="244" t="s">
        <v>2071</v>
      </c>
      <c r="AI77" s="244" t="s">
        <v>4039</v>
      </c>
      <c r="AJ77" s="184"/>
      <c r="AK77" s="184" t="s">
        <v>1612</v>
      </c>
      <c r="AL77" s="200">
        <f t="shared" si="3"/>
        <v>40</v>
      </c>
      <c r="AM77" s="201">
        <v>2018.0</v>
      </c>
    </row>
    <row r="78">
      <c r="A78" s="158">
        <f t="shared" si="1"/>
        <v>16092120</v>
      </c>
      <c r="B78" s="236">
        <v>78.0</v>
      </c>
      <c r="C78" s="184"/>
      <c r="D78" s="184" t="str">
        <f>IFERROR(VLOOKUP(E78,INFORMACION!D:E,2,0),"INGRESAR CENTRO DE COSTO A LA DERECHA")</f>
        <v>INGRESAR CENTRO DE COSTO A LA DERECHA</v>
      </c>
      <c r="E78" s="184" t="s">
        <v>2905</v>
      </c>
      <c r="F78" s="184" t="s">
        <v>2540</v>
      </c>
      <c r="G78" s="186" t="s">
        <v>1898</v>
      </c>
      <c r="H78" s="186">
        <v>17.0</v>
      </c>
      <c r="I78" s="186" t="s">
        <v>2541</v>
      </c>
      <c r="J78" s="184" t="s">
        <v>112</v>
      </c>
      <c r="K78" s="184" t="s">
        <v>120</v>
      </c>
      <c r="L78" s="184" t="s">
        <v>117</v>
      </c>
      <c r="M78" s="184">
        <v>1.0</v>
      </c>
      <c r="N78" s="184" t="s">
        <v>116</v>
      </c>
      <c r="O78" s="184">
        <v>13.0</v>
      </c>
      <c r="P78" s="184">
        <v>3.0</v>
      </c>
      <c r="Q78" s="184">
        <v>0.0</v>
      </c>
      <c r="R78" s="184" t="s">
        <v>121</v>
      </c>
      <c r="S78" s="218">
        <v>43412.0</v>
      </c>
      <c r="T78" s="105"/>
      <c r="U78" s="105" t="s">
        <v>4104</v>
      </c>
      <c r="V78" s="184" t="s">
        <v>4105</v>
      </c>
      <c r="W78" s="184" t="s">
        <v>118</v>
      </c>
      <c r="X78" s="197" t="s">
        <v>176</v>
      </c>
      <c r="Y78" s="170"/>
      <c r="Z78" s="170"/>
      <c r="AA78" s="219">
        <v>43369.0</v>
      </c>
      <c r="AB78" s="219">
        <v>43376.0</v>
      </c>
      <c r="AC78" s="4"/>
      <c r="AD78" s="4"/>
      <c r="AE78" s="184"/>
      <c r="AF78" s="4"/>
      <c r="AG78" s="4"/>
      <c r="AH78" s="244" t="s">
        <v>2071</v>
      </c>
      <c r="AI78" s="244" t="s">
        <v>4106</v>
      </c>
      <c r="AJ78" s="184"/>
      <c r="AK78" s="184" t="s">
        <v>2157</v>
      </c>
      <c r="AL78" s="200">
        <f t="shared" si="3"/>
        <v>27</v>
      </c>
      <c r="AM78" s="201">
        <v>2018.0</v>
      </c>
    </row>
    <row r="79">
      <c r="A79" s="158">
        <f t="shared" si="1"/>
        <v>15333652</v>
      </c>
      <c r="B79" s="242">
        <v>79.0</v>
      </c>
      <c r="C79" s="267" t="s">
        <v>4107</v>
      </c>
      <c r="D79" s="184" t="str">
        <f>IFERROR(VLOOKUP(E79,INFORMACION!D:E,2,0),"INGRESAR CENTRO DE COSTO A LA DERECHA")</f>
        <v>INGRESAR CENTRO DE COSTO A LA DERECHA</v>
      </c>
      <c r="E79" s="184" t="s">
        <v>3176</v>
      </c>
      <c r="F79" s="184" t="s">
        <v>2650</v>
      </c>
      <c r="G79" s="186" t="s">
        <v>4098</v>
      </c>
      <c r="H79" s="186">
        <v>17.0</v>
      </c>
      <c r="I79" s="186" t="s">
        <v>2541</v>
      </c>
      <c r="J79" s="184" t="s">
        <v>112</v>
      </c>
      <c r="K79" s="184" t="s">
        <v>120</v>
      </c>
      <c r="L79" s="184" t="s">
        <v>117</v>
      </c>
      <c r="M79" s="184">
        <v>1.0</v>
      </c>
      <c r="N79" s="184" t="s">
        <v>116</v>
      </c>
      <c r="O79" s="184">
        <v>20.0</v>
      </c>
      <c r="P79" s="184">
        <v>1.0</v>
      </c>
      <c r="Q79" s="184">
        <v>0.0</v>
      </c>
      <c r="R79" s="184" t="s">
        <v>121</v>
      </c>
      <c r="S79" s="218">
        <v>43405.0</v>
      </c>
      <c r="T79" s="105"/>
      <c r="U79" s="105" t="s">
        <v>4108</v>
      </c>
      <c r="V79" s="184" t="s">
        <v>4109</v>
      </c>
      <c r="W79" s="184" t="s">
        <v>118</v>
      </c>
      <c r="X79" s="197" t="s">
        <v>154</v>
      </c>
      <c r="Y79" s="197" t="s">
        <v>150</v>
      </c>
      <c r="Z79" s="170"/>
      <c r="AA79" s="219">
        <v>43343.0</v>
      </c>
      <c r="AB79" s="219">
        <v>43350.0</v>
      </c>
      <c r="AC79" s="4"/>
      <c r="AD79" s="4"/>
      <c r="AE79" s="184"/>
      <c r="AF79" s="4"/>
      <c r="AG79" s="4"/>
      <c r="AH79" s="244" t="s">
        <v>2071</v>
      </c>
      <c r="AI79" s="244" t="s">
        <v>4110</v>
      </c>
      <c r="AJ79" s="184"/>
      <c r="AK79" s="184" t="s">
        <v>1612</v>
      </c>
      <c r="AL79" s="200">
        <f t="shared" si="3"/>
        <v>40</v>
      </c>
      <c r="AM79" s="201">
        <v>2018.0</v>
      </c>
    </row>
    <row r="80">
      <c r="A80" s="158">
        <f t="shared" si="1"/>
        <v>15840498</v>
      </c>
      <c r="B80" s="242">
        <v>80.0</v>
      </c>
      <c r="C80" s="267" t="s">
        <v>4111</v>
      </c>
      <c r="D80" s="184" t="str">
        <f>IFERROR(VLOOKUP(E80,INFORMACION!D:E,2,0),"INGRESAR CENTRO DE COSTO A LA DERECHA")</f>
        <v>INGRESAR CENTRO DE COSTO A LA DERECHA</v>
      </c>
      <c r="E80" s="184" t="s">
        <v>2905</v>
      </c>
      <c r="F80" s="184" t="s">
        <v>2635</v>
      </c>
      <c r="G80" s="186" t="s">
        <v>4112</v>
      </c>
      <c r="H80" s="186">
        <v>13.0</v>
      </c>
      <c r="I80" s="186" t="s">
        <v>2541</v>
      </c>
      <c r="J80" s="184" t="s">
        <v>112</v>
      </c>
      <c r="K80" s="184" t="s">
        <v>114</v>
      </c>
      <c r="L80" s="184" t="s">
        <v>117</v>
      </c>
      <c r="M80" s="184">
        <v>1.0</v>
      </c>
      <c r="N80" s="184" t="s">
        <v>116</v>
      </c>
      <c r="O80" s="184">
        <v>15.0</v>
      </c>
      <c r="P80" s="184">
        <v>3.0</v>
      </c>
      <c r="Q80" s="184">
        <v>0.0</v>
      </c>
      <c r="R80" s="184" t="s">
        <v>115</v>
      </c>
      <c r="S80" s="218">
        <v>43425.0</v>
      </c>
      <c r="T80" s="105"/>
      <c r="U80" s="105" t="s">
        <v>4113</v>
      </c>
      <c r="V80" s="184" t="s">
        <v>4114</v>
      </c>
      <c r="W80" s="184" t="s">
        <v>118</v>
      </c>
      <c r="X80" s="197" t="s">
        <v>176</v>
      </c>
      <c r="Y80" s="170"/>
      <c r="Z80" s="170"/>
      <c r="AA80" s="219">
        <v>43375.0</v>
      </c>
      <c r="AB80" s="219">
        <v>43381.0</v>
      </c>
      <c r="AC80" s="4"/>
      <c r="AD80" s="4"/>
      <c r="AE80" s="184"/>
      <c r="AF80" s="4"/>
      <c r="AG80" s="4"/>
      <c r="AH80" s="244" t="s">
        <v>2071</v>
      </c>
      <c r="AI80" s="244" t="s">
        <v>4115</v>
      </c>
      <c r="AJ80" s="184"/>
      <c r="AK80" s="184" t="s">
        <v>2163</v>
      </c>
      <c r="AL80" s="200">
        <f t="shared" si="3"/>
        <v>33</v>
      </c>
      <c r="AM80" s="201">
        <v>2018.0</v>
      </c>
    </row>
    <row r="81">
      <c r="A81" s="158">
        <f t="shared" si="1"/>
        <v>16941755</v>
      </c>
      <c r="B81" s="242">
        <v>81.0</v>
      </c>
      <c r="C81" s="267" t="s">
        <v>4116</v>
      </c>
      <c r="D81" s="184" t="str">
        <f>IFERROR(VLOOKUP(E81,INFORMACION!D:E,2,0),"INGRESAR CENTRO DE COSTO A LA DERECHA")</f>
        <v>INGRESAR CENTRO DE COSTO A LA DERECHA</v>
      </c>
      <c r="E81" s="184" t="s">
        <v>2911</v>
      </c>
      <c r="F81" s="184" t="s">
        <v>1950</v>
      </c>
      <c r="G81" s="186" t="s">
        <v>1832</v>
      </c>
      <c r="H81" s="186">
        <v>10.0</v>
      </c>
      <c r="I81" s="186" t="s">
        <v>2541</v>
      </c>
      <c r="J81" s="184" t="s">
        <v>112</v>
      </c>
      <c r="K81" s="184" t="s">
        <v>114</v>
      </c>
      <c r="L81" s="184" t="s">
        <v>117</v>
      </c>
      <c r="M81" s="184">
        <v>1.0</v>
      </c>
      <c r="N81" s="184" t="s">
        <v>116</v>
      </c>
      <c r="O81" s="184">
        <v>6.0</v>
      </c>
      <c r="P81" s="184">
        <v>3.0</v>
      </c>
      <c r="Q81" s="184">
        <v>3.0</v>
      </c>
      <c r="R81" s="184" t="s">
        <v>121</v>
      </c>
      <c r="S81" s="218">
        <v>43396.0</v>
      </c>
      <c r="T81" s="105"/>
      <c r="U81" s="105" t="s">
        <v>4117</v>
      </c>
      <c r="V81" s="184" t="s">
        <v>4118</v>
      </c>
      <c r="W81" s="184" t="s">
        <v>122</v>
      </c>
      <c r="X81" s="197"/>
      <c r="Y81" s="170"/>
      <c r="Z81" s="170"/>
      <c r="AA81" s="219">
        <v>43357.0</v>
      </c>
      <c r="AB81" s="219">
        <v>43366.0</v>
      </c>
      <c r="AC81" s="4"/>
      <c r="AD81" s="4"/>
      <c r="AE81" s="184"/>
      <c r="AF81" s="4"/>
      <c r="AG81" s="4"/>
      <c r="AH81" s="244" t="s">
        <v>2071</v>
      </c>
      <c r="AI81" s="244" t="s">
        <v>4119</v>
      </c>
      <c r="AJ81" s="184"/>
      <c r="AK81" s="184" t="s">
        <v>2163</v>
      </c>
      <c r="AL81" s="200">
        <f t="shared" si="3"/>
        <v>22</v>
      </c>
      <c r="AM81" s="201">
        <v>2018.0</v>
      </c>
    </row>
    <row r="82">
      <c r="A82" s="158">
        <f t="shared" si="1"/>
        <v>12624720</v>
      </c>
      <c r="B82" s="242">
        <v>82.0</v>
      </c>
      <c r="C82" s="267" t="s">
        <v>4120</v>
      </c>
      <c r="D82" s="184" t="str">
        <f>IFERROR(VLOOKUP(E82,INFORMACION!D:E,2,0),"INGRESAR CENTRO DE COSTO A LA DERECHA")</f>
        <v>INGRESAR CENTRO DE COSTO A LA DERECHA</v>
      </c>
      <c r="E82" s="184" t="s">
        <v>2307</v>
      </c>
      <c r="F82" s="184" t="s">
        <v>2625</v>
      </c>
      <c r="G82" s="186" t="s">
        <v>4121</v>
      </c>
      <c r="H82" s="186">
        <v>10.0</v>
      </c>
      <c r="I82" s="186" t="s">
        <v>2541</v>
      </c>
      <c r="J82" s="184" t="s">
        <v>112</v>
      </c>
      <c r="K82" s="184" t="s">
        <v>114</v>
      </c>
      <c r="L82" s="184" t="s">
        <v>117</v>
      </c>
      <c r="M82" s="184">
        <v>2.0</v>
      </c>
      <c r="N82" s="184" t="s">
        <v>116</v>
      </c>
      <c r="O82" s="184">
        <v>20.0</v>
      </c>
      <c r="P82" s="184">
        <v>3.0</v>
      </c>
      <c r="Q82" s="184">
        <v>0.0</v>
      </c>
      <c r="R82" s="184" t="s">
        <v>121</v>
      </c>
      <c r="S82" s="218">
        <v>43433.0</v>
      </c>
      <c r="T82" s="105"/>
      <c r="U82" s="105" t="s">
        <v>4122</v>
      </c>
      <c r="V82" s="184" t="s">
        <v>4123</v>
      </c>
      <c r="W82" s="184" t="s">
        <v>118</v>
      </c>
      <c r="X82" s="197" t="s">
        <v>154</v>
      </c>
      <c r="Y82" s="170"/>
      <c r="Z82" s="170"/>
      <c r="AA82" s="219">
        <v>43390.0</v>
      </c>
      <c r="AB82" s="219">
        <v>43397.0</v>
      </c>
      <c r="AC82" s="4"/>
      <c r="AD82" s="4"/>
      <c r="AE82" s="184"/>
      <c r="AF82" s="4"/>
      <c r="AG82" s="4"/>
      <c r="AH82" s="244" t="s">
        <v>2071</v>
      </c>
      <c r="AI82" s="244" t="s">
        <v>4124</v>
      </c>
      <c r="AJ82" s="184"/>
      <c r="AK82" s="184" t="s">
        <v>2163</v>
      </c>
      <c r="AL82" s="200">
        <f t="shared" si="3"/>
        <v>27</v>
      </c>
      <c r="AM82" s="201">
        <v>2018.0</v>
      </c>
    </row>
    <row r="83">
      <c r="A83" s="158">
        <f t="shared" si="1"/>
        <v>7687205</v>
      </c>
      <c r="B83" s="259">
        <v>83.0</v>
      </c>
      <c r="C83" s="267" t="s">
        <v>4125</v>
      </c>
      <c r="D83" s="184" t="str">
        <f>IFERROR(VLOOKUP(E83,INFORMACION!D:E,2,0),"INGRESAR CENTRO DE COSTO A LA DERECHA")</f>
        <v>INGRESAR CENTRO DE COSTO A LA DERECHA</v>
      </c>
      <c r="E83" s="184" t="s">
        <v>2220</v>
      </c>
      <c r="F83" s="184" t="s">
        <v>2576</v>
      </c>
      <c r="G83" s="186" t="s">
        <v>1741</v>
      </c>
      <c r="H83" s="186">
        <v>21.0</v>
      </c>
      <c r="I83" s="186" t="s">
        <v>2541</v>
      </c>
      <c r="J83" s="184" t="s">
        <v>112</v>
      </c>
      <c r="K83" s="184" t="s">
        <v>127</v>
      </c>
      <c r="L83" s="184" t="s">
        <v>117</v>
      </c>
      <c r="M83" s="184">
        <v>2.0</v>
      </c>
      <c r="N83" s="184" t="s">
        <v>122</v>
      </c>
      <c r="O83" s="184">
        <v>0.0</v>
      </c>
      <c r="P83" s="184">
        <v>1.0</v>
      </c>
      <c r="Q83" s="184">
        <v>0.0</v>
      </c>
      <c r="R83" s="184" t="s">
        <v>115</v>
      </c>
      <c r="S83" s="218">
        <v>43423.0</v>
      </c>
      <c r="T83" s="105" t="s">
        <v>430</v>
      </c>
      <c r="U83" s="105"/>
      <c r="V83" s="184" t="s">
        <v>4126</v>
      </c>
      <c r="W83" s="184" t="s">
        <v>122</v>
      </c>
      <c r="X83" s="197"/>
      <c r="Y83" s="170"/>
      <c r="Z83" s="170"/>
      <c r="AA83" s="219">
        <v>43341.0</v>
      </c>
      <c r="AB83" s="219">
        <v>43348.0</v>
      </c>
      <c r="AC83" s="274"/>
      <c r="AD83" s="274"/>
      <c r="AE83" s="275"/>
      <c r="AF83" s="274"/>
      <c r="AG83" s="274"/>
      <c r="AH83" s="244" t="s">
        <v>2071</v>
      </c>
      <c r="AI83" s="244" t="s">
        <v>4127</v>
      </c>
      <c r="AJ83" s="184"/>
      <c r="AK83" s="184" t="s">
        <v>2157</v>
      </c>
      <c r="AL83" s="200">
        <f t="shared" si="3"/>
        <v>54</v>
      </c>
      <c r="AM83" s="201">
        <v>2018.0</v>
      </c>
    </row>
    <row r="84">
      <c r="A84" s="158">
        <f t="shared" si="1"/>
        <v>25913272</v>
      </c>
      <c r="B84" s="236">
        <v>84.0</v>
      </c>
      <c r="C84" s="184"/>
      <c r="D84" s="184" t="str">
        <f>IFERROR(VLOOKUP(E84,INFORMACION!D:E,2,0),"INGRESAR CENTRO DE COSTO A LA DERECHA")</f>
        <v>INGRESAR CENTRO DE COSTO A LA DERECHA</v>
      </c>
      <c r="E84" s="184" t="s">
        <v>3800</v>
      </c>
      <c r="F84" s="184" t="s">
        <v>3268</v>
      </c>
      <c r="G84" s="186" t="s">
        <v>4128</v>
      </c>
      <c r="H84" s="186">
        <v>9.0</v>
      </c>
      <c r="I84" s="186" t="s">
        <v>2541</v>
      </c>
      <c r="J84" s="184" t="s">
        <v>112</v>
      </c>
      <c r="K84" s="184" t="s">
        <v>114</v>
      </c>
      <c r="L84" s="184" t="s">
        <v>117</v>
      </c>
      <c r="M84" s="184">
        <v>4.0</v>
      </c>
      <c r="N84" s="184" t="s">
        <v>116</v>
      </c>
      <c r="O84" s="184">
        <v>49.0</v>
      </c>
      <c r="P84" s="184">
        <v>2.0</v>
      </c>
      <c r="Q84" s="184">
        <v>0.0</v>
      </c>
      <c r="R84" s="184" t="s">
        <v>121</v>
      </c>
      <c r="S84" s="218">
        <v>43350.0</v>
      </c>
      <c r="T84" s="105"/>
      <c r="U84" s="105" t="s">
        <v>4129</v>
      </c>
      <c r="V84" s="184" t="s">
        <v>4130</v>
      </c>
      <c r="W84" s="184" t="s">
        <v>122</v>
      </c>
      <c r="X84" s="170"/>
      <c r="Y84" s="170"/>
      <c r="Z84" s="170"/>
      <c r="AA84" s="219">
        <v>43257.0</v>
      </c>
      <c r="AB84" s="219">
        <v>43264.0</v>
      </c>
      <c r="AC84" s="4"/>
      <c r="AD84" s="4"/>
      <c r="AE84" s="184"/>
      <c r="AF84" s="4"/>
      <c r="AG84" s="4"/>
      <c r="AH84" s="244" t="s">
        <v>2071</v>
      </c>
      <c r="AI84" s="244" t="s">
        <v>4039</v>
      </c>
      <c r="AJ84" s="184"/>
      <c r="AK84" s="184" t="s">
        <v>2163</v>
      </c>
      <c r="AL84" s="200">
        <f t="shared" si="3"/>
        <v>63</v>
      </c>
      <c r="AM84" s="201">
        <v>2018.0</v>
      </c>
    </row>
    <row r="85">
      <c r="A85" s="158">
        <f t="shared" si="1"/>
        <v>13922416</v>
      </c>
      <c r="B85" s="236">
        <v>85.0</v>
      </c>
      <c r="C85" s="184"/>
      <c r="D85" s="184" t="str">
        <f>IFERROR(VLOOKUP(E85,INFORMACION!D:E,2,0),"INGRESAR CENTRO DE COSTO A LA DERECHA")</f>
        <v>INGRESAR CENTRO DE COSTO A LA DERECHA</v>
      </c>
      <c r="E85" s="184" t="s">
        <v>3800</v>
      </c>
      <c r="F85" s="184" t="s">
        <v>3268</v>
      </c>
      <c r="G85" s="186" t="s">
        <v>4128</v>
      </c>
      <c r="H85" s="186">
        <v>9.0</v>
      </c>
      <c r="I85" s="186" t="s">
        <v>2541</v>
      </c>
      <c r="J85" s="184" t="s">
        <v>112</v>
      </c>
      <c r="K85" s="184" t="s">
        <v>114</v>
      </c>
      <c r="L85" s="184" t="s">
        <v>117</v>
      </c>
      <c r="M85" s="184">
        <v>4.0</v>
      </c>
      <c r="N85" s="184" t="s">
        <v>116</v>
      </c>
      <c r="O85" s="184">
        <v>49.0</v>
      </c>
      <c r="P85" s="184">
        <v>2.0</v>
      </c>
      <c r="Q85" s="184">
        <v>0.0</v>
      </c>
      <c r="R85" s="184" t="s">
        <v>121</v>
      </c>
      <c r="S85" s="218">
        <v>43350.0</v>
      </c>
      <c r="T85" s="105"/>
      <c r="U85" s="105" t="s">
        <v>4131</v>
      </c>
      <c r="V85" s="184" t="s">
        <v>4132</v>
      </c>
      <c r="W85" s="184" t="s">
        <v>122</v>
      </c>
      <c r="X85" s="170"/>
      <c r="Y85" s="170"/>
      <c r="Z85" s="170"/>
      <c r="AA85" s="219">
        <v>43257.0</v>
      </c>
      <c r="AB85" s="219">
        <v>43264.0</v>
      </c>
      <c r="AC85" s="4"/>
      <c r="AD85" s="4"/>
      <c r="AE85" s="184"/>
      <c r="AF85" s="4"/>
      <c r="AG85" s="4"/>
      <c r="AH85" s="244" t="s">
        <v>2071</v>
      </c>
      <c r="AI85" s="244" t="s">
        <v>4039</v>
      </c>
      <c r="AJ85" s="184"/>
      <c r="AK85" s="184" t="s">
        <v>2163</v>
      </c>
      <c r="AL85" s="200">
        <f t="shared" si="3"/>
        <v>63</v>
      </c>
      <c r="AM85" s="201">
        <v>2018.0</v>
      </c>
    </row>
    <row r="86">
      <c r="A86" s="158">
        <f t="shared" si="1"/>
        <v>17697368</v>
      </c>
      <c r="B86" s="242">
        <v>86.0</v>
      </c>
      <c r="C86" s="267" t="s">
        <v>4133</v>
      </c>
      <c r="D86" s="184" t="str">
        <f>IFERROR(VLOOKUP(E86,INFORMACION!D:E,2,0),"INGRESAR CENTRO DE COSTO A LA DERECHA")</f>
        <v>INGRESAR CENTRO DE COSTO A LA DERECHA</v>
      </c>
      <c r="E86" s="184" t="s">
        <v>3193</v>
      </c>
      <c r="F86" s="184" t="s">
        <v>3222</v>
      </c>
      <c r="G86" s="186" t="s">
        <v>4134</v>
      </c>
      <c r="H86" s="186">
        <v>8.0</v>
      </c>
      <c r="I86" s="186" t="s">
        <v>2541</v>
      </c>
      <c r="J86" s="184" t="s">
        <v>112</v>
      </c>
      <c r="K86" s="184" t="s">
        <v>114</v>
      </c>
      <c r="L86" s="184" t="s">
        <v>122</v>
      </c>
      <c r="M86" s="184">
        <v>0.0</v>
      </c>
      <c r="N86" s="184" t="s">
        <v>116</v>
      </c>
      <c r="O86" s="184">
        <v>58.0</v>
      </c>
      <c r="P86" s="184">
        <v>8.0</v>
      </c>
      <c r="Q86" s="184">
        <v>0.0</v>
      </c>
      <c r="R86" s="184" t="s">
        <v>121</v>
      </c>
      <c r="S86" s="218">
        <v>43437.0</v>
      </c>
      <c r="T86" s="105"/>
      <c r="U86" s="105" t="s">
        <v>4135</v>
      </c>
      <c r="V86" s="184" t="s">
        <v>4136</v>
      </c>
      <c r="W86" s="184" t="s">
        <v>118</v>
      </c>
      <c r="X86" s="197" t="s">
        <v>166</v>
      </c>
      <c r="Y86" s="197" t="s">
        <v>154</v>
      </c>
      <c r="Z86" s="170"/>
      <c r="AA86" s="219">
        <v>43332.0</v>
      </c>
      <c r="AB86" s="219">
        <v>43339.0</v>
      </c>
      <c r="AC86" s="4"/>
      <c r="AD86" s="4"/>
      <c r="AE86" s="184"/>
      <c r="AF86" s="4"/>
      <c r="AG86" s="4"/>
      <c r="AH86" s="244" t="s">
        <v>2071</v>
      </c>
      <c r="AI86" s="244" t="s">
        <v>4039</v>
      </c>
      <c r="AJ86" s="184"/>
      <c r="AK86" s="184" t="s">
        <v>2163</v>
      </c>
      <c r="AL86" s="200">
        <f t="shared" si="3"/>
        <v>71</v>
      </c>
      <c r="AM86" s="201">
        <v>2018.0</v>
      </c>
    </row>
    <row r="87">
      <c r="A87" s="158">
        <f t="shared" si="1"/>
        <v>16209975</v>
      </c>
      <c r="B87" s="242">
        <v>87.0</v>
      </c>
      <c r="C87" s="267" t="s">
        <v>4133</v>
      </c>
      <c r="D87" s="184" t="str">
        <f>IFERROR(VLOOKUP(E87,INFORMACION!D:E,2,0),"INGRESAR CENTRO DE COSTO A LA DERECHA")</f>
        <v>INGRESAR CENTRO DE COSTO A LA DERECHA</v>
      </c>
      <c r="E87" s="184" t="s">
        <v>3193</v>
      </c>
      <c r="F87" s="184" t="s">
        <v>3222</v>
      </c>
      <c r="G87" s="186" t="s">
        <v>4134</v>
      </c>
      <c r="H87" s="186">
        <v>8.0</v>
      </c>
      <c r="I87" s="186" t="s">
        <v>2541</v>
      </c>
      <c r="J87" s="184" t="s">
        <v>112</v>
      </c>
      <c r="K87" s="184" t="s">
        <v>114</v>
      </c>
      <c r="L87" s="184" t="s">
        <v>122</v>
      </c>
      <c r="M87" s="184">
        <v>0.0</v>
      </c>
      <c r="N87" s="184" t="s">
        <v>116</v>
      </c>
      <c r="O87" s="184">
        <v>58.0</v>
      </c>
      <c r="P87" s="184">
        <v>8.0</v>
      </c>
      <c r="Q87" s="184">
        <v>0.0</v>
      </c>
      <c r="R87" s="184" t="s">
        <v>115</v>
      </c>
      <c r="S87" s="218">
        <v>43437.0</v>
      </c>
      <c r="T87" s="105"/>
      <c r="U87" s="105" t="s">
        <v>4137</v>
      </c>
      <c r="V87" s="184" t="s">
        <v>4138</v>
      </c>
      <c r="W87" s="184" t="s">
        <v>118</v>
      </c>
      <c r="X87" s="197" t="s">
        <v>154</v>
      </c>
      <c r="Y87" s="170"/>
      <c r="Z87" s="197"/>
      <c r="AA87" s="219">
        <v>43332.0</v>
      </c>
      <c r="AB87" s="219">
        <v>43339.0</v>
      </c>
      <c r="AC87" s="4"/>
      <c r="AD87" s="4"/>
      <c r="AE87" s="184"/>
      <c r="AF87" s="4"/>
      <c r="AG87" s="4"/>
      <c r="AH87" s="244" t="s">
        <v>2071</v>
      </c>
      <c r="AI87" s="244" t="s">
        <v>4039</v>
      </c>
      <c r="AJ87" s="184"/>
      <c r="AK87" s="184" t="s">
        <v>2163</v>
      </c>
      <c r="AL87" s="200">
        <f t="shared" si="3"/>
        <v>71</v>
      </c>
      <c r="AM87" s="201">
        <v>2018.0</v>
      </c>
    </row>
    <row r="88">
      <c r="A88" s="158">
        <f t="shared" si="1"/>
        <v>17673495</v>
      </c>
      <c r="B88" s="242">
        <v>88.0</v>
      </c>
      <c r="C88" s="267" t="s">
        <v>4133</v>
      </c>
      <c r="D88" s="184" t="str">
        <f>IFERROR(VLOOKUP(E88,INFORMACION!D:E,2,0),"INGRESAR CENTRO DE COSTO A LA DERECHA")</f>
        <v>INGRESAR CENTRO DE COSTO A LA DERECHA</v>
      </c>
      <c r="E88" s="184" t="s">
        <v>3193</v>
      </c>
      <c r="F88" s="184" t="s">
        <v>3222</v>
      </c>
      <c r="G88" s="186" t="s">
        <v>4134</v>
      </c>
      <c r="H88" s="186">
        <v>8.0</v>
      </c>
      <c r="I88" s="186" t="s">
        <v>2541</v>
      </c>
      <c r="J88" s="184" t="s">
        <v>112</v>
      </c>
      <c r="K88" s="184" t="s">
        <v>114</v>
      </c>
      <c r="L88" s="184" t="s">
        <v>122</v>
      </c>
      <c r="M88" s="184">
        <v>0.0</v>
      </c>
      <c r="N88" s="184" t="s">
        <v>116</v>
      </c>
      <c r="O88" s="184">
        <v>58.0</v>
      </c>
      <c r="P88" s="184">
        <v>8.0</v>
      </c>
      <c r="Q88" s="184">
        <v>0.0</v>
      </c>
      <c r="R88" s="184" t="s">
        <v>115</v>
      </c>
      <c r="S88" s="218">
        <v>43437.0</v>
      </c>
      <c r="T88" s="105"/>
      <c r="U88" s="105" t="s">
        <v>4139</v>
      </c>
      <c r="V88" s="184" t="s">
        <v>4140</v>
      </c>
      <c r="W88" s="184" t="s">
        <v>122</v>
      </c>
      <c r="X88" s="197"/>
      <c r="Y88" s="197"/>
      <c r="Z88" s="170"/>
      <c r="AA88" s="219">
        <v>43332.0</v>
      </c>
      <c r="AB88" s="219">
        <v>43339.0</v>
      </c>
      <c r="AC88" s="4"/>
      <c r="AD88" s="4"/>
      <c r="AE88" s="184"/>
      <c r="AF88" s="4"/>
      <c r="AG88" s="4"/>
      <c r="AH88" s="244" t="s">
        <v>2071</v>
      </c>
      <c r="AI88" s="244" t="s">
        <v>4039</v>
      </c>
      <c r="AJ88" s="184"/>
      <c r="AK88" s="184" t="s">
        <v>2163</v>
      </c>
      <c r="AL88" s="200">
        <f t="shared" si="3"/>
        <v>71</v>
      </c>
      <c r="AM88" s="201">
        <v>2018.0</v>
      </c>
    </row>
    <row r="89">
      <c r="A89" s="158">
        <f t="shared" si="1"/>
        <v>12988103</v>
      </c>
      <c r="B89" s="242">
        <v>89.0</v>
      </c>
      <c r="C89" s="267" t="s">
        <v>4133</v>
      </c>
      <c r="D89" s="184" t="str">
        <f>IFERROR(VLOOKUP(E89,INFORMACION!D:E,2,0),"INGRESAR CENTRO DE COSTO A LA DERECHA")</f>
        <v>INGRESAR CENTRO DE COSTO A LA DERECHA</v>
      </c>
      <c r="E89" s="184" t="s">
        <v>3193</v>
      </c>
      <c r="F89" s="184" t="s">
        <v>3222</v>
      </c>
      <c r="G89" s="186" t="s">
        <v>4134</v>
      </c>
      <c r="H89" s="186">
        <v>8.0</v>
      </c>
      <c r="I89" s="186" t="s">
        <v>2541</v>
      </c>
      <c r="J89" s="184" t="s">
        <v>112</v>
      </c>
      <c r="K89" s="184" t="s">
        <v>114</v>
      </c>
      <c r="L89" s="184" t="s">
        <v>122</v>
      </c>
      <c r="M89" s="184">
        <v>0.0</v>
      </c>
      <c r="N89" s="184" t="s">
        <v>116</v>
      </c>
      <c r="O89" s="184">
        <v>58.0</v>
      </c>
      <c r="P89" s="184">
        <v>8.0</v>
      </c>
      <c r="Q89" s="184">
        <v>0.0</v>
      </c>
      <c r="R89" s="184" t="s">
        <v>115</v>
      </c>
      <c r="S89" s="218">
        <v>43437.0</v>
      </c>
      <c r="T89" s="105"/>
      <c r="U89" s="105" t="s">
        <v>4141</v>
      </c>
      <c r="V89" s="184" t="s">
        <v>4142</v>
      </c>
      <c r="W89" s="184" t="s">
        <v>122</v>
      </c>
      <c r="X89" s="170"/>
      <c r="Y89" s="170"/>
      <c r="Z89" s="170"/>
      <c r="AA89" s="219">
        <v>43339.0</v>
      </c>
      <c r="AB89" s="219">
        <v>43339.0</v>
      </c>
      <c r="AC89" s="4"/>
      <c r="AD89" s="4"/>
      <c r="AE89" s="184"/>
      <c r="AF89" s="4"/>
      <c r="AG89" s="4"/>
      <c r="AH89" s="244" t="s">
        <v>2071</v>
      </c>
      <c r="AI89" s="244" t="s">
        <v>4039</v>
      </c>
      <c r="AJ89" s="184"/>
      <c r="AK89" s="184" t="s">
        <v>2163</v>
      </c>
      <c r="AL89" s="200">
        <f t="shared" si="3"/>
        <v>71</v>
      </c>
      <c r="AM89" s="201">
        <v>2018.0</v>
      </c>
    </row>
    <row r="90">
      <c r="A90" s="158">
        <f t="shared" si="1"/>
        <v>16962501</v>
      </c>
      <c r="B90" s="259">
        <v>90.0</v>
      </c>
      <c r="C90" s="267" t="s">
        <v>4143</v>
      </c>
      <c r="D90" s="184" t="str">
        <f>IFERROR(VLOOKUP(E90,INFORMACION!D:E,2,0),"INGRESAR CENTRO DE COSTO A LA DERECHA")</f>
        <v>INGRESAR CENTRO DE COSTO A LA DERECHA</v>
      </c>
      <c r="E90" s="184" t="s">
        <v>3042</v>
      </c>
      <c r="F90" s="184" t="s">
        <v>2592</v>
      </c>
      <c r="G90" s="186" t="s">
        <v>2333</v>
      </c>
      <c r="H90" s="186">
        <v>17.0</v>
      </c>
      <c r="I90" s="186" t="s">
        <v>2541</v>
      </c>
      <c r="J90" s="184" t="s">
        <v>112</v>
      </c>
      <c r="K90" s="184" t="s">
        <v>120</v>
      </c>
      <c r="L90" s="184" t="s">
        <v>117</v>
      </c>
      <c r="M90" s="184">
        <v>5.0</v>
      </c>
      <c r="N90" s="184" t="s">
        <v>116</v>
      </c>
      <c r="O90" s="184">
        <v>20.0</v>
      </c>
      <c r="P90" s="184">
        <v>4.0</v>
      </c>
      <c r="Q90" s="184">
        <v>0.0</v>
      </c>
      <c r="R90" s="184" t="s">
        <v>121</v>
      </c>
      <c r="S90" s="218">
        <v>43423.0</v>
      </c>
      <c r="T90" s="105"/>
      <c r="U90" s="105" t="s">
        <v>4144</v>
      </c>
      <c r="V90" s="184" t="s">
        <v>4145</v>
      </c>
      <c r="W90" s="184" t="s">
        <v>118</v>
      </c>
      <c r="X90" s="197" t="s">
        <v>164</v>
      </c>
      <c r="Y90" s="197"/>
      <c r="Z90" s="197"/>
      <c r="AA90" s="219">
        <v>43375.0</v>
      </c>
      <c r="AB90" s="219">
        <v>43381.0</v>
      </c>
      <c r="AC90" s="4"/>
      <c r="AD90" s="4"/>
      <c r="AE90" s="184"/>
      <c r="AF90" s="4"/>
      <c r="AG90" s="4"/>
      <c r="AH90" s="244" t="s">
        <v>2071</v>
      </c>
      <c r="AI90" s="244" t="s">
        <v>4146</v>
      </c>
      <c r="AJ90" s="184"/>
      <c r="AK90" s="184" t="s">
        <v>2163</v>
      </c>
      <c r="AL90" s="200">
        <f t="shared" si="3"/>
        <v>31</v>
      </c>
      <c r="AM90" s="201">
        <v>2018.0</v>
      </c>
    </row>
    <row r="91">
      <c r="A91" s="158">
        <f t="shared" si="1"/>
        <v>11975431</v>
      </c>
      <c r="B91" s="236">
        <v>91.0</v>
      </c>
      <c r="C91" s="184" t="s">
        <v>4147</v>
      </c>
      <c r="D91" s="184" t="str">
        <f>IFERROR(VLOOKUP(E91,INFORMACION!D:E,2,0),"INGRESAR CENTRO DE COSTO A LA DERECHA")</f>
        <v>INGRESAR CENTRO DE COSTO A LA DERECHA</v>
      </c>
      <c r="E91" s="184" t="s">
        <v>3042</v>
      </c>
      <c r="F91" s="184" t="s">
        <v>2592</v>
      </c>
      <c r="G91" s="186" t="s">
        <v>2333</v>
      </c>
      <c r="H91" s="186">
        <v>17.0</v>
      </c>
      <c r="I91" s="186" t="s">
        <v>2541</v>
      </c>
      <c r="J91" s="184" t="s">
        <v>112</v>
      </c>
      <c r="K91" s="184" t="s">
        <v>120</v>
      </c>
      <c r="L91" s="184" t="s">
        <v>117</v>
      </c>
      <c r="M91" s="184">
        <v>5.0</v>
      </c>
      <c r="N91" s="184" t="s">
        <v>116</v>
      </c>
      <c r="O91" s="184">
        <v>20.0</v>
      </c>
      <c r="P91" s="184">
        <v>4.0</v>
      </c>
      <c r="Q91" s="184">
        <v>0.0</v>
      </c>
      <c r="R91" s="184" t="s">
        <v>121</v>
      </c>
      <c r="S91" s="218">
        <v>43423.0</v>
      </c>
      <c r="T91" s="105"/>
      <c r="U91" s="105" t="s">
        <v>4148</v>
      </c>
      <c r="V91" s="184" t="s">
        <v>4149</v>
      </c>
      <c r="W91" s="184" t="s">
        <v>118</v>
      </c>
      <c r="X91" s="197" t="s">
        <v>176</v>
      </c>
      <c r="Y91" s="170"/>
      <c r="Z91" s="170"/>
      <c r="AA91" s="219">
        <v>43375.0</v>
      </c>
      <c r="AB91" s="219">
        <v>43381.0</v>
      </c>
      <c r="AC91" s="4"/>
      <c r="AD91" s="4"/>
      <c r="AE91" s="184"/>
      <c r="AF91" s="4"/>
      <c r="AG91" s="4"/>
      <c r="AH91" s="244" t="s">
        <v>2071</v>
      </c>
      <c r="AI91" s="244" t="s">
        <v>4150</v>
      </c>
      <c r="AJ91" s="184"/>
      <c r="AK91" s="184" t="s">
        <v>2163</v>
      </c>
      <c r="AL91" s="200">
        <f t="shared" si="3"/>
        <v>31</v>
      </c>
      <c r="AM91" s="201">
        <v>2018.0</v>
      </c>
    </row>
    <row r="92">
      <c r="A92" s="158">
        <f t="shared" si="1"/>
        <v>11715230</v>
      </c>
      <c r="B92" s="236">
        <v>92.0</v>
      </c>
      <c r="C92" s="184" t="s">
        <v>4151</v>
      </c>
      <c r="D92" s="184" t="str">
        <f>IFERROR(VLOOKUP(E92,INFORMACION!D:E,2,0),"INGRESAR CENTRO DE COSTO A LA DERECHA")</f>
        <v>INGRESAR CENTRO DE COSTO A LA DERECHA</v>
      </c>
      <c r="E92" s="184" t="s">
        <v>4152</v>
      </c>
      <c r="F92" s="184" t="s">
        <v>2752</v>
      </c>
      <c r="G92" s="186" t="s">
        <v>2993</v>
      </c>
      <c r="H92" s="186">
        <v>10.0</v>
      </c>
      <c r="I92" s="186" t="s">
        <v>2541</v>
      </c>
      <c r="J92" s="184" t="s">
        <v>112</v>
      </c>
      <c r="K92" s="184" t="s">
        <v>114</v>
      </c>
      <c r="L92" s="184" t="s">
        <v>117</v>
      </c>
      <c r="M92" s="184">
        <v>4.0</v>
      </c>
      <c r="N92" s="184" t="s">
        <v>116</v>
      </c>
      <c r="O92" s="184">
        <v>19.0</v>
      </c>
      <c r="P92" s="184">
        <v>1.0</v>
      </c>
      <c r="Q92" s="184">
        <v>0.0</v>
      </c>
      <c r="R92" s="184" t="s">
        <v>121</v>
      </c>
      <c r="S92" s="218">
        <v>43435.0</v>
      </c>
      <c r="T92" s="105"/>
      <c r="U92" s="105" t="s">
        <v>4153</v>
      </c>
      <c r="V92" s="184" t="s">
        <v>4154</v>
      </c>
      <c r="W92" s="184" t="s">
        <v>118</v>
      </c>
      <c r="X92" s="197" t="s">
        <v>164</v>
      </c>
      <c r="Y92" s="170"/>
      <c r="Z92" s="170"/>
      <c r="AA92" s="219">
        <v>43397.0</v>
      </c>
      <c r="AB92" s="219">
        <v>43403.0</v>
      </c>
      <c r="AC92" s="4"/>
      <c r="AD92" s="4"/>
      <c r="AE92" s="184"/>
      <c r="AF92" s="4"/>
      <c r="AG92" s="4"/>
      <c r="AH92" s="244" t="s">
        <v>2071</v>
      </c>
      <c r="AI92" s="244" t="s">
        <v>4155</v>
      </c>
      <c r="AJ92" s="184"/>
      <c r="AK92" s="184" t="s">
        <v>2163</v>
      </c>
      <c r="AL92" s="200">
        <f t="shared" si="3"/>
        <v>24</v>
      </c>
      <c r="AM92" s="201">
        <v>2018.0</v>
      </c>
    </row>
    <row r="93">
      <c r="A93" s="158">
        <f t="shared" si="1"/>
        <v>11684269</v>
      </c>
      <c r="B93" s="242">
        <v>93.0</v>
      </c>
      <c r="C93" s="267" t="s">
        <v>4156</v>
      </c>
      <c r="D93" s="184" t="str">
        <f>IFERROR(VLOOKUP(E93,INFORMACION!D:E,2,0),"INGRESAR CENTRO DE COSTO A LA DERECHA")</f>
        <v>INGRESAR CENTRO DE COSTO A LA DERECHA</v>
      </c>
      <c r="E93" s="184" t="s">
        <v>3655</v>
      </c>
      <c r="F93" s="184" t="s">
        <v>2625</v>
      </c>
      <c r="G93" s="186" t="s">
        <v>4157</v>
      </c>
      <c r="H93" s="186">
        <v>10.0</v>
      </c>
      <c r="I93" s="186" t="s">
        <v>2541</v>
      </c>
      <c r="J93" s="184" t="s">
        <v>112</v>
      </c>
      <c r="K93" s="184" t="s">
        <v>114</v>
      </c>
      <c r="L93" s="184" t="s">
        <v>117</v>
      </c>
      <c r="M93" s="184">
        <v>3.0</v>
      </c>
      <c r="N93" s="184" t="s">
        <v>122</v>
      </c>
      <c r="O93" s="184">
        <v>0.0</v>
      </c>
      <c r="P93" s="184">
        <v>1.0</v>
      </c>
      <c r="Q93" s="184">
        <v>0.0</v>
      </c>
      <c r="R93" s="184" t="s">
        <v>121</v>
      </c>
      <c r="S93" s="218">
        <v>43434.0</v>
      </c>
      <c r="T93" s="105" t="s">
        <v>1528</v>
      </c>
      <c r="U93" s="105"/>
      <c r="V93" s="184" t="s">
        <v>2531</v>
      </c>
      <c r="W93" s="184" t="s">
        <v>118</v>
      </c>
      <c r="X93" s="197" t="s">
        <v>176</v>
      </c>
      <c r="Y93" s="170"/>
      <c r="Z93" s="170"/>
      <c r="AA93" s="219">
        <v>43377.0</v>
      </c>
      <c r="AB93" s="219">
        <v>43384.0</v>
      </c>
      <c r="AC93" s="274"/>
      <c r="AD93" s="274"/>
      <c r="AE93" s="275"/>
      <c r="AF93" s="274"/>
      <c r="AG93" s="274"/>
      <c r="AH93" s="244" t="s">
        <v>2071</v>
      </c>
      <c r="AI93" s="244" t="s">
        <v>4158</v>
      </c>
      <c r="AJ93" s="184"/>
      <c r="AK93" s="184" t="s">
        <v>2157</v>
      </c>
      <c r="AL93" s="200">
        <f t="shared" si="3"/>
        <v>37</v>
      </c>
      <c r="AM93" s="201">
        <v>2018.0</v>
      </c>
    </row>
    <row r="94">
      <c r="A94" s="158">
        <f t="shared" si="1"/>
        <v>17031660</v>
      </c>
      <c r="B94" s="242">
        <v>94.0</v>
      </c>
      <c r="C94" s="267" t="s">
        <v>4159</v>
      </c>
      <c r="D94" s="184" t="str">
        <f>IFERROR(VLOOKUP(E94,INFORMACION!D:E,2,0),"INGRESAR CENTRO DE COSTO A LA DERECHA")</f>
        <v>INGRESAR CENTRO DE COSTO A LA DERECHA</v>
      </c>
      <c r="E94" s="184" t="s">
        <v>3532</v>
      </c>
      <c r="F94" s="184" t="s">
        <v>2545</v>
      </c>
      <c r="G94" s="186" t="s">
        <v>1625</v>
      </c>
      <c r="H94" s="186">
        <v>17.0</v>
      </c>
      <c r="I94" s="186" t="s">
        <v>2541</v>
      </c>
      <c r="J94" s="184" t="s">
        <v>112</v>
      </c>
      <c r="K94" s="184" t="s">
        <v>125</v>
      </c>
      <c r="L94" s="184" t="s">
        <v>117</v>
      </c>
      <c r="M94" s="184">
        <v>2.0</v>
      </c>
      <c r="N94" s="184" t="s">
        <v>122</v>
      </c>
      <c r="O94" s="184">
        <v>0.0</v>
      </c>
      <c r="P94" s="184">
        <v>1.0</v>
      </c>
      <c r="Q94" s="184">
        <v>0.0</v>
      </c>
      <c r="R94" s="184" t="s">
        <v>115</v>
      </c>
      <c r="S94" s="218">
        <v>43435.0</v>
      </c>
      <c r="T94" s="105" t="s">
        <v>505</v>
      </c>
      <c r="U94" s="105"/>
      <c r="V94" s="184" t="s">
        <v>2945</v>
      </c>
      <c r="W94" s="184" t="s">
        <v>118</v>
      </c>
      <c r="X94" s="197" t="s">
        <v>154</v>
      </c>
      <c r="Y94" s="170"/>
      <c r="Z94" s="170"/>
      <c r="AA94" s="219">
        <v>43404.0</v>
      </c>
      <c r="AB94" s="219">
        <v>43413.0</v>
      </c>
      <c r="AC94" s="274"/>
      <c r="AD94" s="274"/>
      <c r="AE94" s="275"/>
      <c r="AF94" s="274"/>
      <c r="AG94" s="274"/>
      <c r="AH94" s="244" t="s">
        <v>2071</v>
      </c>
      <c r="AI94" s="244" t="s">
        <v>4160</v>
      </c>
      <c r="AJ94" s="184"/>
      <c r="AK94" s="184" t="s">
        <v>2157</v>
      </c>
      <c r="AL94" s="200">
        <f t="shared" si="3"/>
        <v>16</v>
      </c>
      <c r="AM94" s="201">
        <v>2018.0</v>
      </c>
    </row>
    <row r="95">
      <c r="A95" s="158">
        <f t="shared" si="1"/>
        <v>15342346</v>
      </c>
      <c r="B95" s="242">
        <v>95.0</v>
      </c>
      <c r="C95" s="267" t="s">
        <v>4161</v>
      </c>
      <c r="D95" s="184" t="str">
        <f>IFERROR(VLOOKUP(E95,INFORMACION!D:E,2,0),"INGRESAR CENTRO DE COSTO A LA DERECHA")</f>
        <v>INGRESAR CENTRO DE COSTO A LA DERECHA</v>
      </c>
      <c r="E95" s="184" t="s">
        <v>2961</v>
      </c>
      <c r="F95" s="184" t="s">
        <v>2962</v>
      </c>
      <c r="G95" s="186" t="s">
        <v>4162</v>
      </c>
      <c r="H95" s="186">
        <v>13.0</v>
      </c>
      <c r="I95" s="186" t="s">
        <v>2541</v>
      </c>
      <c r="J95" s="184" t="s">
        <v>112</v>
      </c>
      <c r="K95" s="184" t="s">
        <v>114</v>
      </c>
      <c r="L95" s="184" t="s">
        <v>122</v>
      </c>
      <c r="M95" s="184">
        <v>0.0</v>
      </c>
      <c r="N95" s="184" t="s">
        <v>116</v>
      </c>
      <c r="O95" s="184">
        <v>30.0</v>
      </c>
      <c r="P95" s="184">
        <v>1.0</v>
      </c>
      <c r="Q95" s="184">
        <v>0.0</v>
      </c>
      <c r="R95" s="184" t="s">
        <v>121</v>
      </c>
      <c r="S95" s="218">
        <v>43440.0</v>
      </c>
      <c r="T95" s="105"/>
      <c r="U95" s="105" t="s">
        <v>4163</v>
      </c>
      <c r="V95" s="184" t="s">
        <v>4164</v>
      </c>
      <c r="W95" s="184" t="s">
        <v>118</v>
      </c>
      <c r="X95" s="197" t="s">
        <v>138</v>
      </c>
      <c r="Y95" s="170"/>
      <c r="Z95" s="170"/>
      <c r="AA95" s="219">
        <v>43378.0</v>
      </c>
      <c r="AB95" s="219">
        <v>43385.0</v>
      </c>
      <c r="AC95" s="4"/>
      <c r="AD95" s="4"/>
      <c r="AE95" s="184"/>
      <c r="AF95" s="4"/>
      <c r="AG95" s="4"/>
      <c r="AH95" s="244" t="s">
        <v>2071</v>
      </c>
      <c r="AI95" s="244" t="s">
        <v>4039</v>
      </c>
      <c r="AJ95" s="184"/>
      <c r="AK95" s="184" t="s">
        <v>2163</v>
      </c>
      <c r="AL95" s="200">
        <f t="shared" si="3"/>
        <v>40</v>
      </c>
      <c r="AM95" s="201">
        <v>2018.0</v>
      </c>
    </row>
    <row r="96">
      <c r="A96" s="158">
        <f t="shared" si="1"/>
        <v>15970818</v>
      </c>
      <c r="B96" s="236">
        <v>96.0</v>
      </c>
      <c r="C96" s="184" t="s">
        <v>4165</v>
      </c>
      <c r="D96" s="184" t="str">
        <f>IFERROR(VLOOKUP(E96,INFORMACION!D:E,2,0),"INGRESAR CENTRO DE COSTO A LA DERECHA")</f>
        <v>INGRESAR CENTRO DE COSTO A LA DERECHA</v>
      </c>
      <c r="E96" s="184" t="s">
        <v>2899</v>
      </c>
      <c r="F96" s="184" t="s">
        <v>2540</v>
      </c>
      <c r="G96" s="186" t="s">
        <v>1898</v>
      </c>
      <c r="H96" s="186">
        <v>17.0</v>
      </c>
      <c r="I96" s="186" t="s">
        <v>2541</v>
      </c>
      <c r="J96" s="184" t="s">
        <v>112</v>
      </c>
      <c r="K96" s="184" t="s">
        <v>120</v>
      </c>
      <c r="L96" s="184" t="s">
        <v>117</v>
      </c>
      <c r="M96" s="184">
        <v>1.0</v>
      </c>
      <c r="N96" s="184" t="s">
        <v>116</v>
      </c>
      <c r="O96" s="184">
        <v>25.0</v>
      </c>
      <c r="P96" s="184">
        <v>3.0</v>
      </c>
      <c r="Q96" s="184">
        <v>1.0</v>
      </c>
      <c r="R96" s="184" t="s">
        <v>121</v>
      </c>
      <c r="S96" s="218">
        <v>43451.0</v>
      </c>
      <c r="T96" s="105"/>
      <c r="U96" s="105" t="s">
        <v>4166</v>
      </c>
      <c r="V96" s="184" t="s">
        <v>4167</v>
      </c>
      <c r="W96" s="184" t="s">
        <v>118</v>
      </c>
      <c r="X96" s="184" t="s">
        <v>150</v>
      </c>
      <c r="Y96" s="4"/>
      <c r="Z96" s="4"/>
      <c r="AA96" s="219">
        <v>43383.0</v>
      </c>
      <c r="AB96" s="219">
        <v>43390.0</v>
      </c>
      <c r="AC96" s="4"/>
      <c r="AD96" s="4"/>
      <c r="AE96" s="184"/>
      <c r="AF96" s="4"/>
      <c r="AG96" s="4"/>
      <c r="AH96" s="244" t="s">
        <v>2071</v>
      </c>
      <c r="AI96" s="244" t="s">
        <v>1720</v>
      </c>
      <c r="AJ96" s="184"/>
      <c r="AK96" s="184" t="s">
        <v>2157</v>
      </c>
      <c r="AL96" s="200">
        <f t="shared" si="3"/>
        <v>44</v>
      </c>
      <c r="AM96" s="201">
        <v>2018.0</v>
      </c>
    </row>
    <row r="97">
      <c r="A97" s="158">
        <f t="shared" si="1"/>
        <v>17576116</v>
      </c>
      <c r="B97" s="242">
        <v>97.0</v>
      </c>
      <c r="C97" s="184" t="s">
        <v>4168</v>
      </c>
      <c r="D97" s="184" t="str">
        <f>IFERROR(VLOOKUP(E97,INFORMACION!D:E,2,0),"INGRESAR CENTRO DE COSTO A LA DERECHA")</f>
        <v>INGRESAR CENTRO DE COSTO A LA DERECHA</v>
      </c>
      <c r="E97" s="184" t="s">
        <v>2914</v>
      </c>
      <c r="F97" s="184" t="s">
        <v>3404</v>
      </c>
      <c r="G97" s="186" t="s">
        <v>1885</v>
      </c>
      <c r="H97" s="186">
        <v>17.0</v>
      </c>
      <c r="I97" s="186" t="s">
        <v>2541</v>
      </c>
      <c r="J97" s="184" t="s">
        <v>112</v>
      </c>
      <c r="K97" s="184" t="s">
        <v>125</v>
      </c>
      <c r="L97" s="184" t="s">
        <v>117</v>
      </c>
      <c r="M97" s="184">
        <v>0.0</v>
      </c>
      <c r="N97" s="184" t="s">
        <v>116</v>
      </c>
      <c r="O97" s="184">
        <v>4.0</v>
      </c>
      <c r="P97" s="184">
        <v>1.0</v>
      </c>
      <c r="Q97" s="184">
        <v>0.0</v>
      </c>
      <c r="R97" s="184" t="s">
        <v>115</v>
      </c>
      <c r="S97" s="218">
        <v>43472.0</v>
      </c>
      <c r="T97" s="105"/>
      <c r="U97" s="105" t="s">
        <v>4169</v>
      </c>
      <c r="V97" s="184" t="s">
        <v>4170</v>
      </c>
      <c r="W97" s="184" t="s">
        <v>122</v>
      </c>
      <c r="X97" s="4"/>
      <c r="Y97" s="4"/>
      <c r="Z97" s="4"/>
      <c r="AA97" s="219">
        <v>43448.0</v>
      </c>
      <c r="AB97" s="219">
        <v>43452.0</v>
      </c>
      <c r="AC97" s="4"/>
      <c r="AD97" s="4"/>
      <c r="AE97" s="184"/>
      <c r="AF97" s="4"/>
      <c r="AG97" s="4"/>
      <c r="AH97" s="244" t="s">
        <v>2071</v>
      </c>
      <c r="AI97" s="244" t="s">
        <v>1691</v>
      </c>
      <c r="AJ97" s="184"/>
      <c r="AK97" s="184" t="s">
        <v>2163</v>
      </c>
      <c r="AL97" s="200">
        <f t="shared" si="3"/>
        <v>15</v>
      </c>
      <c r="AM97" s="201">
        <v>2018.0</v>
      </c>
    </row>
    <row r="98">
      <c r="A98" s="158">
        <f t="shared" si="1"/>
        <v>14447359</v>
      </c>
      <c r="B98" s="276">
        <v>98.0</v>
      </c>
      <c r="C98" s="276" t="s">
        <v>4171</v>
      </c>
      <c r="D98" s="276" t="str">
        <f>IFERROR(VLOOKUP(E98,INFORMACION!D:E,2,0),"INGRESAR CENTRO DE COSTO A LA DERECHA")</f>
        <v>INGRESAR CENTRO DE COSTO A LA DERECHA</v>
      </c>
      <c r="E98" s="276" t="s">
        <v>4172</v>
      </c>
      <c r="F98" s="184" t="s">
        <v>2338</v>
      </c>
      <c r="G98" s="186" t="s">
        <v>3290</v>
      </c>
      <c r="H98" s="186">
        <v>13.0</v>
      </c>
      <c r="I98" s="186" t="s">
        <v>2541</v>
      </c>
      <c r="J98" s="184" t="s">
        <v>112</v>
      </c>
      <c r="K98" s="184" t="s">
        <v>114</v>
      </c>
      <c r="L98" s="184" t="s">
        <v>117</v>
      </c>
      <c r="M98" s="184">
        <v>4.0</v>
      </c>
      <c r="N98" s="184" t="s">
        <v>122</v>
      </c>
      <c r="O98" s="184">
        <v>0.0</v>
      </c>
      <c r="P98" s="184">
        <v>2.0</v>
      </c>
      <c r="Q98" s="184">
        <v>0.0</v>
      </c>
      <c r="R98" s="184" t="s">
        <v>121</v>
      </c>
      <c r="S98" s="218">
        <v>43467.0</v>
      </c>
      <c r="T98" s="105" t="s">
        <v>1389</v>
      </c>
      <c r="U98" s="105"/>
      <c r="V98" s="184" t="s">
        <v>4173</v>
      </c>
      <c r="W98" s="184" t="s">
        <v>122</v>
      </c>
      <c r="X98" s="4"/>
      <c r="Y98" s="4"/>
      <c r="Z98" s="4"/>
      <c r="AA98" s="219">
        <v>43383.0</v>
      </c>
      <c r="AB98" s="219">
        <v>43390.0</v>
      </c>
      <c r="AC98" s="274"/>
      <c r="AD98" s="274"/>
      <c r="AE98" s="275"/>
      <c r="AF98" s="274"/>
      <c r="AG98" s="274"/>
      <c r="AH98" s="184" t="s">
        <v>2071</v>
      </c>
      <c r="AI98" s="184" t="s">
        <v>4174</v>
      </c>
      <c r="AJ98" s="184"/>
      <c r="AK98" s="184" t="s">
        <v>2157</v>
      </c>
      <c r="AL98" s="200">
        <f t="shared" si="3"/>
        <v>56</v>
      </c>
      <c r="AM98" s="201">
        <v>2018.0</v>
      </c>
    </row>
    <row r="99">
      <c r="A99" s="277">
        <f t="shared" si="1"/>
        <v>8404597</v>
      </c>
      <c r="B99" s="278">
        <v>99.0</v>
      </c>
      <c r="C99" s="278" t="s">
        <v>4175</v>
      </c>
      <c r="D99" s="278" t="str">
        <f>IFERROR(VLOOKUP(E99,INFORMACION!D:E,2,0),"INGRESAR CENTRO DE COSTO A LA DERECHA")</f>
        <v>INGRESAR CENTRO DE COSTO A LA DERECHA</v>
      </c>
      <c r="E99" s="278" t="s">
        <v>2961</v>
      </c>
      <c r="F99" s="184" t="s">
        <v>2962</v>
      </c>
      <c r="G99" s="186" t="s">
        <v>4162</v>
      </c>
      <c r="H99" s="186">
        <v>13.0</v>
      </c>
      <c r="I99" s="186" t="s">
        <v>2541</v>
      </c>
      <c r="J99" s="184" t="s">
        <v>112</v>
      </c>
      <c r="K99" s="184" t="s">
        <v>114</v>
      </c>
      <c r="L99" s="184" t="s">
        <v>117</v>
      </c>
      <c r="M99" s="184">
        <v>1.0</v>
      </c>
      <c r="N99" s="184" t="s">
        <v>122</v>
      </c>
      <c r="O99" s="184">
        <v>0.0</v>
      </c>
      <c r="P99" s="184">
        <v>1.0</v>
      </c>
      <c r="Q99" s="184">
        <v>0.0</v>
      </c>
      <c r="R99" s="184" t="s">
        <v>121</v>
      </c>
      <c r="S99" s="218">
        <v>43475.0</v>
      </c>
      <c r="T99" s="105" t="s">
        <v>658</v>
      </c>
      <c r="U99" s="105"/>
      <c r="V99" s="184" t="s">
        <v>4176</v>
      </c>
      <c r="W99" s="184" t="s">
        <v>122</v>
      </c>
      <c r="X99" s="4"/>
      <c r="Y99" s="4"/>
      <c r="Z99" s="4"/>
      <c r="AA99" s="219">
        <v>43430.0</v>
      </c>
      <c r="AB99" s="219">
        <v>43437.0</v>
      </c>
      <c r="AC99" s="274"/>
      <c r="AD99" s="274"/>
      <c r="AE99" s="275"/>
      <c r="AF99" s="274"/>
      <c r="AG99" s="274"/>
      <c r="AH99" s="244" t="s">
        <v>2071</v>
      </c>
      <c r="AI99" s="244" t="s">
        <v>4177</v>
      </c>
      <c r="AJ99" s="184"/>
      <c r="AK99" s="184" t="s">
        <v>2157</v>
      </c>
      <c r="AL99" s="200">
        <f t="shared" si="3"/>
        <v>29</v>
      </c>
      <c r="AM99" s="201">
        <v>2018.0</v>
      </c>
    </row>
    <row r="100">
      <c r="A100" s="277">
        <f t="shared" si="1"/>
        <v>9829292</v>
      </c>
      <c r="B100" s="278">
        <v>100.0</v>
      </c>
      <c r="C100" s="278"/>
      <c r="D100" s="278" t="str">
        <f>IFERROR(VLOOKUP(E100,INFORMACION!D:E,2,0),"INGRESAR CENTRO DE COSTO A LA DERECHA")</f>
        <v>INGRESAR CENTRO DE COSTO A LA DERECHA</v>
      </c>
      <c r="E100" s="278" t="s">
        <v>1623</v>
      </c>
      <c r="F100" s="184" t="s">
        <v>3387</v>
      </c>
      <c r="G100" s="186" t="s">
        <v>1989</v>
      </c>
      <c r="H100" s="186">
        <v>10.0</v>
      </c>
      <c r="I100" s="186" t="s">
        <v>2541</v>
      </c>
      <c r="J100" s="184" t="s">
        <v>112</v>
      </c>
      <c r="K100" s="184" t="s">
        <v>114</v>
      </c>
      <c r="L100" s="184" t="s">
        <v>117</v>
      </c>
      <c r="M100" s="184">
        <v>5.0</v>
      </c>
      <c r="N100" s="184" t="s">
        <v>122</v>
      </c>
      <c r="O100" s="184">
        <v>0.0</v>
      </c>
      <c r="P100" s="184">
        <v>3.0</v>
      </c>
      <c r="Q100" s="184">
        <v>0.0</v>
      </c>
      <c r="R100" s="184" t="s">
        <v>115</v>
      </c>
      <c r="S100" s="218">
        <v>43481.0</v>
      </c>
      <c r="T100" s="105" t="s">
        <v>462</v>
      </c>
      <c r="U100" s="105"/>
      <c r="V100" s="184" t="s">
        <v>4178</v>
      </c>
      <c r="W100" s="184" t="s">
        <v>118</v>
      </c>
      <c r="X100" s="184" t="s">
        <v>154</v>
      </c>
      <c r="Y100" s="4"/>
      <c r="Z100" s="4"/>
      <c r="AA100" s="219">
        <v>43430.0</v>
      </c>
      <c r="AB100" s="219">
        <v>43437.0</v>
      </c>
      <c r="AC100" s="274"/>
      <c r="AD100" s="274"/>
      <c r="AE100" s="275"/>
      <c r="AF100" s="274"/>
      <c r="AG100" s="274"/>
      <c r="AH100" s="244" t="s">
        <v>2071</v>
      </c>
      <c r="AI100" s="244" t="s">
        <v>4179</v>
      </c>
      <c r="AJ100" s="184"/>
      <c r="AK100" s="184" t="s">
        <v>2157</v>
      </c>
      <c r="AL100" s="200">
        <f t="shared" si="3"/>
        <v>33</v>
      </c>
      <c r="AM100" s="201">
        <v>2018.0</v>
      </c>
    </row>
    <row r="101">
      <c r="A101" s="158">
        <f t="shared" si="1"/>
        <v>15079671</v>
      </c>
      <c r="B101" s="242">
        <v>101.0</v>
      </c>
      <c r="C101" s="184" t="s">
        <v>4180</v>
      </c>
      <c r="D101" s="184" t="str">
        <f>IFERROR(VLOOKUP(E101,INFORMACION!D:E,2,0),"INGRESAR CENTRO DE COSTO A LA DERECHA")</f>
        <v>INGRESAR CENTRO DE COSTO A LA DERECHA</v>
      </c>
      <c r="E101" s="184" t="s">
        <v>2937</v>
      </c>
      <c r="F101" s="184" t="s">
        <v>2774</v>
      </c>
      <c r="G101" s="186" t="s">
        <v>1611</v>
      </c>
      <c r="H101" s="186">
        <v>14.0</v>
      </c>
      <c r="I101" s="186" t="s">
        <v>2541</v>
      </c>
      <c r="J101" s="184" t="s">
        <v>112</v>
      </c>
      <c r="K101" s="184" t="s">
        <v>114</v>
      </c>
      <c r="L101" s="184" t="s">
        <v>117</v>
      </c>
      <c r="M101" s="184">
        <v>1.0</v>
      </c>
      <c r="N101" s="184" t="s">
        <v>116</v>
      </c>
      <c r="O101" s="184">
        <v>20.0</v>
      </c>
      <c r="P101" s="184">
        <v>2.0</v>
      </c>
      <c r="Q101" s="184">
        <v>0.0</v>
      </c>
      <c r="R101" s="184" t="s">
        <v>121</v>
      </c>
      <c r="S101" s="218">
        <v>43467.0</v>
      </c>
      <c r="T101" s="105"/>
      <c r="U101" s="105" t="s">
        <v>4181</v>
      </c>
      <c r="V101" s="184" t="s">
        <v>4182</v>
      </c>
      <c r="W101" s="184" t="s">
        <v>118</v>
      </c>
      <c r="X101" s="184" t="s">
        <v>176</v>
      </c>
      <c r="Y101" s="184" t="s">
        <v>140</v>
      </c>
      <c r="Z101" s="4"/>
      <c r="AA101" s="219">
        <v>43390.0</v>
      </c>
      <c r="AB101" s="219">
        <v>43397.0</v>
      </c>
      <c r="AC101" s="4"/>
      <c r="AD101" s="4"/>
      <c r="AE101" s="184"/>
      <c r="AF101" s="4"/>
      <c r="AG101" s="4"/>
      <c r="AH101" s="244" t="s">
        <v>2071</v>
      </c>
      <c r="AI101" s="244" t="s">
        <v>4183</v>
      </c>
      <c r="AJ101" s="184"/>
      <c r="AK101" s="184" t="s">
        <v>2163</v>
      </c>
      <c r="AL101" s="200">
        <f t="shared" si="3"/>
        <v>51</v>
      </c>
      <c r="AM101" s="201">
        <v>2018.0</v>
      </c>
    </row>
    <row r="102">
      <c r="A102" s="277">
        <f t="shared" si="1"/>
        <v>16666160</v>
      </c>
      <c r="B102" s="278">
        <v>102.0</v>
      </c>
      <c r="C102" s="278" t="s">
        <v>4184</v>
      </c>
      <c r="D102" s="278" t="str">
        <f>IFERROR(VLOOKUP(E102,INFORMACION!D:E,2,0),"INGRESAR CENTRO DE COSTO A LA DERECHA")</f>
        <v>INGRESAR CENTRO DE COSTO A LA DERECHA</v>
      </c>
      <c r="E102" s="278" t="s">
        <v>2213</v>
      </c>
      <c r="F102" s="184" t="s">
        <v>2596</v>
      </c>
      <c r="G102" s="186" t="s">
        <v>4185</v>
      </c>
      <c r="H102" s="186">
        <v>17.0</v>
      </c>
      <c r="I102" s="186" t="s">
        <v>2541</v>
      </c>
      <c r="J102" s="184" t="s">
        <v>112</v>
      </c>
      <c r="K102" s="184" t="s">
        <v>120</v>
      </c>
      <c r="L102" s="184" t="s">
        <v>117</v>
      </c>
      <c r="M102" s="184">
        <v>4.0</v>
      </c>
      <c r="N102" s="184" t="s">
        <v>122</v>
      </c>
      <c r="O102" s="184">
        <v>0.0</v>
      </c>
      <c r="P102" s="184">
        <v>1.0</v>
      </c>
      <c r="Q102" s="184">
        <v>0.0</v>
      </c>
      <c r="R102" s="184" t="s">
        <v>121</v>
      </c>
      <c r="S102" s="218">
        <v>43528.0</v>
      </c>
      <c r="T102" s="105" t="s">
        <v>906</v>
      </c>
      <c r="U102" s="105"/>
      <c r="V102" s="184" t="s">
        <v>2761</v>
      </c>
      <c r="W102" s="184" t="s">
        <v>122</v>
      </c>
      <c r="X102" s="4"/>
      <c r="Y102" s="4"/>
      <c r="Z102" s="4"/>
      <c r="AA102" s="219">
        <v>43425.0</v>
      </c>
      <c r="AB102" s="219">
        <v>43432.0</v>
      </c>
      <c r="AC102" s="274"/>
      <c r="AD102" s="274"/>
      <c r="AE102" s="275"/>
      <c r="AF102" s="274"/>
      <c r="AG102" s="274"/>
      <c r="AH102" s="244" t="s">
        <v>2071</v>
      </c>
      <c r="AI102" s="244" t="s">
        <v>4186</v>
      </c>
      <c r="AJ102" s="184"/>
      <c r="AK102" s="184" t="s">
        <v>2157</v>
      </c>
      <c r="AL102" s="200">
        <f t="shared" si="3"/>
        <v>69</v>
      </c>
      <c r="AM102" s="201">
        <v>2018.0</v>
      </c>
    </row>
    <row r="103">
      <c r="A103" s="277">
        <f t="shared" si="1"/>
        <v>8815409</v>
      </c>
      <c r="B103" s="278">
        <v>103.0</v>
      </c>
      <c r="C103" s="278" t="s">
        <v>4187</v>
      </c>
      <c r="D103" s="278" t="str">
        <f>IFERROR(VLOOKUP(E103,INFORMACION!D:E,2,0),"INGRESAR CENTRO DE COSTO A LA DERECHA")</f>
        <v>INGRESAR CENTRO DE COSTO A LA DERECHA</v>
      </c>
      <c r="E103" s="278" t="s">
        <v>3554</v>
      </c>
      <c r="F103" s="184" t="s">
        <v>2977</v>
      </c>
      <c r="G103" s="186" t="s">
        <v>4188</v>
      </c>
      <c r="H103" s="186">
        <v>8.0</v>
      </c>
      <c r="I103" s="186" t="s">
        <v>2541</v>
      </c>
      <c r="J103" s="184" t="s">
        <v>112</v>
      </c>
      <c r="K103" s="184" t="s">
        <v>114</v>
      </c>
      <c r="L103" s="184" t="s">
        <v>117</v>
      </c>
      <c r="M103" s="184">
        <v>10.0</v>
      </c>
      <c r="N103" s="184" t="s">
        <v>122</v>
      </c>
      <c r="O103" s="184">
        <v>0.0</v>
      </c>
      <c r="P103" s="184">
        <v>3.0</v>
      </c>
      <c r="Q103" s="184">
        <v>0.0</v>
      </c>
      <c r="R103" s="184" t="s">
        <v>115</v>
      </c>
      <c r="S103" s="218">
        <v>43528.0</v>
      </c>
      <c r="T103" s="105" t="s">
        <v>1072</v>
      </c>
      <c r="U103" s="105"/>
      <c r="V103" s="184" t="s">
        <v>4189</v>
      </c>
      <c r="W103" s="184" t="s">
        <v>118</v>
      </c>
      <c r="X103" s="184" t="s">
        <v>160</v>
      </c>
      <c r="Y103" s="4"/>
      <c r="Z103" s="4"/>
      <c r="AA103" s="219">
        <v>43437.0</v>
      </c>
      <c r="AB103" s="219">
        <v>43444.0</v>
      </c>
      <c r="AC103" s="274"/>
      <c r="AD103" s="274"/>
      <c r="AE103" s="275"/>
      <c r="AF103" s="274"/>
      <c r="AG103" s="274"/>
      <c r="AH103" s="244" t="s">
        <v>2071</v>
      </c>
      <c r="AI103" s="244" t="s">
        <v>4039</v>
      </c>
      <c r="AJ103" s="184"/>
      <c r="AK103" s="184" t="s">
        <v>2157</v>
      </c>
      <c r="AL103" s="200">
        <f t="shared" si="3"/>
        <v>61</v>
      </c>
      <c r="AM103" s="201">
        <v>2018.0</v>
      </c>
    </row>
    <row r="104">
      <c r="A104" s="277">
        <f t="shared" si="1"/>
        <v>10045330</v>
      </c>
      <c r="B104" s="278">
        <v>104.0</v>
      </c>
      <c r="C104" s="278" t="s">
        <v>4190</v>
      </c>
      <c r="D104" s="278" t="str">
        <f>IFERROR(VLOOKUP(E104,INFORMACION!D:E,2,0),"INGRESAR CENTRO DE COSTO A LA DERECHA")</f>
        <v>INGRESAR CENTRO DE COSTO A LA DERECHA</v>
      </c>
      <c r="E104" s="278" t="s">
        <v>4172</v>
      </c>
      <c r="F104" s="184" t="s">
        <v>2338</v>
      </c>
      <c r="G104" s="186" t="s">
        <v>3290</v>
      </c>
      <c r="H104" s="186">
        <v>13.0</v>
      </c>
      <c r="I104" s="186" t="s">
        <v>2541</v>
      </c>
      <c r="J104" s="184" t="s">
        <v>112</v>
      </c>
      <c r="K104" s="184" t="s">
        <v>114</v>
      </c>
      <c r="L104" s="184" t="s">
        <v>117</v>
      </c>
      <c r="M104" s="184">
        <v>4.0</v>
      </c>
      <c r="N104" s="184" t="s">
        <v>122</v>
      </c>
      <c r="O104" s="184">
        <v>0.0</v>
      </c>
      <c r="P104" s="184">
        <v>2.0</v>
      </c>
      <c r="Q104" s="184">
        <v>0.0</v>
      </c>
      <c r="R104" s="184" t="s">
        <v>121</v>
      </c>
      <c r="S104" s="218">
        <v>43488.0</v>
      </c>
      <c r="T104" s="105" t="s">
        <v>1224</v>
      </c>
      <c r="U104" s="105"/>
      <c r="V104" s="184" t="s">
        <v>4191</v>
      </c>
      <c r="W104" s="184" t="s">
        <v>118</v>
      </c>
      <c r="X104" s="184" t="s">
        <v>146</v>
      </c>
      <c r="Y104" s="4"/>
      <c r="Z104" s="4"/>
      <c r="AA104" s="219">
        <v>43383.0</v>
      </c>
      <c r="AB104" s="219">
        <v>43390.0</v>
      </c>
      <c r="AC104" s="274"/>
      <c r="AD104" s="274"/>
      <c r="AE104" s="275"/>
      <c r="AF104" s="274"/>
      <c r="AG104" s="274"/>
      <c r="AH104" s="244" t="s">
        <v>2071</v>
      </c>
      <c r="AI104" s="244" t="s">
        <v>4192</v>
      </c>
      <c r="AJ104" s="184"/>
      <c r="AK104" s="184" t="s">
        <v>2157</v>
      </c>
      <c r="AL104" s="200">
        <f t="shared" si="3"/>
        <v>71</v>
      </c>
      <c r="AM104" s="201">
        <v>2018.0</v>
      </c>
    </row>
    <row r="105">
      <c r="A105" s="277">
        <f t="shared" si="1"/>
        <v>8013027</v>
      </c>
      <c r="B105" s="278">
        <v>105.0</v>
      </c>
      <c r="C105" s="278" t="s">
        <v>4193</v>
      </c>
      <c r="D105" s="278" t="str">
        <f>IFERROR(VLOOKUP(E105,INFORMACION!D:E,2,0),"INGRESAR CENTRO DE COSTO A LA DERECHA")</f>
        <v>INGRESAR CENTRO DE COSTO A LA DERECHA</v>
      </c>
      <c r="E105" s="278" t="s">
        <v>3118</v>
      </c>
      <c r="F105" s="184" t="s">
        <v>3012</v>
      </c>
      <c r="G105" s="186" t="s">
        <v>4194</v>
      </c>
      <c r="H105" s="186">
        <v>13.0</v>
      </c>
      <c r="I105" s="186" t="s">
        <v>2582</v>
      </c>
      <c r="J105" s="184" t="s">
        <v>112</v>
      </c>
      <c r="K105" s="184" t="s">
        <v>114</v>
      </c>
      <c r="L105" s="184" t="s">
        <v>117</v>
      </c>
      <c r="M105" s="184">
        <v>1.0</v>
      </c>
      <c r="N105" s="184" t="s">
        <v>122</v>
      </c>
      <c r="O105" s="184">
        <v>0.0</v>
      </c>
      <c r="P105" s="184">
        <v>1.0</v>
      </c>
      <c r="Q105" s="184">
        <v>0.0</v>
      </c>
      <c r="R105" s="184" t="s">
        <v>115</v>
      </c>
      <c r="S105" s="218">
        <v>43528.0</v>
      </c>
      <c r="T105" s="105" t="s">
        <v>4195</v>
      </c>
      <c r="U105" s="105"/>
      <c r="V105" s="184" t="s">
        <v>4196</v>
      </c>
      <c r="W105" s="184" t="s">
        <v>118</v>
      </c>
      <c r="X105" s="184" t="s">
        <v>138</v>
      </c>
      <c r="Y105" s="184" t="s">
        <v>152</v>
      </c>
      <c r="Z105" s="4"/>
      <c r="AA105" s="219">
        <v>43444.0</v>
      </c>
      <c r="AB105" s="219">
        <v>43451.0</v>
      </c>
      <c r="AC105" s="274"/>
      <c r="AD105" s="274"/>
      <c r="AE105" s="275"/>
      <c r="AF105" s="274"/>
      <c r="AG105" s="274"/>
      <c r="AH105" s="244" t="s">
        <v>2071</v>
      </c>
      <c r="AI105" s="244" t="s">
        <v>4197</v>
      </c>
      <c r="AJ105" s="184"/>
      <c r="AK105" s="184" t="s">
        <v>2157</v>
      </c>
      <c r="AL105" s="200">
        <f t="shared" si="3"/>
        <v>56</v>
      </c>
      <c r="AM105" s="201">
        <v>2018.0</v>
      </c>
    </row>
    <row r="106">
      <c r="A106" s="277">
        <f t="shared" si="1"/>
        <v>11123150</v>
      </c>
      <c r="B106" s="278">
        <v>106.0</v>
      </c>
      <c r="C106" s="278" t="s">
        <v>4198</v>
      </c>
      <c r="D106" s="278" t="str">
        <f>IFERROR(VLOOKUP(E106,INFORMACION!D:E,2,0),"INGRESAR CENTRO DE COSTO A LA DERECHA")</f>
        <v>INGRESAR CENTRO DE COSTO A LA DERECHA</v>
      </c>
      <c r="E106" s="278" t="s">
        <v>4199</v>
      </c>
      <c r="F106" s="184" t="s">
        <v>3260</v>
      </c>
      <c r="G106" s="186" t="s">
        <v>3261</v>
      </c>
      <c r="H106" s="186">
        <v>14.0</v>
      </c>
      <c r="I106" s="186" t="s">
        <v>2541</v>
      </c>
      <c r="J106" s="184" t="s">
        <v>112</v>
      </c>
      <c r="K106" s="184" t="s">
        <v>114</v>
      </c>
      <c r="L106" s="184" t="s">
        <v>117</v>
      </c>
      <c r="M106" s="184">
        <v>9.0</v>
      </c>
      <c r="N106" s="184" t="s">
        <v>122</v>
      </c>
      <c r="O106" s="184">
        <v>0.0</v>
      </c>
      <c r="P106" s="184">
        <v>3.0</v>
      </c>
      <c r="Q106" s="184">
        <v>0.0</v>
      </c>
      <c r="R106" s="184" t="s">
        <v>121</v>
      </c>
      <c r="S106" s="218">
        <v>43529.0</v>
      </c>
      <c r="T106" s="105" t="s">
        <v>728</v>
      </c>
      <c r="U106" s="105"/>
      <c r="V106" s="184" t="s">
        <v>4200</v>
      </c>
      <c r="W106" s="184" t="s">
        <v>118</v>
      </c>
      <c r="X106" s="184" t="s">
        <v>138</v>
      </c>
      <c r="Y106" s="184" t="s">
        <v>164</v>
      </c>
      <c r="Z106" s="4"/>
      <c r="AA106" s="219">
        <v>43420.0</v>
      </c>
      <c r="AB106" s="219">
        <v>43427.0</v>
      </c>
      <c r="AC106" s="274"/>
      <c r="AD106" s="274"/>
      <c r="AE106" s="275"/>
      <c r="AF106" s="274"/>
      <c r="AG106" s="274"/>
      <c r="AH106" s="244" t="s">
        <v>2071</v>
      </c>
      <c r="AI106" s="244" t="s">
        <v>4201</v>
      </c>
      <c r="AJ106" s="184"/>
      <c r="AK106" s="184" t="s">
        <v>2157</v>
      </c>
      <c r="AL106" s="200">
        <f t="shared" si="3"/>
        <v>73</v>
      </c>
      <c r="AM106" s="201">
        <v>2018.0</v>
      </c>
    </row>
    <row r="107">
      <c r="A107" s="158">
        <f t="shared" si="1"/>
        <v>13663549</v>
      </c>
      <c r="B107" s="236">
        <v>107.0</v>
      </c>
      <c r="C107" s="184" t="s">
        <v>4202</v>
      </c>
      <c r="D107" s="184" t="str">
        <f>IFERROR(VLOOKUP(E107,INFORMACION!D:E,2,0),"INGRESAR CENTRO DE COSTO A LA DERECHA")</f>
        <v>INGRESAR CENTRO DE COSTO A LA DERECHA</v>
      </c>
      <c r="E107" s="184" t="s">
        <v>2015</v>
      </c>
      <c r="F107" s="184" t="s">
        <v>3363</v>
      </c>
      <c r="G107" s="186" t="s">
        <v>3362</v>
      </c>
      <c r="H107" s="186">
        <v>13.0</v>
      </c>
      <c r="I107" s="186" t="s">
        <v>2541</v>
      </c>
      <c r="J107" s="184" t="s">
        <v>112</v>
      </c>
      <c r="K107" s="184" t="s">
        <v>114</v>
      </c>
      <c r="L107" s="184" t="s">
        <v>117</v>
      </c>
      <c r="M107" s="184">
        <v>0.0</v>
      </c>
      <c r="N107" s="184" t="s">
        <v>116</v>
      </c>
      <c r="O107" s="184">
        <v>62.0</v>
      </c>
      <c r="P107" s="184">
        <v>3.0</v>
      </c>
      <c r="Q107" s="184">
        <v>0.0</v>
      </c>
      <c r="R107" s="184" t="s">
        <v>121</v>
      </c>
      <c r="S107" s="218">
        <v>43528.0</v>
      </c>
      <c r="T107" s="105"/>
      <c r="U107" s="105" t="s">
        <v>4203</v>
      </c>
      <c r="V107" s="184" t="s">
        <v>4204</v>
      </c>
      <c r="W107" s="184" t="s">
        <v>122</v>
      </c>
      <c r="X107" s="4"/>
      <c r="Y107" s="4"/>
      <c r="Z107" s="4"/>
      <c r="AA107" s="219">
        <v>43390.0</v>
      </c>
      <c r="AB107" s="219">
        <v>43397.0</v>
      </c>
      <c r="AC107" s="4"/>
      <c r="AD107" s="4"/>
      <c r="AE107" s="184"/>
      <c r="AF107" s="4"/>
      <c r="AG107" s="4"/>
      <c r="AH107" s="244" t="s">
        <v>2071</v>
      </c>
      <c r="AI107" s="244" t="s">
        <v>4205</v>
      </c>
      <c r="AJ107" s="184"/>
      <c r="AK107" s="184" t="s">
        <v>2163</v>
      </c>
      <c r="AL107" s="200">
        <f t="shared" si="3"/>
        <v>94</v>
      </c>
      <c r="AM107" s="201">
        <v>2018.0</v>
      </c>
    </row>
    <row r="108">
      <c r="A108" s="158">
        <f t="shared" si="1"/>
        <v>15929844</v>
      </c>
      <c r="B108" s="236">
        <v>108.0</v>
      </c>
      <c r="C108" s="184" t="s">
        <v>4206</v>
      </c>
      <c r="D108" s="184" t="str">
        <f>IFERROR(VLOOKUP(E108,INFORMACION!D:E,2,0),"INGRESAR CENTRO DE COSTO A LA DERECHA")</f>
        <v>INGRESAR CENTRO DE COSTO A LA DERECHA</v>
      </c>
      <c r="E108" s="184" t="s">
        <v>3081</v>
      </c>
      <c r="F108" s="184" t="s">
        <v>2094</v>
      </c>
      <c r="G108" s="186" t="s">
        <v>3207</v>
      </c>
      <c r="H108" s="186">
        <v>10.0</v>
      </c>
      <c r="I108" s="186" t="s">
        <v>2541</v>
      </c>
      <c r="J108" s="184" t="s">
        <v>112</v>
      </c>
      <c r="K108" s="184" t="s">
        <v>114</v>
      </c>
      <c r="L108" s="184" t="s">
        <v>117</v>
      </c>
      <c r="M108" s="184">
        <v>0.0</v>
      </c>
      <c r="N108" s="184" t="s">
        <v>116</v>
      </c>
      <c r="O108" s="184">
        <v>3.0</v>
      </c>
      <c r="P108" s="184">
        <v>2.0</v>
      </c>
      <c r="Q108" s="184">
        <v>0.0</v>
      </c>
      <c r="R108" s="184" t="s">
        <v>121</v>
      </c>
      <c r="S108" s="218">
        <v>43528.0</v>
      </c>
      <c r="T108" s="105"/>
      <c r="U108" s="105" t="s">
        <v>4207</v>
      </c>
      <c r="V108" s="184" t="s">
        <v>4208</v>
      </c>
      <c r="W108" s="184" t="s">
        <v>122</v>
      </c>
      <c r="X108" s="4"/>
      <c r="Y108" s="4"/>
      <c r="Z108" s="4"/>
      <c r="AA108" s="219">
        <v>43451.0</v>
      </c>
      <c r="AB108" s="219">
        <v>43458.0</v>
      </c>
      <c r="AC108" s="4"/>
      <c r="AD108" s="4"/>
      <c r="AE108" s="184"/>
      <c r="AF108" s="4"/>
      <c r="AG108" s="4"/>
      <c r="AH108" s="244" t="s">
        <v>2071</v>
      </c>
      <c r="AI108" s="244" t="s">
        <v>4039</v>
      </c>
      <c r="AJ108" s="184"/>
      <c r="AK108" s="184" t="s">
        <v>2163</v>
      </c>
      <c r="AL108" s="200">
        <f t="shared" si="3"/>
        <v>51</v>
      </c>
      <c r="AM108" s="201">
        <v>2018.0</v>
      </c>
    </row>
    <row r="109">
      <c r="A109" s="277">
        <f t="shared" si="1"/>
        <v>15415292</v>
      </c>
      <c r="B109" s="278">
        <v>109.0</v>
      </c>
      <c r="C109" s="278" t="s">
        <v>4209</v>
      </c>
      <c r="D109" s="278" t="str">
        <f>IFERROR(VLOOKUP(E109,INFORMACION!D:E,2,0),"INGRESAR CENTRO DE COSTO A LA DERECHA")</f>
        <v>INGRESAR CENTRO DE COSTO A LA DERECHA</v>
      </c>
      <c r="E109" s="278" t="s">
        <v>1615</v>
      </c>
      <c r="F109" s="184" t="s">
        <v>3387</v>
      </c>
      <c r="G109" s="186" t="s">
        <v>4210</v>
      </c>
      <c r="H109" s="186">
        <v>10.0</v>
      </c>
      <c r="I109" s="186" t="s">
        <v>2541</v>
      </c>
      <c r="J109" s="184" t="s">
        <v>112</v>
      </c>
      <c r="K109" s="184" t="s">
        <v>114</v>
      </c>
      <c r="L109" s="184" t="s">
        <v>117</v>
      </c>
      <c r="M109" s="184">
        <v>2.0</v>
      </c>
      <c r="N109" s="184" t="s">
        <v>122</v>
      </c>
      <c r="O109" s="184">
        <v>0.0</v>
      </c>
      <c r="P109" s="184">
        <v>1.0</v>
      </c>
      <c r="Q109" s="184">
        <v>0.0</v>
      </c>
      <c r="R109" s="184" t="s">
        <v>121</v>
      </c>
      <c r="S109" s="218">
        <v>43528.0</v>
      </c>
      <c r="T109" s="105" t="s">
        <v>515</v>
      </c>
      <c r="U109" s="105"/>
      <c r="V109" s="184" t="s">
        <v>2727</v>
      </c>
      <c r="W109" s="184" t="s">
        <v>118</v>
      </c>
      <c r="X109" s="184" t="s">
        <v>138</v>
      </c>
      <c r="Y109" s="184" t="s">
        <v>176</v>
      </c>
      <c r="Z109" s="4"/>
      <c r="AA109" s="219">
        <v>43409.0</v>
      </c>
      <c r="AB109" s="219">
        <v>43416.0</v>
      </c>
      <c r="AC109" s="274"/>
      <c r="AD109" s="274"/>
      <c r="AE109" s="275"/>
      <c r="AF109" s="274"/>
      <c r="AG109" s="274"/>
      <c r="AH109" s="244" t="s">
        <v>2071</v>
      </c>
      <c r="AI109" s="244" t="s">
        <v>4211</v>
      </c>
      <c r="AJ109" s="184"/>
      <c r="AK109" s="184" t="s">
        <v>2157</v>
      </c>
      <c r="AL109" s="200">
        <f t="shared" si="3"/>
        <v>81</v>
      </c>
      <c r="AM109" s="201">
        <v>2018.0</v>
      </c>
    </row>
    <row r="110">
      <c r="A110" s="277">
        <f t="shared" si="1"/>
        <v>10655081</v>
      </c>
      <c r="B110" s="278">
        <v>110.0</v>
      </c>
      <c r="C110" s="278" t="s">
        <v>4212</v>
      </c>
      <c r="D110" s="278" t="str">
        <f>IFERROR(VLOOKUP(E110,INFORMACION!D:E,2,0),"INGRESAR CENTRO DE COSTO A LA DERECHA")</f>
        <v>INGRESAR CENTRO DE COSTO A LA DERECHA</v>
      </c>
      <c r="E110" s="278" t="s">
        <v>2495</v>
      </c>
      <c r="F110" s="184" t="s">
        <v>2625</v>
      </c>
      <c r="G110" s="186" t="s">
        <v>4213</v>
      </c>
      <c r="H110" s="186">
        <v>10.0</v>
      </c>
      <c r="I110" s="186" t="s">
        <v>2541</v>
      </c>
      <c r="J110" s="184" t="s">
        <v>112</v>
      </c>
      <c r="K110" s="184" t="s">
        <v>114</v>
      </c>
      <c r="L110" s="184" t="s">
        <v>117</v>
      </c>
      <c r="M110" s="184">
        <v>2.0</v>
      </c>
      <c r="N110" s="184" t="s">
        <v>122</v>
      </c>
      <c r="O110" s="184">
        <v>8.0</v>
      </c>
      <c r="P110" s="184">
        <v>3.0</v>
      </c>
      <c r="Q110" s="184">
        <v>0.0</v>
      </c>
      <c r="R110" s="184" t="s">
        <v>115</v>
      </c>
      <c r="S110" s="218">
        <v>43536.0</v>
      </c>
      <c r="T110" s="105" t="s">
        <v>4214</v>
      </c>
      <c r="U110" s="105"/>
      <c r="V110" s="184" t="s">
        <v>4215</v>
      </c>
      <c r="W110" s="184" t="s">
        <v>122</v>
      </c>
      <c r="X110" s="4"/>
      <c r="Y110" s="4"/>
      <c r="Z110" s="4"/>
      <c r="AA110" s="219">
        <v>43444.0</v>
      </c>
      <c r="AB110" s="219">
        <v>43451.0</v>
      </c>
      <c r="AC110" s="274"/>
      <c r="AD110" s="274"/>
      <c r="AE110" s="275"/>
      <c r="AF110" s="274"/>
      <c r="AG110" s="274"/>
      <c r="AH110" s="244" t="s">
        <v>2071</v>
      </c>
      <c r="AI110" s="244" t="s">
        <v>4216</v>
      </c>
      <c r="AJ110" s="184"/>
      <c r="AK110" s="184" t="s">
        <v>2157</v>
      </c>
      <c r="AL110" s="200">
        <f t="shared" si="3"/>
        <v>62</v>
      </c>
      <c r="AM110" s="201">
        <v>2018.0</v>
      </c>
    </row>
    <row r="111">
      <c r="A111" s="279">
        <f t="shared" si="1"/>
        <v>12578312</v>
      </c>
      <c r="B111" s="280">
        <v>111.0</v>
      </c>
      <c r="C111" s="280" t="s">
        <v>4217</v>
      </c>
      <c r="D111" s="280" t="str">
        <f>IFERROR(VLOOKUP(E111,INFORMACION!D:E,2,0),"INGRESAR CENTRO DE COSTO A LA DERECHA")</f>
        <v>INGRESAR CENTRO DE COSTO A LA DERECHA</v>
      </c>
      <c r="E111" s="280" t="s">
        <v>2883</v>
      </c>
      <c r="F111" s="275" t="s">
        <v>2977</v>
      </c>
      <c r="G111" s="281" t="s">
        <v>4218</v>
      </c>
      <c r="H111" s="281">
        <v>8.0</v>
      </c>
      <c r="I111" s="281" t="s">
        <v>2541</v>
      </c>
      <c r="J111" s="275" t="s">
        <v>112</v>
      </c>
      <c r="K111" s="275" t="s">
        <v>114</v>
      </c>
      <c r="L111" s="275" t="s">
        <v>117</v>
      </c>
      <c r="M111" s="275">
        <v>2.0</v>
      </c>
      <c r="N111" s="275" t="s">
        <v>122</v>
      </c>
      <c r="O111" s="275">
        <v>0.0</v>
      </c>
      <c r="P111" s="275">
        <v>2.0</v>
      </c>
      <c r="Q111" s="275">
        <v>0.0</v>
      </c>
      <c r="R111" s="275" t="s">
        <v>115</v>
      </c>
      <c r="S111" s="282">
        <v>43543.0</v>
      </c>
      <c r="T111" s="283" t="s">
        <v>1283</v>
      </c>
      <c r="U111" s="283"/>
      <c r="V111" s="275" t="s">
        <v>3773</v>
      </c>
      <c r="W111" s="275"/>
      <c r="X111" s="274"/>
      <c r="Y111" s="274"/>
      <c r="Z111" s="274"/>
      <c r="AA111" s="284">
        <v>43483.0</v>
      </c>
      <c r="AB111" s="284">
        <v>43489.0</v>
      </c>
      <c r="AC111" s="274"/>
      <c r="AD111" s="274"/>
      <c r="AE111" s="275"/>
      <c r="AF111" s="274"/>
      <c r="AG111" s="274"/>
      <c r="AH111" s="275" t="s">
        <v>2071</v>
      </c>
      <c r="AI111" s="275"/>
      <c r="AJ111" s="275"/>
      <c r="AK111" s="275" t="s">
        <v>1612</v>
      </c>
      <c r="AL111" s="285">
        <f t="shared" si="3"/>
        <v>39</v>
      </c>
      <c r="AM111" s="286">
        <v>2018.0</v>
      </c>
    </row>
    <row r="112">
      <c r="A112" s="277">
        <f t="shared" si="1"/>
        <v>9063120</v>
      </c>
      <c r="B112" s="278">
        <v>112.0</v>
      </c>
      <c r="C112" s="278" t="s">
        <v>4219</v>
      </c>
      <c r="D112" s="278" t="str">
        <f>IFERROR(VLOOKUP(E112,INFORMACION!D:E,2,0),"INGRESAR CENTRO DE COSTO A LA DERECHA")</f>
        <v>INGRESAR CENTRO DE COSTO A LA DERECHA</v>
      </c>
      <c r="E112" s="278" t="s">
        <v>2937</v>
      </c>
      <c r="F112" s="184" t="s">
        <v>2642</v>
      </c>
      <c r="G112" s="186" t="s">
        <v>4220</v>
      </c>
      <c r="H112" s="186">
        <v>13.0</v>
      </c>
      <c r="I112" s="186" t="s">
        <v>2541</v>
      </c>
      <c r="J112" s="184" t="s">
        <v>112</v>
      </c>
      <c r="K112" s="184" t="s">
        <v>114</v>
      </c>
      <c r="L112" s="184" t="s">
        <v>117</v>
      </c>
      <c r="M112" s="184">
        <v>1.0</v>
      </c>
      <c r="N112" s="184" t="s">
        <v>122</v>
      </c>
      <c r="O112" s="184">
        <v>0.0</v>
      </c>
      <c r="P112" s="184">
        <v>1.0</v>
      </c>
      <c r="Q112" s="184">
        <v>0.0</v>
      </c>
      <c r="R112" s="184" t="s">
        <v>121</v>
      </c>
      <c r="S112" s="218">
        <v>43551.0</v>
      </c>
      <c r="T112" s="105" t="s">
        <v>504</v>
      </c>
      <c r="U112" s="105"/>
      <c r="V112" s="184" t="s">
        <v>4221</v>
      </c>
      <c r="W112" s="184" t="s">
        <v>122</v>
      </c>
      <c r="X112" s="4"/>
      <c r="Y112" s="4"/>
      <c r="Z112" s="4"/>
      <c r="AA112" s="219">
        <v>43474.0</v>
      </c>
      <c r="AB112" s="219">
        <v>43481.0</v>
      </c>
      <c r="AC112" s="274"/>
      <c r="AD112" s="274"/>
      <c r="AE112" s="275"/>
      <c r="AF112" s="274"/>
      <c r="AG112" s="274"/>
      <c r="AH112" s="244" t="s">
        <v>2071</v>
      </c>
      <c r="AI112" s="244" t="s">
        <v>4222</v>
      </c>
      <c r="AJ112" s="184"/>
      <c r="AK112" s="184" t="s">
        <v>1612</v>
      </c>
      <c r="AL112" s="200">
        <f t="shared" si="3"/>
        <v>51</v>
      </c>
      <c r="AM112" s="201">
        <v>2018.0</v>
      </c>
    </row>
    <row r="113">
      <c r="A113" s="277">
        <f t="shared" si="1"/>
        <v>8056884</v>
      </c>
      <c r="B113" s="278">
        <v>113.0</v>
      </c>
      <c r="C113" s="278" t="s">
        <v>4223</v>
      </c>
      <c r="D113" s="278" t="str">
        <f>IFERROR(VLOOKUP(E113,INFORMACION!D:E,2,0),"INGRESAR CENTRO DE COSTO A LA DERECHA")</f>
        <v>INGRESAR CENTRO DE COSTO A LA DERECHA</v>
      </c>
      <c r="E113" s="278" t="s">
        <v>2937</v>
      </c>
      <c r="F113" s="184" t="s">
        <v>2031</v>
      </c>
      <c r="G113" s="186" t="s">
        <v>3002</v>
      </c>
      <c r="H113" s="186">
        <v>13.0</v>
      </c>
      <c r="I113" s="186" t="s">
        <v>2541</v>
      </c>
      <c r="J113" s="184" t="s">
        <v>112</v>
      </c>
      <c r="K113" s="184" t="s">
        <v>114</v>
      </c>
      <c r="L113" s="184" t="s">
        <v>117</v>
      </c>
      <c r="M113" s="184">
        <v>7.0</v>
      </c>
      <c r="N113" s="184" t="s">
        <v>122</v>
      </c>
      <c r="O113" s="184">
        <v>0.0</v>
      </c>
      <c r="P113" s="184">
        <v>1.0</v>
      </c>
      <c r="Q113" s="184">
        <v>0.0</v>
      </c>
      <c r="R113" s="184" t="s">
        <v>121</v>
      </c>
      <c r="S113" s="218">
        <v>43551.0</v>
      </c>
      <c r="T113" s="105" t="s">
        <v>4224</v>
      </c>
      <c r="U113" s="105"/>
      <c r="V113" s="184" t="s">
        <v>4225</v>
      </c>
      <c r="W113" s="184" t="s">
        <v>118</v>
      </c>
      <c r="X113" s="184" t="s">
        <v>138</v>
      </c>
      <c r="Y113" s="4"/>
      <c r="Z113" s="4"/>
      <c r="AA113" s="219">
        <v>43474.0</v>
      </c>
      <c r="AB113" s="219">
        <v>43481.0</v>
      </c>
      <c r="AC113" s="274"/>
      <c r="AD113" s="274"/>
      <c r="AE113" s="275"/>
      <c r="AF113" s="274"/>
      <c r="AG113" s="274"/>
      <c r="AH113" s="244" t="s">
        <v>2071</v>
      </c>
      <c r="AI113" s="244" t="s">
        <v>4226</v>
      </c>
      <c r="AJ113" s="184"/>
      <c r="AK113" s="184" t="s">
        <v>1612</v>
      </c>
      <c r="AL113" s="200">
        <f t="shared" si="3"/>
        <v>51</v>
      </c>
      <c r="AM113" s="201">
        <v>2018.0</v>
      </c>
    </row>
    <row r="114">
      <c r="A114" s="277">
        <f t="shared" si="1"/>
        <v>18085414</v>
      </c>
      <c r="B114" s="278">
        <v>114.0</v>
      </c>
      <c r="C114" s="278" t="s">
        <v>4227</v>
      </c>
      <c r="D114" s="278" t="str">
        <f>IFERROR(VLOOKUP(E114,INFORMACION!D:E,2,0),"INGRESAR CENTRO DE COSTO A LA DERECHA")</f>
        <v>INGRESAR CENTRO DE COSTO A LA DERECHA</v>
      </c>
      <c r="E114" s="278" t="s">
        <v>2937</v>
      </c>
      <c r="F114" s="184" t="s">
        <v>3260</v>
      </c>
      <c r="G114" s="186" t="s">
        <v>3261</v>
      </c>
      <c r="H114" s="186">
        <v>14.0</v>
      </c>
      <c r="I114" s="186" t="s">
        <v>2541</v>
      </c>
      <c r="J114" s="184" t="s">
        <v>112</v>
      </c>
      <c r="K114" s="184" t="s">
        <v>114</v>
      </c>
      <c r="L114" s="184" t="s">
        <v>117</v>
      </c>
      <c r="M114" s="184">
        <v>8.0</v>
      </c>
      <c r="N114" s="184" t="s">
        <v>122</v>
      </c>
      <c r="O114" s="184">
        <v>0.0</v>
      </c>
      <c r="P114" s="184">
        <v>1.0</v>
      </c>
      <c r="Q114" s="184">
        <v>0.0</v>
      </c>
      <c r="R114" s="184" t="s">
        <v>121</v>
      </c>
      <c r="S114" s="218">
        <v>43551.0</v>
      </c>
      <c r="T114" s="105" t="s">
        <v>928</v>
      </c>
      <c r="U114" s="105"/>
      <c r="V114" s="184" t="s">
        <v>4228</v>
      </c>
      <c r="W114" s="184" t="s">
        <v>118</v>
      </c>
      <c r="X114" s="184" t="s">
        <v>138</v>
      </c>
      <c r="Y114" s="184" t="s">
        <v>154</v>
      </c>
      <c r="Z114" s="4"/>
      <c r="AA114" s="219">
        <v>43474.0</v>
      </c>
      <c r="AB114" s="219">
        <v>43481.0</v>
      </c>
      <c r="AC114" s="274"/>
      <c r="AD114" s="274"/>
      <c r="AE114" s="275"/>
      <c r="AF114" s="274"/>
      <c r="AG114" s="274"/>
      <c r="AH114" s="244" t="s">
        <v>2071</v>
      </c>
      <c r="AI114" s="244" t="s">
        <v>4229</v>
      </c>
      <c r="AJ114" s="184"/>
      <c r="AK114" s="184" t="s">
        <v>1612</v>
      </c>
      <c r="AL114" s="200">
        <f t="shared" si="3"/>
        <v>51</v>
      </c>
      <c r="AM114" s="201">
        <v>2018.0</v>
      </c>
    </row>
    <row r="115">
      <c r="A115" s="277">
        <f t="shared" si="1"/>
        <v>8860929</v>
      </c>
      <c r="B115" s="278">
        <v>115.0</v>
      </c>
      <c r="C115" s="278" t="s">
        <v>4230</v>
      </c>
      <c r="D115" s="278" t="str">
        <f>IFERROR(VLOOKUP(E115,INFORMACION!D:E,2,0),"INGRESAR CENTRO DE COSTO A LA DERECHA")</f>
        <v>INGRESAR CENTRO DE COSTO A LA DERECHA</v>
      </c>
      <c r="E115" s="278" t="s">
        <v>3011</v>
      </c>
      <c r="F115" s="184" t="s">
        <v>2382</v>
      </c>
      <c r="G115" s="186" t="s">
        <v>2383</v>
      </c>
      <c r="H115" s="186">
        <v>20.0</v>
      </c>
      <c r="I115" s="186" t="s">
        <v>2541</v>
      </c>
      <c r="J115" s="184" t="s">
        <v>112</v>
      </c>
      <c r="K115" s="184" t="s">
        <v>125</v>
      </c>
      <c r="L115" s="184" t="s">
        <v>117</v>
      </c>
      <c r="M115" s="184">
        <v>1.0</v>
      </c>
      <c r="N115" s="184" t="s">
        <v>122</v>
      </c>
      <c r="O115" s="184">
        <v>0.0</v>
      </c>
      <c r="P115" s="184">
        <v>1.0</v>
      </c>
      <c r="Q115" s="184">
        <v>0.0</v>
      </c>
      <c r="R115" s="184" t="s">
        <v>115</v>
      </c>
      <c r="S115" s="218">
        <v>43564.0</v>
      </c>
      <c r="T115" s="105" t="s">
        <v>534</v>
      </c>
      <c r="U115" s="105"/>
      <c r="V115" s="184" t="s">
        <v>4231</v>
      </c>
      <c r="W115" s="184" t="s">
        <v>118</v>
      </c>
      <c r="X115" s="184" t="s">
        <v>176</v>
      </c>
      <c r="Y115" s="184"/>
      <c r="Z115" s="4"/>
      <c r="AA115" s="219">
        <v>43475.0</v>
      </c>
      <c r="AB115" s="219">
        <v>43482.0</v>
      </c>
      <c r="AC115" s="274"/>
      <c r="AD115" s="274"/>
      <c r="AE115" s="275"/>
      <c r="AF115" s="274"/>
      <c r="AG115" s="274"/>
      <c r="AH115" s="244" t="s">
        <v>2071</v>
      </c>
      <c r="AI115" s="244" t="s">
        <v>4039</v>
      </c>
      <c r="AJ115" s="184"/>
      <c r="AK115" s="184" t="s">
        <v>2157</v>
      </c>
      <c r="AL115" s="200">
        <f t="shared" si="3"/>
        <v>59</v>
      </c>
      <c r="AM115" s="201">
        <v>2018.0</v>
      </c>
    </row>
    <row r="116">
      <c r="A116" s="277">
        <f t="shared" si="1"/>
        <v>14197589</v>
      </c>
      <c r="B116" s="278">
        <v>116.0</v>
      </c>
      <c r="C116" s="278" t="s">
        <v>4232</v>
      </c>
      <c r="D116" s="278" t="str">
        <f>IFERROR(VLOOKUP(E116,INFORMACION!D:E,2,0),"INGRESAR CENTRO DE COSTO A LA DERECHA")</f>
        <v>INGRESAR CENTRO DE COSTO A LA DERECHA</v>
      </c>
      <c r="E116" s="278" t="s">
        <v>1618</v>
      </c>
      <c r="F116" s="184" t="s">
        <v>2545</v>
      </c>
      <c r="G116" s="186" t="s">
        <v>4233</v>
      </c>
      <c r="H116" s="186">
        <v>17.0</v>
      </c>
      <c r="I116" s="186" t="s">
        <v>2541</v>
      </c>
      <c r="J116" s="184" t="s">
        <v>112</v>
      </c>
      <c r="K116" s="184" t="s">
        <v>125</v>
      </c>
      <c r="L116" s="184" t="s">
        <v>117</v>
      </c>
      <c r="M116" s="184">
        <v>1.0</v>
      </c>
      <c r="N116" s="184" t="s">
        <v>122</v>
      </c>
      <c r="O116" s="184">
        <v>0.0</v>
      </c>
      <c r="P116" s="184">
        <v>1.0</v>
      </c>
      <c r="Q116" s="184">
        <v>0.0</v>
      </c>
      <c r="R116" s="184" t="s">
        <v>121</v>
      </c>
      <c r="S116" s="218">
        <v>43560.0</v>
      </c>
      <c r="T116" s="105" t="s">
        <v>709</v>
      </c>
      <c r="U116" s="105"/>
      <c r="V116" s="184" t="s">
        <v>3086</v>
      </c>
      <c r="W116" s="184" t="s">
        <v>118</v>
      </c>
      <c r="X116" s="184" t="s">
        <v>138</v>
      </c>
      <c r="Y116" s="184" t="s">
        <v>154</v>
      </c>
      <c r="Z116" s="4"/>
      <c r="AA116" s="219">
        <v>43482.0</v>
      </c>
      <c r="AB116" s="219">
        <v>43489.0</v>
      </c>
      <c r="AC116" s="274"/>
      <c r="AD116" s="274"/>
      <c r="AE116" s="275"/>
      <c r="AF116" s="274"/>
      <c r="AG116" s="274"/>
      <c r="AH116" s="244" t="s">
        <v>2071</v>
      </c>
      <c r="AI116" s="244" t="s">
        <v>4039</v>
      </c>
      <c r="AJ116" s="184"/>
      <c r="AK116" s="184" t="s">
        <v>2157</v>
      </c>
      <c r="AL116" s="200">
        <f t="shared" si="3"/>
        <v>52</v>
      </c>
      <c r="AM116" s="201">
        <v>2018.0</v>
      </c>
    </row>
    <row r="117">
      <c r="A117" s="277">
        <f t="shared" si="1"/>
        <v>12260688</v>
      </c>
      <c r="B117" s="278">
        <v>117.0</v>
      </c>
      <c r="C117" s="278" t="s">
        <v>4234</v>
      </c>
      <c r="D117" s="278" t="str">
        <f>IFERROR(VLOOKUP(E117,INFORMACION!D:E,2,0),"INGRESAR CENTRO DE COSTO A LA DERECHA")</f>
        <v>INGRESAR CENTRO DE COSTO A LA DERECHA</v>
      </c>
      <c r="E117" s="278" t="s">
        <v>1618</v>
      </c>
      <c r="F117" s="184" t="s">
        <v>2540</v>
      </c>
      <c r="G117" s="186" t="s">
        <v>1898</v>
      </c>
      <c r="H117" s="186">
        <v>17.0</v>
      </c>
      <c r="I117" s="186" t="s">
        <v>2541</v>
      </c>
      <c r="J117" s="184" t="s">
        <v>112</v>
      </c>
      <c r="K117" s="184" t="s">
        <v>120</v>
      </c>
      <c r="L117" s="184" t="s">
        <v>117</v>
      </c>
      <c r="M117" s="184">
        <v>1.0</v>
      </c>
      <c r="N117" s="184" t="s">
        <v>122</v>
      </c>
      <c r="O117" s="184">
        <v>0.0</v>
      </c>
      <c r="P117" s="184">
        <v>1.0</v>
      </c>
      <c r="Q117" s="184">
        <v>0.0</v>
      </c>
      <c r="R117" s="184" t="s">
        <v>121</v>
      </c>
      <c r="S117" s="218">
        <v>43556.0</v>
      </c>
      <c r="T117" s="105" t="s">
        <v>163</v>
      </c>
      <c r="U117" s="105"/>
      <c r="V117" s="184" t="s">
        <v>3587</v>
      </c>
      <c r="W117" s="184" t="s">
        <v>118</v>
      </c>
      <c r="X117" s="184" t="s">
        <v>150</v>
      </c>
      <c r="Y117" s="184"/>
      <c r="Z117" s="4"/>
      <c r="AA117" s="219">
        <v>43479.0</v>
      </c>
      <c r="AB117" s="219">
        <v>43483.0</v>
      </c>
      <c r="AC117" s="274"/>
      <c r="AD117" s="274"/>
      <c r="AE117" s="275"/>
      <c r="AF117" s="274"/>
      <c r="AG117" s="274"/>
      <c r="AH117" s="244" t="s">
        <v>2071</v>
      </c>
      <c r="AI117" s="244" t="s">
        <v>4039</v>
      </c>
      <c r="AJ117" s="184"/>
      <c r="AK117" s="184" t="s">
        <v>2157</v>
      </c>
      <c r="AL117" s="200">
        <f t="shared" si="3"/>
        <v>52</v>
      </c>
      <c r="AM117" s="201">
        <v>2018.0</v>
      </c>
    </row>
    <row r="118">
      <c r="A118" s="277">
        <f t="shared" si="1"/>
        <v>10268835</v>
      </c>
      <c r="B118" s="278">
        <v>118.0</v>
      </c>
      <c r="C118" s="287" t="s">
        <v>4235</v>
      </c>
      <c r="D118" s="278" t="str">
        <f>IFERROR(VLOOKUP(E118,INFORMACION!D:E,2,0),"INGRESAR CENTRO DE COSTO A LA DERECHA")</f>
        <v>INGRESAR CENTRO DE COSTO A LA DERECHA</v>
      </c>
      <c r="E118" s="287" t="s">
        <v>4236</v>
      </c>
      <c r="F118" s="184" t="s">
        <v>2540</v>
      </c>
      <c r="G118" s="186" t="s">
        <v>1898</v>
      </c>
      <c r="H118" s="186">
        <v>17.0</v>
      </c>
      <c r="I118" s="186" t="s">
        <v>2541</v>
      </c>
      <c r="J118" s="184" t="s">
        <v>112</v>
      </c>
      <c r="K118" s="184" t="s">
        <v>120</v>
      </c>
      <c r="L118" s="184" t="s">
        <v>117</v>
      </c>
      <c r="M118" s="184">
        <v>2.0</v>
      </c>
      <c r="N118" s="184" t="s">
        <v>122</v>
      </c>
      <c r="O118" s="184">
        <v>0.0</v>
      </c>
      <c r="P118" s="184">
        <v>1.0</v>
      </c>
      <c r="Q118" s="184">
        <v>0.0</v>
      </c>
      <c r="R118" s="184" t="s">
        <v>121</v>
      </c>
      <c r="S118" s="218">
        <v>43559.0</v>
      </c>
      <c r="T118" s="105" t="s">
        <v>326</v>
      </c>
      <c r="U118" s="105"/>
      <c r="V118" s="184" t="s">
        <v>4237</v>
      </c>
      <c r="W118" s="184" t="s">
        <v>118</v>
      </c>
      <c r="X118" s="184" t="s">
        <v>154</v>
      </c>
      <c r="Y118" s="184" t="s">
        <v>150</v>
      </c>
      <c r="Z118" s="4"/>
      <c r="AA118" s="219">
        <v>43475.0</v>
      </c>
      <c r="AB118" s="219">
        <v>43482.0</v>
      </c>
      <c r="AC118" s="274"/>
      <c r="AD118" s="274"/>
      <c r="AE118" s="275"/>
      <c r="AF118" s="274"/>
      <c r="AG118" s="274"/>
      <c r="AH118" s="244" t="s">
        <v>2071</v>
      </c>
      <c r="AI118" s="244" t="s">
        <v>4238</v>
      </c>
      <c r="AJ118" s="184"/>
      <c r="AK118" s="184" t="s">
        <v>2157</v>
      </c>
      <c r="AL118" s="200">
        <f t="shared" si="3"/>
        <v>56</v>
      </c>
      <c r="AM118" s="201">
        <v>2018.0</v>
      </c>
    </row>
    <row r="119">
      <c r="A119" s="277">
        <f t="shared" si="1"/>
        <v>18392973</v>
      </c>
      <c r="B119" s="278">
        <v>119.0</v>
      </c>
      <c r="C119" s="287" t="s">
        <v>4239</v>
      </c>
      <c r="D119" s="278" t="str">
        <f>IFERROR(VLOOKUP(E119,INFORMACION!D:E,2,0),"INGRESAR CENTRO DE COSTO A LA DERECHA")</f>
        <v>INGRESAR CENTRO DE COSTO A LA DERECHA</v>
      </c>
      <c r="E119" s="287" t="s">
        <v>2015</v>
      </c>
      <c r="F119" s="184" t="s">
        <v>2690</v>
      </c>
      <c r="G119" s="186" t="s">
        <v>1815</v>
      </c>
      <c r="H119" s="186"/>
      <c r="I119" s="186" t="s">
        <v>2582</v>
      </c>
      <c r="J119" s="186" t="s">
        <v>4240</v>
      </c>
      <c r="K119" s="184" t="s">
        <v>114</v>
      </c>
      <c r="L119" s="184" t="s">
        <v>122</v>
      </c>
      <c r="M119" s="184">
        <v>0.0</v>
      </c>
      <c r="N119" s="184" t="s">
        <v>116</v>
      </c>
      <c r="O119" s="184">
        <v>26.0</v>
      </c>
      <c r="P119" s="184">
        <v>2.0</v>
      </c>
      <c r="Q119" s="184">
        <v>0.0</v>
      </c>
      <c r="R119" s="184" t="s">
        <v>121</v>
      </c>
      <c r="S119" s="218">
        <v>43556.0</v>
      </c>
      <c r="T119" s="105"/>
      <c r="U119" s="105" t="s">
        <v>4241</v>
      </c>
      <c r="V119" s="184" t="s">
        <v>4242</v>
      </c>
      <c r="W119" s="184" t="s">
        <v>118</v>
      </c>
      <c r="X119" s="184" t="s">
        <v>138</v>
      </c>
      <c r="Y119" s="184"/>
      <c r="Z119" s="4"/>
      <c r="AA119" s="219">
        <v>43486.0</v>
      </c>
      <c r="AB119" s="219">
        <v>43529.0</v>
      </c>
      <c r="AC119" s="274"/>
      <c r="AD119" s="274"/>
      <c r="AE119" s="275"/>
      <c r="AF119" s="274"/>
      <c r="AG119" s="274"/>
      <c r="AH119" s="244" t="s">
        <v>2071</v>
      </c>
      <c r="AI119" s="244" t="s">
        <v>4243</v>
      </c>
      <c r="AJ119" s="184"/>
      <c r="AK119" s="184" t="s">
        <v>2163</v>
      </c>
      <c r="AL119" s="200">
        <f t="shared" si="3"/>
        <v>20</v>
      </c>
      <c r="AM119" s="201">
        <v>2018.0</v>
      </c>
    </row>
    <row r="120">
      <c r="A120" s="277">
        <f t="shared" si="1"/>
        <v>15370916</v>
      </c>
      <c r="B120" s="278">
        <v>120.0</v>
      </c>
      <c r="C120" s="287" t="s">
        <v>4244</v>
      </c>
      <c r="D120" s="278" t="str">
        <f>IFERROR(VLOOKUP(E120,INFORMACION!D:E,2,0),"INGRESAR CENTRO DE COSTO A LA DERECHA")</f>
        <v>INGRESAR CENTRO DE COSTO A LA DERECHA</v>
      </c>
      <c r="E120" s="287" t="s">
        <v>2714</v>
      </c>
      <c r="F120" s="184" t="s">
        <v>2650</v>
      </c>
      <c r="G120" s="186" t="s">
        <v>3797</v>
      </c>
      <c r="H120" s="186">
        <v>17.0</v>
      </c>
      <c r="I120" s="186" t="s">
        <v>2541</v>
      </c>
      <c r="J120" s="184" t="s">
        <v>112</v>
      </c>
      <c r="K120" s="184" t="s">
        <v>120</v>
      </c>
      <c r="L120" s="184" t="s">
        <v>117</v>
      </c>
      <c r="M120" s="184">
        <v>3.0</v>
      </c>
      <c r="N120" s="184" t="s">
        <v>122</v>
      </c>
      <c r="O120" s="184">
        <v>0.0</v>
      </c>
      <c r="P120" s="184">
        <v>2.0</v>
      </c>
      <c r="Q120" s="184">
        <v>0.0</v>
      </c>
      <c r="R120" s="184" t="s">
        <v>121</v>
      </c>
      <c r="S120" s="218">
        <v>43566.0</v>
      </c>
      <c r="T120" s="105" t="s">
        <v>1046</v>
      </c>
      <c r="U120" s="105"/>
      <c r="V120" s="184" t="s">
        <v>4245</v>
      </c>
      <c r="W120" s="184" t="s">
        <v>118</v>
      </c>
      <c r="X120" s="184" t="s">
        <v>176</v>
      </c>
      <c r="Y120" s="184" t="s">
        <v>150</v>
      </c>
      <c r="Z120" s="4"/>
      <c r="AA120" s="219">
        <v>43487.0</v>
      </c>
      <c r="AB120" s="219">
        <v>43490.0</v>
      </c>
      <c r="AC120" s="274"/>
      <c r="AD120" s="274"/>
      <c r="AE120" s="275"/>
      <c r="AF120" s="274"/>
      <c r="AG120" s="274"/>
      <c r="AH120" s="244" t="s">
        <v>2071</v>
      </c>
      <c r="AI120" s="244" t="s">
        <v>4039</v>
      </c>
      <c r="AJ120" s="184"/>
      <c r="AK120" s="184" t="s">
        <v>2157</v>
      </c>
      <c r="AL120" s="200">
        <f t="shared" si="3"/>
        <v>55</v>
      </c>
      <c r="AM120" s="201">
        <v>2018.0</v>
      </c>
    </row>
    <row r="121">
      <c r="A121" s="277">
        <f t="shared" si="1"/>
        <v>12306152</v>
      </c>
      <c r="B121" s="278">
        <v>121.0</v>
      </c>
      <c r="C121" s="287" t="s">
        <v>4246</v>
      </c>
      <c r="D121" s="278" t="str">
        <f>IFERROR(VLOOKUP(E121,INFORMACION!D:E,2,0),"INGRESAR CENTRO DE COSTO A LA DERECHA")</f>
        <v>INGRESAR CENTRO DE COSTO A LA DERECHA</v>
      </c>
      <c r="E121" s="287" t="s">
        <v>3042</v>
      </c>
      <c r="F121" s="184" t="s">
        <v>2031</v>
      </c>
      <c r="G121" s="186" t="s">
        <v>4247</v>
      </c>
      <c r="H121" s="186">
        <v>13.0</v>
      </c>
      <c r="I121" s="186" t="s">
        <v>2541</v>
      </c>
      <c r="J121" s="184" t="s">
        <v>112</v>
      </c>
      <c r="K121" s="184" t="s">
        <v>114</v>
      </c>
      <c r="L121" s="184" t="s">
        <v>117</v>
      </c>
      <c r="M121" s="184">
        <v>0.0</v>
      </c>
      <c r="N121" s="184" t="s">
        <v>116</v>
      </c>
      <c r="O121" s="184">
        <v>21.0</v>
      </c>
      <c r="P121" s="184">
        <v>2.0</v>
      </c>
      <c r="Q121" s="184">
        <v>0.0</v>
      </c>
      <c r="R121" s="184" t="s">
        <v>121</v>
      </c>
      <c r="S121" s="218">
        <v>43564.0</v>
      </c>
      <c r="T121" s="105"/>
      <c r="U121" s="105" t="s">
        <v>4248</v>
      </c>
      <c r="V121" s="184" t="s">
        <v>4249</v>
      </c>
      <c r="W121" s="184" t="s">
        <v>118</v>
      </c>
      <c r="X121" s="184" t="s">
        <v>164</v>
      </c>
      <c r="Y121" s="184"/>
      <c r="Z121" s="4"/>
      <c r="AA121" s="219">
        <v>43392.0</v>
      </c>
      <c r="AB121" s="219">
        <v>43399.0</v>
      </c>
      <c r="AC121" s="274"/>
      <c r="AD121" s="274"/>
      <c r="AE121" s="275"/>
      <c r="AF121" s="274"/>
      <c r="AG121" s="274"/>
      <c r="AH121" s="244" t="s">
        <v>2071</v>
      </c>
      <c r="AI121" s="244" t="s">
        <v>4250</v>
      </c>
      <c r="AJ121" s="184"/>
      <c r="AK121" s="184" t="s">
        <v>2157</v>
      </c>
      <c r="AL121" s="200">
        <f t="shared" si="3"/>
        <v>118</v>
      </c>
      <c r="AM121" s="201">
        <v>2018.0</v>
      </c>
    </row>
    <row r="122">
      <c r="A122" s="277">
        <f t="shared" si="1"/>
        <v>16826269</v>
      </c>
      <c r="B122" s="278">
        <v>122.0</v>
      </c>
      <c r="C122" s="287" t="s">
        <v>4251</v>
      </c>
      <c r="D122" s="278" t="str">
        <f>IFERROR(VLOOKUP(E122,INFORMACION!D:E,2,0),"INGRESAR CENTRO DE COSTO A LA DERECHA")</f>
        <v>INGRESAR CENTRO DE COSTO A LA DERECHA</v>
      </c>
      <c r="E122" s="287" t="s">
        <v>1695</v>
      </c>
      <c r="F122" s="184" t="s">
        <v>2576</v>
      </c>
      <c r="G122" s="186" t="s">
        <v>1741</v>
      </c>
      <c r="H122" s="186">
        <v>21.0</v>
      </c>
      <c r="I122" s="186" t="s">
        <v>2541</v>
      </c>
      <c r="J122" s="184" t="s">
        <v>112</v>
      </c>
      <c r="K122" s="184" t="s">
        <v>127</v>
      </c>
      <c r="L122" s="184" t="s">
        <v>117</v>
      </c>
      <c r="M122" s="184">
        <v>0.0</v>
      </c>
      <c r="N122" s="184" t="s">
        <v>116</v>
      </c>
      <c r="O122" s="184">
        <v>11.0</v>
      </c>
      <c r="P122" s="184">
        <v>2.0</v>
      </c>
      <c r="Q122" s="184">
        <v>0.0</v>
      </c>
      <c r="R122" s="184" t="s">
        <v>115</v>
      </c>
      <c r="S122" s="218">
        <v>43367.0</v>
      </c>
      <c r="T122" s="105"/>
      <c r="U122" s="105" t="s">
        <v>4252</v>
      </c>
      <c r="V122" s="184" t="s">
        <v>4253</v>
      </c>
      <c r="W122" s="184" t="s">
        <v>118</v>
      </c>
      <c r="X122" s="184" t="s">
        <v>176</v>
      </c>
      <c r="Y122" s="184"/>
      <c r="Z122" s="4"/>
      <c r="AA122" s="219">
        <v>43326.0</v>
      </c>
      <c r="AB122" s="219">
        <v>43332.0</v>
      </c>
      <c r="AC122" s="274"/>
      <c r="AD122" s="274"/>
      <c r="AE122" s="275"/>
      <c r="AF122" s="274"/>
      <c r="AG122" s="274"/>
      <c r="AH122" s="244" t="s">
        <v>2071</v>
      </c>
      <c r="AI122" s="244" t="s">
        <v>4254</v>
      </c>
      <c r="AJ122" s="184"/>
      <c r="AK122" s="184" t="s">
        <v>2157</v>
      </c>
      <c r="AL122" s="200">
        <f t="shared" si="3"/>
        <v>26</v>
      </c>
      <c r="AM122" s="201">
        <v>2018.0</v>
      </c>
    </row>
    <row r="123">
      <c r="A123" s="277">
        <f t="shared" si="1"/>
        <v>9036567</v>
      </c>
      <c r="B123" s="278">
        <v>123.0</v>
      </c>
      <c r="C123" s="287" t="s">
        <v>4255</v>
      </c>
      <c r="D123" s="278" t="str">
        <f>IFERROR(VLOOKUP(E123,INFORMACION!D:E,2,0),"INGRESAR CENTRO DE COSTO A LA DERECHA")</f>
        <v>INGRESAR CENTRO DE COSTO A LA DERECHA</v>
      </c>
      <c r="E123" s="287" t="s">
        <v>1830</v>
      </c>
      <c r="F123" s="184" t="s">
        <v>2625</v>
      </c>
      <c r="G123" s="186" t="s">
        <v>4256</v>
      </c>
      <c r="H123" s="186">
        <v>10.0</v>
      </c>
      <c r="I123" s="186" t="s">
        <v>2541</v>
      </c>
      <c r="J123" s="184" t="s">
        <v>112</v>
      </c>
      <c r="K123" s="184" t="s">
        <v>114</v>
      </c>
      <c r="L123" s="184" t="s">
        <v>117</v>
      </c>
      <c r="M123" s="184">
        <v>2.0</v>
      </c>
      <c r="N123" s="184" t="s">
        <v>116</v>
      </c>
      <c r="O123" s="184">
        <v>23.0</v>
      </c>
      <c r="P123" s="184">
        <v>2.0</v>
      </c>
      <c r="Q123" s="184">
        <v>0.0</v>
      </c>
      <c r="R123" s="184" t="s">
        <v>121</v>
      </c>
      <c r="S123" s="218">
        <v>43528.0</v>
      </c>
      <c r="T123" s="105"/>
      <c r="U123" s="105" t="s">
        <v>4257</v>
      </c>
      <c r="V123" s="184" t="s">
        <v>4258</v>
      </c>
      <c r="W123" s="184" t="s">
        <v>122</v>
      </c>
      <c r="X123" s="184"/>
      <c r="Y123" s="184"/>
      <c r="Z123" s="4"/>
      <c r="AA123" s="219">
        <v>43418.0</v>
      </c>
      <c r="AB123" s="219">
        <v>43430.0</v>
      </c>
      <c r="AC123" s="274"/>
      <c r="AD123" s="274"/>
      <c r="AE123" s="275"/>
      <c r="AF123" s="274"/>
      <c r="AG123" s="274"/>
      <c r="AH123" s="244" t="s">
        <v>2071</v>
      </c>
      <c r="AI123" s="244" t="s">
        <v>4259</v>
      </c>
      <c r="AJ123" s="184"/>
      <c r="AK123" s="184" t="s">
        <v>2163</v>
      </c>
      <c r="AL123" s="200">
        <f t="shared" si="3"/>
        <v>71</v>
      </c>
      <c r="AM123" s="201">
        <v>2018.0</v>
      </c>
    </row>
    <row r="124">
      <c r="A124" s="277">
        <f t="shared" si="1"/>
        <v>12479336</v>
      </c>
      <c r="B124" s="278">
        <v>124.0</v>
      </c>
      <c r="C124" s="287" t="s">
        <v>4260</v>
      </c>
      <c r="D124" s="278" t="str">
        <f>IFERROR(VLOOKUP(E124,INFORMACION!D:E,2,0),"INGRESAR CENTRO DE COSTO A LA DERECHA")</f>
        <v>INGRESAR CENTRO DE COSTO A LA DERECHA</v>
      </c>
      <c r="E124" s="287" t="s">
        <v>4261</v>
      </c>
      <c r="F124" s="184" t="s">
        <v>2230</v>
      </c>
      <c r="G124" s="186" t="s">
        <v>1706</v>
      </c>
      <c r="H124" s="186">
        <v>10.0</v>
      </c>
      <c r="I124" s="186" t="s">
        <v>2541</v>
      </c>
      <c r="J124" s="184" t="s">
        <v>112</v>
      </c>
      <c r="K124" s="184" t="s">
        <v>114</v>
      </c>
      <c r="L124" s="184" t="s">
        <v>117</v>
      </c>
      <c r="M124" s="184">
        <v>5.0</v>
      </c>
      <c r="N124" s="184" t="s">
        <v>122</v>
      </c>
      <c r="O124" s="184">
        <v>0.0</v>
      </c>
      <c r="P124" s="184">
        <v>2.0</v>
      </c>
      <c r="Q124" s="184">
        <v>1.0</v>
      </c>
      <c r="R124" s="184" t="s">
        <v>121</v>
      </c>
      <c r="S124" s="218">
        <v>43580.0</v>
      </c>
      <c r="T124" s="105" t="s">
        <v>494</v>
      </c>
      <c r="U124" s="105"/>
      <c r="V124" s="184" t="s">
        <v>4262</v>
      </c>
      <c r="W124" s="184" t="s">
        <v>118</v>
      </c>
      <c r="X124" s="184" t="s">
        <v>166</v>
      </c>
      <c r="Y124" s="184"/>
      <c r="Z124" s="4"/>
      <c r="AA124" s="219">
        <v>43482.0</v>
      </c>
      <c r="AB124" s="219">
        <v>43489.0</v>
      </c>
      <c r="AC124" s="274"/>
      <c r="AD124" s="274"/>
      <c r="AE124" s="275"/>
      <c r="AF124" s="274"/>
      <c r="AG124" s="274"/>
      <c r="AH124" s="244" t="s">
        <v>2071</v>
      </c>
      <c r="AI124" s="244" t="s">
        <v>4263</v>
      </c>
      <c r="AJ124" s="184"/>
      <c r="AK124" s="184" t="s">
        <v>2157</v>
      </c>
      <c r="AL124" s="200">
        <f t="shared" si="3"/>
        <v>66</v>
      </c>
      <c r="AM124" s="201">
        <v>2018.0</v>
      </c>
    </row>
    <row r="125">
      <c r="A125" s="277">
        <f t="shared" si="1"/>
        <v>15401585</v>
      </c>
      <c r="B125" s="278">
        <v>125.0</v>
      </c>
      <c r="C125" s="287" t="s">
        <v>4264</v>
      </c>
      <c r="D125" s="278" t="str">
        <f>IFERROR(VLOOKUP(E125,INFORMACION!D:E,2,0),"INGRESAR CENTRO DE COSTO A LA DERECHA")</f>
        <v>INGRESAR CENTRO DE COSTO A LA DERECHA</v>
      </c>
      <c r="E125" s="287" t="s">
        <v>2714</v>
      </c>
      <c r="F125" s="184" t="s">
        <v>2679</v>
      </c>
      <c r="G125" s="186" t="s">
        <v>1816</v>
      </c>
      <c r="H125" s="186">
        <v>20.0</v>
      </c>
      <c r="I125" s="186" t="s">
        <v>2541</v>
      </c>
      <c r="J125" s="184" t="s">
        <v>112</v>
      </c>
      <c r="K125" s="184" t="s">
        <v>120</v>
      </c>
      <c r="L125" s="184" t="s">
        <v>117</v>
      </c>
      <c r="M125" s="184">
        <v>3.0</v>
      </c>
      <c r="N125" s="184" t="s">
        <v>122</v>
      </c>
      <c r="O125" s="184">
        <v>0.0</v>
      </c>
      <c r="P125" s="184">
        <v>1.0</v>
      </c>
      <c r="Q125" s="184">
        <v>0.0</v>
      </c>
      <c r="R125" s="184" t="s">
        <v>115</v>
      </c>
      <c r="S125" s="218">
        <v>43594.0</v>
      </c>
      <c r="T125" s="105" t="s">
        <v>1235</v>
      </c>
      <c r="U125" s="105"/>
      <c r="V125" s="184" t="s">
        <v>3744</v>
      </c>
      <c r="W125" s="184" t="s">
        <v>118</v>
      </c>
      <c r="X125" s="184" t="s">
        <v>176</v>
      </c>
      <c r="Y125" s="184"/>
      <c r="Z125" s="4"/>
      <c r="AA125" s="219">
        <v>43481.0</v>
      </c>
      <c r="AB125" s="219">
        <v>43488.0</v>
      </c>
      <c r="AC125" s="274"/>
      <c r="AD125" s="274"/>
      <c r="AE125" s="275"/>
      <c r="AF125" s="274"/>
      <c r="AG125" s="274"/>
      <c r="AH125" s="244" t="s">
        <v>2071</v>
      </c>
      <c r="AI125" s="244" t="s">
        <v>4039</v>
      </c>
      <c r="AJ125" s="184"/>
      <c r="AK125" s="184" t="s">
        <v>2157</v>
      </c>
      <c r="AL125" s="200">
        <f t="shared" si="3"/>
        <v>77</v>
      </c>
      <c r="AM125" s="201">
        <v>2018.0</v>
      </c>
    </row>
    <row r="126">
      <c r="A126" s="277">
        <f t="shared" si="1"/>
        <v>7983577</v>
      </c>
      <c r="B126" s="278">
        <v>126.0</v>
      </c>
      <c r="C126" s="287" t="s">
        <v>4265</v>
      </c>
      <c r="D126" s="278" t="str">
        <f>IFERROR(VLOOKUP(E126,INFORMACION!D:E,2,0),"INGRESAR CENTRO DE COSTO A LA DERECHA")</f>
        <v>INGRESAR CENTRO DE COSTO A LA DERECHA</v>
      </c>
      <c r="E126" s="287" t="s">
        <v>2714</v>
      </c>
      <c r="F126" s="184" t="s">
        <v>2977</v>
      </c>
      <c r="G126" s="186" t="s">
        <v>4266</v>
      </c>
      <c r="H126" s="186">
        <v>8.0</v>
      </c>
      <c r="I126" s="186" t="s">
        <v>2541</v>
      </c>
      <c r="J126" s="184" t="s">
        <v>112</v>
      </c>
      <c r="K126" s="184" t="s">
        <v>114</v>
      </c>
      <c r="L126" s="184" t="s">
        <v>117</v>
      </c>
      <c r="M126" s="184">
        <v>3.0</v>
      </c>
      <c r="N126" s="184" t="s">
        <v>122</v>
      </c>
      <c r="O126" s="184">
        <v>0.0</v>
      </c>
      <c r="P126" s="184">
        <v>2.0</v>
      </c>
      <c r="Q126" s="184">
        <v>0.0</v>
      </c>
      <c r="R126" s="184" t="s">
        <v>115</v>
      </c>
      <c r="S126" s="218">
        <v>43587.0</v>
      </c>
      <c r="T126" s="105" t="s">
        <v>1061</v>
      </c>
      <c r="U126" s="105"/>
      <c r="V126" s="184" t="s">
        <v>4267</v>
      </c>
      <c r="W126" s="184" t="s">
        <v>118</v>
      </c>
      <c r="X126" s="184" t="s">
        <v>160</v>
      </c>
      <c r="Y126" s="184" t="s">
        <v>138</v>
      </c>
      <c r="Z126" s="4"/>
      <c r="AA126" s="219">
        <v>43483.0</v>
      </c>
      <c r="AB126" s="219">
        <v>43489.0</v>
      </c>
      <c r="AC126" s="274"/>
      <c r="AD126" s="274"/>
      <c r="AE126" s="275"/>
      <c r="AF126" s="274"/>
      <c r="AG126" s="274"/>
      <c r="AH126" s="244" t="s">
        <v>2071</v>
      </c>
      <c r="AI126" s="244" t="s">
        <v>4039</v>
      </c>
      <c r="AJ126" s="184"/>
      <c r="AK126" s="184" t="s">
        <v>2157</v>
      </c>
      <c r="AL126" s="200">
        <f t="shared" si="3"/>
        <v>71</v>
      </c>
      <c r="AM126" s="201">
        <v>2018.0</v>
      </c>
    </row>
    <row r="127">
      <c r="A127" s="158">
        <f t="shared" si="1"/>
        <v>11643375</v>
      </c>
      <c r="B127" s="242">
        <v>127.0</v>
      </c>
      <c r="C127" s="267" t="s">
        <v>4268</v>
      </c>
      <c r="D127" s="184" t="str">
        <f>IFERROR(VLOOKUP(E127,INFORMACION!D:E,2,0),"INGRESAR CENTRO DE COSTO A LA DERECHA")</f>
        <v>INGRESAR CENTRO DE COSTO A LA DERECHA</v>
      </c>
      <c r="E127" s="184" t="s">
        <v>3039</v>
      </c>
      <c r="F127" s="184" t="s">
        <v>2679</v>
      </c>
      <c r="G127" s="186" t="s">
        <v>3607</v>
      </c>
      <c r="H127" s="186">
        <v>20.0</v>
      </c>
      <c r="I127" s="186" t="s">
        <v>2541</v>
      </c>
      <c r="J127" s="184" t="s">
        <v>112</v>
      </c>
      <c r="K127" s="184" t="s">
        <v>120</v>
      </c>
      <c r="L127" s="184" t="s">
        <v>117</v>
      </c>
      <c r="M127" s="184">
        <v>1.0</v>
      </c>
      <c r="N127" s="184" t="s">
        <v>116</v>
      </c>
      <c r="O127" s="184">
        <v>23.0</v>
      </c>
      <c r="P127" s="184">
        <v>3.0</v>
      </c>
      <c r="Q127" s="184">
        <v>0.0</v>
      </c>
      <c r="R127" s="184" t="s">
        <v>121</v>
      </c>
      <c r="S127" s="218">
        <v>43647.0</v>
      </c>
      <c r="T127" s="105"/>
      <c r="U127" s="105" t="s">
        <v>4269</v>
      </c>
      <c r="V127" s="184" t="s">
        <v>4270</v>
      </c>
      <c r="W127" s="184" t="s">
        <v>122</v>
      </c>
      <c r="X127" s="197"/>
      <c r="Y127" s="197"/>
      <c r="Z127" s="170"/>
      <c r="AA127" s="219">
        <v>43392.0</v>
      </c>
      <c r="AB127" s="219">
        <v>43399.0</v>
      </c>
      <c r="AC127" s="4"/>
      <c r="AD127" s="4"/>
      <c r="AE127" s="184"/>
      <c r="AF127" s="4"/>
      <c r="AG127" s="4"/>
      <c r="AH127" s="244" t="s">
        <v>2071</v>
      </c>
      <c r="AI127" s="244" t="s">
        <v>4271</v>
      </c>
      <c r="AJ127" s="184"/>
      <c r="AK127" s="184" t="s">
        <v>1612</v>
      </c>
      <c r="AL127" s="200">
        <f t="shared" si="3"/>
        <v>177</v>
      </c>
      <c r="AM127" s="201">
        <v>2019.0</v>
      </c>
    </row>
    <row r="128">
      <c r="A128" s="277">
        <f t="shared" si="1"/>
        <v>15794628</v>
      </c>
      <c r="B128" s="287">
        <v>128.0</v>
      </c>
      <c r="C128" s="287" t="s">
        <v>4272</v>
      </c>
      <c r="D128" s="278" t="str">
        <f>IFERROR(VLOOKUP(E128,INFORMACION!D:E,2,0),"INGRESAR CENTRO DE COSTO A LA DERECHA")</f>
        <v>INGRESAR CENTRO DE COSTO A LA DERECHA</v>
      </c>
      <c r="E128" s="287" t="s">
        <v>1830</v>
      </c>
      <c r="F128" s="184" t="s">
        <v>3260</v>
      </c>
      <c r="G128" s="186" t="s">
        <v>3261</v>
      </c>
      <c r="H128" s="186">
        <v>14.0</v>
      </c>
      <c r="I128" s="186" t="s">
        <v>2541</v>
      </c>
      <c r="J128" s="184" t="s">
        <v>112</v>
      </c>
      <c r="K128" s="184" t="s">
        <v>114</v>
      </c>
      <c r="L128" s="184" t="s">
        <v>117</v>
      </c>
      <c r="M128" s="184">
        <v>10.0</v>
      </c>
      <c r="N128" s="184" t="s">
        <v>122</v>
      </c>
      <c r="O128" s="184">
        <v>0.0</v>
      </c>
      <c r="P128" s="184">
        <v>1.0</v>
      </c>
      <c r="Q128" s="184">
        <v>0.0</v>
      </c>
      <c r="R128" s="184" t="s">
        <v>121</v>
      </c>
      <c r="S128" s="218">
        <v>43535.0</v>
      </c>
      <c r="T128" s="105" t="s">
        <v>653</v>
      </c>
      <c r="U128" s="105"/>
      <c r="V128" s="184" t="s">
        <v>2270</v>
      </c>
      <c r="W128" s="184" t="s">
        <v>118</v>
      </c>
      <c r="X128" s="184" t="s">
        <v>138</v>
      </c>
      <c r="Y128" s="184"/>
      <c r="Z128" s="4"/>
      <c r="AA128" s="219">
        <v>43444.0</v>
      </c>
      <c r="AB128" s="219">
        <v>43451.0</v>
      </c>
      <c r="AC128" s="274"/>
      <c r="AD128" s="274"/>
      <c r="AE128" s="275"/>
      <c r="AF128" s="274"/>
      <c r="AG128" s="274"/>
      <c r="AH128" s="244" t="s">
        <v>2071</v>
      </c>
      <c r="AI128" s="244" t="s">
        <v>2597</v>
      </c>
      <c r="AJ128" s="184"/>
      <c r="AK128" s="184" t="s">
        <v>2157</v>
      </c>
      <c r="AL128" s="200">
        <f t="shared" si="3"/>
        <v>61</v>
      </c>
      <c r="AM128" s="201">
        <v>2018.0</v>
      </c>
    </row>
    <row r="129">
      <c r="A129" s="277">
        <f t="shared" si="1"/>
        <v>15050864</v>
      </c>
      <c r="B129" s="287">
        <v>129.0</v>
      </c>
      <c r="C129" s="287" t="s">
        <v>4273</v>
      </c>
      <c r="D129" s="278" t="str">
        <f>IFERROR(VLOOKUP(E129,INFORMACION!D:E,2,0),"INGRESAR CENTRO DE COSTO A LA DERECHA")</f>
        <v>INGRESAR CENTRO DE COSTO A LA DERECHA</v>
      </c>
      <c r="E129" s="287" t="s">
        <v>2883</v>
      </c>
      <c r="F129" s="184" t="s">
        <v>2802</v>
      </c>
      <c r="G129" s="186" t="s">
        <v>4274</v>
      </c>
      <c r="H129" s="186">
        <v>17.0</v>
      </c>
      <c r="I129" s="186" t="s">
        <v>2541</v>
      </c>
      <c r="J129" s="184" t="s">
        <v>112</v>
      </c>
      <c r="K129" s="184" t="s">
        <v>125</v>
      </c>
      <c r="L129" s="184" t="s">
        <v>117</v>
      </c>
      <c r="M129" s="184">
        <v>2.0</v>
      </c>
      <c r="N129" s="184" t="s">
        <v>122</v>
      </c>
      <c r="O129" s="184">
        <v>0.0</v>
      </c>
      <c r="P129" s="184">
        <v>1.0</v>
      </c>
      <c r="Q129" s="184">
        <v>0.0</v>
      </c>
      <c r="R129" s="184" t="s">
        <v>121</v>
      </c>
      <c r="S129" s="218">
        <v>43537.0</v>
      </c>
      <c r="T129" s="105" t="s">
        <v>852</v>
      </c>
      <c r="U129" s="105"/>
      <c r="V129" s="184" t="s">
        <v>2641</v>
      </c>
      <c r="W129" s="184" t="s">
        <v>118</v>
      </c>
      <c r="X129" s="184" t="s">
        <v>176</v>
      </c>
      <c r="Y129" s="184"/>
      <c r="Z129" s="4"/>
      <c r="AA129" s="219">
        <v>43398.0</v>
      </c>
      <c r="AB129" s="219">
        <v>43409.0</v>
      </c>
      <c r="AC129" s="274"/>
      <c r="AD129" s="274"/>
      <c r="AE129" s="275"/>
      <c r="AF129" s="274"/>
      <c r="AG129" s="274"/>
      <c r="AH129" s="244" t="s">
        <v>2071</v>
      </c>
      <c r="AI129" s="244" t="s">
        <v>4275</v>
      </c>
      <c r="AJ129" s="184"/>
      <c r="AK129" s="184" t="s">
        <v>2157</v>
      </c>
      <c r="AL129" s="200">
        <f t="shared" si="3"/>
        <v>93</v>
      </c>
      <c r="AM129" s="201">
        <v>2018.0</v>
      </c>
    </row>
    <row r="130">
      <c r="A130" s="288"/>
      <c r="B130" s="287">
        <v>129.0</v>
      </c>
      <c r="C130" s="287" t="s">
        <v>4276</v>
      </c>
      <c r="D130" s="278" t="str">
        <f>IFERROR(VLOOKUP(E130,INFORMACION!D:E,2,0),"INGRESAR CENTRO DE COSTO A LA DERECHA")</f>
        <v>INGRESAR CENTRO DE COSTO A LA DERECHA</v>
      </c>
      <c r="E130" s="287" t="s">
        <v>2891</v>
      </c>
      <c r="F130" s="184" t="s">
        <v>1970</v>
      </c>
      <c r="G130" s="186" t="s">
        <v>1638</v>
      </c>
      <c r="H130" s="186">
        <v>23.0</v>
      </c>
      <c r="I130" s="186" t="s">
        <v>2541</v>
      </c>
      <c r="J130" s="184" t="s">
        <v>112</v>
      </c>
      <c r="K130" s="184" t="s">
        <v>127</v>
      </c>
      <c r="L130" s="184" t="s">
        <v>117</v>
      </c>
      <c r="M130" s="184">
        <v>1.0</v>
      </c>
      <c r="N130" s="184" t="s">
        <v>116</v>
      </c>
      <c r="O130" s="184">
        <v>31.0</v>
      </c>
      <c r="P130" s="184">
        <v>4.0</v>
      </c>
      <c r="Q130" s="184">
        <v>0.0</v>
      </c>
      <c r="R130" s="184" t="s">
        <v>115</v>
      </c>
      <c r="S130" s="218">
        <v>43445.0</v>
      </c>
      <c r="T130" s="105"/>
      <c r="U130" s="105" t="s">
        <v>4277</v>
      </c>
      <c r="V130" s="184" t="s">
        <v>4278</v>
      </c>
      <c r="W130" s="184" t="s">
        <v>118</v>
      </c>
      <c r="X130" s="184" t="s">
        <v>170</v>
      </c>
      <c r="Y130" s="184"/>
      <c r="Z130" s="4"/>
      <c r="AA130" s="219">
        <v>43397.0</v>
      </c>
      <c r="AB130" s="219">
        <v>43403.0</v>
      </c>
      <c r="AC130" s="274"/>
      <c r="AD130" s="274"/>
      <c r="AE130" s="275"/>
      <c r="AF130" s="274"/>
      <c r="AG130" s="274"/>
      <c r="AH130" s="244" t="s">
        <v>2071</v>
      </c>
      <c r="AI130" s="244" t="s">
        <v>4279</v>
      </c>
      <c r="AJ130" s="184"/>
      <c r="AK130" s="184" t="s">
        <v>2163</v>
      </c>
      <c r="AL130" s="200">
        <f t="shared" si="3"/>
        <v>31</v>
      </c>
      <c r="AM130" s="201">
        <v>2018.0</v>
      </c>
    </row>
    <row r="131">
      <c r="A131" s="288"/>
      <c r="B131" s="287">
        <v>129.0</v>
      </c>
      <c r="C131" s="287" t="s">
        <v>4280</v>
      </c>
      <c r="D131" s="278" t="str">
        <f>IFERROR(VLOOKUP(E131,INFORMACION!D:E,2,0),"INGRESAR CENTRO DE COSTO A LA DERECHA")</f>
        <v>INGRESAR CENTRO DE COSTO A LA DERECHA</v>
      </c>
      <c r="E131" s="287" t="s">
        <v>15</v>
      </c>
      <c r="F131" s="184" t="s">
        <v>4281</v>
      </c>
      <c r="G131" s="186" t="s">
        <v>4282</v>
      </c>
      <c r="H131" s="186">
        <v>11.0</v>
      </c>
      <c r="I131" s="186" t="s">
        <v>2541</v>
      </c>
      <c r="J131" s="184" t="s">
        <v>112</v>
      </c>
      <c r="K131" s="184" t="s">
        <v>114</v>
      </c>
      <c r="L131" s="184" t="s">
        <v>117</v>
      </c>
      <c r="M131" s="184">
        <v>1.0</v>
      </c>
      <c r="N131" s="184" t="s">
        <v>116</v>
      </c>
      <c r="O131" s="184">
        <v>10.0</v>
      </c>
      <c r="P131" s="184">
        <v>2.0</v>
      </c>
      <c r="Q131" s="184">
        <v>0.0</v>
      </c>
      <c r="R131" s="184" t="s">
        <v>121</v>
      </c>
      <c r="S131" s="218">
        <v>43435.0</v>
      </c>
      <c r="T131" s="105"/>
      <c r="U131" s="105" t="s">
        <v>4283</v>
      </c>
      <c r="V131" s="184" t="s">
        <v>4284</v>
      </c>
      <c r="W131" s="184" t="s">
        <v>118</v>
      </c>
      <c r="X131" s="184" t="s">
        <v>176</v>
      </c>
      <c r="Y131" s="184"/>
      <c r="Z131" s="4"/>
      <c r="AA131" s="219">
        <v>43385.0</v>
      </c>
      <c r="AB131" s="219">
        <v>43392.0</v>
      </c>
      <c r="AC131" s="274"/>
      <c r="AD131" s="274"/>
      <c r="AE131" s="275"/>
      <c r="AF131" s="274"/>
      <c r="AG131" s="274"/>
      <c r="AH131" s="244" t="s">
        <v>2071</v>
      </c>
      <c r="AI131" s="244" t="s">
        <v>4285</v>
      </c>
      <c r="AJ131" s="184"/>
      <c r="AK131" s="184" t="s">
        <v>2163</v>
      </c>
      <c r="AL131" s="200">
        <f t="shared" si="3"/>
        <v>31</v>
      </c>
      <c r="AM131" s="201">
        <v>2018.0</v>
      </c>
    </row>
    <row r="132">
      <c r="A132" s="288"/>
      <c r="B132" s="287">
        <v>129.0</v>
      </c>
      <c r="C132" s="278"/>
      <c r="D132" s="278" t="str">
        <f>IFERROR(VLOOKUP(E132,INFORMACION!D:E,2,0),"INGRESAR CENTRO DE COSTO A LA DERECHA")</f>
        <v>INGRESAR CENTRO DE COSTO A LA DERECHA</v>
      </c>
      <c r="E132" s="278"/>
      <c r="F132" s="184"/>
      <c r="G132" s="186"/>
      <c r="H132" s="186"/>
      <c r="I132" s="186"/>
      <c r="J132" s="184"/>
      <c r="K132" s="184"/>
      <c r="L132" s="184"/>
      <c r="M132" s="184"/>
      <c r="N132" s="184"/>
      <c r="O132" s="184"/>
      <c r="P132" s="184"/>
      <c r="Q132" s="184"/>
      <c r="R132" s="184"/>
      <c r="S132" s="218"/>
      <c r="T132" s="105"/>
      <c r="U132" s="105"/>
      <c r="V132" s="184"/>
      <c r="W132" s="184"/>
      <c r="X132" s="184"/>
      <c r="Y132" s="184"/>
      <c r="Z132" s="4"/>
      <c r="AA132" s="219"/>
      <c r="AB132" s="219"/>
      <c r="AC132" s="274"/>
      <c r="AD132" s="274"/>
      <c r="AE132" s="275"/>
      <c r="AF132" s="274"/>
      <c r="AG132" s="274"/>
      <c r="AH132" s="244"/>
      <c r="AI132" s="244"/>
      <c r="AJ132" s="184"/>
      <c r="AK132" s="184"/>
      <c r="AL132" s="200"/>
      <c r="AM132" s="201">
        <v>2018.0</v>
      </c>
    </row>
    <row r="133">
      <c r="A133" s="288"/>
      <c r="B133" s="287">
        <v>129.0</v>
      </c>
      <c r="C133" s="278"/>
      <c r="D133" s="278" t="str">
        <f>IFERROR(VLOOKUP(E133,INFORMACION!D:E,2,0),"INGRESAR CENTRO DE COSTO A LA DERECHA")</f>
        <v>INGRESAR CENTRO DE COSTO A LA DERECHA</v>
      </c>
      <c r="E133" s="278"/>
      <c r="F133" s="184"/>
      <c r="G133" s="186"/>
      <c r="H133" s="186"/>
      <c r="I133" s="186"/>
      <c r="J133" s="184"/>
      <c r="K133" s="184"/>
      <c r="L133" s="184"/>
      <c r="M133" s="184"/>
      <c r="N133" s="184"/>
      <c r="O133" s="184"/>
      <c r="P133" s="184"/>
      <c r="Q133" s="184"/>
      <c r="R133" s="184"/>
      <c r="S133" s="218"/>
      <c r="T133" s="105"/>
      <c r="U133" s="105"/>
      <c r="V133" s="184"/>
      <c r="W133" s="184"/>
      <c r="X133" s="184"/>
      <c r="Y133" s="184"/>
      <c r="Z133" s="4"/>
      <c r="AA133" s="219"/>
      <c r="AB133" s="219"/>
      <c r="AC133" s="274"/>
      <c r="AD133" s="274"/>
      <c r="AE133" s="275"/>
      <c r="AF133" s="274"/>
      <c r="AG133" s="274"/>
      <c r="AH133" s="244"/>
      <c r="AI133" s="244"/>
      <c r="AJ133" s="184"/>
      <c r="AK133" s="184"/>
      <c r="AL133" s="200"/>
      <c r="AM133" s="201">
        <v>2018.0</v>
      </c>
    </row>
    <row r="134">
      <c r="A134" s="288"/>
      <c r="B134" s="287">
        <v>129.0</v>
      </c>
      <c r="C134" s="278"/>
      <c r="D134" s="278" t="str">
        <f>IFERROR(VLOOKUP(E134,INFORMACION!D:E,2,0),"INGRESAR CENTRO DE COSTO A LA DERECHA")</f>
        <v>INGRESAR CENTRO DE COSTO A LA DERECHA</v>
      </c>
      <c r="E134" s="278"/>
      <c r="F134" s="184"/>
      <c r="G134" s="186"/>
      <c r="H134" s="186"/>
      <c r="I134" s="186"/>
      <c r="J134" s="184"/>
      <c r="K134" s="184"/>
      <c r="L134" s="184"/>
      <c r="M134" s="184"/>
      <c r="N134" s="184"/>
      <c r="O134" s="184"/>
      <c r="P134" s="184"/>
      <c r="Q134" s="184"/>
      <c r="R134" s="184"/>
      <c r="S134" s="218"/>
      <c r="T134" s="105"/>
      <c r="U134" s="105"/>
      <c r="V134" s="184"/>
      <c r="W134" s="184"/>
      <c r="X134" s="184"/>
      <c r="Y134" s="184"/>
      <c r="Z134" s="4"/>
      <c r="AA134" s="219"/>
      <c r="AB134" s="219"/>
      <c r="AC134" s="274"/>
      <c r="AD134" s="274"/>
      <c r="AE134" s="275"/>
      <c r="AF134" s="274"/>
      <c r="AG134" s="274"/>
      <c r="AH134" s="244"/>
      <c r="AI134" s="244"/>
      <c r="AJ134" s="184"/>
      <c r="AK134" s="184"/>
      <c r="AL134" s="200"/>
      <c r="AM134" s="201">
        <v>2018.0</v>
      </c>
    </row>
  </sheetData>
  <conditionalFormatting sqref="V2:V95 V127">
    <cfRule type="notContainsBlanks" dxfId="0" priority="1">
      <formula>LEN(TRIM(V2))&gt;0</formula>
    </cfRule>
  </conditionalFormatting>
  <dataValidations>
    <dataValidation type="list" allowBlank="1" showInputMessage="1" showErrorMessage="1" prompt="Brechas - Ingresar si existen brechas a capacitar y en las siguientes columnas ingresar la competencia." sqref="W2:W134">
      <formula1>"SI,NO"</formula1>
    </dataValidation>
    <dataValidation type="custom" allowBlank="1" showInputMessage="1" prompt="Indicar si reemplaza a algún funcionario. Esto puede aparecer en los documentos de autorización presupestaria, en cartas de renuncia archivadas al proceso o en pone término o no-renovación.   SI NO REEMPLAZA A NADIE, FAVOR COLOCAR EL SIGNO &quot;-&quot;." sqref="AI1">
      <formula1>ISERROR(SEARCH((""/""),(AI1)))</formula1>
    </dataValidation>
    <dataValidation type="list" allowBlank="1" showInputMessage="1" prompt="Ingrese un funcionario de la lista (Dotación Diciembre [AÑO ANTERIOR])" sqref="T2:T134">
      <formula1>INFORMACION!$G:$G</formula1>
    </dataValidation>
    <dataValidation type="custom" allowBlank="1" showInputMessage="1" prompt="En caso de que el proceso haya concluido con un interno, ingresar datos relativos al grado anterior, el estamento al cual pertenecía (Administrativo, Técnico, Profesional, Auxiliar) y la Unidad de Desempeño Anterior." sqref="AC1:AC3 AF1:AF3 AC12:AC13 AF12:AF13">
      <formula1>ISERROR(SEARCH((""/""),(AC1)))</formula1>
    </dataValidation>
    <dataValidation type="decimal" allowBlank="1" showInputMessage="1" showErrorMessage="1" prompt="Ingresar grado válido - Entre el 1 y el 24" sqref="H2:H44 H47:H134">
      <formula1>1.0</formula1>
      <formula2>24.0</formula2>
    </dataValidation>
    <dataValidation type="list" allowBlank="1" showInputMessage="1" showErrorMessage="1" prompt="Indicar escalafón - Si es técnico, administrativo, profesional o auxiliar. No indicar en el caso de los médicos o personal de la Ley 15.076." sqref="K2:K134">
      <formula1>"PROFESIONAL,ADMINISTRATIVO,TECNICO,AUXILIAR"</formula1>
    </dataValidation>
    <dataValidation type="custom" allowBlank="1" showInputMessage="1" prompt="Escribir la Vicerrectoría, Facultad o Prorrectoría que corresponda según sea el caso usando MAYÚSCULA Y SIN TILDE." sqref="C1:D134">
      <formula1>ISERROR(SEARCH((""/""),(C1)))</formula1>
    </dataValidation>
    <dataValidation type="date" operator="greaterThan" allowBlank="1" showInputMessage="1" showErrorMessage="1" prompt="Formato - Favor ingresar con formato de fecha." sqref="S2:S3 S12:S13">
      <formula1>42005.0</formula1>
    </dataValidation>
    <dataValidation type="list" allowBlank="1" showInputMessage="1" prompt="Escriba el Departamento, Unidad, Facultad o Vicerrectoría, según corresponda en cada caso usando MAYÚSCULA Y SIN TILDE." sqref="E2:E134">
      <formula1>INFORMACION!$D$2:$D$108</formula1>
    </dataValidation>
    <dataValidation type="custom" allowBlank="1" showInputMessage="1" prompt="Indicar si reemplaza a algún funcionario. Esto puede aparecer en los documentos de autorización presupestaria, en cartas de renuncia archivadas al proceso o en pone término o no-renovación.   SI NO REEMPLAZA A NADIE, FAVOR COLOCAR EL SIGNO &quot;-&quot;. Indicar si" sqref="AI2:AI134">
      <formula1>ISERROR(SEARCH((""/""),(AI2)))</formula1>
    </dataValidation>
    <dataValidation type="list" allowBlank="1" showInputMessage="1" prompt="Haz clic e introduce un valor de intervalo INFORMACION!A2:A1000" sqref="F2:F134">
      <formula1>INFORMACION!$A$2:$A$1000</formula1>
    </dataValidation>
    <dataValidation type="decimal" allowBlank="1" showInputMessage="1" showErrorMessage="1" prompt="N° Postulantes APARTIR 2° Proces - Indicar el n° de postulantes DE TODOS LOS PROCESOS EXTERNOS que cumplieron con los requisitos para postular. CUIDADO CON LOS POSTULANTES REPETIDOS, dado que no deben incluirse 2 veces._x000a_" sqref="O2:O3 O12:O13">
      <formula1>1.0</formula1>
      <formula2>60.0</formula2>
    </dataValidation>
    <dataValidation type="list" allowBlank="1" showInputMessage="1" showErrorMessage="1" prompt="Indicar si hubo proceso interno - No: No hubo / Interno: Sí hubo / 2: lo volvieron a pedir" sqref="L2:L134">
      <formula1>"INTERNO,NO,2"</formula1>
    </dataValidation>
    <dataValidation type="custom" allowBlank="1" showInputMessage="1" prompt="NO TOCAR ESTA COLUMNA" sqref="A1:A134">
      <formula1>ISERROR(SEARCH(("/"),(A1)))</formula1>
    </dataValidation>
    <dataValidation type="custom" allowBlank="1" showInputMessage="1" prompt="Escriba el Departamento, Unidad, Facultad o Vicerrectoría, según corresponda en cada caso usando MAYÚSCULA Y SIN TILDE." sqref="E1">
      <formula1>ISERROR(SEARCH((""/""),(E1)))</formula1>
    </dataValidation>
    <dataValidation type="list" allowBlank="1" showInputMessage="1" showErrorMessage="1" prompt="Indicar género - Indicar de acuerdo al género si es &quot;seleccionada&quot; o &quot;seleccionado&quot;." sqref="R2:R134">
      <formula1>"SELECCIONADO,SELECCIONADA"</formula1>
    </dataValidation>
    <dataValidation type="list" allowBlank="1" showInputMessage="1" showErrorMessage="1" prompt="Jornada - Precisar la jornada asignada al proceso de selección" sqref="I2:I134">
      <formula1>"Jornada Completa,3/4 Jornada,1/2 Jornada,1/4 Jornada"</formula1>
    </dataValidation>
    <dataValidation type="list" allowBlank="1" showInputMessage="1" showErrorMessage="1" prompt="Tipo de Contrato - Separar con los médicos, quienes se rigen por otra legislación." sqref="J2:J118 J120:J134">
      <formula1>"A CONTRATA,Por 11 hrs. Ley 15.076,Por 22 hrs. Ley 15.076,Por 33 hrs. Ley 15.076,Por 44 hrs. Ley 15.076"</formula1>
    </dataValidation>
    <dataValidation type="decimal" allowBlank="1" showInputMessage="1" showErrorMessage="1" prompt="Indicar n° de postulantes int - Puede variar de 0 en adelante. Favor indicar el total de postulantes internos que cumplieron con los requisitos." sqref="M2:M3 M12:M13">
      <formula1>0.0</formula1>
      <formula2>60.0</formula2>
    </dataValidation>
    <dataValidation type="list" allowBlank="1" showInputMessage="1" showErrorMessage="1" prompt="Motivo Contratación - Ingrese si la contratación se debe a un proceso de selección, una regularización contractual o a una autorización directa." sqref="AH2:AH134">
      <formula1>"PROCESO DE SELECCIÓN,REGULARIZACIÓN CONTRACTUAL,CONTRATACIÓN DIRECTA"</formula1>
    </dataValidation>
    <dataValidation type="decimal" allowBlank="1" showInputMessage="1" showErrorMessage="1" promptTitle="Informes Psi Realizados" prompt="Ingrese la cantidad de informes realizados de acuerdo al TOTAL de procesos de selección correspondientes a la vacante. FIJARSE QUE LA UNIDAD HAYA DEVUELTO LA DOCUMENTACIÓN. Si son regularizaciones o auto. directas, indicar número de informes por vacante." sqref="P2:P3 P12:P13">
      <formula1>1.0</formula1>
      <formula2>15.0</formula2>
    </dataValidation>
    <dataValidation type="date" allowBlank="1" showDropDown="1" showInputMessage="1" showErrorMessage="1" prompt="Fecha 2018 - Debes ingresar sólo los procesos en que el último proceso esté publicado entre Marzo de 2018 y Enero de 2019" sqref="AA2:AA88 AA90:AA126 AA127:AB127 AA128:AA134">
      <formula1>43160.0</formula1>
      <formula2>43524.0</formula2>
    </dataValidation>
    <dataValidation type="custom" allowBlank="1" showInputMessage="1" prompt="Ingrese las competencias en que es necesario capacitar al primer candidato de acuerdo al orden de importancia (1crítica-3necesaria). " sqref="X1:Z1">
      <formula1>ISERROR(SEARCH((""/""),(X1)))</formula1>
    </dataValidation>
    <dataValidation type="list" allowBlank="1" showInputMessage="1" prompt="Ingrese las competencias en que es necesario capacitar al primer candidato de acuerdo al orden de importancia (1crítica-3necesaria). " sqref="X2:Z134">
      <formula1>INFORMACION!$H$2:$H$24</formula1>
    </dataValidation>
    <dataValidation type="decimal" allowBlank="1" showInputMessage="1" showErrorMessage="1" prompt="Ingrese Núm. Procesos Externos - Debe ingresar SÓLO la cantidad de los PROCESOS EXTERNOS." sqref="Q2:Q3 Q12:Q13">
      <formula1>0.0</formula1>
      <formula2>15.0</formula2>
    </dataValidation>
    <dataValidation type="list" allowBlank="1" showInputMessage="1" showErrorMessage="1" prompt="Elegir bien - Elija de acuerdo a la fuente por donde la persona seleccionada postuló o se participó del proceso._x000a_Puede ser P, C (CORREO) o E (EXTERNO), dependiendo el caso." sqref="AK2:AK134">
      <formula1>"C,P,E"</formula1>
    </dataValidation>
    <dataValidation type="custom" allowBlank="1" showInputMessage="1" prompt="Ingresar RUT en el formato indicado. Si esta celda está en rojo es porque la persona ya ha resultado seleccionada a lo largo del año, o bien porque se ha ingresado un proceso idéntico a la base de datos." sqref="V1:V3 V12:V13">
      <formula1>LEN(10)</formula1>
    </dataValidation>
    <dataValidation type="list" allowBlank="1" showInputMessage="1" showErrorMessage="1" prompt="Indicar si hubo 2° proceso - Indicar si hubo:_x000a_Proceso Externo: Externo_x000a_No hubo: No" sqref="N2:N134">
      <formula1>"EXTERNO,NO"</formula1>
    </dataValidation>
    <dataValidation type="custom" allowBlank="1" showInputMessage="1" prompt="Escribalo con mayúscula y sin tilde." sqref="F1">
      <formula1>ISERROR(SEARCH((""/""),(F1)))</formula1>
    </dataValidation>
    <dataValidation type="custom" allowBlank="1" showInputMessage="1" prompt="Ingresar primer nombre y apellidos en mayúscula, sin tilde y sin Ñ." sqref="T1:U1 U2:U3 U12:U13">
      <formula1>ISERROR(SEARCH((""/""),(T1)))</formula1>
    </dataValidation>
  </dataValidations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6.57"/>
    <col customWidth="1" min="2" max="2" width="9.43"/>
    <col customWidth="1" min="3" max="4" width="12.86"/>
    <col customWidth="1" min="5" max="5" width="31.0"/>
    <col customWidth="1" min="6" max="6" width="34.86"/>
    <col customWidth="1" min="7" max="7" width="57.29"/>
    <col customWidth="1" min="17" max="17" width="18.0"/>
    <col customWidth="1" min="20" max="20" width="24.71"/>
    <col customWidth="1" min="21" max="21" width="29.14"/>
    <col customWidth="1" min="31" max="31" width="16.14"/>
    <col customWidth="1" min="32" max="32" width="34.29"/>
    <col customWidth="1" min="33" max="33" width="47.0"/>
    <col customWidth="1" min="34" max="34" width="22.29"/>
    <col customWidth="1" min="35" max="35" width="24.29"/>
    <col customWidth="1" min="38" max="39" width="8.57"/>
  </cols>
  <sheetData>
    <row r="1">
      <c r="A1" s="44" t="s">
        <v>1542</v>
      </c>
      <c r="B1" s="27" t="s">
        <v>1543</v>
      </c>
      <c r="C1" s="28" t="s">
        <v>1544</v>
      </c>
      <c r="D1" s="29" t="s">
        <v>1545</v>
      </c>
      <c r="E1" s="29" t="s">
        <v>1546</v>
      </c>
      <c r="F1" s="30" t="s">
        <v>1547</v>
      </c>
      <c r="G1" s="28" t="s">
        <v>1548</v>
      </c>
      <c r="H1" s="29" t="s">
        <v>1589</v>
      </c>
      <c r="I1" s="29" t="s">
        <v>1550</v>
      </c>
      <c r="J1" s="29" t="s">
        <v>1551</v>
      </c>
      <c r="K1" s="29" t="s">
        <v>1552</v>
      </c>
      <c r="L1" s="29" t="s">
        <v>2535</v>
      </c>
      <c r="M1" s="29" t="s">
        <v>1554</v>
      </c>
      <c r="N1" s="29" t="s">
        <v>2536</v>
      </c>
      <c r="O1" s="29" t="s">
        <v>1556</v>
      </c>
      <c r="P1" s="29" t="s">
        <v>1557</v>
      </c>
      <c r="Q1" s="28" t="s">
        <v>2537</v>
      </c>
      <c r="R1" s="29" t="s">
        <v>1559</v>
      </c>
      <c r="S1" s="31" t="s">
        <v>1560</v>
      </c>
      <c r="T1" s="29" t="s">
        <v>1561</v>
      </c>
      <c r="U1" s="28" t="s">
        <v>1562</v>
      </c>
      <c r="V1" s="28" t="s">
        <v>2060</v>
      </c>
      <c r="W1" s="29" t="s">
        <v>1563</v>
      </c>
      <c r="X1" s="29" t="s">
        <v>1564</v>
      </c>
      <c r="Y1" s="29" t="s">
        <v>1565</v>
      </c>
      <c r="Z1" s="29" t="s">
        <v>1566</v>
      </c>
      <c r="AA1" s="31" t="s">
        <v>1567</v>
      </c>
      <c r="AB1" s="31" t="s">
        <v>1568</v>
      </c>
      <c r="AC1" s="29" t="s">
        <v>1569</v>
      </c>
      <c r="AD1" s="29" t="s">
        <v>1570</v>
      </c>
      <c r="AE1" s="29" t="s">
        <v>1571</v>
      </c>
      <c r="AF1" s="29" t="s">
        <v>1572</v>
      </c>
      <c r="AG1" s="32" t="s">
        <v>1573</v>
      </c>
      <c r="AH1" s="194" t="s">
        <v>1574</v>
      </c>
      <c r="AI1" s="194" t="s">
        <v>1575</v>
      </c>
      <c r="AJ1" s="156" t="s">
        <v>1576</v>
      </c>
      <c r="AK1" s="29" t="s">
        <v>1577</v>
      </c>
      <c r="AL1" s="29" t="s">
        <v>2538</v>
      </c>
      <c r="AM1" s="44" t="s">
        <v>2539</v>
      </c>
    </row>
    <row r="2">
      <c r="A2" s="158">
        <f t="shared" ref="A2:A114" si="1">IFERROR(LEFT(V2,LEN(V2)-2)*1,"")</f>
        <v>17803186</v>
      </c>
      <c r="B2" s="236">
        <v>1.0</v>
      </c>
      <c r="C2" s="184" t="s">
        <v>4286</v>
      </c>
      <c r="D2" s="184">
        <f>IFERROR(VLOOKUP(E2,INFORMACION!E:F,2,0),"INGRESAR CENTRO DE COSTO A LA DERECHA")</f>
        <v>3</v>
      </c>
      <c r="E2" s="184" t="s">
        <v>2883</v>
      </c>
      <c r="F2" s="184" t="s">
        <v>2625</v>
      </c>
      <c r="G2" s="186" t="s">
        <v>4287</v>
      </c>
      <c r="H2" s="186">
        <v>8.0</v>
      </c>
      <c r="I2" s="186" t="s">
        <v>2541</v>
      </c>
      <c r="J2" s="184" t="s">
        <v>112</v>
      </c>
      <c r="K2" s="184" t="s">
        <v>114</v>
      </c>
      <c r="L2" s="184" t="s">
        <v>117</v>
      </c>
      <c r="M2" s="184">
        <v>3.0</v>
      </c>
      <c r="N2" s="184" t="s">
        <v>122</v>
      </c>
      <c r="O2" s="184">
        <v>3.0</v>
      </c>
      <c r="P2" s="184">
        <v>3.0</v>
      </c>
      <c r="Q2" s="184">
        <v>0.0</v>
      </c>
      <c r="R2" s="184" t="s">
        <v>121</v>
      </c>
      <c r="S2" s="218">
        <v>43577.0</v>
      </c>
      <c r="T2" s="241" t="s">
        <v>1387</v>
      </c>
      <c r="U2" s="105"/>
      <c r="V2" s="184" t="s">
        <v>3667</v>
      </c>
      <c r="W2" s="184" t="s">
        <v>118</v>
      </c>
      <c r="X2" s="197"/>
      <c r="Y2" s="197"/>
      <c r="Z2" s="197"/>
      <c r="AA2" s="219">
        <v>43549.0</v>
      </c>
      <c r="AB2" s="219">
        <v>43556.0</v>
      </c>
      <c r="AC2" s="4"/>
      <c r="AD2" s="4"/>
      <c r="AE2" s="4"/>
      <c r="AF2" s="4"/>
      <c r="AG2" s="4"/>
      <c r="AH2" s="244" t="s">
        <v>2071</v>
      </c>
      <c r="AI2" s="244" t="s">
        <v>4288</v>
      </c>
      <c r="AJ2" s="184"/>
      <c r="AK2" s="184" t="s">
        <v>2157</v>
      </c>
      <c r="AL2" s="200">
        <f t="shared" ref="AL2:AL114" si="2">IF(AB2="","",IF(AND(NETWORKDAYS(AB2,S2)&gt;1000,NETWORKDAYS(AB2,S2)&lt;1),"",(NETWORKDAYS(AB2,S2))))</f>
        <v>16</v>
      </c>
      <c r="AM2" s="201">
        <v>2019.0</v>
      </c>
    </row>
    <row r="3">
      <c r="A3" s="158">
        <f t="shared" si="1"/>
        <v>10080885</v>
      </c>
      <c r="B3" s="236">
        <v>2.0</v>
      </c>
      <c r="C3" s="184" t="s">
        <v>4289</v>
      </c>
      <c r="D3" s="184">
        <f>IFERROR(VLOOKUP(E3,INFORMACION!E:F,2,0),"INGRESAR CENTRO DE COSTO A LA DERECHA")</f>
        <v>22</v>
      </c>
      <c r="E3" s="184" t="s">
        <v>2015</v>
      </c>
      <c r="F3" s="184" t="s">
        <v>3259</v>
      </c>
      <c r="G3" s="186" t="s">
        <v>3935</v>
      </c>
      <c r="H3" s="186">
        <v>19.0</v>
      </c>
      <c r="I3" s="186" t="s">
        <v>2541</v>
      </c>
      <c r="J3" s="184" t="s">
        <v>112</v>
      </c>
      <c r="K3" s="184" t="s">
        <v>125</v>
      </c>
      <c r="L3" s="184" t="s">
        <v>117</v>
      </c>
      <c r="M3" s="184">
        <v>1.0</v>
      </c>
      <c r="N3" s="184" t="s">
        <v>116</v>
      </c>
      <c r="O3" s="184">
        <v>4.0</v>
      </c>
      <c r="P3" s="184">
        <v>3.0</v>
      </c>
      <c r="Q3" s="184">
        <v>0.0</v>
      </c>
      <c r="R3" s="184" t="s">
        <v>115</v>
      </c>
      <c r="S3" s="218">
        <v>43570.0</v>
      </c>
      <c r="T3" s="105"/>
      <c r="U3" s="105" t="s">
        <v>4290</v>
      </c>
      <c r="V3" s="184" t="s">
        <v>4291</v>
      </c>
      <c r="W3" s="184" t="s">
        <v>118</v>
      </c>
      <c r="X3" s="197" t="s">
        <v>164</v>
      </c>
      <c r="Y3" s="197" t="s">
        <v>138</v>
      </c>
      <c r="Z3" s="170"/>
      <c r="AA3" s="219">
        <v>43535.0</v>
      </c>
      <c r="AB3" s="219">
        <v>43542.0</v>
      </c>
      <c r="AC3" s="184"/>
      <c r="AD3" s="184"/>
      <c r="AE3" s="184"/>
      <c r="AF3" s="184"/>
      <c r="AG3" s="184"/>
      <c r="AH3" s="244" t="s">
        <v>2071</v>
      </c>
      <c r="AI3" s="244" t="s">
        <v>4292</v>
      </c>
      <c r="AJ3" s="184"/>
      <c r="AK3" s="184" t="s">
        <v>2163</v>
      </c>
      <c r="AL3" s="200">
        <f t="shared" si="2"/>
        <v>21</v>
      </c>
      <c r="AM3" s="201">
        <v>2019.0</v>
      </c>
    </row>
    <row r="4">
      <c r="A4" s="158">
        <f t="shared" si="1"/>
        <v>19385989</v>
      </c>
      <c r="B4" s="242">
        <v>3.0</v>
      </c>
      <c r="C4" s="267" t="s">
        <v>4293</v>
      </c>
      <c r="D4" s="184">
        <f>IFERROR(VLOOKUP(E4,INFORMACION!E:F,2,0),"INGRESAR CENTRO DE COSTO A LA DERECHA")</f>
        <v>3</v>
      </c>
      <c r="E4" s="184" t="s">
        <v>3042</v>
      </c>
      <c r="F4" s="184" t="s">
        <v>2592</v>
      </c>
      <c r="G4" s="186" t="s">
        <v>4294</v>
      </c>
      <c r="H4" s="186">
        <v>17.0</v>
      </c>
      <c r="I4" s="186" t="s">
        <v>2541</v>
      </c>
      <c r="J4" s="184" t="s">
        <v>112</v>
      </c>
      <c r="K4" s="184" t="s">
        <v>120</v>
      </c>
      <c r="L4" s="184" t="s">
        <v>117</v>
      </c>
      <c r="M4" s="184">
        <v>5.0</v>
      </c>
      <c r="N4" s="184" t="s">
        <v>122</v>
      </c>
      <c r="O4" s="184" t="s">
        <v>2597</v>
      </c>
      <c r="P4" s="184">
        <v>1.0</v>
      </c>
      <c r="Q4" s="184">
        <v>0.0</v>
      </c>
      <c r="R4" s="184" t="s">
        <v>121</v>
      </c>
      <c r="S4" s="218">
        <v>43591.0</v>
      </c>
      <c r="T4" s="105" t="s">
        <v>1060</v>
      </c>
      <c r="U4" s="105"/>
      <c r="V4" s="184" t="s">
        <v>3132</v>
      </c>
      <c r="W4" s="184" t="s">
        <v>118</v>
      </c>
      <c r="X4" s="197" t="s">
        <v>170</v>
      </c>
      <c r="Y4" s="170"/>
      <c r="Z4" s="170"/>
      <c r="AA4" s="219">
        <v>43529.0</v>
      </c>
      <c r="AB4" s="219">
        <v>43534.0</v>
      </c>
      <c r="AC4" s="184"/>
      <c r="AD4" s="184"/>
      <c r="AE4" s="184"/>
      <c r="AF4" s="184"/>
      <c r="AG4" s="4"/>
      <c r="AH4" s="244" t="s">
        <v>2071</v>
      </c>
      <c r="AI4" s="244" t="s">
        <v>4295</v>
      </c>
      <c r="AJ4" s="184"/>
      <c r="AK4" s="184" t="s">
        <v>2157</v>
      </c>
      <c r="AL4" s="200">
        <f t="shared" si="2"/>
        <v>41</v>
      </c>
      <c r="AM4" s="201">
        <v>2019.0</v>
      </c>
    </row>
    <row r="5">
      <c r="A5" s="158">
        <f t="shared" si="1"/>
        <v>13265762</v>
      </c>
      <c r="B5" s="242">
        <v>4.0</v>
      </c>
      <c r="C5" s="287" t="s">
        <v>4296</v>
      </c>
      <c r="D5" s="184">
        <f>IFERROR(VLOOKUP(E5,INFORMACION!E:F,2,0),"INGRESAR CENTRO DE COSTO A LA DERECHA")</f>
        <v>3</v>
      </c>
      <c r="E5" s="287" t="s">
        <v>2714</v>
      </c>
      <c r="F5" s="184" t="s">
        <v>4297</v>
      </c>
      <c r="G5" s="186" t="s">
        <v>4298</v>
      </c>
      <c r="H5" s="186">
        <v>14.0</v>
      </c>
      <c r="I5" s="186" t="s">
        <v>2541</v>
      </c>
      <c r="J5" s="184" t="s">
        <v>112</v>
      </c>
      <c r="K5" s="184" t="s">
        <v>125</v>
      </c>
      <c r="L5" s="184" t="s">
        <v>117</v>
      </c>
      <c r="M5" s="184">
        <v>4.0</v>
      </c>
      <c r="N5" s="184" t="s">
        <v>122</v>
      </c>
      <c r="O5" s="184" t="s">
        <v>2597</v>
      </c>
      <c r="P5" s="184">
        <v>2.0</v>
      </c>
      <c r="Q5" s="184">
        <v>0.0</v>
      </c>
      <c r="R5" s="184" t="s">
        <v>121</v>
      </c>
      <c r="S5" s="218">
        <v>43584.0</v>
      </c>
      <c r="T5" s="105" t="s">
        <v>315</v>
      </c>
      <c r="U5" s="105"/>
      <c r="V5" s="184" t="s">
        <v>3670</v>
      </c>
      <c r="W5" s="184" t="s">
        <v>122</v>
      </c>
      <c r="X5" s="184"/>
      <c r="Y5" s="170"/>
      <c r="Z5" s="170"/>
      <c r="AA5" s="219">
        <v>43530.0</v>
      </c>
      <c r="AB5" s="219">
        <v>43538.0</v>
      </c>
      <c r="AC5" s="4"/>
      <c r="AD5" s="4"/>
      <c r="AE5" s="184"/>
      <c r="AF5" s="4"/>
      <c r="AG5" s="4"/>
      <c r="AH5" s="244" t="s">
        <v>2071</v>
      </c>
      <c r="AI5" s="244" t="s">
        <v>4039</v>
      </c>
      <c r="AJ5" s="184"/>
      <c r="AK5" s="184" t="s">
        <v>2157</v>
      </c>
      <c r="AL5" s="200">
        <f t="shared" si="2"/>
        <v>33</v>
      </c>
      <c r="AM5" s="201">
        <v>2019.0</v>
      </c>
    </row>
    <row r="6">
      <c r="A6" s="158">
        <f t="shared" si="1"/>
        <v>16129369</v>
      </c>
      <c r="B6" s="242">
        <v>5.0</v>
      </c>
      <c r="C6" s="267" t="s">
        <v>4299</v>
      </c>
      <c r="D6" s="184">
        <f>IFERROR(VLOOKUP(E6,INFORMACION!E:F,2,0),"INGRESAR CENTRO DE COSTO A LA DERECHA")</f>
        <v>95</v>
      </c>
      <c r="E6" s="244" t="s">
        <v>1618</v>
      </c>
      <c r="F6" s="184" t="s">
        <v>4281</v>
      </c>
      <c r="G6" s="186" t="s">
        <v>4300</v>
      </c>
      <c r="H6" s="186">
        <v>11.0</v>
      </c>
      <c r="I6" s="186" t="s">
        <v>2582</v>
      </c>
      <c r="J6" s="184" t="s">
        <v>112</v>
      </c>
      <c r="K6" s="184" t="s">
        <v>114</v>
      </c>
      <c r="L6" s="184" t="s">
        <v>117</v>
      </c>
      <c r="M6" s="184">
        <v>1.0</v>
      </c>
      <c r="N6" s="184" t="s">
        <v>122</v>
      </c>
      <c r="O6" s="184" t="s">
        <v>2597</v>
      </c>
      <c r="P6" s="184">
        <v>1.0</v>
      </c>
      <c r="Q6" s="184">
        <v>0.0</v>
      </c>
      <c r="R6" s="184" t="s">
        <v>121</v>
      </c>
      <c r="S6" s="218">
        <v>43586.0</v>
      </c>
      <c r="T6" s="105" t="s">
        <v>4301</v>
      </c>
      <c r="U6" s="105"/>
      <c r="V6" s="184" t="s">
        <v>4302</v>
      </c>
      <c r="W6" s="184" t="s">
        <v>118</v>
      </c>
      <c r="X6" s="197" t="s">
        <v>154</v>
      </c>
      <c r="Y6" s="170"/>
      <c r="Z6" s="170"/>
      <c r="AA6" s="219">
        <v>43537.0</v>
      </c>
      <c r="AB6" s="219">
        <v>43544.0</v>
      </c>
      <c r="AC6" s="184"/>
      <c r="AD6" s="184"/>
      <c r="AE6" s="184"/>
      <c r="AF6" s="184"/>
      <c r="AG6" s="4"/>
      <c r="AH6" s="244" t="s">
        <v>2071</v>
      </c>
      <c r="AI6" s="244" t="s">
        <v>4303</v>
      </c>
      <c r="AJ6" s="184"/>
      <c r="AK6" s="184" t="s">
        <v>2157</v>
      </c>
      <c r="AL6" s="200">
        <f t="shared" si="2"/>
        <v>31</v>
      </c>
      <c r="AM6" s="201">
        <v>2019.0</v>
      </c>
    </row>
    <row r="7">
      <c r="A7" s="158">
        <f t="shared" si="1"/>
        <v>15797419</v>
      </c>
      <c r="B7" s="242">
        <v>6.0</v>
      </c>
      <c r="C7" s="267" t="s">
        <v>4304</v>
      </c>
      <c r="D7" s="184">
        <f>IFERROR(VLOOKUP(E7,INFORMACION!E:F,2,0),"INGRESAR CENTRO DE COSTO A LA DERECHA")</f>
        <v>3</v>
      </c>
      <c r="E7" s="184" t="s">
        <v>2714</v>
      </c>
      <c r="F7" s="184" t="s">
        <v>2977</v>
      </c>
      <c r="G7" s="186" t="s">
        <v>4305</v>
      </c>
      <c r="H7" s="186">
        <v>8.0</v>
      </c>
      <c r="I7" s="186" t="s">
        <v>2541</v>
      </c>
      <c r="J7" s="184" t="s">
        <v>112</v>
      </c>
      <c r="K7" s="184" t="s">
        <v>114</v>
      </c>
      <c r="L7" s="184" t="s">
        <v>117</v>
      </c>
      <c r="M7" s="184">
        <v>5.0</v>
      </c>
      <c r="N7" s="184" t="s">
        <v>122</v>
      </c>
      <c r="O7" s="184" t="s">
        <v>2597</v>
      </c>
      <c r="P7" s="184">
        <v>3.0</v>
      </c>
      <c r="Q7" s="184">
        <v>0.0</v>
      </c>
      <c r="R7" s="184" t="s">
        <v>121</v>
      </c>
      <c r="S7" s="218">
        <v>43605.0</v>
      </c>
      <c r="T7" s="105" t="s">
        <v>262</v>
      </c>
      <c r="U7" s="105"/>
      <c r="V7" s="184" t="s">
        <v>2627</v>
      </c>
      <c r="W7" s="184" t="s">
        <v>118</v>
      </c>
      <c r="X7" s="197" t="s">
        <v>160</v>
      </c>
      <c r="Y7" s="197"/>
      <c r="Z7" s="170"/>
      <c r="AA7" s="219">
        <v>43535.0</v>
      </c>
      <c r="AB7" s="219">
        <v>43542.0</v>
      </c>
      <c r="AC7" s="184"/>
      <c r="AD7" s="184"/>
      <c r="AE7" s="184"/>
      <c r="AF7" s="184"/>
      <c r="AG7" s="4"/>
      <c r="AH7" s="244" t="s">
        <v>2071</v>
      </c>
      <c r="AI7" s="244" t="s">
        <v>4039</v>
      </c>
      <c r="AJ7" s="184"/>
      <c r="AK7" s="184" t="s">
        <v>2157</v>
      </c>
      <c r="AL7" s="200">
        <f t="shared" si="2"/>
        <v>46</v>
      </c>
      <c r="AM7" s="201">
        <v>2019.0</v>
      </c>
    </row>
    <row r="8">
      <c r="A8" s="158">
        <f t="shared" si="1"/>
        <v>16861876</v>
      </c>
      <c r="B8" s="259">
        <v>7.0</v>
      </c>
      <c r="C8" s="267" t="s">
        <v>4306</v>
      </c>
      <c r="D8" s="184">
        <f>IFERROR(VLOOKUP(E8,INFORMACION!E:F,2,0),"INGRESAR CENTRO DE COSTO A LA DERECHA")</f>
        <v>120</v>
      </c>
      <c r="E8" s="244" t="s">
        <v>3552</v>
      </c>
      <c r="F8" s="184" t="s">
        <v>2794</v>
      </c>
      <c r="G8" s="245" t="s">
        <v>4307</v>
      </c>
      <c r="H8" s="245">
        <v>20.0</v>
      </c>
      <c r="I8" s="245" t="s">
        <v>2541</v>
      </c>
      <c r="J8" s="244" t="s">
        <v>112</v>
      </c>
      <c r="K8" s="244" t="s">
        <v>120</v>
      </c>
      <c r="L8" s="244" t="s">
        <v>117</v>
      </c>
      <c r="M8" s="244">
        <v>2.0</v>
      </c>
      <c r="N8" s="244" t="s">
        <v>116</v>
      </c>
      <c r="O8" s="244">
        <v>11.0</v>
      </c>
      <c r="P8" s="244">
        <v>1.0</v>
      </c>
      <c r="Q8" s="244">
        <v>1.0</v>
      </c>
      <c r="R8" s="244" t="s">
        <v>115</v>
      </c>
      <c r="S8" s="246">
        <v>43633.0</v>
      </c>
      <c r="T8" s="247" t="s">
        <v>1434</v>
      </c>
      <c r="U8" s="247"/>
      <c r="V8" s="244" t="s">
        <v>2320</v>
      </c>
      <c r="W8" s="244" t="s">
        <v>118</v>
      </c>
      <c r="X8" s="248" t="s">
        <v>170</v>
      </c>
      <c r="Y8" s="248"/>
      <c r="Z8" s="249"/>
      <c r="AA8" s="219">
        <v>43535.0</v>
      </c>
      <c r="AB8" s="250">
        <v>43542.0</v>
      </c>
      <c r="AC8" s="251"/>
      <c r="AD8" s="251"/>
      <c r="AE8" s="244"/>
      <c r="AF8" s="251"/>
      <c r="AG8" s="251"/>
      <c r="AH8" s="244" t="s">
        <v>2071</v>
      </c>
      <c r="AI8" s="244" t="s">
        <v>4308</v>
      </c>
      <c r="AJ8" s="244"/>
      <c r="AK8" s="244" t="s">
        <v>2157</v>
      </c>
      <c r="AL8" s="200">
        <f t="shared" si="2"/>
        <v>66</v>
      </c>
      <c r="AM8" s="201">
        <v>2019.0</v>
      </c>
    </row>
    <row r="9">
      <c r="A9" s="158">
        <f t="shared" si="1"/>
        <v>18432874</v>
      </c>
      <c r="B9" s="236">
        <v>8.0</v>
      </c>
      <c r="C9" s="184" t="s">
        <v>4309</v>
      </c>
      <c r="D9" s="184">
        <f>IFERROR(VLOOKUP(E9,INFORMACION!E:F,2,0),"INGRESAR CENTRO DE COSTO A LA DERECHA")</f>
        <v>95</v>
      </c>
      <c r="E9" s="244" t="s">
        <v>3532</v>
      </c>
      <c r="F9" s="184" t="s">
        <v>2545</v>
      </c>
      <c r="G9" s="245" t="s">
        <v>4310</v>
      </c>
      <c r="H9" s="245">
        <v>17.0</v>
      </c>
      <c r="I9" s="245" t="s">
        <v>2582</v>
      </c>
      <c r="J9" s="244" t="s">
        <v>112</v>
      </c>
      <c r="K9" s="244" t="s">
        <v>125</v>
      </c>
      <c r="L9" s="244" t="s">
        <v>117</v>
      </c>
      <c r="M9" s="244">
        <v>0.0</v>
      </c>
      <c r="N9" s="244" t="s">
        <v>116</v>
      </c>
      <c r="O9" s="244">
        <v>4.0</v>
      </c>
      <c r="P9" s="244">
        <v>2.0</v>
      </c>
      <c r="Q9" s="244">
        <v>0.0</v>
      </c>
      <c r="R9" s="244" t="s">
        <v>121</v>
      </c>
      <c r="S9" s="246">
        <v>43620.0</v>
      </c>
      <c r="T9" s="247"/>
      <c r="U9" s="247" t="s">
        <v>4311</v>
      </c>
      <c r="V9" s="244" t="s">
        <v>4312</v>
      </c>
      <c r="W9" s="244" t="s">
        <v>122</v>
      </c>
      <c r="X9" s="249"/>
      <c r="Y9" s="249"/>
      <c r="Z9" s="249"/>
      <c r="AA9" s="219">
        <v>43558.0</v>
      </c>
      <c r="AB9" s="250">
        <v>43565.0</v>
      </c>
      <c r="AC9" s="244"/>
      <c r="AD9" s="244"/>
      <c r="AE9" s="244"/>
      <c r="AF9" s="244"/>
      <c r="AG9" s="251"/>
      <c r="AH9" s="244" t="s">
        <v>2071</v>
      </c>
      <c r="AI9" s="244" t="s">
        <v>4313</v>
      </c>
      <c r="AJ9" s="244"/>
      <c r="AK9" s="244" t="s">
        <v>2163</v>
      </c>
      <c r="AL9" s="200">
        <f t="shared" si="2"/>
        <v>40</v>
      </c>
      <c r="AM9" s="201">
        <v>2019.0</v>
      </c>
    </row>
    <row r="10">
      <c r="A10" s="158">
        <f t="shared" si="1"/>
        <v>9966232</v>
      </c>
      <c r="B10" s="236">
        <v>9.0</v>
      </c>
      <c r="C10" s="184" t="s">
        <v>4314</v>
      </c>
      <c r="D10" s="184">
        <f>IFERROR(VLOOKUP(E10,INFORMACION!E:F,2,0),"INGRESAR CENTRO DE COSTO A LA DERECHA")</f>
        <v>40</v>
      </c>
      <c r="E10" s="184" t="s">
        <v>4315</v>
      </c>
      <c r="F10" s="184" t="s">
        <v>2642</v>
      </c>
      <c r="G10" s="186" t="s">
        <v>4220</v>
      </c>
      <c r="H10" s="186">
        <v>13.0</v>
      </c>
      <c r="I10" s="186" t="s">
        <v>2541</v>
      </c>
      <c r="J10" s="184" t="s">
        <v>112</v>
      </c>
      <c r="K10" s="184" t="s">
        <v>114</v>
      </c>
      <c r="L10" s="184" t="s">
        <v>117</v>
      </c>
      <c r="M10" s="184">
        <v>2.0</v>
      </c>
      <c r="N10" s="184" t="s">
        <v>116</v>
      </c>
      <c r="O10" s="184">
        <v>4.0</v>
      </c>
      <c r="P10" s="184">
        <v>2.0</v>
      </c>
      <c r="Q10" s="184">
        <v>0.0</v>
      </c>
      <c r="R10" s="184" t="s">
        <v>121</v>
      </c>
      <c r="S10" s="218">
        <v>43619.0</v>
      </c>
      <c r="T10" s="105"/>
      <c r="U10" s="105" t="s">
        <v>4316</v>
      </c>
      <c r="V10" s="184" t="s">
        <v>4317</v>
      </c>
      <c r="W10" s="184" t="s">
        <v>122</v>
      </c>
      <c r="X10" s="197"/>
      <c r="Y10" s="197"/>
      <c r="Z10" s="170"/>
      <c r="AA10" s="219">
        <v>43560.0</v>
      </c>
      <c r="AB10" s="219">
        <v>43567.0</v>
      </c>
      <c r="AC10" s="184"/>
      <c r="AD10" s="184"/>
      <c r="AE10" s="184"/>
      <c r="AF10" s="184"/>
      <c r="AG10" s="184"/>
      <c r="AH10" s="244" t="s">
        <v>2071</v>
      </c>
      <c r="AI10" s="244" t="s">
        <v>4039</v>
      </c>
      <c r="AJ10" s="184"/>
      <c r="AK10" s="184" t="s">
        <v>2163</v>
      </c>
      <c r="AL10" s="200">
        <f t="shared" si="2"/>
        <v>37</v>
      </c>
      <c r="AM10" s="201">
        <v>2019.0</v>
      </c>
    </row>
    <row r="11">
      <c r="A11" s="158">
        <f t="shared" si="1"/>
        <v>14192009</v>
      </c>
      <c r="B11" s="242">
        <v>10.0</v>
      </c>
      <c r="C11" s="267" t="s">
        <v>4318</v>
      </c>
      <c r="D11" s="184">
        <f>IFERROR(VLOOKUP(E11,INFORMACION!E:F,2,0),"INGRESAR CENTRO DE COSTO A LA DERECHA")</f>
        <v>15</v>
      </c>
      <c r="E11" s="184" t="s">
        <v>2195</v>
      </c>
      <c r="F11" s="184" t="s">
        <v>3260</v>
      </c>
      <c r="G11" s="186" t="s">
        <v>3261</v>
      </c>
      <c r="H11" s="186">
        <v>14.0</v>
      </c>
      <c r="I11" s="186" t="s">
        <v>2541</v>
      </c>
      <c r="J11" s="184" t="s">
        <v>112</v>
      </c>
      <c r="K11" s="184" t="s">
        <v>114</v>
      </c>
      <c r="L11" s="184" t="s">
        <v>117</v>
      </c>
      <c r="M11" s="184">
        <v>6.0</v>
      </c>
      <c r="N11" s="184" t="s">
        <v>122</v>
      </c>
      <c r="O11" s="184" t="s">
        <v>2597</v>
      </c>
      <c r="P11" s="184">
        <v>2.0</v>
      </c>
      <c r="Q11" s="184">
        <v>0.0</v>
      </c>
      <c r="R11" s="184" t="s">
        <v>121</v>
      </c>
      <c r="S11" s="218">
        <v>43622.0</v>
      </c>
      <c r="T11" s="105" t="s">
        <v>1307</v>
      </c>
      <c r="U11" s="105"/>
      <c r="V11" s="184" t="s">
        <v>4319</v>
      </c>
      <c r="W11" s="184" t="s">
        <v>118</v>
      </c>
      <c r="X11" s="197" t="s">
        <v>138</v>
      </c>
      <c r="Y11" s="170"/>
      <c r="Z11" s="170"/>
      <c r="AA11" s="219">
        <v>43563.0</v>
      </c>
      <c r="AB11" s="219">
        <v>43570.0</v>
      </c>
      <c r="AC11" s="4"/>
      <c r="AD11" s="4"/>
      <c r="AE11" s="184"/>
      <c r="AF11" s="4"/>
      <c r="AG11" s="4"/>
      <c r="AH11" s="244" t="s">
        <v>2071</v>
      </c>
      <c r="AI11" s="244" t="s">
        <v>2597</v>
      </c>
      <c r="AJ11" s="184"/>
      <c r="AK11" s="184" t="s">
        <v>2157</v>
      </c>
      <c r="AL11" s="200">
        <f t="shared" si="2"/>
        <v>39</v>
      </c>
      <c r="AM11" s="201">
        <v>2019.0</v>
      </c>
    </row>
    <row r="12">
      <c r="A12" s="158">
        <f t="shared" si="1"/>
        <v>15374087</v>
      </c>
      <c r="B12" s="242">
        <v>11.0</v>
      </c>
      <c r="C12" s="267" t="s">
        <v>4320</v>
      </c>
      <c r="D12" s="184">
        <f>IFERROR(VLOOKUP(E12,INFORMACION!E:F,2,0),"INGRESAR CENTRO DE COSTO A LA DERECHA")</f>
        <v>15</v>
      </c>
      <c r="E12" s="184" t="s">
        <v>2195</v>
      </c>
      <c r="F12" s="184" t="s">
        <v>2710</v>
      </c>
      <c r="G12" s="186" t="s">
        <v>4321</v>
      </c>
      <c r="H12" s="186">
        <v>10.0</v>
      </c>
      <c r="I12" s="186" t="s">
        <v>2541</v>
      </c>
      <c r="J12" s="184" t="s">
        <v>112</v>
      </c>
      <c r="K12" s="184" t="s">
        <v>114</v>
      </c>
      <c r="L12" s="184" t="s">
        <v>117</v>
      </c>
      <c r="M12" s="184">
        <v>2.0</v>
      </c>
      <c r="N12" s="184" t="s">
        <v>122</v>
      </c>
      <c r="O12" s="184" t="s">
        <v>2597</v>
      </c>
      <c r="P12" s="184">
        <v>1.0</v>
      </c>
      <c r="Q12" s="184">
        <v>0.0</v>
      </c>
      <c r="R12" s="184" t="s">
        <v>121</v>
      </c>
      <c r="S12" s="218">
        <v>43621.0</v>
      </c>
      <c r="T12" s="105" t="s">
        <v>495</v>
      </c>
      <c r="U12" s="105"/>
      <c r="V12" s="184" t="s">
        <v>4322</v>
      </c>
      <c r="W12" s="184" t="s">
        <v>118</v>
      </c>
      <c r="X12" s="197" t="s">
        <v>138</v>
      </c>
      <c r="Y12" s="197" t="s">
        <v>166</v>
      </c>
      <c r="Z12" s="170"/>
      <c r="AA12" s="219">
        <v>43565.0</v>
      </c>
      <c r="AB12" s="219">
        <v>43572.0</v>
      </c>
      <c r="AC12" s="4"/>
      <c r="AD12" s="4"/>
      <c r="AE12" s="184"/>
      <c r="AF12" s="4"/>
      <c r="AG12" s="184"/>
      <c r="AH12" s="244" t="s">
        <v>2071</v>
      </c>
      <c r="AI12" s="244" t="s">
        <v>2597</v>
      </c>
      <c r="AJ12" s="184"/>
      <c r="AK12" s="184" t="s">
        <v>2157</v>
      </c>
      <c r="AL12" s="200">
        <f t="shared" si="2"/>
        <v>36</v>
      </c>
      <c r="AM12" s="201">
        <v>2019.0</v>
      </c>
    </row>
    <row r="13">
      <c r="A13" s="158">
        <f t="shared" si="1"/>
        <v>16648725</v>
      </c>
      <c r="B13" s="242">
        <v>12.0</v>
      </c>
      <c r="C13" s="267" t="s">
        <v>4323</v>
      </c>
      <c r="D13" s="184">
        <f>IFERROR(VLOOKUP(E13,INFORMACION!E:F,2,0),"INGRESAR CENTRO DE COSTO A LA DERECHA")</f>
        <v>5</v>
      </c>
      <c r="E13" s="184" t="s">
        <v>1637</v>
      </c>
      <c r="F13" s="184" t="s">
        <v>2650</v>
      </c>
      <c r="G13" s="186" t="s">
        <v>3985</v>
      </c>
      <c r="H13" s="186">
        <v>17.0</v>
      </c>
      <c r="I13" s="186" t="s">
        <v>2541</v>
      </c>
      <c r="J13" s="184" t="s">
        <v>112</v>
      </c>
      <c r="K13" s="184" t="s">
        <v>120</v>
      </c>
      <c r="L13" s="184" t="s">
        <v>117</v>
      </c>
      <c r="M13" s="184">
        <v>4.0</v>
      </c>
      <c r="N13" s="184" t="s">
        <v>122</v>
      </c>
      <c r="O13" s="184" t="s">
        <v>2597</v>
      </c>
      <c r="P13" s="184">
        <v>1.0</v>
      </c>
      <c r="Q13" s="184">
        <v>0.0</v>
      </c>
      <c r="R13" s="184" t="s">
        <v>121</v>
      </c>
      <c r="S13" s="218">
        <v>43626.0</v>
      </c>
      <c r="T13" s="105" t="s">
        <v>1328</v>
      </c>
      <c r="U13" s="105"/>
      <c r="V13" s="184" t="s">
        <v>3733</v>
      </c>
      <c r="W13" s="184" t="s">
        <v>118</v>
      </c>
      <c r="X13" s="197" t="s">
        <v>150</v>
      </c>
      <c r="Y13" s="197"/>
      <c r="Z13" s="170"/>
      <c r="AA13" s="219">
        <v>43565.0</v>
      </c>
      <c r="AB13" s="219">
        <v>43572.0</v>
      </c>
      <c r="AC13" s="184"/>
      <c r="AD13" s="4"/>
      <c r="AE13" s="184"/>
      <c r="AF13" s="4"/>
      <c r="AG13" s="4"/>
      <c r="AH13" s="244" t="s">
        <v>2071</v>
      </c>
      <c r="AI13" s="244" t="s">
        <v>2597</v>
      </c>
      <c r="AJ13" s="184"/>
      <c r="AK13" s="184" t="s">
        <v>2157</v>
      </c>
      <c r="AL13" s="200">
        <f t="shared" si="2"/>
        <v>39</v>
      </c>
      <c r="AM13" s="201">
        <v>2019.0</v>
      </c>
    </row>
    <row r="14">
      <c r="A14" s="158">
        <f t="shared" si="1"/>
        <v>19183281</v>
      </c>
      <c r="B14" s="259">
        <v>13.0</v>
      </c>
      <c r="C14" s="267" t="s">
        <v>4324</v>
      </c>
      <c r="D14" s="184">
        <f>IFERROR(VLOOKUP(E14,INFORMACION!E:F,2,0),"INGRESAR CENTRO DE COSTO A LA DERECHA")</f>
        <v>15</v>
      </c>
      <c r="E14" s="184" t="s">
        <v>2195</v>
      </c>
      <c r="F14" s="184" t="s">
        <v>2596</v>
      </c>
      <c r="G14" s="186" t="s">
        <v>4325</v>
      </c>
      <c r="H14" s="186">
        <v>17.0</v>
      </c>
      <c r="I14" s="186" t="s">
        <v>2541</v>
      </c>
      <c r="J14" s="184" t="s">
        <v>112</v>
      </c>
      <c r="K14" s="184" t="s">
        <v>120</v>
      </c>
      <c r="L14" s="184" t="s">
        <v>117</v>
      </c>
      <c r="M14" s="184">
        <v>5.0</v>
      </c>
      <c r="N14" s="184" t="s">
        <v>122</v>
      </c>
      <c r="O14" s="184" t="s">
        <v>2597</v>
      </c>
      <c r="P14" s="184">
        <v>3.0</v>
      </c>
      <c r="Q14" s="184">
        <v>0.0</v>
      </c>
      <c r="R14" s="184" t="s">
        <v>121</v>
      </c>
      <c r="S14" s="218">
        <v>43621.0</v>
      </c>
      <c r="T14" s="105" t="s">
        <v>1230</v>
      </c>
      <c r="U14" s="105"/>
      <c r="V14" s="184" t="s">
        <v>2485</v>
      </c>
      <c r="W14" s="184" t="s">
        <v>118</v>
      </c>
      <c r="X14" s="197" t="s">
        <v>176</v>
      </c>
      <c r="Y14" s="197"/>
      <c r="Z14" s="170"/>
      <c r="AA14" s="219">
        <v>43563.0</v>
      </c>
      <c r="AB14" s="219">
        <v>43570.0</v>
      </c>
      <c r="AC14" s="4"/>
      <c r="AD14" s="4"/>
      <c r="AE14" s="184"/>
      <c r="AF14" s="4"/>
      <c r="AG14" s="4"/>
      <c r="AH14" s="184" t="s">
        <v>2071</v>
      </c>
      <c r="AI14" s="184" t="s">
        <v>2597</v>
      </c>
      <c r="AJ14" s="184"/>
      <c r="AK14" s="184" t="s">
        <v>2157</v>
      </c>
      <c r="AL14" s="200">
        <f t="shared" si="2"/>
        <v>38</v>
      </c>
      <c r="AM14" s="201">
        <v>2019.0</v>
      </c>
    </row>
    <row r="15">
      <c r="A15" s="158">
        <f t="shared" si="1"/>
        <v>17106896</v>
      </c>
      <c r="B15" s="259">
        <v>14.0</v>
      </c>
      <c r="C15" s="267" t="s">
        <v>4296</v>
      </c>
      <c r="D15" s="184">
        <f>IFERROR(VLOOKUP(E15,INFORMACION!E:F,2,0),"INGRESAR CENTRO DE COSTO A LA DERECHA")</f>
        <v>3</v>
      </c>
      <c r="E15" s="184" t="s">
        <v>2714</v>
      </c>
      <c r="F15" s="184" t="s">
        <v>4297</v>
      </c>
      <c r="G15" s="186" t="s">
        <v>4326</v>
      </c>
      <c r="H15" s="186">
        <v>14.0</v>
      </c>
      <c r="I15" s="186" t="s">
        <v>2541</v>
      </c>
      <c r="J15" s="184" t="s">
        <v>112</v>
      </c>
      <c r="K15" s="184" t="s">
        <v>125</v>
      </c>
      <c r="L15" s="184" t="s">
        <v>117</v>
      </c>
      <c r="M15" s="184">
        <v>4.0</v>
      </c>
      <c r="N15" s="184" t="s">
        <v>122</v>
      </c>
      <c r="O15" s="184" t="s">
        <v>2597</v>
      </c>
      <c r="P15" s="184">
        <v>2.0</v>
      </c>
      <c r="Q15" s="184">
        <v>0.0</v>
      </c>
      <c r="R15" s="184" t="s">
        <v>121</v>
      </c>
      <c r="S15" s="218">
        <v>43647.0</v>
      </c>
      <c r="T15" s="105" t="s">
        <v>667</v>
      </c>
      <c r="U15" s="105"/>
      <c r="V15" s="184" t="s">
        <v>4327</v>
      </c>
      <c r="W15" s="184" t="s">
        <v>118</v>
      </c>
      <c r="X15" s="197" t="s">
        <v>164</v>
      </c>
      <c r="Y15" s="170"/>
      <c r="Z15" s="170"/>
      <c r="AA15" s="219">
        <v>43530.0</v>
      </c>
      <c r="AB15" s="219">
        <v>43538.0</v>
      </c>
      <c r="AC15" s="4"/>
      <c r="AD15" s="4"/>
      <c r="AE15" s="184"/>
      <c r="AF15" s="4"/>
      <c r="AG15" s="4"/>
      <c r="AH15" s="244" t="s">
        <v>2071</v>
      </c>
      <c r="AI15" s="244" t="s">
        <v>4328</v>
      </c>
      <c r="AJ15" s="184"/>
      <c r="AK15" s="184" t="s">
        <v>1612</v>
      </c>
      <c r="AL15" s="200">
        <f t="shared" si="2"/>
        <v>78</v>
      </c>
      <c r="AM15" s="201">
        <v>2019.0</v>
      </c>
    </row>
    <row r="16">
      <c r="A16" s="158">
        <f t="shared" si="1"/>
        <v>10874837</v>
      </c>
      <c r="B16" s="236">
        <v>15.0</v>
      </c>
      <c r="C16" s="184" t="s">
        <v>4329</v>
      </c>
      <c r="D16" s="184">
        <f>IFERROR(VLOOKUP(E16,INFORMACION!E:F,2,0),"INGRESAR CENTRO DE COSTO A LA DERECHA")</f>
        <v>15</v>
      </c>
      <c r="E16" s="184" t="s">
        <v>2891</v>
      </c>
      <c r="F16" s="184" t="s">
        <v>2609</v>
      </c>
      <c r="G16" s="186" t="s">
        <v>4330</v>
      </c>
      <c r="H16" s="186">
        <v>20.0</v>
      </c>
      <c r="I16" s="186" t="s">
        <v>2541</v>
      </c>
      <c r="J16" s="184" t="s">
        <v>112</v>
      </c>
      <c r="K16" s="184" t="s">
        <v>120</v>
      </c>
      <c r="L16" s="184" t="s">
        <v>117</v>
      </c>
      <c r="M16" s="184">
        <v>1.0</v>
      </c>
      <c r="N16" s="184" t="s">
        <v>122</v>
      </c>
      <c r="O16" s="184" t="s">
        <v>2597</v>
      </c>
      <c r="P16" s="184">
        <v>1.0</v>
      </c>
      <c r="Q16" s="184">
        <v>0.0</v>
      </c>
      <c r="R16" s="184" t="s">
        <v>121</v>
      </c>
      <c r="S16" s="218">
        <v>43637.0</v>
      </c>
      <c r="T16" s="105" t="s">
        <v>612</v>
      </c>
      <c r="U16" s="105"/>
      <c r="V16" s="184" t="s">
        <v>2786</v>
      </c>
      <c r="W16" s="184" t="s">
        <v>118</v>
      </c>
      <c r="X16" s="197" t="s">
        <v>150</v>
      </c>
      <c r="Y16" s="197"/>
      <c r="Z16" s="170"/>
      <c r="AA16" s="219">
        <v>43581.0</v>
      </c>
      <c r="AB16" s="219">
        <v>43588.0</v>
      </c>
      <c r="AC16" s="4"/>
      <c r="AD16" s="4"/>
      <c r="AE16" s="184"/>
      <c r="AF16" s="4"/>
      <c r="AG16" s="4"/>
      <c r="AH16" s="244" t="s">
        <v>2071</v>
      </c>
      <c r="AI16" s="244" t="s">
        <v>3841</v>
      </c>
      <c r="AJ16" s="184"/>
      <c r="AK16" s="184" t="s">
        <v>2157</v>
      </c>
      <c r="AL16" s="200">
        <f t="shared" si="2"/>
        <v>36</v>
      </c>
      <c r="AM16" s="201">
        <v>2019.0</v>
      </c>
    </row>
    <row r="17">
      <c r="A17" s="158">
        <f t="shared" si="1"/>
        <v>15426721</v>
      </c>
      <c r="B17" s="236">
        <v>16.0</v>
      </c>
      <c r="C17" s="184" t="s">
        <v>4331</v>
      </c>
      <c r="D17" s="184">
        <f>IFERROR(VLOOKUP(E17,INFORMACION!E:F,2,0),"INGRESAR CENTRO DE COSTO A LA DERECHA")</f>
        <v>15</v>
      </c>
      <c r="E17" s="184" t="s">
        <v>2891</v>
      </c>
      <c r="F17" s="184" t="s">
        <v>2576</v>
      </c>
      <c r="G17" s="186" t="s">
        <v>4332</v>
      </c>
      <c r="H17" s="186">
        <v>21.0</v>
      </c>
      <c r="I17" s="186" t="s">
        <v>2541</v>
      </c>
      <c r="J17" s="184" t="s">
        <v>112</v>
      </c>
      <c r="K17" s="184" t="s">
        <v>127</v>
      </c>
      <c r="L17" s="184" t="s">
        <v>117</v>
      </c>
      <c r="M17" s="184">
        <v>1.0</v>
      </c>
      <c r="N17" s="184" t="s">
        <v>122</v>
      </c>
      <c r="O17" s="184" t="s">
        <v>2597</v>
      </c>
      <c r="P17" s="184">
        <v>1.0</v>
      </c>
      <c r="Q17" s="184">
        <v>0.0</v>
      </c>
      <c r="R17" s="184" t="s">
        <v>115</v>
      </c>
      <c r="S17" s="218">
        <v>43637.0</v>
      </c>
      <c r="T17" s="105" t="s">
        <v>1203</v>
      </c>
      <c r="U17" s="105"/>
      <c r="V17" s="184" t="s">
        <v>3590</v>
      </c>
      <c r="W17" s="184" t="s">
        <v>118</v>
      </c>
      <c r="X17" s="197" t="s">
        <v>154</v>
      </c>
      <c r="Y17" s="170"/>
      <c r="Z17" s="170"/>
      <c r="AA17" s="219">
        <v>43581.0</v>
      </c>
      <c r="AB17" s="219">
        <v>43588.0</v>
      </c>
      <c r="AC17" s="4"/>
      <c r="AD17" s="4"/>
      <c r="AE17" s="184"/>
      <c r="AF17" s="4"/>
      <c r="AG17" s="4"/>
      <c r="AH17" s="244" t="s">
        <v>2071</v>
      </c>
      <c r="AI17" s="244" t="s">
        <v>2597</v>
      </c>
      <c r="AJ17" s="184"/>
      <c r="AK17" s="184" t="s">
        <v>2157</v>
      </c>
      <c r="AL17" s="200">
        <f t="shared" si="2"/>
        <v>36</v>
      </c>
      <c r="AM17" s="201">
        <v>2019.0</v>
      </c>
    </row>
    <row r="18">
      <c r="A18" s="158">
        <f t="shared" si="1"/>
        <v>17831879</v>
      </c>
      <c r="B18" s="236">
        <v>17.0</v>
      </c>
      <c r="C18" s="184" t="s">
        <v>4072</v>
      </c>
      <c r="D18" s="184">
        <f>IFERROR(VLOOKUP(E18,INFORMACION!E:F,2,0),"INGRESAR CENTRO DE COSTO A LA DERECHA")</f>
        <v>3</v>
      </c>
      <c r="E18" s="184" t="s">
        <v>2495</v>
      </c>
      <c r="F18" s="184" t="s">
        <v>2382</v>
      </c>
      <c r="G18" s="186" t="s">
        <v>4333</v>
      </c>
      <c r="H18" s="186">
        <v>20.0</v>
      </c>
      <c r="I18" s="186" t="s">
        <v>2541</v>
      </c>
      <c r="J18" s="184" t="s">
        <v>112</v>
      </c>
      <c r="K18" s="184" t="s">
        <v>125</v>
      </c>
      <c r="L18" s="184" t="s">
        <v>117</v>
      </c>
      <c r="M18" s="184">
        <v>1.0</v>
      </c>
      <c r="N18" s="184" t="s">
        <v>116</v>
      </c>
      <c r="O18" s="184">
        <v>10.0</v>
      </c>
      <c r="P18" s="184">
        <v>6.0</v>
      </c>
      <c r="Q18" s="184">
        <v>1.0</v>
      </c>
      <c r="R18" s="184" t="s">
        <v>115</v>
      </c>
      <c r="S18" s="218">
        <v>43626.0</v>
      </c>
      <c r="T18" s="105"/>
      <c r="U18" s="105" t="s">
        <v>4334</v>
      </c>
      <c r="V18" s="184" t="s">
        <v>4335</v>
      </c>
      <c r="W18" s="184" t="s">
        <v>122</v>
      </c>
      <c r="X18" s="197"/>
      <c r="Y18" s="170"/>
      <c r="Z18" s="170"/>
      <c r="AA18" s="219">
        <v>43577.0</v>
      </c>
      <c r="AB18" s="219">
        <v>43584.0</v>
      </c>
      <c r="AC18" s="184"/>
      <c r="AD18" s="184"/>
      <c r="AE18" s="184"/>
      <c r="AF18" s="184"/>
      <c r="AG18" s="4"/>
      <c r="AH18" s="244" t="s">
        <v>2071</v>
      </c>
      <c r="AI18" s="244" t="s">
        <v>4336</v>
      </c>
      <c r="AJ18" s="184"/>
      <c r="AK18" s="184" t="s">
        <v>2163</v>
      </c>
      <c r="AL18" s="200">
        <f t="shared" si="2"/>
        <v>31</v>
      </c>
      <c r="AM18" s="201">
        <v>2019.0</v>
      </c>
    </row>
    <row r="19">
      <c r="A19" s="158">
        <f t="shared" si="1"/>
        <v>16655351</v>
      </c>
      <c r="B19" s="242">
        <v>18.0</v>
      </c>
      <c r="C19" s="267" t="s">
        <v>4337</v>
      </c>
      <c r="D19" s="184">
        <f>IFERROR(VLOOKUP(E19,INFORMACION!E:F,2,0),"INGRESAR CENTRO DE COSTO A LA DERECHA")</f>
        <v>22</v>
      </c>
      <c r="E19" s="184" t="s">
        <v>3118</v>
      </c>
      <c r="F19" s="184" t="s">
        <v>3012</v>
      </c>
      <c r="G19" s="186" t="s">
        <v>4338</v>
      </c>
      <c r="H19" s="186">
        <v>13.0</v>
      </c>
      <c r="I19" s="186" t="s">
        <v>2582</v>
      </c>
      <c r="J19" s="184" t="s">
        <v>112</v>
      </c>
      <c r="K19" s="184" t="s">
        <v>114</v>
      </c>
      <c r="L19" s="184" t="s">
        <v>117</v>
      </c>
      <c r="M19" s="184">
        <v>1.0</v>
      </c>
      <c r="N19" s="184" t="s">
        <v>116</v>
      </c>
      <c r="O19" s="184">
        <v>5.0</v>
      </c>
      <c r="P19" s="184">
        <v>3.0</v>
      </c>
      <c r="Q19" s="184">
        <v>0.0</v>
      </c>
      <c r="R19" s="184" t="s">
        <v>121</v>
      </c>
      <c r="S19" s="218">
        <v>43647.0</v>
      </c>
      <c r="T19" s="105"/>
      <c r="U19" s="105" t="s">
        <v>4339</v>
      </c>
      <c r="V19" s="184" t="s">
        <v>4340</v>
      </c>
      <c r="W19" s="184" t="s">
        <v>118</v>
      </c>
      <c r="X19" s="197" t="s">
        <v>144</v>
      </c>
      <c r="Y19" s="170"/>
      <c r="Z19" s="170"/>
      <c r="AA19" s="219">
        <v>43588.0</v>
      </c>
      <c r="AB19" s="219">
        <v>43597.0</v>
      </c>
      <c r="AC19" s="184"/>
      <c r="AD19" s="184"/>
      <c r="AE19" s="184"/>
      <c r="AF19" s="184"/>
      <c r="AG19" s="4"/>
      <c r="AH19" s="244" t="s">
        <v>2071</v>
      </c>
      <c r="AI19" s="244" t="s">
        <v>4341</v>
      </c>
      <c r="AJ19" s="184"/>
      <c r="AK19" s="184" t="s">
        <v>2163</v>
      </c>
      <c r="AL19" s="200">
        <f t="shared" si="2"/>
        <v>36</v>
      </c>
      <c r="AM19" s="201">
        <v>2019.0</v>
      </c>
    </row>
    <row r="20">
      <c r="A20" s="158">
        <f t="shared" si="1"/>
        <v>10309289</v>
      </c>
      <c r="B20" s="242">
        <v>19.0</v>
      </c>
      <c r="C20" s="267" t="s">
        <v>4342</v>
      </c>
      <c r="D20" s="184">
        <f>IFERROR(VLOOKUP(E20,INFORMACION!E:F,2,0),"INGRESAR CENTRO DE COSTO A LA DERECHA")</f>
        <v>15</v>
      </c>
      <c r="E20" s="184" t="s">
        <v>1975</v>
      </c>
      <c r="F20" s="289" t="s">
        <v>2774</v>
      </c>
      <c r="G20" s="186" t="s">
        <v>1611</v>
      </c>
      <c r="H20" s="186">
        <v>14.0</v>
      </c>
      <c r="I20" s="186" t="s">
        <v>2541</v>
      </c>
      <c r="J20" s="184" t="s">
        <v>112</v>
      </c>
      <c r="K20" s="184" t="s">
        <v>114</v>
      </c>
      <c r="L20" s="184" t="s">
        <v>117</v>
      </c>
      <c r="M20" s="184">
        <v>0.0</v>
      </c>
      <c r="N20" s="184" t="s">
        <v>116</v>
      </c>
      <c r="O20" s="184">
        <v>19.0</v>
      </c>
      <c r="P20" s="184">
        <v>1.0</v>
      </c>
      <c r="Q20" s="184">
        <v>0.0</v>
      </c>
      <c r="R20" s="184" t="s">
        <v>121</v>
      </c>
      <c r="S20" s="218">
        <v>43640.0</v>
      </c>
      <c r="T20" s="105"/>
      <c r="U20" s="105" t="s">
        <v>4343</v>
      </c>
      <c r="V20" s="184" t="s">
        <v>4344</v>
      </c>
      <c r="W20" s="184" t="s">
        <v>118</v>
      </c>
      <c r="X20" s="197" t="s">
        <v>176</v>
      </c>
      <c r="Y20" s="170"/>
      <c r="Z20" s="170"/>
      <c r="AA20" s="219">
        <v>43593.0</v>
      </c>
      <c r="AB20" s="219">
        <v>43600.0</v>
      </c>
      <c r="AC20" s="4"/>
      <c r="AD20" s="4"/>
      <c r="AE20" s="184"/>
      <c r="AF20" s="4"/>
      <c r="AG20" s="4"/>
      <c r="AH20" s="244" t="s">
        <v>2071</v>
      </c>
      <c r="AI20" s="244" t="s">
        <v>2597</v>
      </c>
      <c r="AJ20" s="184"/>
      <c r="AK20" s="184" t="s">
        <v>2163</v>
      </c>
      <c r="AL20" s="200">
        <f t="shared" si="2"/>
        <v>29</v>
      </c>
      <c r="AM20" s="201">
        <v>2019.0</v>
      </c>
    </row>
    <row r="21">
      <c r="A21" s="158">
        <f t="shared" si="1"/>
        <v>13297941</v>
      </c>
      <c r="B21" s="236">
        <v>20.0</v>
      </c>
      <c r="C21" s="184" t="s">
        <v>4345</v>
      </c>
      <c r="D21" s="184">
        <f>IFERROR(VLOOKUP(E21,INFORMACION!E:F,2,0),"INGRESAR CENTRO DE COSTO A LA DERECHA")</f>
        <v>3</v>
      </c>
      <c r="E21" s="184" t="s">
        <v>3042</v>
      </c>
      <c r="F21" s="184" t="s">
        <v>2592</v>
      </c>
      <c r="G21" s="186" t="s">
        <v>2333</v>
      </c>
      <c r="H21" s="186">
        <v>17.0</v>
      </c>
      <c r="I21" s="186" t="s">
        <v>2541</v>
      </c>
      <c r="J21" s="184" t="s">
        <v>112</v>
      </c>
      <c r="K21" s="184" t="s">
        <v>120</v>
      </c>
      <c r="L21" s="184" t="s">
        <v>117</v>
      </c>
      <c r="M21" s="184">
        <v>4.0</v>
      </c>
      <c r="N21" s="184" t="s">
        <v>122</v>
      </c>
      <c r="O21" s="184" t="s">
        <v>2597</v>
      </c>
      <c r="P21" s="184">
        <v>3.0</v>
      </c>
      <c r="Q21" s="184">
        <v>0.0</v>
      </c>
      <c r="R21" s="184" t="s">
        <v>115</v>
      </c>
      <c r="S21" s="218">
        <v>43647.0</v>
      </c>
      <c r="T21" s="105" t="s">
        <v>469</v>
      </c>
      <c r="U21" s="105"/>
      <c r="V21" s="184" t="s">
        <v>3822</v>
      </c>
      <c r="W21" s="184" t="s">
        <v>118</v>
      </c>
      <c r="X21" s="197" t="s">
        <v>176</v>
      </c>
      <c r="Y21" s="197"/>
      <c r="Z21" s="197"/>
      <c r="AA21" s="219">
        <v>43584.0</v>
      </c>
      <c r="AB21" s="219">
        <v>43594.0</v>
      </c>
      <c r="AC21" s="4"/>
      <c r="AD21" s="4"/>
      <c r="AE21" s="184"/>
      <c r="AF21" s="4"/>
      <c r="AG21" s="4"/>
      <c r="AH21" s="244" t="s">
        <v>2071</v>
      </c>
      <c r="AI21" s="244" t="s">
        <v>4346</v>
      </c>
      <c r="AJ21" s="184"/>
      <c r="AK21" s="184" t="s">
        <v>2157</v>
      </c>
      <c r="AL21" s="200">
        <f t="shared" si="2"/>
        <v>38</v>
      </c>
      <c r="AM21" s="201">
        <v>2019.0</v>
      </c>
    </row>
    <row r="22">
      <c r="A22" s="158">
        <f t="shared" si="1"/>
        <v>11848270</v>
      </c>
      <c r="B22" s="236">
        <v>21.0</v>
      </c>
      <c r="C22" s="184" t="s">
        <v>4347</v>
      </c>
      <c r="D22" s="184">
        <f>IFERROR(VLOOKUP(E22,INFORMACION!E:F,2,0),"INGRESAR CENTRO DE COSTO A LA DERECHA")</f>
        <v>55</v>
      </c>
      <c r="E22" s="184" t="s">
        <v>2934</v>
      </c>
      <c r="F22" s="184" t="s">
        <v>2558</v>
      </c>
      <c r="G22" s="186" t="s">
        <v>4348</v>
      </c>
      <c r="H22" s="186">
        <v>12.0</v>
      </c>
      <c r="I22" s="186" t="s">
        <v>2541</v>
      </c>
      <c r="J22" s="184" t="s">
        <v>112</v>
      </c>
      <c r="K22" s="184" t="s">
        <v>120</v>
      </c>
      <c r="L22" s="184" t="s">
        <v>117</v>
      </c>
      <c r="M22" s="184">
        <v>11.0</v>
      </c>
      <c r="N22" s="184" t="s">
        <v>122</v>
      </c>
      <c r="O22" s="184" t="s">
        <v>2597</v>
      </c>
      <c r="P22" s="184">
        <v>2.0</v>
      </c>
      <c r="Q22" s="184">
        <v>0.0</v>
      </c>
      <c r="R22" s="184" t="s">
        <v>121</v>
      </c>
      <c r="S22" s="218">
        <v>43647.0</v>
      </c>
      <c r="T22" s="105" t="s">
        <v>1323</v>
      </c>
      <c r="U22" s="105"/>
      <c r="V22" s="184" t="s">
        <v>4349</v>
      </c>
      <c r="W22" s="184" t="s">
        <v>118</v>
      </c>
      <c r="X22" s="197" t="s">
        <v>136</v>
      </c>
      <c r="Y22" s="170"/>
      <c r="Z22" s="170"/>
      <c r="AA22" s="219">
        <v>43581.0</v>
      </c>
      <c r="AB22" s="219">
        <v>43592.0</v>
      </c>
      <c r="AC22" s="184"/>
      <c r="AD22" s="184"/>
      <c r="AE22" s="184"/>
      <c r="AF22" s="184"/>
      <c r="AG22" s="202"/>
      <c r="AH22" s="244" t="s">
        <v>2071</v>
      </c>
      <c r="AI22" s="244" t="s">
        <v>1931</v>
      </c>
      <c r="AJ22" s="184"/>
      <c r="AK22" s="184" t="s">
        <v>2157</v>
      </c>
      <c r="AL22" s="200">
        <f t="shared" si="2"/>
        <v>40</v>
      </c>
      <c r="AM22" s="201">
        <v>2019.0</v>
      </c>
    </row>
    <row r="23">
      <c r="A23" s="158">
        <f t="shared" si="1"/>
        <v>16146459</v>
      </c>
      <c r="B23" s="242">
        <v>22.0</v>
      </c>
      <c r="C23" s="267" t="s">
        <v>4350</v>
      </c>
      <c r="D23" s="184">
        <f>IFERROR(VLOOKUP(E23,INFORMACION!E:F,2,0),"INGRESAR CENTRO DE COSTO A LA DERECHA")</f>
        <v>15</v>
      </c>
      <c r="E23" s="184" t="s">
        <v>2891</v>
      </c>
      <c r="F23" s="184" t="s">
        <v>2576</v>
      </c>
      <c r="G23" s="186" t="s">
        <v>4351</v>
      </c>
      <c r="H23" s="186">
        <v>21.0</v>
      </c>
      <c r="I23" s="186" t="s">
        <v>2541</v>
      </c>
      <c r="J23" s="184" t="s">
        <v>112</v>
      </c>
      <c r="K23" s="184" t="s">
        <v>127</v>
      </c>
      <c r="L23" s="184" t="s">
        <v>117</v>
      </c>
      <c r="M23" s="184">
        <v>1.0</v>
      </c>
      <c r="N23" s="184" t="s">
        <v>122</v>
      </c>
      <c r="O23" s="184" t="s">
        <v>2597</v>
      </c>
      <c r="P23" s="184">
        <v>1.0</v>
      </c>
      <c r="Q23" s="184">
        <v>0.0</v>
      </c>
      <c r="R23" s="184" t="s">
        <v>115</v>
      </c>
      <c r="S23" s="218">
        <v>43647.0</v>
      </c>
      <c r="T23" s="105" t="s">
        <v>1383</v>
      </c>
      <c r="U23" s="105"/>
      <c r="V23" s="184" t="s">
        <v>4352</v>
      </c>
      <c r="W23" s="184" t="s">
        <v>118</v>
      </c>
      <c r="X23" s="197" t="s">
        <v>176</v>
      </c>
      <c r="Y23" s="170"/>
      <c r="Z23" s="170"/>
      <c r="AA23" s="219">
        <v>43599.0</v>
      </c>
      <c r="AB23" s="219">
        <v>43608.0</v>
      </c>
      <c r="AC23" s="4"/>
      <c r="AD23" s="4"/>
      <c r="AE23" s="184"/>
      <c r="AF23" s="4"/>
      <c r="AG23" s="4"/>
      <c r="AH23" s="244" t="s">
        <v>2071</v>
      </c>
      <c r="AI23" s="244" t="s">
        <v>2597</v>
      </c>
      <c r="AJ23" s="184"/>
      <c r="AK23" s="184" t="s">
        <v>2157</v>
      </c>
      <c r="AL23" s="200">
        <f t="shared" si="2"/>
        <v>28</v>
      </c>
      <c r="AM23" s="201">
        <v>2019.0</v>
      </c>
    </row>
    <row r="24">
      <c r="A24" s="158">
        <f t="shared" si="1"/>
        <v>15608779</v>
      </c>
      <c r="B24" s="242">
        <v>23.0</v>
      </c>
      <c r="C24" s="267" t="s">
        <v>4353</v>
      </c>
      <c r="D24" s="184">
        <f>IFERROR(VLOOKUP(E24,INFORMACION!E:F,2,0),"INGRESAR CENTRO DE COSTO A LA DERECHA")</f>
        <v>95</v>
      </c>
      <c r="E24" s="184" t="s">
        <v>1618</v>
      </c>
      <c r="F24" s="184" t="s">
        <v>4281</v>
      </c>
      <c r="G24" s="186" t="s">
        <v>4354</v>
      </c>
      <c r="H24" s="186">
        <v>11.0</v>
      </c>
      <c r="I24" s="186" t="s">
        <v>2582</v>
      </c>
      <c r="J24" s="184" t="s">
        <v>112</v>
      </c>
      <c r="K24" s="184" t="s">
        <v>114</v>
      </c>
      <c r="L24" s="184" t="s">
        <v>117</v>
      </c>
      <c r="M24" s="184">
        <v>1.0</v>
      </c>
      <c r="N24" s="184" t="s">
        <v>122</v>
      </c>
      <c r="O24" s="184" t="s">
        <v>2597</v>
      </c>
      <c r="P24" s="184">
        <v>1.0</v>
      </c>
      <c r="Q24" s="184">
        <v>0.0</v>
      </c>
      <c r="R24" s="184" t="s">
        <v>115</v>
      </c>
      <c r="S24" s="218">
        <v>43647.0</v>
      </c>
      <c r="T24" s="105" t="s">
        <v>4355</v>
      </c>
      <c r="U24" s="105"/>
      <c r="V24" s="184" t="s">
        <v>4356</v>
      </c>
      <c r="W24" s="184" t="s">
        <v>118</v>
      </c>
      <c r="X24" s="197" t="s">
        <v>138</v>
      </c>
      <c r="Y24" s="170"/>
      <c r="Z24" s="170"/>
      <c r="AA24" s="219">
        <v>43584.0</v>
      </c>
      <c r="AB24" s="219">
        <v>43594.0</v>
      </c>
      <c r="AC24" s="184"/>
      <c r="AD24" s="184"/>
      <c r="AE24" s="184"/>
      <c r="AF24" s="184"/>
      <c r="AG24" s="4"/>
      <c r="AH24" s="244" t="s">
        <v>2071</v>
      </c>
      <c r="AI24" s="244" t="s">
        <v>2597</v>
      </c>
      <c r="AJ24" s="184"/>
      <c r="AK24" s="184" t="s">
        <v>2157</v>
      </c>
      <c r="AL24" s="200">
        <f t="shared" si="2"/>
        <v>38</v>
      </c>
      <c r="AM24" s="201">
        <v>2019.0</v>
      </c>
    </row>
    <row r="25">
      <c r="A25" s="158">
        <f t="shared" si="1"/>
        <v>16331696</v>
      </c>
      <c r="B25" s="242">
        <v>24.0</v>
      </c>
      <c r="C25" s="267" t="s">
        <v>4357</v>
      </c>
      <c r="D25" s="184">
        <f>IFERROR(VLOOKUP(E25,INFORMACION!E:F,2,0),"INGRESAR CENTRO DE COSTO A LA DERECHA")</f>
        <v>15</v>
      </c>
      <c r="E25" s="184" t="s">
        <v>1975</v>
      </c>
      <c r="F25" s="184" t="s">
        <v>2774</v>
      </c>
      <c r="G25" s="186" t="s">
        <v>1611</v>
      </c>
      <c r="H25" s="186">
        <v>14.0</v>
      </c>
      <c r="I25" s="186" t="s">
        <v>2541</v>
      </c>
      <c r="J25" s="184" t="s">
        <v>112</v>
      </c>
      <c r="K25" s="184" t="s">
        <v>114</v>
      </c>
      <c r="L25" s="184" t="s">
        <v>117</v>
      </c>
      <c r="M25" s="184">
        <v>2.0</v>
      </c>
      <c r="N25" s="184" t="s">
        <v>122</v>
      </c>
      <c r="O25" s="184" t="s">
        <v>2597</v>
      </c>
      <c r="P25" s="184">
        <v>1.0</v>
      </c>
      <c r="Q25" s="184">
        <v>0.0</v>
      </c>
      <c r="R25" s="184" t="s">
        <v>115</v>
      </c>
      <c r="S25" s="218">
        <v>43656.0</v>
      </c>
      <c r="T25" s="105" t="s">
        <v>4358</v>
      </c>
      <c r="U25" s="105"/>
      <c r="V25" s="184" t="s">
        <v>3709</v>
      </c>
      <c r="W25" s="184" t="s">
        <v>118</v>
      </c>
      <c r="X25" s="197" t="s">
        <v>176</v>
      </c>
      <c r="Y25" s="197" t="s">
        <v>170</v>
      </c>
      <c r="Z25" s="170"/>
      <c r="AA25" s="219">
        <v>43598.0</v>
      </c>
      <c r="AB25" s="219">
        <v>43607.0</v>
      </c>
      <c r="AC25" s="4"/>
      <c r="AD25" s="4"/>
      <c r="AE25" s="184"/>
      <c r="AF25" s="4"/>
      <c r="AG25" s="4"/>
      <c r="AH25" s="244" t="s">
        <v>2071</v>
      </c>
      <c r="AI25" s="244" t="s">
        <v>4359</v>
      </c>
      <c r="AJ25" s="184"/>
      <c r="AK25" s="184" t="s">
        <v>2157</v>
      </c>
      <c r="AL25" s="200">
        <f t="shared" si="2"/>
        <v>36</v>
      </c>
      <c r="AM25" s="201">
        <v>2019.0</v>
      </c>
    </row>
    <row r="26">
      <c r="A26" s="158">
        <f t="shared" si="1"/>
        <v>13151557</v>
      </c>
      <c r="B26" s="242">
        <v>25.0</v>
      </c>
      <c r="C26" s="267" t="s">
        <v>4360</v>
      </c>
      <c r="D26" s="184">
        <f>IFERROR(VLOOKUP(E26,INFORMACION!E:F,2,0),"INGRESAR CENTRO DE COSTO A LA DERECHA")</f>
        <v>3</v>
      </c>
      <c r="E26" s="184" t="s">
        <v>2883</v>
      </c>
      <c r="F26" s="184" t="s">
        <v>2848</v>
      </c>
      <c r="G26" s="186" t="s">
        <v>2849</v>
      </c>
      <c r="H26" s="186">
        <v>13.0</v>
      </c>
      <c r="I26" s="186" t="s">
        <v>2541</v>
      </c>
      <c r="J26" s="184" t="s">
        <v>112</v>
      </c>
      <c r="K26" s="184" t="s">
        <v>114</v>
      </c>
      <c r="L26" s="184" t="s">
        <v>117</v>
      </c>
      <c r="M26" s="184">
        <v>0.0</v>
      </c>
      <c r="N26" s="184" t="s">
        <v>116</v>
      </c>
      <c r="O26" s="184">
        <v>17.0</v>
      </c>
      <c r="P26" s="184">
        <v>4.0</v>
      </c>
      <c r="Q26" s="184">
        <v>0.0</v>
      </c>
      <c r="R26" s="184" t="s">
        <v>115</v>
      </c>
      <c r="S26" s="218">
        <v>43654.0</v>
      </c>
      <c r="T26" s="105"/>
      <c r="U26" s="105" t="s">
        <v>4361</v>
      </c>
      <c r="V26" s="184" t="s">
        <v>4362</v>
      </c>
      <c r="W26" s="184" t="s">
        <v>118</v>
      </c>
      <c r="X26" s="197" t="s">
        <v>138</v>
      </c>
      <c r="Y26" s="197" t="s">
        <v>154</v>
      </c>
      <c r="Z26" s="170"/>
      <c r="AA26" s="219">
        <v>43577.0</v>
      </c>
      <c r="AB26" s="219">
        <v>43584.0</v>
      </c>
      <c r="AC26" s="4"/>
      <c r="AD26" s="4"/>
      <c r="AE26" s="184"/>
      <c r="AF26" s="4"/>
      <c r="AG26" s="4"/>
      <c r="AH26" s="244" t="s">
        <v>2071</v>
      </c>
      <c r="AI26" s="244" t="s">
        <v>4363</v>
      </c>
      <c r="AJ26" s="184"/>
      <c r="AK26" s="184" t="s">
        <v>2163</v>
      </c>
      <c r="AL26" s="200">
        <f t="shared" si="2"/>
        <v>51</v>
      </c>
      <c r="AM26" s="201">
        <v>2019.0</v>
      </c>
    </row>
    <row r="27">
      <c r="A27" s="158">
        <f t="shared" si="1"/>
        <v>14905714</v>
      </c>
      <c r="B27" s="259">
        <v>26.0</v>
      </c>
      <c r="C27" s="267" t="s">
        <v>4364</v>
      </c>
      <c r="D27" s="184">
        <f>IFERROR(VLOOKUP(E27,INFORMACION!E:F,2,0),"INGRESAR CENTRO DE COSTO A LA DERECHA")</f>
        <v>40</v>
      </c>
      <c r="E27" s="184" t="s">
        <v>2886</v>
      </c>
      <c r="F27" s="184" t="s">
        <v>2576</v>
      </c>
      <c r="G27" s="186" t="s">
        <v>1741</v>
      </c>
      <c r="H27" s="186">
        <v>21.0</v>
      </c>
      <c r="I27" s="186" t="s">
        <v>2541</v>
      </c>
      <c r="J27" s="184" t="s">
        <v>112</v>
      </c>
      <c r="K27" s="184" t="s">
        <v>127</v>
      </c>
      <c r="L27" s="184" t="s">
        <v>117</v>
      </c>
      <c r="M27" s="184">
        <v>0.0</v>
      </c>
      <c r="N27" s="184" t="s">
        <v>116</v>
      </c>
      <c r="O27" s="184">
        <v>10.0</v>
      </c>
      <c r="P27" s="184">
        <v>2.0</v>
      </c>
      <c r="Q27" s="184">
        <v>0.0</v>
      </c>
      <c r="R27" s="184" t="s">
        <v>115</v>
      </c>
      <c r="S27" s="218">
        <v>43658.0</v>
      </c>
      <c r="T27" s="105"/>
      <c r="U27" s="105" t="s">
        <v>4365</v>
      </c>
      <c r="V27" s="184" t="s">
        <v>4366</v>
      </c>
      <c r="W27" s="184" t="s">
        <v>122</v>
      </c>
      <c r="X27" s="170"/>
      <c r="Y27" s="170"/>
      <c r="Z27" s="170"/>
      <c r="AA27" s="219">
        <v>43619.0</v>
      </c>
      <c r="AB27" s="219">
        <v>43626.0</v>
      </c>
      <c r="AC27" s="4"/>
      <c r="AD27" s="4"/>
      <c r="AE27" s="184"/>
      <c r="AF27" s="4"/>
      <c r="AG27" s="4"/>
      <c r="AH27" s="244" t="s">
        <v>2071</v>
      </c>
      <c r="AI27" s="244" t="s">
        <v>4367</v>
      </c>
      <c r="AJ27" s="184"/>
      <c r="AK27" s="184" t="s">
        <v>2163</v>
      </c>
      <c r="AL27" s="200">
        <f t="shared" si="2"/>
        <v>25</v>
      </c>
      <c r="AM27" s="201">
        <v>2019.0</v>
      </c>
    </row>
    <row r="28">
      <c r="A28" s="158">
        <f t="shared" si="1"/>
        <v>11299063</v>
      </c>
      <c r="B28" s="236">
        <v>27.0</v>
      </c>
      <c r="C28" s="267" t="s">
        <v>4324</v>
      </c>
      <c r="D28" s="184">
        <f>IFERROR(VLOOKUP(E28,INFORMACION!E:F,2,0),"INGRESAR CENTRO DE COSTO A LA DERECHA")</f>
        <v>15</v>
      </c>
      <c r="E28" s="184" t="s">
        <v>2195</v>
      </c>
      <c r="F28" s="184" t="s">
        <v>2596</v>
      </c>
      <c r="G28" s="186" t="s">
        <v>4325</v>
      </c>
      <c r="H28" s="186">
        <v>17.0</v>
      </c>
      <c r="I28" s="186" t="s">
        <v>2541</v>
      </c>
      <c r="J28" s="184" t="s">
        <v>112</v>
      </c>
      <c r="K28" s="184" t="s">
        <v>120</v>
      </c>
      <c r="L28" s="184" t="s">
        <v>117</v>
      </c>
      <c r="M28" s="184">
        <v>5.0</v>
      </c>
      <c r="N28" s="184" t="s">
        <v>122</v>
      </c>
      <c r="O28" s="184" t="s">
        <v>2597</v>
      </c>
      <c r="P28" s="184">
        <v>3.0</v>
      </c>
      <c r="Q28" s="184">
        <v>0.0</v>
      </c>
      <c r="R28" s="184" t="s">
        <v>121</v>
      </c>
      <c r="S28" s="218">
        <v>43657.0</v>
      </c>
      <c r="T28" s="105" t="s">
        <v>1459</v>
      </c>
      <c r="U28" s="105"/>
      <c r="V28" s="184" t="s">
        <v>3127</v>
      </c>
      <c r="W28" s="184" t="s">
        <v>118</v>
      </c>
      <c r="X28" s="197" t="s">
        <v>176</v>
      </c>
      <c r="Y28" s="197" t="s">
        <v>164</v>
      </c>
      <c r="Z28" s="170"/>
      <c r="AA28" s="219">
        <v>43563.0</v>
      </c>
      <c r="AB28" s="219">
        <v>43570.0</v>
      </c>
      <c r="AC28" s="4"/>
      <c r="AD28" s="4"/>
      <c r="AE28" s="184"/>
      <c r="AF28" s="4"/>
      <c r="AG28" s="4"/>
      <c r="AH28" s="244" t="s">
        <v>2071</v>
      </c>
      <c r="AI28" s="244" t="s">
        <v>4368</v>
      </c>
      <c r="AJ28" s="184"/>
      <c r="AK28" s="184" t="s">
        <v>2157</v>
      </c>
      <c r="AL28" s="200">
        <f t="shared" si="2"/>
        <v>64</v>
      </c>
      <c r="AM28" s="201">
        <v>2019.0</v>
      </c>
    </row>
    <row r="29">
      <c r="A29" s="158">
        <f t="shared" si="1"/>
        <v>15083887</v>
      </c>
      <c r="B29" s="236">
        <v>28.0</v>
      </c>
      <c r="C29" s="184" t="s">
        <v>4369</v>
      </c>
      <c r="D29" s="184">
        <f>IFERROR(VLOOKUP(E29,INFORMACION!E:F,2,0),"INGRESAR CENTRO DE COSTO A LA DERECHA")</f>
        <v>83</v>
      </c>
      <c r="E29" s="184" t="s">
        <v>1601</v>
      </c>
      <c r="F29" s="184" t="s">
        <v>2650</v>
      </c>
      <c r="G29" s="186" t="s">
        <v>3985</v>
      </c>
      <c r="H29" s="186">
        <v>17.0</v>
      </c>
      <c r="I29" s="186" t="s">
        <v>2541</v>
      </c>
      <c r="J29" s="184" t="s">
        <v>112</v>
      </c>
      <c r="K29" s="184" t="s">
        <v>120</v>
      </c>
      <c r="L29" s="184" t="s">
        <v>117</v>
      </c>
      <c r="M29" s="184">
        <v>3.0</v>
      </c>
      <c r="N29" s="184" t="s">
        <v>122</v>
      </c>
      <c r="O29" s="184" t="s">
        <v>2597</v>
      </c>
      <c r="P29" s="184">
        <v>1.0</v>
      </c>
      <c r="Q29" s="184">
        <v>0.0</v>
      </c>
      <c r="R29" s="184" t="s">
        <v>121</v>
      </c>
      <c r="S29" s="218">
        <v>43654.0</v>
      </c>
      <c r="T29" s="105" t="s">
        <v>4370</v>
      </c>
      <c r="U29" s="105"/>
      <c r="V29" s="184" t="s">
        <v>3506</v>
      </c>
      <c r="W29" s="184" t="s">
        <v>118</v>
      </c>
      <c r="X29" s="197" t="s">
        <v>176</v>
      </c>
      <c r="Y29" s="197"/>
      <c r="Z29" s="170"/>
      <c r="AA29" s="219">
        <v>43621.0</v>
      </c>
      <c r="AB29" s="219">
        <v>43623.0</v>
      </c>
      <c r="AC29" s="4"/>
      <c r="AD29" s="4"/>
      <c r="AE29" s="184"/>
      <c r="AF29" s="4"/>
      <c r="AG29" s="4"/>
      <c r="AH29" s="244" t="s">
        <v>2071</v>
      </c>
      <c r="AI29" s="244" t="s">
        <v>1780</v>
      </c>
      <c r="AJ29" s="184"/>
      <c r="AK29" s="184" t="s">
        <v>2157</v>
      </c>
      <c r="AL29" s="200">
        <f t="shared" si="2"/>
        <v>22</v>
      </c>
      <c r="AM29" s="201">
        <v>2019.0</v>
      </c>
    </row>
    <row r="30">
      <c r="A30" s="158">
        <f t="shared" si="1"/>
        <v>18394658</v>
      </c>
      <c r="B30" s="242">
        <v>29.0</v>
      </c>
      <c r="C30" s="267" t="s">
        <v>4371</v>
      </c>
      <c r="D30" s="184">
        <f>IFERROR(VLOOKUP(E30,INFORMACION!E:F,2,0),"INGRESAR CENTRO DE COSTO A LA DERECHA")</f>
        <v>15</v>
      </c>
      <c r="E30" s="184" t="s">
        <v>2195</v>
      </c>
      <c r="F30" s="184" t="s">
        <v>2031</v>
      </c>
      <c r="G30" s="186" t="s">
        <v>4372</v>
      </c>
      <c r="H30" s="186">
        <v>13.0</v>
      </c>
      <c r="I30" s="186" t="s">
        <v>2541</v>
      </c>
      <c r="J30" s="184" t="s">
        <v>112</v>
      </c>
      <c r="K30" s="184" t="s">
        <v>114</v>
      </c>
      <c r="L30" s="184" t="s">
        <v>117</v>
      </c>
      <c r="M30" s="184">
        <v>7.0</v>
      </c>
      <c r="N30" s="184" t="s">
        <v>122</v>
      </c>
      <c r="O30" s="184" t="s">
        <v>2597</v>
      </c>
      <c r="P30" s="184">
        <v>1.0</v>
      </c>
      <c r="Q30" s="184">
        <v>0.0</v>
      </c>
      <c r="R30" s="184" t="s">
        <v>115</v>
      </c>
      <c r="S30" s="218">
        <v>43663.0</v>
      </c>
      <c r="T30" s="105" t="s">
        <v>4373</v>
      </c>
      <c r="U30" s="105"/>
      <c r="V30" s="184" t="s">
        <v>4374</v>
      </c>
      <c r="W30" s="184" t="s">
        <v>122</v>
      </c>
      <c r="X30" s="197" t="s">
        <v>154</v>
      </c>
      <c r="Y30" s="170"/>
      <c r="Z30" s="170"/>
      <c r="AA30" s="219">
        <v>43621.0</v>
      </c>
      <c r="AB30" s="219">
        <v>43628.0</v>
      </c>
      <c r="AC30" s="4"/>
      <c r="AD30" s="4"/>
      <c r="AE30" s="184"/>
      <c r="AF30" s="4"/>
      <c r="AG30" s="4"/>
      <c r="AH30" s="244" t="s">
        <v>2071</v>
      </c>
      <c r="AI30" s="244" t="s">
        <v>4375</v>
      </c>
      <c r="AJ30" s="184"/>
      <c r="AK30" s="184" t="s">
        <v>2157</v>
      </c>
      <c r="AL30" s="200">
        <f t="shared" si="2"/>
        <v>26</v>
      </c>
      <c r="AM30" s="201">
        <v>2019.0</v>
      </c>
    </row>
    <row r="31">
      <c r="A31" s="158">
        <f t="shared" si="1"/>
        <v>14431876</v>
      </c>
      <c r="B31" s="242">
        <v>30.0</v>
      </c>
      <c r="C31" s="267" t="s">
        <v>4376</v>
      </c>
      <c r="D31" s="184">
        <f>IFERROR(VLOOKUP(E31,INFORMACION!E:F,2,0),"INGRESAR CENTRO DE COSTO A LA DERECHA")</f>
        <v>3</v>
      </c>
      <c r="E31" s="184" t="s">
        <v>1627</v>
      </c>
      <c r="F31" s="184" t="s">
        <v>2576</v>
      </c>
      <c r="G31" s="186" t="s">
        <v>1741</v>
      </c>
      <c r="H31" s="186">
        <v>21.0</v>
      </c>
      <c r="I31" s="186" t="s">
        <v>2541</v>
      </c>
      <c r="J31" s="184" t="s">
        <v>112</v>
      </c>
      <c r="K31" s="184" t="s">
        <v>127</v>
      </c>
      <c r="L31" s="184" t="s">
        <v>117</v>
      </c>
      <c r="M31" s="184">
        <v>0.0</v>
      </c>
      <c r="N31" s="184" t="s">
        <v>116</v>
      </c>
      <c r="O31" s="184">
        <v>13.0</v>
      </c>
      <c r="P31" s="184">
        <v>3.0</v>
      </c>
      <c r="Q31" s="184">
        <v>0.0</v>
      </c>
      <c r="R31" s="184" t="s">
        <v>115</v>
      </c>
      <c r="S31" s="262">
        <v>43668.0</v>
      </c>
      <c r="T31" s="105"/>
      <c r="U31" s="105" t="s">
        <v>4377</v>
      </c>
      <c r="V31" s="184" t="s">
        <v>4378</v>
      </c>
      <c r="W31" s="184" t="s">
        <v>118</v>
      </c>
      <c r="X31" s="197" t="s">
        <v>138</v>
      </c>
      <c r="Y31" s="170"/>
      <c r="Z31" s="170"/>
      <c r="AA31" s="219">
        <v>43598.0</v>
      </c>
      <c r="AB31" s="219">
        <v>43606.0</v>
      </c>
      <c r="AC31" s="4"/>
      <c r="AD31" s="4"/>
      <c r="AE31" s="184"/>
      <c r="AF31" s="4"/>
      <c r="AG31" s="4"/>
      <c r="AH31" s="244" t="s">
        <v>2071</v>
      </c>
      <c r="AI31" s="244" t="s">
        <v>3946</v>
      </c>
      <c r="AJ31" s="184"/>
      <c r="AK31" s="184" t="s">
        <v>2163</v>
      </c>
      <c r="AL31" s="200">
        <f t="shared" si="2"/>
        <v>45</v>
      </c>
      <c r="AM31" s="201">
        <v>2019.0</v>
      </c>
    </row>
    <row r="32">
      <c r="A32" s="158">
        <f t="shared" si="1"/>
        <v>16115052</v>
      </c>
      <c r="B32" s="242">
        <v>31.0</v>
      </c>
      <c r="C32" s="268" t="s">
        <v>4379</v>
      </c>
      <c r="D32" s="184">
        <f>IFERROR(VLOOKUP(E32,INFORMACION!E:F,2,0),"INGRESAR CENTRO DE COSTO A LA DERECHA")</f>
        <v>15</v>
      </c>
      <c r="E32" s="270" t="s">
        <v>1975</v>
      </c>
      <c r="F32" s="270" t="s">
        <v>2576</v>
      </c>
      <c r="G32" s="186" t="s">
        <v>1741</v>
      </c>
      <c r="H32" s="272">
        <v>21.0</v>
      </c>
      <c r="I32" s="272" t="s">
        <v>2541</v>
      </c>
      <c r="J32" s="270" t="s">
        <v>112</v>
      </c>
      <c r="K32" s="270" t="s">
        <v>127</v>
      </c>
      <c r="L32" s="270" t="s">
        <v>117</v>
      </c>
      <c r="M32" s="270">
        <v>0.0</v>
      </c>
      <c r="N32" s="270" t="s">
        <v>116</v>
      </c>
      <c r="O32" s="270">
        <v>13.0</v>
      </c>
      <c r="P32" s="270">
        <v>1.0</v>
      </c>
      <c r="Q32" s="270">
        <v>0.0</v>
      </c>
      <c r="R32" s="184" t="s">
        <v>115</v>
      </c>
      <c r="S32" s="218">
        <v>43675.0</v>
      </c>
      <c r="T32" s="105"/>
      <c r="U32" s="105" t="s">
        <v>4380</v>
      </c>
      <c r="V32" s="184" t="s">
        <v>4381</v>
      </c>
      <c r="W32" s="184" t="s">
        <v>118</v>
      </c>
      <c r="X32" s="197" t="s">
        <v>154</v>
      </c>
      <c r="Y32" s="170"/>
      <c r="Z32" s="170"/>
      <c r="AA32" s="219">
        <v>43619.0</v>
      </c>
      <c r="AB32" s="266">
        <v>43626.0</v>
      </c>
      <c r="AC32" s="4"/>
      <c r="AD32" s="4"/>
      <c r="AE32" s="184"/>
      <c r="AF32" s="4"/>
      <c r="AG32" s="4"/>
      <c r="AH32" s="244" t="s">
        <v>2071</v>
      </c>
      <c r="AI32" s="244" t="s">
        <v>4382</v>
      </c>
      <c r="AJ32" s="184"/>
      <c r="AK32" s="184" t="s">
        <v>2163</v>
      </c>
      <c r="AL32" s="200">
        <f t="shared" si="2"/>
        <v>36</v>
      </c>
      <c r="AM32" s="201">
        <v>2019.0</v>
      </c>
    </row>
    <row r="33">
      <c r="A33" s="158">
        <f t="shared" si="1"/>
        <v>15444672</v>
      </c>
      <c r="B33" s="236">
        <v>17.0</v>
      </c>
      <c r="C33" s="184" t="s">
        <v>4072</v>
      </c>
      <c r="D33" s="184">
        <f>IFERROR(VLOOKUP(E33,INFORMACION!E:F,2,0),"INGRESAR CENTRO DE COSTO A LA DERECHA")</f>
        <v>3</v>
      </c>
      <c r="E33" s="184" t="s">
        <v>2495</v>
      </c>
      <c r="F33" s="184" t="s">
        <v>2382</v>
      </c>
      <c r="G33" s="186" t="s">
        <v>4333</v>
      </c>
      <c r="H33" s="186">
        <v>20.0</v>
      </c>
      <c r="I33" s="186" t="s">
        <v>2541</v>
      </c>
      <c r="J33" s="184" t="s">
        <v>112</v>
      </c>
      <c r="K33" s="184" t="s">
        <v>125</v>
      </c>
      <c r="L33" s="184" t="s">
        <v>117</v>
      </c>
      <c r="M33" s="184">
        <v>1.0</v>
      </c>
      <c r="N33" s="184" t="s">
        <v>116</v>
      </c>
      <c r="O33" s="184">
        <v>10.0</v>
      </c>
      <c r="P33" s="184">
        <v>6.0</v>
      </c>
      <c r="Q33" s="184">
        <v>1.0</v>
      </c>
      <c r="R33" s="184" t="s">
        <v>115</v>
      </c>
      <c r="S33" s="218">
        <v>43626.0</v>
      </c>
      <c r="T33" s="105"/>
      <c r="U33" s="105" t="s">
        <v>4383</v>
      </c>
      <c r="V33" s="290" t="s">
        <v>4384</v>
      </c>
      <c r="W33" s="184" t="s">
        <v>118</v>
      </c>
      <c r="X33" s="197" t="s">
        <v>164</v>
      </c>
      <c r="Y33" s="170"/>
      <c r="Z33" s="170"/>
      <c r="AA33" s="219">
        <v>43577.0</v>
      </c>
      <c r="AB33" s="219">
        <v>43584.0</v>
      </c>
      <c r="AC33" s="184"/>
      <c r="AD33" s="184"/>
      <c r="AE33" s="184"/>
      <c r="AF33" s="184"/>
      <c r="AG33" s="4"/>
      <c r="AH33" s="244" t="s">
        <v>2071</v>
      </c>
      <c r="AI33" s="244" t="s">
        <v>4385</v>
      </c>
      <c r="AJ33" s="184"/>
      <c r="AK33" s="184" t="s">
        <v>2163</v>
      </c>
      <c r="AL33" s="200">
        <f t="shared" si="2"/>
        <v>31</v>
      </c>
      <c r="AM33" s="201">
        <v>2019.0</v>
      </c>
    </row>
    <row r="34">
      <c r="A34" s="158">
        <f t="shared" si="1"/>
        <v>18060136</v>
      </c>
      <c r="B34" s="259">
        <v>33.0</v>
      </c>
      <c r="C34" s="267" t="s">
        <v>4386</v>
      </c>
      <c r="D34" s="184">
        <f>IFERROR(VLOOKUP(E34,INFORMACION!E:F,2,0),"INGRESAR CENTRO DE COSTO A LA DERECHA")</f>
        <v>3</v>
      </c>
      <c r="E34" s="184" t="s">
        <v>2307</v>
      </c>
      <c r="F34" s="184" t="s">
        <v>2625</v>
      </c>
      <c r="G34" s="186" t="s">
        <v>4387</v>
      </c>
      <c r="H34" s="186">
        <v>10.0</v>
      </c>
      <c r="I34" s="186" t="s">
        <v>2541</v>
      </c>
      <c r="J34" s="184" t="s">
        <v>112</v>
      </c>
      <c r="K34" s="184" t="s">
        <v>114</v>
      </c>
      <c r="L34" s="184" t="s">
        <v>117</v>
      </c>
      <c r="M34" s="184">
        <v>2.0</v>
      </c>
      <c r="N34" s="184" t="s">
        <v>122</v>
      </c>
      <c r="O34" s="184">
        <v>0.0</v>
      </c>
      <c r="P34" s="184">
        <v>1.0</v>
      </c>
      <c r="Q34" s="184">
        <v>0.0</v>
      </c>
      <c r="R34" s="184" t="s">
        <v>121</v>
      </c>
      <c r="S34" s="218">
        <v>43682.0</v>
      </c>
      <c r="T34" s="105" t="s">
        <v>982</v>
      </c>
      <c r="U34" s="105"/>
      <c r="V34" s="184" t="s">
        <v>4388</v>
      </c>
      <c r="W34" s="184" t="s">
        <v>118</v>
      </c>
      <c r="X34" s="197" t="s">
        <v>176</v>
      </c>
      <c r="Y34" s="170"/>
      <c r="Z34" s="170"/>
      <c r="AA34" s="219">
        <v>43600.0</v>
      </c>
      <c r="AB34" s="219">
        <v>43608.0</v>
      </c>
      <c r="AC34" s="4"/>
      <c r="AD34" s="4"/>
      <c r="AE34" s="184"/>
      <c r="AF34" s="4"/>
      <c r="AG34" s="4"/>
      <c r="AH34" s="244" t="s">
        <v>2071</v>
      </c>
      <c r="AI34" s="244" t="s">
        <v>1658</v>
      </c>
      <c r="AJ34" s="184"/>
      <c r="AK34" s="184" t="s">
        <v>2157</v>
      </c>
      <c r="AL34" s="200">
        <f t="shared" si="2"/>
        <v>53</v>
      </c>
      <c r="AM34" s="201">
        <v>2019.0</v>
      </c>
    </row>
    <row r="35">
      <c r="A35" s="158">
        <f t="shared" si="1"/>
        <v>10487286</v>
      </c>
      <c r="B35" s="236">
        <v>34.0</v>
      </c>
      <c r="C35" s="184" t="s">
        <v>4389</v>
      </c>
      <c r="D35" s="184">
        <f>IFERROR(VLOOKUP(E35,INFORMACION!E:F,2,0),"INGRESAR CENTRO DE COSTO A LA DERECHA")</f>
        <v>120</v>
      </c>
      <c r="E35" s="184" t="s">
        <v>3000</v>
      </c>
      <c r="F35" s="184" t="s">
        <v>3335</v>
      </c>
      <c r="G35" s="186" t="s">
        <v>4390</v>
      </c>
      <c r="H35" s="186">
        <v>10.0</v>
      </c>
      <c r="I35" s="186" t="s">
        <v>2541</v>
      </c>
      <c r="J35" s="184" t="s">
        <v>112</v>
      </c>
      <c r="K35" s="184" t="s">
        <v>114</v>
      </c>
      <c r="L35" s="184" t="s">
        <v>122</v>
      </c>
      <c r="M35" s="184">
        <v>0.0</v>
      </c>
      <c r="N35" s="184" t="s">
        <v>116</v>
      </c>
      <c r="O35" s="184">
        <v>14.0</v>
      </c>
      <c r="P35" s="184">
        <v>1.0</v>
      </c>
      <c r="Q35" s="184">
        <v>0.0</v>
      </c>
      <c r="R35" s="184" t="s">
        <v>115</v>
      </c>
      <c r="S35" s="218">
        <v>43678.0</v>
      </c>
      <c r="T35" s="105"/>
      <c r="U35" s="105" t="s">
        <v>4391</v>
      </c>
      <c r="V35" s="184" t="s">
        <v>4392</v>
      </c>
      <c r="W35" s="184" t="s">
        <v>118</v>
      </c>
      <c r="X35" s="197" t="s">
        <v>138</v>
      </c>
      <c r="Y35" s="170"/>
      <c r="Z35" s="170"/>
      <c r="AA35" s="219">
        <v>43654.0</v>
      </c>
      <c r="AB35" s="219">
        <v>43656.0</v>
      </c>
      <c r="AC35" s="4"/>
      <c r="AD35" s="4"/>
      <c r="AE35" s="184"/>
      <c r="AF35" s="4"/>
      <c r="AG35" s="4"/>
      <c r="AH35" s="244" t="s">
        <v>2071</v>
      </c>
      <c r="AI35" s="244" t="s">
        <v>4393</v>
      </c>
      <c r="AJ35" s="184"/>
      <c r="AK35" s="184" t="s">
        <v>2157</v>
      </c>
      <c r="AL35" s="200">
        <f t="shared" si="2"/>
        <v>17</v>
      </c>
      <c r="AM35" s="201">
        <v>2019.0</v>
      </c>
    </row>
    <row r="36">
      <c r="A36" s="158">
        <f t="shared" si="1"/>
        <v>11627295</v>
      </c>
      <c r="B36" s="236">
        <v>35.0</v>
      </c>
      <c r="C36" s="184" t="s">
        <v>4394</v>
      </c>
      <c r="D36" s="184">
        <f>IFERROR(VLOOKUP(E36,INFORMACION!E:F,2,0),"INGRESAR CENTRO DE COSTO A LA DERECHA")</f>
        <v>22</v>
      </c>
      <c r="E36" s="184" t="s">
        <v>3118</v>
      </c>
      <c r="F36" s="184" t="s">
        <v>2625</v>
      </c>
      <c r="G36" s="186" t="s">
        <v>4395</v>
      </c>
      <c r="H36" s="186">
        <v>10.0</v>
      </c>
      <c r="I36" s="186" t="s">
        <v>2582</v>
      </c>
      <c r="J36" s="184" t="s">
        <v>112</v>
      </c>
      <c r="K36" s="184" t="s">
        <v>114</v>
      </c>
      <c r="L36" s="184" t="s">
        <v>117</v>
      </c>
      <c r="M36" s="184">
        <v>5.0</v>
      </c>
      <c r="N36" s="184" t="s">
        <v>122</v>
      </c>
      <c r="O36" s="184">
        <v>5.0</v>
      </c>
      <c r="P36" s="184">
        <v>2.0</v>
      </c>
      <c r="Q36" s="184">
        <v>0.0</v>
      </c>
      <c r="R36" s="184" t="s">
        <v>121</v>
      </c>
      <c r="S36" s="218">
        <v>43682.0</v>
      </c>
      <c r="T36" s="105" t="s">
        <v>4396</v>
      </c>
      <c r="U36" s="105"/>
      <c r="V36" s="184" t="s">
        <v>4397</v>
      </c>
      <c r="W36" s="184" t="s">
        <v>118</v>
      </c>
      <c r="X36" s="197" t="s">
        <v>138</v>
      </c>
      <c r="Y36" s="197" t="s">
        <v>176</v>
      </c>
      <c r="Z36" s="170"/>
      <c r="AA36" s="219">
        <v>43627.0</v>
      </c>
      <c r="AB36" s="219">
        <v>43630.0</v>
      </c>
      <c r="AC36" s="184"/>
      <c r="AD36" s="184"/>
      <c r="AE36" s="184"/>
      <c r="AF36" s="184"/>
      <c r="AG36" s="4"/>
      <c r="AH36" s="244" t="s">
        <v>2071</v>
      </c>
      <c r="AI36" s="244" t="s">
        <v>4398</v>
      </c>
      <c r="AJ36" s="184"/>
      <c r="AK36" s="184" t="s">
        <v>2157</v>
      </c>
      <c r="AL36" s="200">
        <f t="shared" si="2"/>
        <v>37</v>
      </c>
      <c r="AM36" s="201">
        <v>2019.0</v>
      </c>
    </row>
    <row r="37">
      <c r="A37" s="158">
        <f t="shared" si="1"/>
        <v>12109393</v>
      </c>
      <c r="B37" s="242">
        <v>36.0</v>
      </c>
      <c r="C37" s="267" t="s">
        <v>4399</v>
      </c>
      <c r="D37" s="184">
        <f>IFERROR(VLOOKUP(E37,INFORMACION!E:F,2,0),"INGRESAR CENTRO DE COSTO A LA DERECHA")</f>
        <v>15</v>
      </c>
      <c r="E37" s="184" t="s">
        <v>2213</v>
      </c>
      <c r="F37" s="184" t="s">
        <v>2094</v>
      </c>
      <c r="G37" s="186" t="s">
        <v>4400</v>
      </c>
      <c r="H37" s="186">
        <v>10.0</v>
      </c>
      <c r="I37" s="186" t="s">
        <v>2582</v>
      </c>
      <c r="J37" s="184" t="s">
        <v>112</v>
      </c>
      <c r="K37" s="184" t="s">
        <v>114</v>
      </c>
      <c r="L37" s="184" t="s">
        <v>117</v>
      </c>
      <c r="M37" s="184">
        <v>3.0</v>
      </c>
      <c r="N37" s="184" t="s">
        <v>122</v>
      </c>
      <c r="O37" s="184" t="s">
        <v>2597</v>
      </c>
      <c r="P37" s="184">
        <v>1.0</v>
      </c>
      <c r="Q37" s="184">
        <v>0.0</v>
      </c>
      <c r="R37" s="184" t="s">
        <v>115</v>
      </c>
      <c r="S37" s="218">
        <v>43686.0</v>
      </c>
      <c r="T37" s="105" t="s">
        <v>4401</v>
      </c>
      <c r="U37" s="105"/>
      <c r="V37" s="184" t="s">
        <v>4402</v>
      </c>
      <c r="W37" s="184" t="s">
        <v>118</v>
      </c>
      <c r="X37" s="197" t="s">
        <v>138</v>
      </c>
      <c r="Y37" s="197" t="s">
        <v>164</v>
      </c>
      <c r="Z37" s="170"/>
      <c r="AA37" s="219">
        <v>43643.0</v>
      </c>
      <c r="AB37" s="219">
        <v>43651.0</v>
      </c>
      <c r="AC37" s="184"/>
      <c r="AD37" s="184"/>
      <c r="AE37" s="184"/>
      <c r="AF37" s="184"/>
      <c r="AG37" s="4"/>
      <c r="AH37" s="244" t="s">
        <v>2071</v>
      </c>
      <c r="AI37" s="244" t="s">
        <v>4403</v>
      </c>
      <c r="AJ37" s="184"/>
      <c r="AK37" s="184" t="s">
        <v>2157</v>
      </c>
      <c r="AL37" s="200">
        <f t="shared" si="2"/>
        <v>26</v>
      </c>
      <c r="AM37" s="201">
        <v>2019.0</v>
      </c>
    </row>
    <row r="38">
      <c r="A38" s="158">
        <f t="shared" si="1"/>
        <v>12905498</v>
      </c>
      <c r="B38" s="242">
        <v>37.0</v>
      </c>
      <c r="C38" s="267" t="s">
        <v>4404</v>
      </c>
      <c r="D38" s="184">
        <f>IFERROR(VLOOKUP(E38,INFORMACION!E:F,2,0),"INGRESAR CENTRO DE COSTO A LA DERECHA")</f>
        <v>15</v>
      </c>
      <c r="E38" s="184" t="s">
        <v>2195</v>
      </c>
      <c r="F38" s="184" t="s">
        <v>2650</v>
      </c>
      <c r="G38" s="186" t="s">
        <v>3985</v>
      </c>
      <c r="H38" s="186">
        <v>17.0</v>
      </c>
      <c r="I38" s="186" t="s">
        <v>2541</v>
      </c>
      <c r="J38" s="184" t="s">
        <v>112</v>
      </c>
      <c r="K38" s="184" t="s">
        <v>120</v>
      </c>
      <c r="L38" s="184" t="s">
        <v>117</v>
      </c>
      <c r="M38" s="184">
        <v>1.0</v>
      </c>
      <c r="N38" s="184" t="s">
        <v>122</v>
      </c>
      <c r="O38" s="184" t="s">
        <v>2597</v>
      </c>
      <c r="P38" s="184">
        <v>1.0</v>
      </c>
      <c r="Q38" s="184">
        <v>0.0</v>
      </c>
      <c r="R38" s="184" t="s">
        <v>121</v>
      </c>
      <c r="S38" s="218">
        <v>43683.0</v>
      </c>
      <c r="T38" s="105" t="s">
        <v>1271</v>
      </c>
      <c r="U38" s="105"/>
      <c r="V38" s="184" t="s">
        <v>4405</v>
      </c>
      <c r="W38" s="184" t="s">
        <v>118</v>
      </c>
      <c r="X38" s="197" t="s">
        <v>150</v>
      </c>
      <c r="Y38" s="170"/>
      <c r="Z38" s="170"/>
      <c r="AA38" s="219">
        <v>43637.0</v>
      </c>
      <c r="AB38" s="219">
        <v>43644.0</v>
      </c>
      <c r="AC38" s="184"/>
      <c r="AD38" s="184"/>
      <c r="AE38" s="184"/>
      <c r="AF38" s="184"/>
      <c r="AG38" s="4"/>
      <c r="AH38" s="244" t="s">
        <v>2071</v>
      </c>
      <c r="AI38" s="244" t="s">
        <v>2597</v>
      </c>
      <c r="AJ38" s="184"/>
      <c r="AK38" s="184" t="s">
        <v>2157</v>
      </c>
      <c r="AL38" s="200">
        <f t="shared" si="2"/>
        <v>28</v>
      </c>
      <c r="AM38" s="201">
        <v>2019.0</v>
      </c>
    </row>
    <row r="39">
      <c r="A39" s="158">
        <f t="shared" si="1"/>
        <v>16379746</v>
      </c>
      <c r="B39" s="242">
        <v>38.0</v>
      </c>
      <c r="C39" s="267" t="s">
        <v>4406</v>
      </c>
      <c r="D39" s="184">
        <f>IFERROR(VLOOKUP(E39,INFORMACION!E:F,2,0),"INGRESAR CENTRO DE COSTO A LA DERECHA")</f>
        <v>15</v>
      </c>
      <c r="E39" s="184" t="s">
        <v>1643</v>
      </c>
      <c r="F39" s="184" t="s">
        <v>1915</v>
      </c>
      <c r="G39" s="186" t="s">
        <v>1916</v>
      </c>
      <c r="H39" s="186">
        <v>20.0</v>
      </c>
      <c r="I39" s="186" t="s">
        <v>2541</v>
      </c>
      <c r="J39" s="184" t="s">
        <v>112</v>
      </c>
      <c r="K39" s="184" t="s">
        <v>125</v>
      </c>
      <c r="L39" s="184" t="s">
        <v>117</v>
      </c>
      <c r="M39" s="184">
        <v>1.0</v>
      </c>
      <c r="N39" s="184" t="s">
        <v>122</v>
      </c>
      <c r="O39" s="184" t="s">
        <v>2597</v>
      </c>
      <c r="P39" s="184">
        <v>1.0</v>
      </c>
      <c r="Q39" s="184">
        <v>0.0</v>
      </c>
      <c r="R39" s="184" t="s">
        <v>115</v>
      </c>
      <c r="S39" s="218">
        <v>43678.0</v>
      </c>
      <c r="T39" s="105" t="s">
        <v>846</v>
      </c>
      <c r="U39" s="105"/>
      <c r="V39" s="184" t="s">
        <v>2830</v>
      </c>
      <c r="W39" s="184" t="s">
        <v>122</v>
      </c>
      <c r="X39" s="197"/>
      <c r="Y39" s="197"/>
      <c r="Z39" s="170"/>
      <c r="AA39" s="219">
        <v>43588.0</v>
      </c>
      <c r="AB39" s="219">
        <v>43595.0</v>
      </c>
      <c r="AC39" s="184"/>
      <c r="AD39" s="184"/>
      <c r="AE39" s="184"/>
      <c r="AF39" s="184"/>
      <c r="AG39" s="4"/>
      <c r="AH39" s="244" t="s">
        <v>2071</v>
      </c>
      <c r="AI39" s="244" t="s">
        <v>2597</v>
      </c>
      <c r="AJ39" s="184"/>
      <c r="AK39" s="184" t="s">
        <v>2157</v>
      </c>
      <c r="AL39" s="200">
        <f t="shared" si="2"/>
        <v>60</v>
      </c>
      <c r="AM39" s="201">
        <v>2019.0</v>
      </c>
    </row>
    <row r="40">
      <c r="A40" s="158">
        <f t="shared" si="1"/>
        <v>17845827</v>
      </c>
      <c r="B40" s="236">
        <v>39.0</v>
      </c>
      <c r="C40" s="184" t="s">
        <v>4407</v>
      </c>
      <c r="D40" s="184">
        <f>IFERROR(VLOOKUP(E40,INFORMACION!E:F,2,0),"INGRESAR CENTRO DE COSTO A LA DERECHA")</f>
        <v>15</v>
      </c>
      <c r="E40" s="184" t="s">
        <v>1975</v>
      </c>
      <c r="F40" s="184" t="s">
        <v>2043</v>
      </c>
      <c r="G40" s="186" t="s">
        <v>1824</v>
      </c>
      <c r="H40" s="186">
        <v>20.0</v>
      </c>
      <c r="I40" s="186" t="s">
        <v>2541</v>
      </c>
      <c r="J40" s="184" t="s">
        <v>112</v>
      </c>
      <c r="K40" s="184" t="s">
        <v>120</v>
      </c>
      <c r="L40" s="184" t="s">
        <v>117</v>
      </c>
      <c r="M40" s="184">
        <v>2.0</v>
      </c>
      <c r="N40" s="184" t="s">
        <v>116</v>
      </c>
      <c r="O40" s="184">
        <v>15.0</v>
      </c>
      <c r="P40" s="184">
        <v>1.0</v>
      </c>
      <c r="Q40" s="184">
        <v>0.0</v>
      </c>
      <c r="R40" s="184" t="s">
        <v>121</v>
      </c>
      <c r="S40" s="218">
        <v>43689.0</v>
      </c>
      <c r="T40" s="105"/>
      <c r="U40" s="105" t="s">
        <v>4408</v>
      </c>
      <c r="V40" s="184" t="s">
        <v>4409</v>
      </c>
      <c r="W40" s="184" t="s">
        <v>122</v>
      </c>
      <c r="X40" s="197"/>
      <c r="Y40" s="197"/>
      <c r="Z40" s="197"/>
      <c r="AA40" s="219">
        <v>43619.0</v>
      </c>
      <c r="AB40" s="219">
        <v>43626.0</v>
      </c>
      <c r="AC40" s="184"/>
      <c r="AD40" s="184"/>
      <c r="AE40" s="184"/>
      <c r="AF40" s="184"/>
      <c r="AG40" s="4"/>
      <c r="AH40" s="244" t="s">
        <v>2071</v>
      </c>
      <c r="AI40" s="244" t="s">
        <v>2597</v>
      </c>
      <c r="AJ40" s="184"/>
      <c r="AK40" s="184" t="s">
        <v>2163</v>
      </c>
      <c r="AL40" s="200">
        <f t="shared" si="2"/>
        <v>46</v>
      </c>
      <c r="AM40" s="201">
        <v>2019.0</v>
      </c>
    </row>
    <row r="41">
      <c r="A41" s="158">
        <f t="shared" si="1"/>
        <v>12661966</v>
      </c>
      <c r="B41" s="236">
        <v>40.0</v>
      </c>
      <c r="C41" s="184" t="s">
        <v>4410</v>
      </c>
      <c r="D41" s="184">
        <f>IFERROR(VLOOKUP(E41,INFORMACION!E:F,2,0),"INGRESAR CENTRO DE COSTO A LA DERECHA")</f>
        <v>15</v>
      </c>
      <c r="E41" s="184" t="s">
        <v>2195</v>
      </c>
      <c r="F41" s="184" t="s">
        <v>2094</v>
      </c>
      <c r="G41" s="186" t="s">
        <v>3207</v>
      </c>
      <c r="H41" s="186">
        <v>10.0</v>
      </c>
      <c r="I41" s="186" t="s">
        <v>2541</v>
      </c>
      <c r="J41" s="184" t="s">
        <v>112</v>
      </c>
      <c r="K41" s="184" t="s">
        <v>114</v>
      </c>
      <c r="L41" s="184" t="s">
        <v>117</v>
      </c>
      <c r="M41" s="184">
        <v>4.0</v>
      </c>
      <c r="N41" s="184" t="s">
        <v>122</v>
      </c>
      <c r="O41" s="184" t="s">
        <v>2597</v>
      </c>
      <c r="P41" s="184">
        <v>2.0</v>
      </c>
      <c r="Q41" s="184">
        <v>0.0</v>
      </c>
      <c r="R41" s="184" t="s">
        <v>115</v>
      </c>
      <c r="S41" s="218">
        <v>43698.0</v>
      </c>
      <c r="T41" s="105" t="s">
        <v>4403</v>
      </c>
      <c r="U41" s="105"/>
      <c r="V41" s="184" t="s">
        <v>4411</v>
      </c>
      <c r="W41" s="184" t="s">
        <v>118</v>
      </c>
      <c r="X41" s="197" t="s">
        <v>138</v>
      </c>
      <c r="Y41" s="197" t="s">
        <v>166</v>
      </c>
      <c r="Z41" s="170"/>
      <c r="AA41" s="219">
        <v>43637.0</v>
      </c>
      <c r="AB41" s="219">
        <v>43644.0</v>
      </c>
      <c r="AC41" s="184"/>
      <c r="AD41" s="184"/>
      <c r="AE41" s="184"/>
      <c r="AF41" s="184"/>
      <c r="AG41" s="4"/>
      <c r="AH41" s="244" t="s">
        <v>2071</v>
      </c>
      <c r="AI41" s="244" t="s">
        <v>2597</v>
      </c>
      <c r="AJ41" s="184"/>
      <c r="AK41" s="184" t="s">
        <v>2157</v>
      </c>
      <c r="AL41" s="200">
        <f t="shared" si="2"/>
        <v>39</v>
      </c>
      <c r="AM41" s="201">
        <v>2019.0</v>
      </c>
    </row>
    <row r="42">
      <c r="A42" s="158">
        <f t="shared" si="1"/>
        <v>15723000</v>
      </c>
      <c r="B42" s="242">
        <v>41.0</v>
      </c>
      <c r="C42" s="267" t="s">
        <v>4412</v>
      </c>
      <c r="D42" s="184">
        <f>IFERROR(VLOOKUP(E42,INFORMACION!E:F,2,0),"INGRESAR CENTRO DE COSTO A LA DERECHA")</f>
        <v>3</v>
      </c>
      <c r="E42" s="184" t="s">
        <v>2714</v>
      </c>
      <c r="F42" s="184" t="s">
        <v>2031</v>
      </c>
      <c r="G42" s="186" t="s">
        <v>4413</v>
      </c>
      <c r="H42" s="186">
        <v>13.0</v>
      </c>
      <c r="I42" s="186" t="s">
        <v>2541</v>
      </c>
      <c r="J42" s="184" t="s">
        <v>112</v>
      </c>
      <c r="K42" s="184" t="s">
        <v>114</v>
      </c>
      <c r="L42" s="184" t="s">
        <v>117</v>
      </c>
      <c r="M42" s="184">
        <v>2.0</v>
      </c>
      <c r="N42" s="184" t="s">
        <v>122</v>
      </c>
      <c r="O42" s="184" t="s">
        <v>2597</v>
      </c>
      <c r="P42" s="184">
        <v>2.0</v>
      </c>
      <c r="Q42" s="184">
        <v>0.0</v>
      </c>
      <c r="R42" s="184" t="s">
        <v>121</v>
      </c>
      <c r="S42" s="218">
        <v>43703.0</v>
      </c>
      <c r="T42" s="105" t="s">
        <v>1276</v>
      </c>
      <c r="U42" s="105"/>
      <c r="V42" s="184" t="s">
        <v>2064</v>
      </c>
      <c r="W42" s="184" t="s">
        <v>118</v>
      </c>
      <c r="X42" s="197" t="s">
        <v>138</v>
      </c>
      <c r="Y42" s="197"/>
      <c r="Z42" s="170"/>
      <c r="AA42" s="219">
        <v>43627.0</v>
      </c>
      <c r="AB42" s="219">
        <v>43636.0</v>
      </c>
      <c r="AC42" s="4"/>
      <c r="AD42" s="4"/>
      <c r="AE42" s="184"/>
      <c r="AF42" s="4"/>
      <c r="AG42" s="4"/>
      <c r="AH42" s="244" t="s">
        <v>2071</v>
      </c>
      <c r="AI42" s="244" t="s">
        <v>4414</v>
      </c>
      <c r="AJ42" s="184"/>
      <c r="AK42" s="184" t="s">
        <v>2157</v>
      </c>
      <c r="AL42" s="200">
        <f t="shared" si="2"/>
        <v>48</v>
      </c>
      <c r="AM42" s="201">
        <v>2019.0</v>
      </c>
    </row>
    <row r="43">
      <c r="A43" s="158">
        <f t="shared" si="1"/>
        <v>15282232</v>
      </c>
      <c r="B43" s="242">
        <v>42.0</v>
      </c>
      <c r="C43" s="267" t="s">
        <v>4415</v>
      </c>
      <c r="D43" s="184">
        <f>IFERROR(VLOOKUP(E43,INFORMACION!E:F,2,0),"INGRESAR CENTRO DE COSTO A LA DERECHA")</f>
        <v>40</v>
      </c>
      <c r="E43" s="261" t="s">
        <v>1615</v>
      </c>
      <c r="F43" s="184" t="s">
        <v>2977</v>
      </c>
      <c r="G43" s="186" t="s">
        <v>4416</v>
      </c>
      <c r="H43" s="186">
        <v>6.0</v>
      </c>
      <c r="I43" s="186" t="s">
        <v>2541</v>
      </c>
      <c r="J43" s="184" t="s">
        <v>112</v>
      </c>
      <c r="K43" s="184" t="s">
        <v>114</v>
      </c>
      <c r="L43" s="184" t="s">
        <v>117</v>
      </c>
      <c r="M43" s="184">
        <v>13.0</v>
      </c>
      <c r="N43" s="184" t="s">
        <v>122</v>
      </c>
      <c r="O43" s="184" t="s">
        <v>2597</v>
      </c>
      <c r="P43" s="184">
        <v>1.0</v>
      </c>
      <c r="Q43" s="184">
        <v>0.0</v>
      </c>
      <c r="R43" s="184" t="s">
        <v>115</v>
      </c>
      <c r="S43" s="218">
        <v>43703.0</v>
      </c>
      <c r="T43" s="105" t="s">
        <v>1878</v>
      </c>
      <c r="U43" s="105"/>
      <c r="V43" s="184" t="s">
        <v>4417</v>
      </c>
      <c r="W43" s="184" t="s">
        <v>118</v>
      </c>
      <c r="X43" s="197" t="s">
        <v>164</v>
      </c>
      <c r="Y43" s="170"/>
      <c r="Z43" s="170"/>
      <c r="AA43" s="219">
        <v>43637.0</v>
      </c>
      <c r="AB43" s="219">
        <v>43644.0</v>
      </c>
      <c r="AC43" s="4"/>
      <c r="AD43" s="4"/>
      <c r="AE43" s="184"/>
      <c r="AF43" s="4"/>
      <c r="AG43" s="4"/>
      <c r="AH43" s="244" t="s">
        <v>2071</v>
      </c>
      <c r="AI43" s="244" t="s">
        <v>4418</v>
      </c>
      <c r="AJ43" s="184"/>
      <c r="AK43" s="184" t="s">
        <v>2157</v>
      </c>
      <c r="AL43" s="200">
        <f t="shared" si="2"/>
        <v>42</v>
      </c>
      <c r="AM43" s="201">
        <v>2019.0</v>
      </c>
    </row>
    <row r="44">
      <c r="A44" s="158">
        <f t="shared" si="1"/>
        <v>18057011</v>
      </c>
      <c r="B44" s="242">
        <v>43.0</v>
      </c>
      <c r="C44" s="267" t="s">
        <v>4419</v>
      </c>
      <c r="D44" s="184">
        <f>IFERROR(VLOOKUP(E44,INFORMACION!E:F,2,0),"INGRESAR CENTRO DE COSTO A LA DERECHA")</f>
        <v>3</v>
      </c>
      <c r="E44" s="184" t="s">
        <v>2495</v>
      </c>
      <c r="F44" s="184" t="s">
        <v>2780</v>
      </c>
      <c r="G44" s="186" t="s">
        <v>2781</v>
      </c>
      <c r="H44" s="186">
        <v>17.0</v>
      </c>
      <c r="I44" s="186" t="s">
        <v>2541</v>
      </c>
      <c r="J44" s="184" t="s">
        <v>112</v>
      </c>
      <c r="K44" s="184" t="s">
        <v>125</v>
      </c>
      <c r="L44" s="184" t="s">
        <v>117</v>
      </c>
      <c r="M44" s="184">
        <v>1.0</v>
      </c>
      <c r="N44" s="184" t="s">
        <v>122</v>
      </c>
      <c r="O44" s="184" t="s">
        <v>2597</v>
      </c>
      <c r="P44" s="184">
        <v>1.0</v>
      </c>
      <c r="Q44" s="184">
        <v>0.0</v>
      </c>
      <c r="R44" s="184" t="s">
        <v>115</v>
      </c>
      <c r="S44" s="218">
        <v>43703.0</v>
      </c>
      <c r="T44" s="105" t="s">
        <v>329</v>
      </c>
      <c r="U44" s="105"/>
      <c r="V44" s="184" t="s">
        <v>3852</v>
      </c>
      <c r="W44" s="184" t="s">
        <v>118</v>
      </c>
      <c r="X44" s="197" t="s">
        <v>164</v>
      </c>
      <c r="Y44" s="170"/>
      <c r="Z44" s="170"/>
      <c r="AA44" s="219">
        <v>43633.0</v>
      </c>
      <c r="AB44" s="219">
        <v>43640.0</v>
      </c>
      <c r="AC44" s="4"/>
      <c r="AD44" s="4"/>
      <c r="AE44" s="184"/>
      <c r="AF44" s="4"/>
      <c r="AG44" s="4"/>
      <c r="AH44" s="244" t="s">
        <v>2071</v>
      </c>
      <c r="AI44" s="244" t="s">
        <v>4420</v>
      </c>
      <c r="AJ44" s="184"/>
      <c r="AK44" s="184" t="s">
        <v>2157</v>
      </c>
      <c r="AL44" s="200">
        <f t="shared" si="2"/>
        <v>46</v>
      </c>
      <c r="AM44" s="201">
        <v>2019.0</v>
      </c>
    </row>
    <row r="45">
      <c r="A45" s="158">
        <f t="shared" si="1"/>
        <v>18089232</v>
      </c>
      <c r="B45" s="242">
        <v>44.0</v>
      </c>
      <c r="C45" s="267" t="s">
        <v>4421</v>
      </c>
      <c r="D45" s="184">
        <f>IFERROR(VLOOKUP(E45,INFORMACION!E:F,2,0),"INGRESAR CENTRO DE COSTO A LA DERECHA")</f>
        <v>3</v>
      </c>
      <c r="E45" s="291" t="s">
        <v>4422</v>
      </c>
      <c r="F45" s="184" t="s">
        <v>2962</v>
      </c>
      <c r="G45" s="159" t="s">
        <v>4423</v>
      </c>
      <c r="H45" s="159">
        <v>9.0</v>
      </c>
      <c r="I45" s="186" t="s">
        <v>3017</v>
      </c>
      <c r="J45" s="184" t="s">
        <v>112</v>
      </c>
      <c r="K45" s="184" t="s">
        <v>114</v>
      </c>
      <c r="L45" s="184" t="s">
        <v>122</v>
      </c>
      <c r="M45" s="184">
        <v>0.0</v>
      </c>
      <c r="N45" s="184" t="s">
        <v>116</v>
      </c>
      <c r="O45" s="184">
        <v>59.0</v>
      </c>
      <c r="P45" s="184">
        <v>2.0</v>
      </c>
      <c r="Q45" s="184">
        <v>0.0</v>
      </c>
      <c r="R45" s="184" t="s">
        <v>115</v>
      </c>
      <c r="S45" s="218">
        <v>43698.0</v>
      </c>
      <c r="T45" s="105"/>
      <c r="U45" s="105" t="s">
        <v>4424</v>
      </c>
      <c r="V45" s="184" t="s">
        <v>4425</v>
      </c>
      <c r="W45" s="184" t="s">
        <v>118</v>
      </c>
      <c r="X45" s="197" t="s">
        <v>138</v>
      </c>
      <c r="Y45" s="197"/>
      <c r="Z45" s="170"/>
      <c r="AA45" s="219">
        <v>43627.0</v>
      </c>
      <c r="AB45" s="219">
        <v>43635.0</v>
      </c>
      <c r="AC45" s="4"/>
      <c r="AD45" s="4"/>
      <c r="AE45" s="184"/>
      <c r="AF45" s="4"/>
      <c r="AG45" s="184" t="s">
        <v>4426</v>
      </c>
      <c r="AH45" s="244"/>
      <c r="AI45" s="244"/>
      <c r="AJ45" s="184"/>
      <c r="AK45" s="184"/>
      <c r="AL45" s="200">
        <f t="shared" si="2"/>
        <v>46</v>
      </c>
      <c r="AM45" s="201">
        <v>2019.0</v>
      </c>
    </row>
    <row r="46">
      <c r="A46" s="158">
        <f t="shared" si="1"/>
        <v>17677806</v>
      </c>
      <c r="B46" s="259">
        <v>45.0</v>
      </c>
      <c r="C46" s="267" t="s">
        <v>4427</v>
      </c>
      <c r="D46" s="184">
        <f>IFERROR(VLOOKUP(E46,INFORMACION!E:F,2,0),"INGRESAR CENTRO DE COSTO A LA DERECHA")</f>
        <v>120</v>
      </c>
      <c r="E46" s="184" t="s">
        <v>3000</v>
      </c>
      <c r="F46" s="184" t="s">
        <v>2642</v>
      </c>
      <c r="G46" s="159" t="s">
        <v>1907</v>
      </c>
      <c r="H46" s="159">
        <v>13.0</v>
      </c>
      <c r="I46" s="186" t="s">
        <v>2541</v>
      </c>
      <c r="J46" s="184" t="s">
        <v>112</v>
      </c>
      <c r="K46" s="184" t="s">
        <v>114</v>
      </c>
      <c r="L46" s="184" t="s">
        <v>122</v>
      </c>
      <c r="M46" s="184">
        <v>0.0</v>
      </c>
      <c r="N46" s="184" t="s">
        <v>116</v>
      </c>
      <c r="O46" s="184">
        <v>32.0</v>
      </c>
      <c r="P46" s="184">
        <v>3.0</v>
      </c>
      <c r="Q46" s="184">
        <v>0.0</v>
      </c>
      <c r="R46" s="184" t="s">
        <v>115</v>
      </c>
      <c r="S46" s="218">
        <v>43598.0</v>
      </c>
      <c r="T46" s="105"/>
      <c r="U46" s="105" t="s">
        <v>4428</v>
      </c>
      <c r="V46" s="184" t="s">
        <v>4429</v>
      </c>
      <c r="W46" s="184" t="s">
        <v>118</v>
      </c>
      <c r="X46" s="197" t="s">
        <v>138</v>
      </c>
      <c r="Y46" s="197"/>
      <c r="Z46" s="197"/>
      <c r="AA46" s="219">
        <v>43560.0</v>
      </c>
      <c r="AB46" s="219">
        <v>43567.0</v>
      </c>
      <c r="AC46" s="4"/>
      <c r="AD46" s="4"/>
      <c r="AE46" s="184"/>
      <c r="AF46" s="4"/>
      <c r="AG46" s="4"/>
      <c r="AH46" s="244" t="s">
        <v>2071</v>
      </c>
      <c r="AI46" s="244" t="s">
        <v>4430</v>
      </c>
      <c r="AJ46" s="184"/>
      <c r="AK46" s="184" t="s">
        <v>2163</v>
      </c>
      <c r="AL46" s="200">
        <f t="shared" si="2"/>
        <v>22</v>
      </c>
      <c r="AM46" s="201">
        <v>2019.0</v>
      </c>
    </row>
    <row r="47">
      <c r="A47" s="158">
        <f t="shared" si="1"/>
        <v>11851134</v>
      </c>
      <c r="B47" s="236">
        <v>46.0</v>
      </c>
      <c r="C47" s="184" t="s">
        <v>4431</v>
      </c>
      <c r="D47" s="184">
        <f>IFERROR(VLOOKUP(E47,INFORMACION!E:F,2,0),"INGRESAR CENTRO DE COSTO A LA DERECHA")</f>
        <v>125</v>
      </c>
      <c r="E47" s="184" t="s">
        <v>3156</v>
      </c>
      <c r="F47" s="184" t="s">
        <v>2650</v>
      </c>
      <c r="G47" s="186" t="s">
        <v>4432</v>
      </c>
      <c r="H47" s="186">
        <v>17.0</v>
      </c>
      <c r="I47" s="186" t="s">
        <v>2541</v>
      </c>
      <c r="J47" s="184" t="s">
        <v>112</v>
      </c>
      <c r="K47" s="184" t="s">
        <v>120</v>
      </c>
      <c r="L47" s="184" t="s">
        <v>117</v>
      </c>
      <c r="M47" s="184">
        <v>4.0</v>
      </c>
      <c r="N47" s="184" t="s">
        <v>122</v>
      </c>
      <c r="O47" s="184" t="s">
        <v>2597</v>
      </c>
      <c r="P47" s="184">
        <v>2.0</v>
      </c>
      <c r="Q47" s="184">
        <v>0.0</v>
      </c>
      <c r="R47" s="184" t="s">
        <v>121</v>
      </c>
      <c r="S47" s="218">
        <v>43689.0</v>
      </c>
      <c r="T47" s="105" t="s">
        <v>600</v>
      </c>
      <c r="U47" s="105"/>
      <c r="V47" s="184" t="s">
        <v>3806</v>
      </c>
      <c r="W47" s="184" t="s">
        <v>118</v>
      </c>
      <c r="X47" s="197" t="s">
        <v>150</v>
      </c>
      <c r="Y47" s="170"/>
      <c r="Z47" s="170"/>
      <c r="AA47" s="219">
        <v>43621.0</v>
      </c>
      <c r="AB47" s="219">
        <v>43628.0</v>
      </c>
      <c r="AC47" s="4"/>
      <c r="AD47" s="4"/>
      <c r="AE47" s="184"/>
      <c r="AF47" s="4"/>
      <c r="AG47" s="4"/>
      <c r="AH47" s="244" t="s">
        <v>2071</v>
      </c>
      <c r="AI47" s="244" t="s">
        <v>2597</v>
      </c>
      <c r="AJ47" s="184"/>
      <c r="AK47" s="184" t="s">
        <v>2157</v>
      </c>
      <c r="AL47" s="200">
        <f t="shared" si="2"/>
        <v>44</v>
      </c>
      <c r="AM47" s="201">
        <v>2019.0</v>
      </c>
    </row>
    <row r="48">
      <c r="A48" s="158">
        <f t="shared" si="1"/>
        <v>15505340</v>
      </c>
      <c r="B48" s="236">
        <v>47.0</v>
      </c>
      <c r="C48" s="184" t="s">
        <v>4433</v>
      </c>
      <c r="D48" s="184">
        <f>IFERROR(VLOOKUP(E48,INFORMACION!E:F,2,0),"INGRESAR CENTRO DE COSTO A LA DERECHA")</f>
        <v>11</v>
      </c>
      <c r="E48" s="184" t="s">
        <v>2980</v>
      </c>
      <c r="F48" s="184" t="s">
        <v>2679</v>
      </c>
      <c r="G48" s="186" t="s">
        <v>1816</v>
      </c>
      <c r="H48" s="186">
        <v>20.0</v>
      </c>
      <c r="I48" s="186" t="s">
        <v>2541</v>
      </c>
      <c r="J48" s="184" t="s">
        <v>112</v>
      </c>
      <c r="K48" s="184" t="s">
        <v>120</v>
      </c>
      <c r="L48" s="184" t="s">
        <v>117</v>
      </c>
      <c r="M48" s="184">
        <v>1.0</v>
      </c>
      <c r="N48" s="184" t="s">
        <v>122</v>
      </c>
      <c r="O48" s="184" t="s">
        <v>2597</v>
      </c>
      <c r="P48" s="184">
        <v>1.0</v>
      </c>
      <c r="Q48" s="184">
        <v>0.0</v>
      </c>
      <c r="R48" s="184" t="s">
        <v>115</v>
      </c>
      <c r="S48" s="218">
        <v>43675.0</v>
      </c>
      <c r="T48" s="105" t="s">
        <v>1249</v>
      </c>
      <c r="U48" s="105"/>
      <c r="V48" s="184" t="s">
        <v>3206</v>
      </c>
      <c r="W48" s="184" t="s">
        <v>118</v>
      </c>
      <c r="X48" s="197" t="s">
        <v>176</v>
      </c>
      <c r="Y48" s="170"/>
      <c r="Z48" s="170"/>
      <c r="AA48" s="219">
        <v>43584.0</v>
      </c>
      <c r="AB48" s="219">
        <v>43594.0</v>
      </c>
      <c r="AC48" s="4"/>
      <c r="AD48" s="4"/>
      <c r="AE48" s="184"/>
      <c r="AF48" s="4"/>
      <c r="AG48" s="4"/>
      <c r="AH48" s="244" t="s">
        <v>2071</v>
      </c>
      <c r="AI48" s="244" t="s">
        <v>4434</v>
      </c>
      <c r="AJ48" s="184"/>
      <c r="AK48" s="184" t="s">
        <v>2157</v>
      </c>
      <c r="AL48" s="200">
        <f t="shared" si="2"/>
        <v>58</v>
      </c>
      <c r="AM48" s="201">
        <v>2019.0</v>
      </c>
    </row>
    <row r="49">
      <c r="A49" s="158">
        <f t="shared" si="1"/>
        <v>16300797</v>
      </c>
      <c r="B49" s="242">
        <v>48.0</v>
      </c>
      <c r="C49" s="267" t="s">
        <v>4435</v>
      </c>
      <c r="D49" s="184">
        <f>IFERROR(VLOOKUP(E49,INFORMACION!E:F,2,0),"INGRESAR CENTRO DE COSTO A LA DERECHA")</f>
        <v>55</v>
      </c>
      <c r="E49" s="184" t="s">
        <v>1830</v>
      </c>
      <c r="F49" s="184" t="s">
        <v>2962</v>
      </c>
      <c r="G49" s="186" t="s">
        <v>4436</v>
      </c>
      <c r="H49" s="186">
        <v>13.0</v>
      </c>
      <c r="I49" s="186" t="s">
        <v>3017</v>
      </c>
      <c r="J49" s="184" t="s">
        <v>112</v>
      </c>
      <c r="K49" s="184" t="s">
        <v>114</v>
      </c>
      <c r="L49" s="184" t="s">
        <v>117</v>
      </c>
      <c r="M49" s="184" t="s">
        <v>2597</v>
      </c>
      <c r="N49" s="184" t="s">
        <v>116</v>
      </c>
      <c r="O49" s="184">
        <v>70.0</v>
      </c>
      <c r="P49" s="184">
        <v>5.0</v>
      </c>
      <c r="Q49" s="184">
        <v>1.0</v>
      </c>
      <c r="R49" s="184" t="s">
        <v>115</v>
      </c>
      <c r="S49" s="218">
        <v>43686.0</v>
      </c>
      <c r="T49" s="105"/>
      <c r="U49" s="105" t="s">
        <v>4437</v>
      </c>
      <c r="V49" s="184" t="s">
        <v>4438</v>
      </c>
      <c r="W49" s="184" t="s">
        <v>122</v>
      </c>
      <c r="X49" s="197"/>
      <c r="Y49" s="170"/>
      <c r="Z49" s="170"/>
      <c r="AA49" s="219">
        <v>43627.0</v>
      </c>
      <c r="AB49" s="219">
        <v>43636.0</v>
      </c>
      <c r="AC49" s="4"/>
      <c r="AD49" s="4"/>
      <c r="AE49" s="184"/>
      <c r="AF49" s="4"/>
      <c r="AG49" s="4"/>
      <c r="AH49" s="244" t="s">
        <v>2071</v>
      </c>
      <c r="AI49" s="244" t="s">
        <v>4439</v>
      </c>
      <c r="AJ49" s="184"/>
      <c r="AK49" s="184" t="s">
        <v>2163</v>
      </c>
      <c r="AL49" s="200">
        <f t="shared" si="2"/>
        <v>37</v>
      </c>
      <c r="AM49" s="201">
        <v>2019.0</v>
      </c>
    </row>
    <row r="50">
      <c r="A50" s="158">
        <f t="shared" si="1"/>
        <v>19063037</v>
      </c>
      <c r="B50" s="242">
        <v>49.0</v>
      </c>
      <c r="C50" s="267" t="s">
        <v>4440</v>
      </c>
      <c r="D50" s="184">
        <f>IFERROR(VLOOKUP(E50,INFORMACION!E:F,2,0),"INGRESAR CENTRO DE COSTO A LA DERECHA")</f>
        <v>83</v>
      </c>
      <c r="E50" s="184" t="s">
        <v>1740</v>
      </c>
      <c r="F50" s="184" t="s">
        <v>2596</v>
      </c>
      <c r="G50" s="186" t="s">
        <v>1869</v>
      </c>
      <c r="H50" s="186">
        <v>17.0</v>
      </c>
      <c r="I50" s="186" t="s">
        <v>2541</v>
      </c>
      <c r="J50" s="184" t="s">
        <v>112</v>
      </c>
      <c r="K50" s="184" t="s">
        <v>120</v>
      </c>
      <c r="L50" s="184" t="s">
        <v>117</v>
      </c>
      <c r="M50" s="184">
        <v>8.0</v>
      </c>
      <c r="N50" s="184" t="s">
        <v>122</v>
      </c>
      <c r="O50" s="184" t="s">
        <v>2597</v>
      </c>
      <c r="P50" s="184">
        <v>3.0</v>
      </c>
      <c r="Q50" s="184">
        <v>0.0</v>
      </c>
      <c r="R50" s="184" t="s">
        <v>115</v>
      </c>
      <c r="S50" s="218">
        <v>43650.0</v>
      </c>
      <c r="T50" s="105" t="s">
        <v>182</v>
      </c>
      <c r="U50" s="105"/>
      <c r="V50" s="184" t="s">
        <v>4441</v>
      </c>
      <c r="W50" s="184" t="s">
        <v>118</v>
      </c>
      <c r="X50" s="197" t="s">
        <v>164</v>
      </c>
      <c r="Y50" s="197"/>
      <c r="Z50" s="170"/>
      <c r="AA50" s="219">
        <v>43588.0</v>
      </c>
      <c r="AB50" s="219">
        <v>43594.0</v>
      </c>
      <c r="AC50" s="4"/>
      <c r="AD50" s="4"/>
      <c r="AE50" s="184"/>
      <c r="AF50" s="4"/>
      <c r="AG50" s="4"/>
      <c r="AH50" s="244" t="s">
        <v>2071</v>
      </c>
      <c r="AI50" s="244" t="s">
        <v>4442</v>
      </c>
      <c r="AJ50" s="184"/>
      <c r="AK50" s="184" t="s">
        <v>2157</v>
      </c>
      <c r="AL50" s="200">
        <f t="shared" si="2"/>
        <v>41</v>
      </c>
      <c r="AM50" s="201">
        <v>2019.0</v>
      </c>
    </row>
    <row r="51">
      <c r="A51" s="158">
        <f t="shared" si="1"/>
        <v>13839647</v>
      </c>
      <c r="B51" s="242">
        <v>50.0</v>
      </c>
      <c r="C51" s="267" t="s">
        <v>4443</v>
      </c>
      <c r="D51" s="184">
        <f>IFERROR(VLOOKUP(E51,INFORMACION!E:F,2,0),"INGRESAR CENTRO DE COSTO A LA DERECHA")</f>
        <v>40</v>
      </c>
      <c r="E51" s="184" t="s">
        <v>1615</v>
      </c>
      <c r="F51" s="184" t="s">
        <v>3358</v>
      </c>
      <c r="G51" s="186" t="s">
        <v>4444</v>
      </c>
      <c r="H51" s="186">
        <v>16.0</v>
      </c>
      <c r="I51" s="186" t="s">
        <v>2541</v>
      </c>
      <c r="J51" s="184" t="s">
        <v>112</v>
      </c>
      <c r="K51" s="184" t="s">
        <v>120</v>
      </c>
      <c r="L51" s="184" t="s">
        <v>117</v>
      </c>
      <c r="M51" s="184">
        <v>13.0</v>
      </c>
      <c r="N51" s="184" t="s">
        <v>122</v>
      </c>
      <c r="O51" s="184" t="s">
        <v>2597</v>
      </c>
      <c r="P51" s="184">
        <v>1.0</v>
      </c>
      <c r="Q51" s="184">
        <v>0.0</v>
      </c>
      <c r="R51" s="184" t="s">
        <v>121</v>
      </c>
      <c r="S51" s="218">
        <v>43633.0</v>
      </c>
      <c r="T51" s="105" t="s">
        <v>1344</v>
      </c>
      <c r="U51" s="105"/>
      <c r="V51" s="184" t="s">
        <v>2910</v>
      </c>
      <c r="W51" s="184" t="s">
        <v>122</v>
      </c>
      <c r="X51" s="170"/>
      <c r="Y51" s="170"/>
      <c r="Z51" s="170"/>
      <c r="AA51" s="219">
        <v>43549.0</v>
      </c>
      <c r="AB51" s="219">
        <v>43556.0</v>
      </c>
      <c r="AC51" s="4"/>
      <c r="AD51" s="4"/>
      <c r="AE51" s="184"/>
      <c r="AF51" s="4"/>
      <c r="AG51" s="4"/>
      <c r="AH51" s="244" t="s">
        <v>2071</v>
      </c>
      <c r="AI51" s="244" t="s">
        <v>4445</v>
      </c>
      <c r="AJ51" s="184"/>
      <c r="AK51" s="184" t="s">
        <v>2157</v>
      </c>
      <c r="AL51" s="200">
        <f t="shared" si="2"/>
        <v>56</v>
      </c>
      <c r="AM51" s="201">
        <v>2019.0</v>
      </c>
    </row>
    <row r="52">
      <c r="A52" s="158">
        <f t="shared" si="1"/>
        <v>19270779</v>
      </c>
      <c r="B52" s="242">
        <v>51.0</v>
      </c>
      <c r="C52" s="267" t="s">
        <v>4446</v>
      </c>
      <c r="D52" s="184">
        <f>IFERROR(VLOOKUP(E52,INFORMACION!E:F,2,0),"INGRESAR CENTRO DE COSTO A LA DERECHA")</f>
        <v>3</v>
      </c>
      <c r="E52" s="184" t="s">
        <v>2307</v>
      </c>
      <c r="F52" s="184" t="s">
        <v>2031</v>
      </c>
      <c r="G52" s="186" t="s">
        <v>3002</v>
      </c>
      <c r="H52" s="186">
        <v>13.0</v>
      </c>
      <c r="I52" s="186" t="s">
        <v>2541</v>
      </c>
      <c r="J52" s="184" t="s">
        <v>112</v>
      </c>
      <c r="K52" s="184" t="s">
        <v>114</v>
      </c>
      <c r="L52" s="184" t="s">
        <v>117</v>
      </c>
      <c r="M52" s="184">
        <v>5.0</v>
      </c>
      <c r="N52" s="184" t="s">
        <v>122</v>
      </c>
      <c r="O52" s="184" t="s">
        <v>2597</v>
      </c>
      <c r="P52" s="184">
        <v>2.0</v>
      </c>
      <c r="Q52" s="184">
        <v>0.0</v>
      </c>
      <c r="R52" s="184" t="s">
        <v>121</v>
      </c>
      <c r="S52" s="218">
        <v>43607.0</v>
      </c>
      <c r="T52" s="105" t="s">
        <v>1290</v>
      </c>
      <c r="U52" s="105"/>
      <c r="V52" s="184" t="s">
        <v>3712</v>
      </c>
      <c r="W52" s="184" t="s">
        <v>118</v>
      </c>
      <c r="X52" s="197" t="s">
        <v>138</v>
      </c>
      <c r="Y52" s="170"/>
      <c r="Z52" s="170"/>
      <c r="AA52" s="219">
        <v>43537.0</v>
      </c>
      <c r="AB52" s="219">
        <v>43544.0</v>
      </c>
      <c r="AC52" s="4"/>
      <c r="AD52" s="4"/>
      <c r="AE52" s="184"/>
      <c r="AF52" s="4"/>
      <c r="AG52" s="4"/>
      <c r="AH52" s="244" t="s">
        <v>2071</v>
      </c>
      <c r="AI52" s="244" t="s">
        <v>4447</v>
      </c>
      <c r="AJ52" s="184"/>
      <c r="AK52" s="184" t="s">
        <v>2157</v>
      </c>
      <c r="AL52" s="200">
        <f t="shared" si="2"/>
        <v>46</v>
      </c>
      <c r="AM52" s="201">
        <v>2019.0</v>
      </c>
    </row>
    <row r="53">
      <c r="A53" s="158">
        <f t="shared" si="1"/>
        <v>16452025</v>
      </c>
      <c r="B53" s="259">
        <v>52.0</v>
      </c>
      <c r="C53" s="267" t="s">
        <v>4448</v>
      </c>
      <c r="D53" s="184">
        <f>IFERROR(VLOOKUP(E53,INFORMACION!E:F,2,0),"INGRESAR CENTRO DE COSTO A LA DERECHA")</f>
        <v>3</v>
      </c>
      <c r="E53" s="184" t="s">
        <v>2307</v>
      </c>
      <c r="F53" s="184" t="s">
        <v>2568</v>
      </c>
      <c r="G53" s="186" t="s">
        <v>4060</v>
      </c>
      <c r="H53" s="186">
        <v>17.0</v>
      </c>
      <c r="I53" s="186" t="s">
        <v>2541</v>
      </c>
      <c r="J53" s="184" t="s">
        <v>112</v>
      </c>
      <c r="K53" s="184" t="s">
        <v>125</v>
      </c>
      <c r="L53" s="184" t="s">
        <v>117</v>
      </c>
      <c r="M53" s="184">
        <v>0.0</v>
      </c>
      <c r="N53" s="184" t="s">
        <v>116</v>
      </c>
      <c r="O53" s="184">
        <v>13.0</v>
      </c>
      <c r="P53" s="184">
        <v>2.0</v>
      </c>
      <c r="Q53" s="184">
        <v>0.0</v>
      </c>
      <c r="R53" s="184" t="s">
        <v>121</v>
      </c>
      <c r="S53" s="218">
        <v>43710.0</v>
      </c>
      <c r="T53" s="105"/>
      <c r="U53" s="105" t="s">
        <v>4449</v>
      </c>
      <c r="V53" s="184" t="s">
        <v>4450</v>
      </c>
      <c r="W53" s="184" t="s">
        <v>118</v>
      </c>
      <c r="X53" s="197" t="s">
        <v>174</v>
      </c>
      <c r="Y53" s="197" t="s">
        <v>134</v>
      </c>
      <c r="Z53" s="170"/>
      <c r="AA53" s="219">
        <v>43637.0</v>
      </c>
      <c r="AB53" s="219">
        <v>43644.0</v>
      </c>
      <c r="AC53" s="4"/>
      <c r="AD53" s="4"/>
      <c r="AE53" s="184"/>
      <c r="AF53" s="4"/>
      <c r="AG53" s="4"/>
      <c r="AH53" s="244" t="s">
        <v>2071</v>
      </c>
      <c r="AI53" s="244" t="s">
        <v>4451</v>
      </c>
      <c r="AJ53" s="184"/>
      <c r="AK53" s="184" t="s">
        <v>2163</v>
      </c>
      <c r="AL53" s="200">
        <f t="shared" si="2"/>
        <v>47</v>
      </c>
      <c r="AM53" s="201">
        <v>2019.0</v>
      </c>
    </row>
    <row r="54">
      <c r="A54" s="158">
        <f t="shared" si="1"/>
        <v>14318130</v>
      </c>
      <c r="B54" s="236">
        <v>53.0</v>
      </c>
      <c r="C54" s="184" t="s">
        <v>4452</v>
      </c>
      <c r="D54" s="184">
        <f>IFERROR(VLOOKUP(E54,INFORMACION!E:F,2,0),"INGRESAR CENTRO DE COSTO A LA DERECHA")</f>
        <v>60</v>
      </c>
      <c r="E54" s="184" t="s">
        <v>4453</v>
      </c>
      <c r="F54" s="184" t="s">
        <v>2650</v>
      </c>
      <c r="G54" s="186" t="s">
        <v>4454</v>
      </c>
      <c r="H54" s="186">
        <v>17.0</v>
      </c>
      <c r="I54" s="186" t="s">
        <v>2541</v>
      </c>
      <c r="J54" s="184" t="s">
        <v>112</v>
      </c>
      <c r="K54" s="184" t="s">
        <v>120</v>
      </c>
      <c r="L54" s="184" t="s">
        <v>122</v>
      </c>
      <c r="M54" s="184">
        <v>13.0</v>
      </c>
      <c r="N54" s="184" t="s">
        <v>122</v>
      </c>
      <c r="O54" s="184" t="s">
        <v>2597</v>
      </c>
      <c r="P54" s="184">
        <v>3.0</v>
      </c>
      <c r="Q54" s="184">
        <v>0.0</v>
      </c>
      <c r="R54" s="184" t="s">
        <v>121</v>
      </c>
      <c r="S54" s="218">
        <v>43698.0</v>
      </c>
      <c r="T54" s="105"/>
      <c r="U54" s="105" t="s">
        <v>4455</v>
      </c>
      <c r="V54" s="184" t="s">
        <v>4456</v>
      </c>
      <c r="W54" s="184" t="s">
        <v>118</v>
      </c>
      <c r="X54" s="197" t="s">
        <v>154</v>
      </c>
      <c r="Y54" s="197" t="s">
        <v>150</v>
      </c>
      <c r="Z54" s="170"/>
      <c r="AA54" s="219">
        <v>43655.0</v>
      </c>
      <c r="AB54" s="219">
        <v>43657.0</v>
      </c>
      <c r="AC54" s="4"/>
      <c r="AD54" s="4"/>
      <c r="AE54" s="184"/>
      <c r="AF54" s="4"/>
      <c r="AG54" s="4"/>
      <c r="AH54" s="244" t="s">
        <v>2071</v>
      </c>
      <c r="AI54" s="244" t="s">
        <v>4457</v>
      </c>
      <c r="AJ54" s="184"/>
      <c r="AK54" s="184" t="s">
        <v>2163</v>
      </c>
      <c r="AL54" s="200">
        <f t="shared" si="2"/>
        <v>30</v>
      </c>
      <c r="AM54" s="201">
        <v>2019.0</v>
      </c>
    </row>
    <row r="55">
      <c r="A55" s="158">
        <f t="shared" si="1"/>
        <v>19932849</v>
      </c>
      <c r="B55" s="236">
        <v>54.0</v>
      </c>
      <c r="C55" s="184" t="s">
        <v>4458</v>
      </c>
      <c r="D55" s="184">
        <f>IFERROR(VLOOKUP(E55,INFORMACION!E:F,2,0),"INGRESAR CENTRO DE COSTO A LA DERECHA")</f>
        <v>95</v>
      </c>
      <c r="E55" s="184" t="s">
        <v>1618</v>
      </c>
      <c r="F55" s="184" t="s">
        <v>1947</v>
      </c>
      <c r="G55" s="186" t="s">
        <v>1687</v>
      </c>
      <c r="H55" s="186">
        <v>23.0</v>
      </c>
      <c r="I55" s="186" t="s">
        <v>2541</v>
      </c>
      <c r="J55" s="184" t="s">
        <v>112</v>
      </c>
      <c r="K55" s="184" t="s">
        <v>127</v>
      </c>
      <c r="L55" s="184" t="s">
        <v>117</v>
      </c>
      <c r="M55" s="184">
        <v>0.0</v>
      </c>
      <c r="N55" s="184" t="s">
        <v>116</v>
      </c>
      <c r="O55" s="184">
        <v>19.0</v>
      </c>
      <c r="P55" s="184">
        <v>1.0</v>
      </c>
      <c r="Q55" s="184">
        <v>0.0</v>
      </c>
      <c r="R55" s="184" t="s">
        <v>115</v>
      </c>
      <c r="S55" s="218">
        <v>43710.0</v>
      </c>
      <c r="T55" s="105"/>
      <c r="U55" s="105" t="s">
        <v>4459</v>
      </c>
      <c r="V55" s="184" t="s">
        <v>4460</v>
      </c>
      <c r="W55" s="184" t="s">
        <v>118</v>
      </c>
      <c r="X55" s="197" t="s">
        <v>154</v>
      </c>
      <c r="Y55" s="170"/>
      <c r="Z55" s="170"/>
      <c r="AA55" s="219">
        <v>43627.0</v>
      </c>
      <c r="AB55" s="292">
        <v>43636.0</v>
      </c>
      <c r="AC55" s="4"/>
      <c r="AD55" s="4"/>
      <c r="AE55" s="184"/>
      <c r="AF55" s="4"/>
      <c r="AG55" s="4"/>
      <c r="AH55" s="244" t="s">
        <v>2071</v>
      </c>
      <c r="AI55" s="244" t="s">
        <v>4461</v>
      </c>
      <c r="AJ55" s="184"/>
      <c r="AK55" s="184" t="s">
        <v>2163</v>
      </c>
      <c r="AL55" s="200">
        <f t="shared" si="2"/>
        <v>53</v>
      </c>
      <c r="AM55" s="201">
        <v>2019.0</v>
      </c>
    </row>
    <row r="56">
      <c r="A56" s="158">
        <f t="shared" si="1"/>
        <v>16279996</v>
      </c>
      <c r="B56" s="242">
        <v>55.0</v>
      </c>
      <c r="C56" s="267" t="s">
        <v>4462</v>
      </c>
      <c r="D56" s="184">
        <f>IFERROR(VLOOKUP(E56,INFORMACION!E:F,2,0),"INGRESAR CENTRO DE COSTO A LA DERECHA")</f>
        <v>95</v>
      </c>
      <c r="E56" s="184" t="s">
        <v>1618</v>
      </c>
      <c r="F56" s="184" t="s">
        <v>2679</v>
      </c>
      <c r="G56" s="186" t="s">
        <v>3607</v>
      </c>
      <c r="H56" s="186">
        <v>20.0</v>
      </c>
      <c r="I56" s="186" t="s">
        <v>2541</v>
      </c>
      <c r="J56" s="184" t="s">
        <v>112</v>
      </c>
      <c r="K56" s="184" t="s">
        <v>120</v>
      </c>
      <c r="L56" s="184" t="s">
        <v>117</v>
      </c>
      <c r="M56" s="184">
        <v>1.0</v>
      </c>
      <c r="N56" s="184" t="s">
        <v>116</v>
      </c>
      <c r="O56" s="184">
        <v>14.0</v>
      </c>
      <c r="P56" s="184">
        <v>1.0</v>
      </c>
      <c r="Q56" s="184">
        <v>0.0</v>
      </c>
      <c r="R56" s="184" t="s">
        <v>121</v>
      </c>
      <c r="S56" s="218">
        <v>43710.0</v>
      </c>
      <c r="T56" s="105"/>
      <c r="U56" s="105" t="s">
        <v>4463</v>
      </c>
      <c r="V56" s="184" t="s">
        <v>4464</v>
      </c>
      <c r="W56" s="184" t="s">
        <v>118</v>
      </c>
      <c r="X56" s="197" t="s">
        <v>176</v>
      </c>
      <c r="Y56" s="197" t="s">
        <v>170</v>
      </c>
      <c r="Z56" s="170"/>
      <c r="AA56" s="219">
        <v>43633.0</v>
      </c>
      <c r="AB56" s="219">
        <v>43640.0</v>
      </c>
      <c r="AC56" s="4"/>
      <c r="AD56" s="4"/>
      <c r="AE56" s="184"/>
      <c r="AF56" s="4"/>
      <c r="AG56" s="4"/>
      <c r="AH56" s="244" t="s">
        <v>2071</v>
      </c>
      <c r="AI56" s="244" t="s">
        <v>4465</v>
      </c>
      <c r="AJ56" s="184"/>
      <c r="AK56" s="184" t="s">
        <v>2163</v>
      </c>
      <c r="AL56" s="200">
        <f t="shared" si="2"/>
        <v>51</v>
      </c>
      <c r="AM56" s="201">
        <v>2019.0</v>
      </c>
    </row>
    <row r="57">
      <c r="A57" s="158">
        <f t="shared" si="1"/>
        <v>18533115</v>
      </c>
      <c r="B57" s="242">
        <v>56.0</v>
      </c>
      <c r="C57" s="267" t="s">
        <v>4466</v>
      </c>
      <c r="D57" s="184">
        <f>IFERROR(VLOOKUP(E57,INFORMACION!E:F,2,0),"INGRESAR CENTRO DE COSTO A LA DERECHA")</f>
        <v>40</v>
      </c>
      <c r="E57" s="184" t="s">
        <v>3180</v>
      </c>
      <c r="F57" s="184" t="s">
        <v>2635</v>
      </c>
      <c r="G57" s="186" t="s">
        <v>2418</v>
      </c>
      <c r="H57" s="186">
        <v>13.0</v>
      </c>
      <c r="I57" s="186" t="s">
        <v>2541</v>
      </c>
      <c r="J57" s="184" t="s">
        <v>112</v>
      </c>
      <c r="K57" s="184" t="s">
        <v>114</v>
      </c>
      <c r="L57" s="184" t="s">
        <v>117</v>
      </c>
      <c r="M57" s="184">
        <v>0.0</v>
      </c>
      <c r="N57" s="184" t="s">
        <v>116</v>
      </c>
      <c r="O57" s="184">
        <v>20.0</v>
      </c>
      <c r="P57" s="184">
        <v>2.0</v>
      </c>
      <c r="Q57" s="184">
        <v>0.0</v>
      </c>
      <c r="R57" s="184" t="s">
        <v>115</v>
      </c>
      <c r="S57" s="218">
        <v>43647.0</v>
      </c>
      <c r="T57" s="105"/>
      <c r="U57" s="105" t="s">
        <v>4467</v>
      </c>
      <c r="V57" s="184" t="s">
        <v>4468</v>
      </c>
      <c r="W57" s="184" t="s">
        <v>118</v>
      </c>
      <c r="X57" s="197" t="s">
        <v>154</v>
      </c>
      <c r="Y57" s="170"/>
      <c r="Z57" s="170"/>
      <c r="AA57" s="219">
        <v>43558.0</v>
      </c>
      <c r="AB57" s="219">
        <v>43565.0</v>
      </c>
      <c r="AC57" s="4"/>
      <c r="AD57" s="4"/>
      <c r="AE57" s="184"/>
      <c r="AF57" s="4"/>
      <c r="AG57" s="4"/>
      <c r="AH57" s="244" t="s">
        <v>2071</v>
      </c>
      <c r="AI57" s="244" t="s">
        <v>4469</v>
      </c>
      <c r="AJ57" s="184"/>
      <c r="AK57" s="184" t="s">
        <v>2163</v>
      </c>
      <c r="AL57" s="200">
        <f t="shared" si="2"/>
        <v>59</v>
      </c>
      <c r="AM57" s="201">
        <v>2019.0</v>
      </c>
    </row>
    <row r="58">
      <c r="A58" s="158">
        <f t="shared" si="1"/>
        <v>15475408</v>
      </c>
      <c r="B58" s="242">
        <v>57.0</v>
      </c>
      <c r="C58" s="267" t="s">
        <v>4470</v>
      </c>
      <c r="D58" s="184">
        <f>IFERROR(VLOOKUP(E58,INFORMACION!E:F,2,0),"INGRESAR CENTRO DE COSTO A LA DERECHA")</f>
        <v>120</v>
      </c>
      <c r="E58" s="184" t="s">
        <v>4002</v>
      </c>
      <c r="F58" s="184" t="s">
        <v>2650</v>
      </c>
      <c r="G58" s="186" t="s">
        <v>3797</v>
      </c>
      <c r="H58" s="186">
        <v>17.0</v>
      </c>
      <c r="I58" s="186" t="s">
        <v>2541</v>
      </c>
      <c r="J58" s="184" t="s">
        <v>112</v>
      </c>
      <c r="K58" s="184" t="s">
        <v>120</v>
      </c>
      <c r="L58" s="184" t="s">
        <v>117</v>
      </c>
      <c r="M58" s="184">
        <v>2.0</v>
      </c>
      <c r="N58" s="184" t="s">
        <v>122</v>
      </c>
      <c r="O58" s="184" t="s">
        <v>2597</v>
      </c>
      <c r="P58" s="184">
        <v>1.0</v>
      </c>
      <c r="Q58" s="184">
        <v>0.0</v>
      </c>
      <c r="R58" s="184" t="s">
        <v>115</v>
      </c>
      <c r="S58" s="218">
        <v>43700.0</v>
      </c>
      <c r="T58" s="105" t="s">
        <v>404</v>
      </c>
      <c r="U58" s="105"/>
      <c r="V58" s="184" t="s">
        <v>3212</v>
      </c>
      <c r="W58" s="184" t="s">
        <v>122</v>
      </c>
      <c r="X58" s="197"/>
      <c r="Y58" s="170"/>
      <c r="Z58" s="170"/>
      <c r="AA58" s="219">
        <v>43627.0</v>
      </c>
      <c r="AB58" s="219">
        <v>43634.0</v>
      </c>
      <c r="AC58" s="4"/>
      <c r="AD58" s="4"/>
      <c r="AE58" s="184"/>
      <c r="AF58" s="4"/>
      <c r="AG58" s="4"/>
      <c r="AH58" s="244" t="s">
        <v>2071</v>
      </c>
      <c r="AI58" s="244" t="s">
        <v>4471</v>
      </c>
      <c r="AJ58" s="184"/>
      <c r="AK58" s="184" t="s">
        <v>2157</v>
      </c>
      <c r="AL58" s="200">
        <f t="shared" si="2"/>
        <v>49</v>
      </c>
      <c r="AM58" s="201">
        <v>2019.0</v>
      </c>
    </row>
    <row r="59">
      <c r="A59" s="158">
        <f t="shared" si="1"/>
        <v>13048402</v>
      </c>
      <c r="B59" s="236">
        <v>58.0</v>
      </c>
      <c r="C59" s="184" t="s">
        <v>4472</v>
      </c>
      <c r="D59" s="184">
        <f>IFERROR(VLOOKUP(E59,INFORMACION!E:F,2,0),"INGRESAR CENTRO DE COSTO A LA DERECHA")</f>
        <v>120</v>
      </c>
      <c r="E59" s="184" t="s">
        <v>3000</v>
      </c>
      <c r="F59" s="184" t="s">
        <v>1937</v>
      </c>
      <c r="G59" s="186" t="s">
        <v>1711</v>
      </c>
      <c r="H59" s="186">
        <v>13.0</v>
      </c>
      <c r="I59" s="186" t="s">
        <v>2541</v>
      </c>
      <c r="J59" s="184" t="s">
        <v>112</v>
      </c>
      <c r="K59" s="184" t="s">
        <v>114</v>
      </c>
      <c r="L59" s="184" t="s">
        <v>117</v>
      </c>
      <c r="M59" s="184">
        <v>5.0</v>
      </c>
      <c r="N59" s="184" t="s">
        <v>122</v>
      </c>
      <c r="O59" s="184" t="s">
        <v>2597</v>
      </c>
      <c r="P59" s="184">
        <v>1.0</v>
      </c>
      <c r="Q59" s="184">
        <v>0.0</v>
      </c>
      <c r="R59" s="184" t="s">
        <v>115</v>
      </c>
      <c r="S59" s="218">
        <v>43707.0</v>
      </c>
      <c r="T59" s="105" t="s">
        <v>331</v>
      </c>
      <c r="U59" s="105"/>
      <c r="V59" s="184" t="s">
        <v>3729</v>
      </c>
      <c r="W59" s="184" t="s">
        <v>122</v>
      </c>
      <c r="X59" s="197"/>
      <c r="Y59" s="197"/>
      <c r="Z59" s="170"/>
      <c r="AA59" s="219">
        <v>43651.0</v>
      </c>
      <c r="AB59" s="219">
        <v>43656.0</v>
      </c>
      <c r="AC59" s="4"/>
      <c r="AD59" s="4"/>
      <c r="AE59" s="184"/>
      <c r="AF59" s="4"/>
      <c r="AG59" s="4"/>
      <c r="AH59" s="244" t="s">
        <v>2071</v>
      </c>
      <c r="AI59" s="244" t="s">
        <v>4473</v>
      </c>
      <c r="AJ59" s="184"/>
      <c r="AK59" s="184" t="s">
        <v>2157</v>
      </c>
      <c r="AL59" s="200">
        <f t="shared" si="2"/>
        <v>38</v>
      </c>
      <c r="AM59" s="201">
        <v>2019.0</v>
      </c>
    </row>
    <row r="60">
      <c r="A60" s="158">
        <f t="shared" si="1"/>
        <v>13688649</v>
      </c>
      <c r="B60" s="236">
        <v>59.0</v>
      </c>
      <c r="C60" s="184" t="s">
        <v>4474</v>
      </c>
      <c r="D60" s="184">
        <f>IFERROR(VLOOKUP(E60,INFORMACION!E:F,2,0),"INGRESAR CENTRO DE COSTO A LA DERECHA")</f>
        <v>50</v>
      </c>
      <c r="E60" s="184" t="s">
        <v>3039</v>
      </c>
      <c r="F60" s="184" t="s">
        <v>3260</v>
      </c>
      <c r="G60" s="186" t="s">
        <v>3261</v>
      </c>
      <c r="H60" s="186">
        <v>14.0</v>
      </c>
      <c r="I60" s="186" t="s">
        <v>2541</v>
      </c>
      <c r="J60" s="184" t="s">
        <v>112</v>
      </c>
      <c r="K60" s="184" t="s">
        <v>114</v>
      </c>
      <c r="L60" s="184" t="s">
        <v>117</v>
      </c>
      <c r="M60" s="184">
        <v>8.0</v>
      </c>
      <c r="N60" s="184" t="s">
        <v>122</v>
      </c>
      <c r="O60" s="184" t="s">
        <v>2597</v>
      </c>
      <c r="P60" s="184">
        <v>3.0</v>
      </c>
      <c r="Q60" s="184">
        <v>0.0</v>
      </c>
      <c r="R60" s="184" t="s">
        <v>121</v>
      </c>
      <c r="S60" s="218">
        <v>43709.0</v>
      </c>
      <c r="T60" s="105" t="s">
        <v>169</v>
      </c>
      <c r="U60" s="105"/>
      <c r="V60" s="184" t="s">
        <v>4475</v>
      </c>
      <c r="W60" s="184" t="s">
        <v>118</v>
      </c>
      <c r="X60" s="197" t="s">
        <v>138</v>
      </c>
      <c r="Y60" s="197"/>
      <c r="Z60" s="170"/>
      <c r="AA60" s="219">
        <v>43584.0</v>
      </c>
      <c r="AB60" s="219">
        <v>43594.0</v>
      </c>
      <c r="AC60" s="4"/>
      <c r="AD60" s="4"/>
      <c r="AE60" s="184"/>
      <c r="AF60" s="4"/>
      <c r="AG60" s="4"/>
      <c r="AH60" s="244" t="s">
        <v>2071</v>
      </c>
      <c r="AI60" s="244" t="s">
        <v>4476</v>
      </c>
      <c r="AJ60" s="184"/>
      <c r="AK60" s="184" t="s">
        <v>2157</v>
      </c>
      <c r="AL60" s="200">
        <f t="shared" si="2"/>
        <v>82</v>
      </c>
      <c r="AM60" s="201">
        <v>2019.0</v>
      </c>
    </row>
    <row r="61">
      <c r="A61" s="158">
        <f t="shared" si="1"/>
        <v>12249498</v>
      </c>
      <c r="B61" s="242">
        <v>60.0</v>
      </c>
      <c r="C61" s="267" t="s">
        <v>4477</v>
      </c>
      <c r="D61" s="184">
        <f>IFERROR(VLOOKUP(E61,INFORMACION!E:F,2,0),"INGRESAR CENTRO DE COSTO A LA DERECHA")</f>
        <v>15</v>
      </c>
      <c r="E61" s="184" t="s">
        <v>2195</v>
      </c>
      <c r="F61" s="184" t="s">
        <v>3235</v>
      </c>
      <c r="G61" s="186" t="s">
        <v>4478</v>
      </c>
      <c r="H61" s="186">
        <v>17.0</v>
      </c>
      <c r="I61" s="186" t="s">
        <v>2541</v>
      </c>
      <c r="J61" s="184" t="s">
        <v>112</v>
      </c>
      <c r="K61" s="184" t="s">
        <v>120</v>
      </c>
      <c r="L61" s="184" t="s">
        <v>117</v>
      </c>
      <c r="M61" s="184">
        <v>1.0</v>
      </c>
      <c r="N61" s="184" t="s">
        <v>122</v>
      </c>
      <c r="O61" s="184" t="s">
        <v>2597</v>
      </c>
      <c r="P61" s="184">
        <v>1.0</v>
      </c>
      <c r="Q61" s="184">
        <v>0.0</v>
      </c>
      <c r="R61" s="184" t="s">
        <v>121</v>
      </c>
      <c r="S61" s="218">
        <v>43717.0</v>
      </c>
      <c r="T61" s="105" t="s">
        <v>1001</v>
      </c>
      <c r="U61" s="105"/>
      <c r="V61" s="184" t="s">
        <v>2399</v>
      </c>
      <c r="W61" s="184" t="s">
        <v>118</v>
      </c>
      <c r="X61" s="197" t="s">
        <v>176</v>
      </c>
      <c r="Y61" s="197"/>
      <c r="Z61" s="170"/>
      <c r="AA61" s="219">
        <v>43670.0</v>
      </c>
      <c r="AB61" s="219">
        <v>43678.0</v>
      </c>
      <c r="AC61" s="4"/>
      <c r="AD61" s="4"/>
      <c r="AE61" s="184"/>
      <c r="AF61" s="4"/>
      <c r="AG61" s="4"/>
      <c r="AH61" s="244" t="s">
        <v>2071</v>
      </c>
      <c r="AI61" s="244" t="s">
        <v>4479</v>
      </c>
      <c r="AJ61" s="184"/>
      <c r="AK61" s="184" t="s">
        <v>1612</v>
      </c>
      <c r="AL61" s="200">
        <f t="shared" si="2"/>
        <v>28</v>
      </c>
      <c r="AM61" s="201">
        <v>2019.0</v>
      </c>
    </row>
    <row r="62">
      <c r="A62" s="158">
        <f t="shared" si="1"/>
        <v>17959771</v>
      </c>
      <c r="B62" s="242">
        <v>61.0</v>
      </c>
      <c r="C62" s="267" t="s">
        <v>4480</v>
      </c>
      <c r="D62" s="184">
        <f>IFERROR(VLOOKUP(E62,INFORMACION!E:F,2,0),"INGRESAR CENTRO DE COSTO A LA DERECHA")</f>
        <v>3</v>
      </c>
      <c r="E62" s="184" t="s">
        <v>2911</v>
      </c>
      <c r="F62" s="184" t="s">
        <v>1950</v>
      </c>
      <c r="G62" s="186" t="s">
        <v>1832</v>
      </c>
      <c r="H62" s="186">
        <v>10.0</v>
      </c>
      <c r="I62" s="186" t="s">
        <v>2541</v>
      </c>
      <c r="J62" s="184" t="s">
        <v>112</v>
      </c>
      <c r="K62" s="184" t="s">
        <v>114</v>
      </c>
      <c r="L62" s="184" t="s">
        <v>117</v>
      </c>
      <c r="M62" s="184">
        <v>1.0</v>
      </c>
      <c r="N62" s="184" t="s">
        <v>122</v>
      </c>
      <c r="O62" s="184" t="s">
        <v>2597</v>
      </c>
      <c r="P62" s="184">
        <v>1.0</v>
      </c>
      <c r="Q62" s="184">
        <v>0.0</v>
      </c>
      <c r="R62" s="184" t="s">
        <v>121</v>
      </c>
      <c r="S62" s="218">
        <v>43739.0</v>
      </c>
      <c r="T62" s="105" t="s">
        <v>845</v>
      </c>
      <c r="U62" s="105"/>
      <c r="V62" s="184" t="s">
        <v>3844</v>
      </c>
      <c r="W62" s="184" t="s">
        <v>122</v>
      </c>
      <c r="X62" s="197"/>
      <c r="Y62" s="170"/>
      <c r="Z62" s="170"/>
      <c r="AA62" s="219">
        <v>43714.0</v>
      </c>
      <c r="AB62" s="219">
        <v>43719.0</v>
      </c>
      <c r="AC62" s="4"/>
      <c r="AD62" s="4"/>
      <c r="AE62" s="184"/>
      <c r="AF62" s="4"/>
      <c r="AG62" s="4"/>
      <c r="AH62" s="244" t="s">
        <v>2071</v>
      </c>
      <c r="AI62" s="244" t="s">
        <v>4481</v>
      </c>
      <c r="AJ62" s="184"/>
      <c r="AK62" s="184" t="s">
        <v>2157</v>
      </c>
      <c r="AL62" s="200">
        <f t="shared" si="2"/>
        <v>15</v>
      </c>
      <c r="AM62" s="201">
        <v>2019.0</v>
      </c>
    </row>
    <row r="63">
      <c r="A63" s="158">
        <f t="shared" si="1"/>
        <v>7317438</v>
      </c>
      <c r="B63" s="242">
        <v>62.0</v>
      </c>
      <c r="C63" s="267" t="s">
        <v>4482</v>
      </c>
      <c r="D63" s="184">
        <f>IFERROR(VLOOKUP(E63,INFORMACION!E:F,2,0),"INGRESAR CENTRO DE COSTO A LA DERECHA")</f>
        <v>3</v>
      </c>
      <c r="E63" s="184" t="s">
        <v>2495</v>
      </c>
      <c r="F63" s="184" t="s">
        <v>2780</v>
      </c>
      <c r="G63" s="186" t="s">
        <v>4483</v>
      </c>
      <c r="H63" s="186">
        <v>17.0</v>
      </c>
      <c r="I63" s="186" t="s">
        <v>2541</v>
      </c>
      <c r="J63" s="184" t="s">
        <v>112</v>
      </c>
      <c r="K63" s="184" t="s">
        <v>125</v>
      </c>
      <c r="L63" s="184" t="s">
        <v>117</v>
      </c>
      <c r="M63" s="184">
        <v>0.0</v>
      </c>
      <c r="N63" s="184" t="s">
        <v>116</v>
      </c>
      <c r="O63" s="184">
        <v>5.0</v>
      </c>
      <c r="P63" s="184">
        <v>1.0</v>
      </c>
      <c r="Q63" s="184">
        <v>0.0</v>
      </c>
      <c r="R63" s="184" t="s">
        <v>115</v>
      </c>
      <c r="S63" s="218">
        <v>43718.0</v>
      </c>
      <c r="T63" s="105"/>
      <c r="U63" s="105" t="s">
        <v>4484</v>
      </c>
      <c r="V63" s="184" t="s">
        <v>4485</v>
      </c>
      <c r="W63" s="184" t="s">
        <v>118</v>
      </c>
      <c r="X63" s="197" t="s">
        <v>164</v>
      </c>
      <c r="Y63" s="197" t="s">
        <v>176</v>
      </c>
      <c r="Z63" s="197"/>
      <c r="AA63" s="219">
        <v>43672.0</v>
      </c>
      <c r="AB63" s="219">
        <v>43679.0</v>
      </c>
      <c r="AC63" s="4"/>
      <c r="AD63" s="4"/>
      <c r="AE63" s="184"/>
      <c r="AF63" s="4"/>
      <c r="AG63" s="4"/>
      <c r="AH63" s="244" t="s">
        <v>2071</v>
      </c>
      <c r="AI63" s="244" t="s">
        <v>4486</v>
      </c>
      <c r="AJ63" s="184"/>
      <c r="AK63" s="184" t="s">
        <v>2163</v>
      </c>
      <c r="AL63" s="200">
        <f t="shared" si="2"/>
        <v>28</v>
      </c>
      <c r="AM63" s="201">
        <v>2019.0</v>
      </c>
    </row>
    <row r="64">
      <c r="A64" s="158">
        <f t="shared" si="1"/>
        <v>19208931</v>
      </c>
      <c r="B64" s="242">
        <v>63.0</v>
      </c>
      <c r="C64" s="267" t="s">
        <v>4487</v>
      </c>
      <c r="D64" s="184">
        <f>IFERROR(VLOOKUP(E64,INFORMACION!E:F,2,0),"INGRESAR CENTRO DE COSTO A LA DERECHA")</f>
        <v>40</v>
      </c>
      <c r="E64" s="184" t="s">
        <v>2886</v>
      </c>
      <c r="F64" s="184" t="s">
        <v>2540</v>
      </c>
      <c r="G64" s="186" t="s">
        <v>1898</v>
      </c>
      <c r="H64" s="186">
        <v>17.0</v>
      </c>
      <c r="I64" s="186" t="s">
        <v>2541</v>
      </c>
      <c r="J64" s="184" t="s">
        <v>112</v>
      </c>
      <c r="K64" s="184" t="s">
        <v>120</v>
      </c>
      <c r="L64" s="184" t="s">
        <v>117</v>
      </c>
      <c r="M64" s="184">
        <v>5.0</v>
      </c>
      <c r="N64" s="184" t="s">
        <v>122</v>
      </c>
      <c r="O64" s="184" t="s">
        <v>2597</v>
      </c>
      <c r="P64" s="184">
        <v>2.0</v>
      </c>
      <c r="Q64" s="184">
        <v>0.0</v>
      </c>
      <c r="R64" s="184" t="s">
        <v>121</v>
      </c>
      <c r="S64" s="218">
        <v>43740.0</v>
      </c>
      <c r="T64" s="105" t="s">
        <v>807</v>
      </c>
      <c r="U64" s="105"/>
      <c r="V64" s="184" t="s">
        <v>3123</v>
      </c>
      <c r="W64" s="184" t="s">
        <v>118</v>
      </c>
      <c r="X64" s="197" t="s">
        <v>150</v>
      </c>
      <c r="Y64" s="170"/>
      <c r="Z64" s="170"/>
      <c r="AA64" s="219">
        <v>43684.0</v>
      </c>
      <c r="AB64" s="219">
        <v>43691.0</v>
      </c>
      <c r="AC64" s="4"/>
      <c r="AD64" s="4"/>
      <c r="AE64" s="184"/>
      <c r="AF64" s="4"/>
      <c r="AG64" s="4"/>
      <c r="AH64" s="244" t="s">
        <v>2071</v>
      </c>
      <c r="AI64" s="244" t="s">
        <v>4488</v>
      </c>
      <c r="AJ64" s="184"/>
      <c r="AK64" s="184" t="s">
        <v>2157</v>
      </c>
      <c r="AL64" s="200">
        <f t="shared" si="2"/>
        <v>36</v>
      </c>
      <c r="AM64" s="201">
        <v>2019.0</v>
      </c>
    </row>
    <row r="65">
      <c r="A65" s="158">
        <f t="shared" si="1"/>
        <v>10549457</v>
      </c>
      <c r="B65" s="259">
        <v>64.0</v>
      </c>
      <c r="C65" s="267" t="s">
        <v>4489</v>
      </c>
      <c r="D65" s="184">
        <f>IFERROR(VLOOKUP(E65,INFORMACION!E:F,2,0),"INGRESAR CENTRO DE COSTO A LA DERECHA")</f>
        <v>40</v>
      </c>
      <c r="E65" s="184" t="s">
        <v>3176</v>
      </c>
      <c r="F65" s="184" t="s">
        <v>2576</v>
      </c>
      <c r="G65" s="186" t="s">
        <v>4490</v>
      </c>
      <c r="H65" s="186">
        <v>21.0</v>
      </c>
      <c r="I65" s="186" t="s">
        <v>2541</v>
      </c>
      <c r="J65" s="184" t="s">
        <v>112</v>
      </c>
      <c r="K65" s="184" t="s">
        <v>127</v>
      </c>
      <c r="L65" s="184" t="s">
        <v>117</v>
      </c>
      <c r="M65" s="184">
        <v>1.0</v>
      </c>
      <c r="N65" s="184" t="s">
        <v>116</v>
      </c>
      <c r="O65" s="184">
        <v>19.0</v>
      </c>
      <c r="P65" s="184">
        <v>1.0</v>
      </c>
      <c r="Q65" s="184">
        <v>0.0</v>
      </c>
      <c r="R65" s="184" t="s">
        <v>121</v>
      </c>
      <c r="S65" s="218">
        <v>43747.0</v>
      </c>
      <c r="T65" s="105"/>
      <c r="U65" s="105" t="s">
        <v>4491</v>
      </c>
      <c r="V65" s="184" t="s">
        <v>4492</v>
      </c>
      <c r="W65" s="184" t="s">
        <v>118</v>
      </c>
      <c r="X65" s="197" t="s">
        <v>176</v>
      </c>
      <c r="Y65" s="197"/>
      <c r="Z65" s="170"/>
      <c r="AA65" s="219">
        <v>43675.0</v>
      </c>
      <c r="AB65" s="219">
        <v>43682.0</v>
      </c>
      <c r="AC65" s="4"/>
      <c r="AD65" s="4"/>
      <c r="AE65" s="184"/>
      <c r="AF65" s="4"/>
      <c r="AG65" s="4"/>
      <c r="AH65" s="244" t="s">
        <v>2071</v>
      </c>
      <c r="AI65" s="244" t="s">
        <v>4493</v>
      </c>
      <c r="AJ65" s="184"/>
      <c r="AK65" s="184" t="s">
        <v>1612</v>
      </c>
      <c r="AL65" s="200">
        <f t="shared" si="2"/>
        <v>48</v>
      </c>
      <c r="AM65" s="201">
        <v>2019.0</v>
      </c>
    </row>
    <row r="66">
      <c r="A66" s="158">
        <f t="shared" si="1"/>
        <v>17738116</v>
      </c>
      <c r="B66" s="236">
        <v>65.0</v>
      </c>
      <c r="C66" s="184" t="s">
        <v>4494</v>
      </c>
      <c r="D66" s="184">
        <f>IFERROR(VLOOKUP(E66,INFORMACION!E:F,2,0),"INGRESAR CENTRO DE COSTO A LA DERECHA")</f>
        <v>55</v>
      </c>
      <c r="E66" s="184" t="s">
        <v>2934</v>
      </c>
      <c r="F66" s="184" t="s">
        <v>2540</v>
      </c>
      <c r="G66" s="186" t="s">
        <v>1898</v>
      </c>
      <c r="H66" s="186">
        <v>17.0</v>
      </c>
      <c r="I66" s="186" t="s">
        <v>2541</v>
      </c>
      <c r="J66" s="184" t="s">
        <v>112</v>
      </c>
      <c r="K66" s="184" t="s">
        <v>120</v>
      </c>
      <c r="L66" s="184" t="s">
        <v>117</v>
      </c>
      <c r="M66" s="184">
        <v>5.0</v>
      </c>
      <c r="N66" s="184" t="s">
        <v>122</v>
      </c>
      <c r="O66" s="184" t="s">
        <v>2597</v>
      </c>
      <c r="P66" s="184">
        <v>2.0</v>
      </c>
      <c r="Q66" s="184">
        <v>0.0</v>
      </c>
      <c r="R66" s="184" t="s">
        <v>121</v>
      </c>
      <c r="S66" s="262">
        <v>43746.0</v>
      </c>
      <c r="T66" s="105" t="s">
        <v>613</v>
      </c>
      <c r="U66" s="105"/>
      <c r="V66" s="184" t="s">
        <v>2162</v>
      </c>
      <c r="W66" s="184" t="s">
        <v>118</v>
      </c>
      <c r="X66" s="197" t="s">
        <v>176</v>
      </c>
      <c r="Y66" s="197" t="s">
        <v>150</v>
      </c>
      <c r="Z66" s="170"/>
      <c r="AA66" s="219">
        <v>43677.0</v>
      </c>
      <c r="AB66" s="219">
        <v>43684.0</v>
      </c>
      <c r="AC66" s="4"/>
      <c r="AD66" s="4"/>
      <c r="AE66" s="184"/>
      <c r="AF66" s="4"/>
      <c r="AG66" s="4"/>
      <c r="AH66" s="244" t="s">
        <v>2071</v>
      </c>
      <c r="AI66" s="244" t="s">
        <v>4495</v>
      </c>
      <c r="AJ66" s="184"/>
      <c r="AK66" s="184" t="s">
        <v>2157</v>
      </c>
      <c r="AL66" s="200">
        <f t="shared" si="2"/>
        <v>45</v>
      </c>
      <c r="AM66" s="201">
        <v>2019.0</v>
      </c>
    </row>
    <row r="67">
      <c r="A67" s="158" t="str">
        <f t="shared" si="1"/>
        <v/>
      </c>
      <c r="B67" s="236">
        <v>66.0</v>
      </c>
      <c r="C67" s="184" t="s">
        <v>4496</v>
      </c>
      <c r="D67" s="184">
        <f>IFERROR(VLOOKUP(E67,INFORMACION!E:F,2,0),"INGRESAR CENTRO DE COSTO A LA DERECHA")</f>
        <v>40</v>
      </c>
      <c r="E67" s="184" t="s">
        <v>1615</v>
      </c>
      <c r="F67" s="184" t="s">
        <v>2679</v>
      </c>
      <c r="G67" s="186" t="s">
        <v>3607</v>
      </c>
      <c r="H67" s="186">
        <v>20.0</v>
      </c>
      <c r="I67" s="186" t="s">
        <v>2541</v>
      </c>
      <c r="J67" s="184" t="s">
        <v>112</v>
      </c>
      <c r="K67" s="184" t="s">
        <v>120</v>
      </c>
      <c r="L67" s="184" t="s">
        <v>117</v>
      </c>
      <c r="M67" s="184" t="s">
        <v>2597</v>
      </c>
      <c r="N67" s="184"/>
      <c r="O67" s="184" t="s">
        <v>2597</v>
      </c>
      <c r="P67" s="184" t="s">
        <v>2597</v>
      </c>
      <c r="Q67" s="184" t="s">
        <v>2597</v>
      </c>
      <c r="R67" s="184"/>
      <c r="S67" s="218"/>
      <c r="T67" s="105" t="s">
        <v>1100</v>
      </c>
      <c r="U67" s="105"/>
      <c r="V67" s="184"/>
      <c r="W67" s="184"/>
      <c r="X67" s="197"/>
      <c r="Y67" s="197"/>
      <c r="Z67" s="170"/>
      <c r="AA67" s="219"/>
      <c r="AB67" s="219"/>
      <c r="AC67" s="4"/>
      <c r="AD67" s="4"/>
      <c r="AE67" s="184"/>
      <c r="AF67" s="4"/>
      <c r="AG67" s="184" t="s">
        <v>4497</v>
      </c>
      <c r="AH67" s="244"/>
      <c r="AI67" s="244" t="s">
        <v>4498</v>
      </c>
      <c r="AJ67" s="184"/>
      <c r="AK67" s="184"/>
      <c r="AL67" s="200" t="str">
        <f t="shared" si="2"/>
        <v/>
      </c>
      <c r="AM67" s="201">
        <v>2019.0</v>
      </c>
    </row>
    <row r="68">
      <c r="A68" s="158">
        <f t="shared" si="1"/>
        <v>19783791</v>
      </c>
      <c r="B68" s="242">
        <v>67.0</v>
      </c>
      <c r="C68" s="267" t="s">
        <v>4499</v>
      </c>
      <c r="D68" s="184">
        <f>IFERROR(VLOOKUP(E68,INFORMACION!E:F,2,0),"INGRESAR CENTRO DE COSTO A LA DERECHA")</f>
        <v>22</v>
      </c>
      <c r="E68" s="184" t="s">
        <v>2015</v>
      </c>
      <c r="F68" s="184" t="s">
        <v>3479</v>
      </c>
      <c r="G68" s="186" t="s">
        <v>3478</v>
      </c>
      <c r="H68" s="186">
        <v>13.0</v>
      </c>
      <c r="I68" s="186" t="s">
        <v>2541</v>
      </c>
      <c r="J68" s="184" t="s">
        <v>112</v>
      </c>
      <c r="K68" s="184" t="s">
        <v>125</v>
      </c>
      <c r="L68" s="184" t="s">
        <v>122</v>
      </c>
      <c r="M68" s="184" t="s">
        <v>2597</v>
      </c>
      <c r="N68" s="184" t="s">
        <v>116</v>
      </c>
      <c r="O68" s="184">
        <v>7.0</v>
      </c>
      <c r="P68" s="184">
        <v>2.0</v>
      </c>
      <c r="Q68" s="184">
        <v>1.0</v>
      </c>
      <c r="R68" s="184" t="s">
        <v>115</v>
      </c>
      <c r="S68" s="218">
        <v>43745.0</v>
      </c>
      <c r="T68" s="105"/>
      <c r="U68" s="105" t="s">
        <v>4500</v>
      </c>
      <c r="V68" s="184" t="s">
        <v>4501</v>
      </c>
      <c r="W68" s="184" t="s">
        <v>118</v>
      </c>
      <c r="X68" s="197" t="s">
        <v>164</v>
      </c>
      <c r="Y68" s="197" t="s">
        <v>138</v>
      </c>
      <c r="Z68" s="170"/>
      <c r="AA68" s="219">
        <v>43719.0</v>
      </c>
      <c r="AB68" s="219">
        <v>43730.0</v>
      </c>
      <c r="AC68" s="4"/>
      <c r="AD68" s="4"/>
      <c r="AE68" s="184"/>
      <c r="AF68" s="4"/>
      <c r="AG68" s="4"/>
      <c r="AH68" s="244" t="s">
        <v>2071</v>
      </c>
      <c r="AI68" s="244" t="s">
        <v>4502</v>
      </c>
      <c r="AJ68" s="184"/>
      <c r="AK68" s="184" t="s">
        <v>2163</v>
      </c>
      <c r="AL68" s="200">
        <f t="shared" si="2"/>
        <v>11</v>
      </c>
      <c r="AM68" s="201">
        <v>2019.0</v>
      </c>
    </row>
    <row r="69">
      <c r="A69" s="158">
        <f t="shared" si="1"/>
        <v>14165767</v>
      </c>
      <c r="B69" s="242">
        <v>68.0</v>
      </c>
      <c r="C69" s="267" t="s">
        <v>4503</v>
      </c>
      <c r="D69" s="184">
        <f>IFERROR(VLOOKUP(E69,INFORMACION!E:F,2,0),"INGRESAR CENTRO DE COSTO A LA DERECHA")</f>
        <v>22</v>
      </c>
      <c r="E69" s="184" t="s">
        <v>2961</v>
      </c>
      <c r="F69" s="184" t="s">
        <v>2650</v>
      </c>
      <c r="G69" s="186" t="s">
        <v>3985</v>
      </c>
      <c r="H69" s="186">
        <v>17.0</v>
      </c>
      <c r="I69" s="186" t="s">
        <v>2541</v>
      </c>
      <c r="J69" s="184" t="s">
        <v>112</v>
      </c>
      <c r="K69" s="184" t="s">
        <v>120</v>
      </c>
      <c r="L69" s="184" t="s">
        <v>117</v>
      </c>
      <c r="M69" s="184">
        <v>1.0</v>
      </c>
      <c r="N69" s="184" t="s">
        <v>122</v>
      </c>
      <c r="O69" s="184" t="s">
        <v>2597</v>
      </c>
      <c r="P69" s="184">
        <v>1.0</v>
      </c>
      <c r="Q69" s="184">
        <v>0.0</v>
      </c>
      <c r="R69" s="184" t="s">
        <v>121</v>
      </c>
      <c r="S69" s="218">
        <v>43740.0</v>
      </c>
      <c r="T69" s="105" t="s">
        <v>1315</v>
      </c>
      <c r="U69" s="105"/>
      <c r="V69" s="184" t="s">
        <v>3923</v>
      </c>
      <c r="W69" s="184" t="s">
        <v>118</v>
      </c>
      <c r="X69" s="197" t="s">
        <v>176</v>
      </c>
      <c r="Y69" s="197" t="s">
        <v>150</v>
      </c>
      <c r="Z69" s="170"/>
      <c r="AA69" s="219">
        <v>43682.0</v>
      </c>
      <c r="AB69" s="219">
        <v>43684.0</v>
      </c>
      <c r="AC69" s="4"/>
      <c r="AD69" s="4"/>
      <c r="AE69" s="184"/>
      <c r="AF69" s="4"/>
      <c r="AG69" s="4"/>
      <c r="AH69" s="244" t="s">
        <v>2071</v>
      </c>
      <c r="AI69" s="244" t="s">
        <v>4504</v>
      </c>
      <c r="AJ69" s="184"/>
      <c r="AK69" s="184" t="s">
        <v>2157</v>
      </c>
      <c r="AL69" s="200">
        <f t="shared" si="2"/>
        <v>41</v>
      </c>
      <c r="AM69" s="201">
        <v>2019.0</v>
      </c>
    </row>
    <row r="70">
      <c r="A70" s="158">
        <f t="shared" si="1"/>
        <v>15410304</v>
      </c>
      <c r="B70" s="242">
        <v>70.0</v>
      </c>
      <c r="C70" s="267" t="s">
        <v>4360</v>
      </c>
      <c r="D70" s="184">
        <f>IFERROR(VLOOKUP(E70,INFORMACION!E:F,2,0),"INGRESAR CENTRO DE COSTO A LA DERECHA")</f>
        <v>3</v>
      </c>
      <c r="E70" s="184" t="s">
        <v>2883</v>
      </c>
      <c r="F70" s="184" t="s">
        <v>2848</v>
      </c>
      <c r="G70" s="186" t="s">
        <v>2849</v>
      </c>
      <c r="H70" s="186">
        <v>13.0</v>
      </c>
      <c r="I70" s="186" t="s">
        <v>2541</v>
      </c>
      <c r="J70" s="184" t="s">
        <v>112</v>
      </c>
      <c r="K70" s="184" t="s">
        <v>114</v>
      </c>
      <c r="L70" s="184" t="s">
        <v>117</v>
      </c>
      <c r="M70" s="184" t="s">
        <v>2597</v>
      </c>
      <c r="N70" s="184" t="s">
        <v>116</v>
      </c>
      <c r="O70" s="184">
        <v>22.0</v>
      </c>
      <c r="P70" s="184">
        <v>2.0</v>
      </c>
      <c r="Q70" s="184">
        <v>1.0</v>
      </c>
      <c r="R70" s="184" t="s">
        <v>121</v>
      </c>
      <c r="S70" s="218">
        <v>43748.0</v>
      </c>
      <c r="T70" s="105"/>
      <c r="U70" s="105" t="s">
        <v>4505</v>
      </c>
      <c r="V70" s="184" t="s">
        <v>4506</v>
      </c>
      <c r="W70" s="184" t="s">
        <v>122</v>
      </c>
      <c r="X70" s="197"/>
      <c r="Y70" s="197"/>
      <c r="Z70" s="197"/>
      <c r="AA70" s="219">
        <v>43696.0</v>
      </c>
      <c r="AB70" s="219">
        <v>43703.0</v>
      </c>
      <c r="AC70" s="4"/>
      <c r="AD70" s="4"/>
      <c r="AE70" s="184"/>
      <c r="AF70" s="4"/>
      <c r="AG70" s="4"/>
      <c r="AH70" s="244" t="s">
        <v>2071</v>
      </c>
      <c r="AI70" s="244" t="s">
        <v>4507</v>
      </c>
      <c r="AJ70" s="184"/>
      <c r="AK70" s="184" t="s">
        <v>2163</v>
      </c>
      <c r="AL70" s="200">
        <f t="shared" si="2"/>
        <v>34</v>
      </c>
      <c r="AM70" s="201">
        <v>2019.0</v>
      </c>
    </row>
    <row r="71">
      <c r="A71" s="158">
        <f t="shared" si="1"/>
        <v>18278977</v>
      </c>
      <c r="B71" s="259">
        <v>71.0</v>
      </c>
      <c r="C71" s="267" t="s">
        <v>4508</v>
      </c>
      <c r="D71" s="184">
        <f>IFERROR(VLOOKUP(E71,INFORMACION!E:F,2,0),"INGRESAR CENTRO DE COSTO A LA DERECHA")</f>
        <v>55</v>
      </c>
      <c r="E71" s="184" t="s">
        <v>1830</v>
      </c>
      <c r="F71" s="184" t="s">
        <v>2609</v>
      </c>
      <c r="G71" s="186" t="s">
        <v>4509</v>
      </c>
      <c r="H71" s="186">
        <v>17.0</v>
      </c>
      <c r="I71" s="186" t="s">
        <v>2541</v>
      </c>
      <c r="J71" s="184" t="s">
        <v>112</v>
      </c>
      <c r="K71" s="184" t="s">
        <v>120</v>
      </c>
      <c r="L71" s="184" t="s">
        <v>117</v>
      </c>
      <c r="M71" s="184">
        <v>1.0</v>
      </c>
      <c r="N71" s="184" t="s">
        <v>122</v>
      </c>
      <c r="O71" s="184">
        <v>1.0</v>
      </c>
      <c r="P71" s="184">
        <v>1.0</v>
      </c>
      <c r="Q71" s="184">
        <v>0.0</v>
      </c>
      <c r="R71" s="184" t="s">
        <v>121</v>
      </c>
      <c r="S71" s="218">
        <v>43754.0</v>
      </c>
      <c r="T71" s="105" t="s">
        <v>924</v>
      </c>
      <c r="U71" s="105"/>
      <c r="V71" s="184" t="s">
        <v>2594</v>
      </c>
      <c r="W71" s="184" t="s">
        <v>122</v>
      </c>
      <c r="X71" s="197"/>
      <c r="Y71" s="197"/>
      <c r="Z71" s="170"/>
      <c r="AA71" s="219">
        <v>43715.0</v>
      </c>
      <c r="AB71" s="219">
        <v>43717.0</v>
      </c>
      <c r="AC71" s="4"/>
      <c r="AD71" s="4"/>
      <c r="AE71" s="184"/>
      <c r="AF71" s="4"/>
      <c r="AG71" s="4"/>
      <c r="AH71" s="244" t="s">
        <v>2071</v>
      </c>
      <c r="AI71" s="244" t="s">
        <v>4510</v>
      </c>
      <c r="AJ71" s="184"/>
      <c r="AK71" s="184" t="s">
        <v>2157</v>
      </c>
      <c r="AL71" s="200">
        <f t="shared" si="2"/>
        <v>28</v>
      </c>
      <c r="AM71" s="201">
        <v>2019.0</v>
      </c>
    </row>
    <row r="72">
      <c r="A72" s="158">
        <f t="shared" si="1"/>
        <v>11167270</v>
      </c>
      <c r="B72" s="236">
        <v>72.0</v>
      </c>
      <c r="C72" s="184" t="s">
        <v>4511</v>
      </c>
      <c r="D72" s="184">
        <f>IFERROR(VLOOKUP(E72,INFORMACION!E:F,2,0),"INGRESAR CENTRO DE COSTO A LA DERECHA")</f>
        <v>110</v>
      </c>
      <c r="E72" s="184" t="s">
        <v>3554</v>
      </c>
      <c r="F72" s="184" t="s">
        <v>2576</v>
      </c>
      <c r="G72" s="186" t="s">
        <v>1741</v>
      </c>
      <c r="H72" s="186">
        <v>21.0</v>
      </c>
      <c r="I72" s="186" t="s">
        <v>2541</v>
      </c>
      <c r="J72" s="184" t="s">
        <v>112</v>
      </c>
      <c r="K72" s="184" t="s">
        <v>127</v>
      </c>
      <c r="L72" s="184" t="s">
        <v>117</v>
      </c>
      <c r="M72" s="184">
        <v>3.0</v>
      </c>
      <c r="N72" s="184" t="s">
        <v>122</v>
      </c>
      <c r="O72" s="184" t="s">
        <v>2597</v>
      </c>
      <c r="P72" s="184">
        <v>2.0</v>
      </c>
      <c r="Q72" s="184">
        <v>0.0</v>
      </c>
      <c r="R72" s="184" t="s">
        <v>115</v>
      </c>
      <c r="S72" s="218">
        <v>43754.0</v>
      </c>
      <c r="T72" s="105" t="s">
        <v>1124</v>
      </c>
      <c r="U72" s="105"/>
      <c r="V72" s="184" t="s">
        <v>3953</v>
      </c>
      <c r="W72" s="184" t="s">
        <v>118</v>
      </c>
      <c r="X72" s="197" t="s">
        <v>176</v>
      </c>
      <c r="Y72" s="197"/>
      <c r="Z72" s="170"/>
      <c r="AA72" s="219">
        <v>43663.0</v>
      </c>
      <c r="AB72" s="219">
        <v>43670.0</v>
      </c>
      <c r="AC72" s="4"/>
      <c r="AD72" s="4"/>
      <c r="AE72" s="184"/>
      <c r="AF72" s="4"/>
      <c r="AG72" s="4"/>
      <c r="AH72" s="244" t="s">
        <v>2071</v>
      </c>
      <c r="AI72" s="244" t="s">
        <v>4512</v>
      </c>
      <c r="AJ72" s="184"/>
      <c r="AK72" s="184" t="s">
        <v>2157</v>
      </c>
      <c r="AL72" s="200">
        <f t="shared" si="2"/>
        <v>61</v>
      </c>
      <c r="AM72" s="201">
        <v>2019.0</v>
      </c>
    </row>
    <row r="73">
      <c r="A73" s="158">
        <f t="shared" si="1"/>
        <v>11047452</v>
      </c>
      <c r="B73" s="236">
        <v>73.0</v>
      </c>
      <c r="C73" s="184" t="s">
        <v>4513</v>
      </c>
      <c r="D73" s="184">
        <f>IFERROR(VLOOKUP(E73,INFORMACION!E:F,2,0),"INGRESAR CENTRO DE COSTO A LA DERECHA")</f>
        <v>3</v>
      </c>
      <c r="E73" s="184" t="s">
        <v>3095</v>
      </c>
      <c r="F73" s="184" t="s">
        <v>2606</v>
      </c>
      <c r="G73" s="186" t="s">
        <v>4514</v>
      </c>
      <c r="H73" s="186">
        <v>16.0</v>
      </c>
      <c r="I73" s="186" t="s">
        <v>2541</v>
      </c>
      <c r="J73" s="184" t="s">
        <v>112</v>
      </c>
      <c r="K73" s="184" t="s">
        <v>120</v>
      </c>
      <c r="L73" s="184" t="s">
        <v>117</v>
      </c>
      <c r="M73" s="184">
        <v>6.0</v>
      </c>
      <c r="N73" s="184" t="s">
        <v>122</v>
      </c>
      <c r="O73" s="184" t="s">
        <v>2597</v>
      </c>
      <c r="P73" s="184">
        <v>3.0</v>
      </c>
      <c r="Q73" s="184">
        <v>0.0</v>
      </c>
      <c r="R73" s="184" t="s">
        <v>121</v>
      </c>
      <c r="S73" s="218">
        <v>43755.0</v>
      </c>
      <c r="T73" s="105" t="s">
        <v>257</v>
      </c>
      <c r="U73" s="105"/>
      <c r="V73" s="184" t="s">
        <v>2662</v>
      </c>
      <c r="W73" s="184" t="s">
        <v>118</v>
      </c>
      <c r="X73" s="197" t="s">
        <v>176</v>
      </c>
      <c r="Y73" s="197" t="s">
        <v>164</v>
      </c>
      <c r="Z73" s="170"/>
      <c r="AA73" s="219">
        <v>43672.0</v>
      </c>
      <c r="AB73" s="219">
        <v>43679.0</v>
      </c>
      <c r="AC73" s="4"/>
      <c r="AD73" s="4"/>
      <c r="AE73" s="184"/>
      <c r="AF73" s="4"/>
      <c r="AG73" s="4"/>
      <c r="AH73" s="244" t="s">
        <v>2071</v>
      </c>
      <c r="AI73" s="244" t="s">
        <v>2597</v>
      </c>
      <c r="AJ73" s="184"/>
      <c r="AK73" s="184" t="s">
        <v>2157</v>
      </c>
      <c r="AL73" s="200">
        <f t="shared" si="2"/>
        <v>55</v>
      </c>
      <c r="AM73" s="201">
        <v>2019.0</v>
      </c>
    </row>
    <row r="74">
      <c r="A74" s="158">
        <f t="shared" si="1"/>
        <v>18118813</v>
      </c>
      <c r="B74" s="242">
        <v>74.0</v>
      </c>
      <c r="C74" s="267" t="s">
        <v>4515</v>
      </c>
      <c r="D74" s="184">
        <f>IFERROR(VLOOKUP(E74,INFORMACION!E:F,2,0),"INGRESAR CENTRO DE COSTO A LA DERECHA")</f>
        <v>3</v>
      </c>
      <c r="E74" s="184" t="s">
        <v>3095</v>
      </c>
      <c r="F74" s="184" t="s">
        <v>2606</v>
      </c>
      <c r="G74" s="186" t="s">
        <v>4514</v>
      </c>
      <c r="H74" s="186">
        <v>15.0</v>
      </c>
      <c r="I74" s="186" t="s">
        <v>2541</v>
      </c>
      <c r="J74" s="184" t="s">
        <v>112</v>
      </c>
      <c r="K74" s="184" t="s">
        <v>120</v>
      </c>
      <c r="L74" s="184" t="s">
        <v>117</v>
      </c>
      <c r="M74" s="184">
        <v>6.0</v>
      </c>
      <c r="N74" s="184" t="s">
        <v>122</v>
      </c>
      <c r="O74" s="184" t="s">
        <v>2597</v>
      </c>
      <c r="P74" s="184">
        <v>3.0</v>
      </c>
      <c r="Q74" s="184">
        <v>0.0</v>
      </c>
      <c r="R74" s="184" t="s">
        <v>121</v>
      </c>
      <c r="S74" s="218">
        <v>43773.0</v>
      </c>
      <c r="T74" s="105" t="s">
        <v>739</v>
      </c>
      <c r="U74" s="105"/>
      <c r="V74" s="184" t="s">
        <v>4516</v>
      </c>
      <c r="W74" s="184" t="s">
        <v>118</v>
      </c>
      <c r="X74" s="197" t="s">
        <v>176</v>
      </c>
      <c r="Y74" s="197"/>
      <c r="Z74" s="170"/>
      <c r="AA74" s="219">
        <v>43672.0</v>
      </c>
      <c r="AB74" s="219">
        <v>43679.0</v>
      </c>
      <c r="AC74" s="4"/>
      <c r="AD74" s="4"/>
      <c r="AE74" s="184"/>
      <c r="AF74" s="4"/>
      <c r="AG74" s="4"/>
      <c r="AH74" s="244" t="s">
        <v>2071</v>
      </c>
      <c r="AI74" s="244" t="s">
        <v>2597</v>
      </c>
      <c r="AJ74" s="184"/>
      <c r="AK74" s="184" t="s">
        <v>2157</v>
      </c>
      <c r="AL74" s="200">
        <f t="shared" si="2"/>
        <v>67</v>
      </c>
      <c r="AM74" s="201">
        <v>2019.0</v>
      </c>
    </row>
    <row r="75">
      <c r="A75" s="158">
        <f t="shared" si="1"/>
        <v>15639128</v>
      </c>
      <c r="B75" s="242">
        <v>75.0</v>
      </c>
      <c r="C75" s="267" t="s">
        <v>4517</v>
      </c>
      <c r="D75" s="184">
        <f>IFERROR(VLOOKUP(E75,INFORMACION!E:F,2,0),"INGRESAR CENTRO DE COSTO A LA DERECHA")</f>
        <v>3</v>
      </c>
      <c r="E75" s="184" t="s">
        <v>2495</v>
      </c>
      <c r="F75" s="184" t="s">
        <v>3389</v>
      </c>
      <c r="G75" s="186" t="s">
        <v>4518</v>
      </c>
      <c r="H75" s="186">
        <v>10.0</v>
      </c>
      <c r="I75" s="186" t="s">
        <v>2541</v>
      </c>
      <c r="J75" s="184" t="s">
        <v>112</v>
      </c>
      <c r="K75" s="184" t="s">
        <v>120</v>
      </c>
      <c r="L75" s="184" t="s">
        <v>117</v>
      </c>
      <c r="M75" s="184">
        <v>6.0</v>
      </c>
      <c r="N75" s="184" t="s">
        <v>122</v>
      </c>
      <c r="O75" s="184" t="s">
        <v>2597</v>
      </c>
      <c r="P75" s="184">
        <v>3.0</v>
      </c>
      <c r="Q75" s="184">
        <v>0.0</v>
      </c>
      <c r="R75" s="184" t="s">
        <v>121</v>
      </c>
      <c r="S75" s="218">
        <v>43781.0</v>
      </c>
      <c r="T75" s="105" t="s">
        <v>941</v>
      </c>
      <c r="U75" s="105"/>
      <c r="V75" s="184" t="s">
        <v>2483</v>
      </c>
      <c r="W75" s="184" t="s">
        <v>118</v>
      </c>
      <c r="X75" s="197" t="s">
        <v>174</v>
      </c>
      <c r="Y75" s="197"/>
      <c r="Z75" s="197"/>
      <c r="AA75" s="219">
        <v>43698.0</v>
      </c>
      <c r="AB75" s="219">
        <v>43705.0</v>
      </c>
      <c r="AC75" s="4"/>
      <c r="AD75" s="4"/>
      <c r="AE75" s="184"/>
      <c r="AF75" s="4"/>
      <c r="AG75" s="4"/>
      <c r="AH75" s="244" t="s">
        <v>2071</v>
      </c>
      <c r="AI75" s="244" t="s">
        <v>4519</v>
      </c>
      <c r="AJ75" s="184"/>
      <c r="AK75" s="184" t="s">
        <v>2157</v>
      </c>
      <c r="AL75" s="200">
        <f t="shared" si="2"/>
        <v>55</v>
      </c>
      <c r="AM75" s="201">
        <v>2019.0</v>
      </c>
    </row>
    <row r="76">
      <c r="A76" s="158">
        <f t="shared" si="1"/>
        <v>12523432</v>
      </c>
      <c r="B76" s="242">
        <v>76.0</v>
      </c>
      <c r="C76" s="267" t="s">
        <v>4520</v>
      </c>
      <c r="D76" s="184">
        <f>IFERROR(VLOOKUP(E76,INFORMACION!E:F,2,0),"INGRESAR CENTRO DE COSTO A LA DERECHA")</f>
        <v>60</v>
      </c>
      <c r="E76" s="184" t="s">
        <v>2937</v>
      </c>
      <c r="F76" s="184" t="s">
        <v>3260</v>
      </c>
      <c r="G76" s="186" t="s">
        <v>3261</v>
      </c>
      <c r="H76" s="186">
        <v>14.0</v>
      </c>
      <c r="I76" s="186" t="s">
        <v>2541</v>
      </c>
      <c r="J76" s="184" t="s">
        <v>112</v>
      </c>
      <c r="K76" s="184" t="s">
        <v>114</v>
      </c>
      <c r="L76" s="184" t="s">
        <v>117</v>
      </c>
      <c r="M76" s="184">
        <v>8.0</v>
      </c>
      <c r="N76" s="184" t="s">
        <v>116</v>
      </c>
      <c r="O76" s="184">
        <v>27.0</v>
      </c>
      <c r="P76" s="184">
        <v>1.0</v>
      </c>
      <c r="Q76" s="184">
        <v>0.0</v>
      </c>
      <c r="R76" s="184" t="s">
        <v>121</v>
      </c>
      <c r="S76" s="218">
        <v>43775.0</v>
      </c>
      <c r="T76" s="105"/>
      <c r="U76" s="105" t="s">
        <v>4521</v>
      </c>
      <c r="V76" s="184" t="s">
        <v>4522</v>
      </c>
      <c r="W76" s="184" t="s">
        <v>118</v>
      </c>
      <c r="X76" s="197" t="s">
        <v>138</v>
      </c>
      <c r="Y76" s="170"/>
      <c r="Z76" s="170"/>
      <c r="AA76" s="219">
        <v>43560.0</v>
      </c>
      <c r="AB76" s="219">
        <v>43567.0</v>
      </c>
      <c r="AC76" s="4"/>
      <c r="AD76" s="4"/>
      <c r="AE76" s="184"/>
      <c r="AF76" s="4"/>
      <c r="AG76" s="4"/>
      <c r="AH76" s="244" t="s">
        <v>2071</v>
      </c>
      <c r="AI76" s="244" t="s">
        <v>4523</v>
      </c>
      <c r="AJ76" s="184"/>
      <c r="AK76" s="184" t="s">
        <v>2163</v>
      </c>
      <c r="AL76" s="200">
        <f t="shared" si="2"/>
        <v>149</v>
      </c>
      <c r="AM76" s="201">
        <v>2019.0</v>
      </c>
    </row>
    <row r="77">
      <c r="A77" s="158">
        <f t="shared" si="1"/>
        <v>15994631</v>
      </c>
      <c r="B77" s="236">
        <v>77.0</v>
      </c>
      <c r="C77" s="184" t="s">
        <v>4524</v>
      </c>
      <c r="D77" s="184">
        <f>IFERROR(VLOOKUP(E77,INFORMACION!E:F,2,0),"INGRESAR CENTRO DE COSTO A LA DERECHA")</f>
        <v>3</v>
      </c>
      <c r="E77" s="184" t="s">
        <v>3624</v>
      </c>
      <c r="F77" s="184" t="s">
        <v>2977</v>
      </c>
      <c r="G77" s="186" t="s">
        <v>3701</v>
      </c>
      <c r="H77" s="186">
        <v>6.0</v>
      </c>
      <c r="I77" s="186" t="s">
        <v>2541</v>
      </c>
      <c r="J77" s="184" t="s">
        <v>112</v>
      </c>
      <c r="K77" s="184" t="s">
        <v>114</v>
      </c>
      <c r="L77" s="184" t="s">
        <v>117</v>
      </c>
      <c r="M77" s="184">
        <v>4.0</v>
      </c>
      <c r="N77" s="184" t="s">
        <v>122</v>
      </c>
      <c r="O77" s="184" t="s">
        <v>2597</v>
      </c>
      <c r="P77" s="184">
        <v>1.0</v>
      </c>
      <c r="Q77" s="184">
        <v>0.0</v>
      </c>
      <c r="R77" s="184" t="s">
        <v>115</v>
      </c>
      <c r="S77" s="218">
        <v>43801.0</v>
      </c>
      <c r="T77" s="105" t="s">
        <v>1355</v>
      </c>
      <c r="U77" s="105"/>
      <c r="V77" s="184" t="s">
        <v>3627</v>
      </c>
      <c r="W77" s="184" t="s">
        <v>118</v>
      </c>
      <c r="X77" s="197" t="s">
        <v>160</v>
      </c>
      <c r="Y77" s="170"/>
      <c r="Z77" s="170"/>
      <c r="AA77" s="219">
        <v>43733.0</v>
      </c>
      <c r="AB77" s="219">
        <v>43740.0</v>
      </c>
      <c r="AC77" s="4"/>
      <c r="AD77" s="4"/>
      <c r="AE77" s="184"/>
      <c r="AF77" s="4"/>
      <c r="AG77" s="4"/>
      <c r="AH77" s="244" t="s">
        <v>2071</v>
      </c>
      <c r="AI77" s="244" t="s">
        <v>4525</v>
      </c>
      <c r="AJ77" s="184"/>
      <c r="AK77" s="184" t="s">
        <v>1612</v>
      </c>
      <c r="AL77" s="200">
        <f t="shared" si="2"/>
        <v>44</v>
      </c>
      <c r="AM77" s="201">
        <v>2019.0</v>
      </c>
    </row>
    <row r="78">
      <c r="A78" s="158">
        <f t="shared" si="1"/>
        <v>11053738</v>
      </c>
      <c r="B78" s="236">
        <v>78.0</v>
      </c>
      <c r="C78" s="184" t="s">
        <v>4526</v>
      </c>
      <c r="D78" s="184">
        <f>IFERROR(VLOOKUP(E78,INFORMACION!E:F,2,0),"INGRESAR CENTRO DE COSTO A LA DERECHA")</f>
        <v>65</v>
      </c>
      <c r="E78" s="184" t="s">
        <v>1623</v>
      </c>
      <c r="F78" s="184" t="s">
        <v>2802</v>
      </c>
      <c r="G78" s="186" t="s">
        <v>4274</v>
      </c>
      <c r="H78" s="186">
        <v>17.0</v>
      </c>
      <c r="I78" s="186" t="s">
        <v>2541</v>
      </c>
      <c r="J78" s="184" t="s">
        <v>112</v>
      </c>
      <c r="K78" s="184" t="s">
        <v>125</v>
      </c>
      <c r="L78" s="184" t="s">
        <v>117</v>
      </c>
      <c r="M78" s="184">
        <v>5.0</v>
      </c>
      <c r="N78" s="184" t="s">
        <v>116</v>
      </c>
      <c r="O78" s="184">
        <v>6.0</v>
      </c>
      <c r="P78" s="184">
        <v>2.0</v>
      </c>
      <c r="Q78" s="184">
        <v>0.0</v>
      </c>
      <c r="R78" s="184" t="s">
        <v>121</v>
      </c>
      <c r="S78" s="218">
        <v>43780.0</v>
      </c>
      <c r="T78" s="105"/>
      <c r="U78" s="105" t="s">
        <v>4527</v>
      </c>
      <c r="V78" s="184" t="s">
        <v>4528</v>
      </c>
      <c r="W78" s="184" t="s">
        <v>122</v>
      </c>
      <c r="X78" s="197"/>
      <c r="Y78" s="170"/>
      <c r="Z78" s="170"/>
      <c r="AA78" s="219">
        <v>43731.0</v>
      </c>
      <c r="AB78" s="219">
        <v>43738.0</v>
      </c>
      <c r="AC78" s="4"/>
      <c r="AD78" s="4"/>
      <c r="AE78" s="184"/>
      <c r="AF78" s="4"/>
      <c r="AG78" s="4"/>
      <c r="AH78" s="244" t="s">
        <v>2071</v>
      </c>
      <c r="AI78" s="244" t="s">
        <v>4529</v>
      </c>
      <c r="AJ78" s="184"/>
      <c r="AK78" s="184" t="s">
        <v>2163</v>
      </c>
      <c r="AL78" s="200">
        <f t="shared" si="2"/>
        <v>31</v>
      </c>
      <c r="AM78" s="201">
        <v>2019.0</v>
      </c>
    </row>
    <row r="79">
      <c r="A79" s="158">
        <f t="shared" si="1"/>
        <v>17676254</v>
      </c>
      <c r="B79" s="242">
        <v>79.0</v>
      </c>
      <c r="C79" s="267" t="s">
        <v>4530</v>
      </c>
      <c r="D79" s="184">
        <f>IFERROR(VLOOKUP(E79,INFORMACION!E:F,2,0),"INGRESAR CENTRO DE COSTO A LA DERECHA")</f>
        <v>3</v>
      </c>
      <c r="E79" s="184" t="s">
        <v>2883</v>
      </c>
      <c r="F79" s="184" t="s">
        <v>2848</v>
      </c>
      <c r="G79" s="186" t="s">
        <v>4531</v>
      </c>
      <c r="H79" s="186">
        <v>13.0</v>
      </c>
      <c r="I79" s="186" t="s">
        <v>2541</v>
      </c>
      <c r="J79" s="184" t="s">
        <v>112</v>
      </c>
      <c r="K79" s="184" t="s">
        <v>114</v>
      </c>
      <c r="L79" s="184" t="s">
        <v>117</v>
      </c>
      <c r="M79" s="184" t="s">
        <v>2597</v>
      </c>
      <c r="N79" s="184" t="s">
        <v>116</v>
      </c>
      <c r="O79" s="184">
        <v>14.0</v>
      </c>
      <c r="P79" s="184">
        <v>2.0</v>
      </c>
      <c r="Q79" s="184">
        <v>0.0</v>
      </c>
      <c r="R79" s="184" t="s">
        <v>121</v>
      </c>
      <c r="S79" s="218">
        <v>43794.0</v>
      </c>
      <c r="T79" s="105"/>
      <c r="U79" s="105" t="s">
        <v>4532</v>
      </c>
      <c r="V79" s="184" t="s">
        <v>4533</v>
      </c>
      <c r="W79" s="184" t="s">
        <v>122</v>
      </c>
      <c r="X79" s="197"/>
      <c r="Y79" s="197"/>
      <c r="Z79" s="170"/>
      <c r="AA79" s="219">
        <v>43735.0</v>
      </c>
      <c r="AB79" s="219">
        <v>43742.0</v>
      </c>
      <c r="AC79" s="4"/>
      <c r="AD79" s="4"/>
      <c r="AE79" s="184"/>
      <c r="AF79" s="4"/>
      <c r="AG79" s="4"/>
      <c r="AH79" s="244" t="s">
        <v>2071</v>
      </c>
      <c r="AI79" s="244" t="s">
        <v>4534</v>
      </c>
      <c r="AJ79" s="184"/>
      <c r="AK79" s="184" t="s">
        <v>2163</v>
      </c>
      <c r="AL79" s="200">
        <f t="shared" si="2"/>
        <v>37</v>
      </c>
      <c r="AM79" s="201">
        <v>2019.0</v>
      </c>
    </row>
    <row r="80">
      <c r="A80" s="158">
        <f t="shared" si="1"/>
        <v>14003220</v>
      </c>
      <c r="B80" s="242">
        <v>80.0</v>
      </c>
      <c r="C80" s="267" t="s">
        <v>4535</v>
      </c>
      <c r="D80" s="184">
        <f>IFERROR(VLOOKUP(E80,INFORMACION!E:F,2,0),"INGRESAR CENTRO DE COSTO A LA DERECHA")</f>
        <v>15</v>
      </c>
      <c r="E80" s="184" t="s">
        <v>1643</v>
      </c>
      <c r="F80" s="184" t="s">
        <v>2774</v>
      </c>
      <c r="G80" s="186" t="s">
        <v>2895</v>
      </c>
      <c r="H80" s="186">
        <v>14.0</v>
      </c>
      <c r="I80" s="186" t="s">
        <v>2541</v>
      </c>
      <c r="J80" s="184" t="s">
        <v>112</v>
      </c>
      <c r="K80" s="184" t="s">
        <v>114</v>
      </c>
      <c r="L80" s="184" t="s">
        <v>117</v>
      </c>
      <c r="M80" s="184">
        <v>1.0</v>
      </c>
      <c r="N80" s="184" t="s">
        <v>122</v>
      </c>
      <c r="O80" s="184" t="s">
        <v>2597</v>
      </c>
      <c r="P80" s="184">
        <v>1.0</v>
      </c>
      <c r="Q80" s="184">
        <v>0.0</v>
      </c>
      <c r="R80" s="184" t="s">
        <v>121</v>
      </c>
      <c r="S80" s="218">
        <v>43745.0</v>
      </c>
      <c r="T80" s="105" t="s">
        <v>898</v>
      </c>
      <c r="U80" s="105"/>
      <c r="V80" s="184" t="s">
        <v>2776</v>
      </c>
      <c r="W80" s="184" t="s">
        <v>118</v>
      </c>
      <c r="X80" s="197" t="s">
        <v>176</v>
      </c>
      <c r="Y80" s="170"/>
      <c r="Z80" s="170"/>
      <c r="AA80" s="219">
        <v>43670.0</v>
      </c>
      <c r="AB80" s="219">
        <v>43678.0</v>
      </c>
      <c r="AC80" s="4"/>
      <c r="AD80" s="4"/>
      <c r="AE80" s="184"/>
      <c r="AF80" s="4"/>
      <c r="AG80" s="4"/>
      <c r="AH80" s="244" t="s">
        <v>2071</v>
      </c>
      <c r="AI80" s="244" t="s">
        <v>4536</v>
      </c>
      <c r="AJ80" s="184"/>
      <c r="AK80" s="184" t="s">
        <v>2157</v>
      </c>
      <c r="AL80" s="200">
        <f t="shared" si="2"/>
        <v>48</v>
      </c>
      <c r="AM80" s="201">
        <v>2019.0</v>
      </c>
    </row>
    <row r="81">
      <c r="A81" s="158">
        <f t="shared" si="1"/>
        <v>17034521</v>
      </c>
      <c r="B81" s="242">
        <v>81.0</v>
      </c>
      <c r="C81" s="267" t="s">
        <v>4537</v>
      </c>
      <c r="D81" s="184">
        <f>IFERROR(VLOOKUP(E81,INFORMACION!E:F,2,0),"INGRESAR CENTRO DE COSTO A LA DERECHA")</f>
        <v>40</v>
      </c>
      <c r="E81" s="184" t="s">
        <v>2886</v>
      </c>
      <c r="F81" s="184" t="s">
        <v>3002</v>
      </c>
      <c r="G81" s="186" t="s">
        <v>4538</v>
      </c>
      <c r="H81" s="186">
        <v>13.0</v>
      </c>
      <c r="I81" s="186" t="s">
        <v>2541</v>
      </c>
      <c r="J81" s="184" t="s">
        <v>112</v>
      </c>
      <c r="K81" s="184" t="s">
        <v>114</v>
      </c>
      <c r="L81" s="184" t="s">
        <v>117</v>
      </c>
      <c r="M81" s="184">
        <v>1.0</v>
      </c>
      <c r="N81" s="184" t="s">
        <v>116</v>
      </c>
      <c r="O81" s="184">
        <v>29.0</v>
      </c>
      <c r="P81" s="184">
        <v>5.0</v>
      </c>
      <c r="Q81" s="184">
        <v>2.0</v>
      </c>
      <c r="R81" s="184" t="s">
        <v>115</v>
      </c>
      <c r="S81" s="218">
        <v>43836.0</v>
      </c>
      <c r="T81" s="105"/>
      <c r="U81" s="105" t="s">
        <v>4539</v>
      </c>
      <c r="V81" s="184" t="s">
        <v>4540</v>
      </c>
      <c r="W81" s="184" t="s">
        <v>118</v>
      </c>
      <c r="X81" s="197" t="s">
        <v>138</v>
      </c>
      <c r="Y81" s="197" t="s">
        <v>154</v>
      </c>
      <c r="Z81" s="170"/>
      <c r="AA81" s="219">
        <v>43796.0</v>
      </c>
      <c r="AB81" s="219">
        <v>43805.0</v>
      </c>
      <c r="AC81" s="4"/>
      <c r="AD81" s="4"/>
      <c r="AE81" s="184"/>
      <c r="AF81" s="4"/>
      <c r="AG81" s="4"/>
      <c r="AH81" s="244" t="s">
        <v>2071</v>
      </c>
      <c r="AI81" s="244" t="s">
        <v>4541</v>
      </c>
      <c r="AJ81" s="184"/>
      <c r="AK81" s="184" t="s">
        <v>2163</v>
      </c>
      <c r="AL81" s="200">
        <f t="shared" si="2"/>
        <v>22</v>
      </c>
      <c r="AM81" s="201">
        <v>2019.0</v>
      </c>
    </row>
    <row r="82">
      <c r="A82" s="158">
        <f t="shared" si="1"/>
        <v>17254189</v>
      </c>
      <c r="B82" s="242">
        <v>82.0</v>
      </c>
      <c r="C82" s="267" t="s">
        <v>4542</v>
      </c>
      <c r="D82" s="184">
        <f>IFERROR(VLOOKUP(E82,INFORMACION!E:F,2,0),"INGRESAR CENTRO DE COSTO A LA DERECHA")</f>
        <v>120</v>
      </c>
      <c r="E82" s="184" t="s">
        <v>3000</v>
      </c>
      <c r="F82" s="184" t="s">
        <v>2170</v>
      </c>
      <c r="G82" s="186" t="s">
        <v>4543</v>
      </c>
      <c r="H82" s="186">
        <v>10.0</v>
      </c>
      <c r="I82" s="186" t="s">
        <v>2541</v>
      </c>
      <c r="J82" s="184" t="s">
        <v>112</v>
      </c>
      <c r="K82" s="184" t="s">
        <v>114</v>
      </c>
      <c r="L82" s="184" t="s">
        <v>122</v>
      </c>
      <c r="M82" s="184" t="s">
        <v>2597</v>
      </c>
      <c r="N82" s="184" t="s">
        <v>122</v>
      </c>
      <c r="O82" s="184">
        <v>23.0</v>
      </c>
      <c r="P82" s="184">
        <v>1.0</v>
      </c>
      <c r="Q82" s="184">
        <v>0.0</v>
      </c>
      <c r="R82" s="184" t="s">
        <v>115</v>
      </c>
      <c r="S82" s="218">
        <v>43805.0</v>
      </c>
      <c r="T82" s="105"/>
      <c r="U82" s="105" t="s">
        <v>4544</v>
      </c>
      <c r="V82" s="184" t="s">
        <v>2840</v>
      </c>
      <c r="W82" s="184" t="s">
        <v>122</v>
      </c>
      <c r="X82" s="197"/>
      <c r="Y82" s="170"/>
      <c r="Z82" s="170"/>
      <c r="AA82" s="219">
        <v>43773.0</v>
      </c>
      <c r="AB82" s="293">
        <v>43780.0</v>
      </c>
      <c r="AC82" s="4"/>
      <c r="AD82" s="4"/>
      <c r="AE82" s="184"/>
      <c r="AF82" s="4"/>
      <c r="AG82" s="4"/>
      <c r="AH82" s="244" t="s">
        <v>2071</v>
      </c>
      <c r="AI82" s="244" t="s">
        <v>4545</v>
      </c>
      <c r="AJ82" s="184"/>
      <c r="AK82" s="184" t="s">
        <v>2163</v>
      </c>
      <c r="AL82" s="200">
        <f t="shared" si="2"/>
        <v>20</v>
      </c>
      <c r="AM82" s="201">
        <v>2019.0</v>
      </c>
    </row>
    <row r="83">
      <c r="A83" s="158">
        <f t="shared" si="1"/>
        <v>17349172</v>
      </c>
      <c r="B83" s="259">
        <v>83.0</v>
      </c>
      <c r="C83" s="267" t="s">
        <v>4546</v>
      </c>
      <c r="D83" s="184">
        <f>IFERROR(VLOOKUP(E83,INFORMACION!E:F,2,0),"INGRESAR CENTRO DE COSTO A LA DERECHA")</f>
        <v>11</v>
      </c>
      <c r="E83" s="184" t="s">
        <v>2980</v>
      </c>
      <c r="F83" s="184" t="s">
        <v>4547</v>
      </c>
      <c r="G83" s="186" t="s">
        <v>4548</v>
      </c>
      <c r="H83" s="186">
        <v>10.0</v>
      </c>
      <c r="I83" s="186" t="s">
        <v>2541</v>
      </c>
      <c r="J83" s="184" t="s">
        <v>112</v>
      </c>
      <c r="K83" s="184" t="s">
        <v>114</v>
      </c>
      <c r="L83" s="184" t="s">
        <v>122</v>
      </c>
      <c r="M83" s="184" t="s">
        <v>2597</v>
      </c>
      <c r="N83" s="184" t="s">
        <v>116</v>
      </c>
      <c r="O83" s="184">
        <v>10.0</v>
      </c>
      <c r="P83" s="184">
        <v>2.0</v>
      </c>
      <c r="Q83" s="184">
        <v>0.0</v>
      </c>
      <c r="R83" s="184" t="s">
        <v>115</v>
      </c>
      <c r="S83" s="218">
        <v>43832.0</v>
      </c>
      <c r="T83" s="105"/>
      <c r="U83" s="105" t="s">
        <v>4549</v>
      </c>
      <c r="V83" s="184" t="s">
        <v>4550</v>
      </c>
      <c r="W83" s="184" t="s">
        <v>118</v>
      </c>
      <c r="X83" s="197" t="s">
        <v>138</v>
      </c>
      <c r="Y83" s="170"/>
      <c r="Z83" s="170"/>
      <c r="AA83" s="219">
        <v>43738.0</v>
      </c>
      <c r="AB83" s="219">
        <v>43745.0</v>
      </c>
      <c r="AC83" s="4"/>
      <c r="AD83" s="4"/>
      <c r="AE83" s="184"/>
      <c r="AF83" s="4"/>
      <c r="AG83" s="4"/>
      <c r="AH83" s="244" t="s">
        <v>2071</v>
      </c>
      <c r="AI83" s="244" t="s">
        <v>4551</v>
      </c>
      <c r="AJ83" s="184"/>
      <c r="AK83" s="184" t="s">
        <v>2163</v>
      </c>
      <c r="AL83" s="200">
        <f t="shared" si="2"/>
        <v>64</v>
      </c>
      <c r="AM83" s="201">
        <v>2019.0</v>
      </c>
    </row>
    <row r="84">
      <c r="A84" s="158">
        <f t="shared" si="1"/>
        <v>8775662</v>
      </c>
      <c r="B84" s="236">
        <v>84.0</v>
      </c>
      <c r="C84" s="184" t="s">
        <v>4546</v>
      </c>
      <c r="D84" s="184">
        <f>IFERROR(VLOOKUP(E84,INFORMACION!E:F,2,0),"INGRESAR CENTRO DE COSTO A LA DERECHA")</f>
        <v>11</v>
      </c>
      <c r="E84" s="184" t="s">
        <v>2980</v>
      </c>
      <c r="F84" s="184" t="s">
        <v>4547</v>
      </c>
      <c r="G84" s="186" t="s">
        <v>4548</v>
      </c>
      <c r="H84" s="186">
        <v>10.0</v>
      </c>
      <c r="I84" s="186" t="s">
        <v>2541</v>
      </c>
      <c r="J84" s="184" t="s">
        <v>112</v>
      </c>
      <c r="K84" s="184" t="s">
        <v>114</v>
      </c>
      <c r="L84" s="184" t="s">
        <v>122</v>
      </c>
      <c r="M84" s="184" t="s">
        <v>2597</v>
      </c>
      <c r="N84" s="184" t="s">
        <v>116</v>
      </c>
      <c r="O84" s="184">
        <v>10.0</v>
      </c>
      <c r="P84" s="184">
        <v>2.0</v>
      </c>
      <c r="Q84" s="184">
        <v>0.0</v>
      </c>
      <c r="R84" s="184" t="s">
        <v>115</v>
      </c>
      <c r="S84" s="218">
        <v>43832.0</v>
      </c>
      <c r="T84" s="105"/>
      <c r="U84" s="105" t="s">
        <v>4552</v>
      </c>
      <c r="V84" s="184" t="s">
        <v>4553</v>
      </c>
      <c r="W84" s="184" t="s">
        <v>118</v>
      </c>
      <c r="X84" s="197" t="s">
        <v>138</v>
      </c>
      <c r="Y84" s="197" t="s">
        <v>164</v>
      </c>
      <c r="Z84" s="170"/>
      <c r="AA84" s="219">
        <v>43738.0</v>
      </c>
      <c r="AB84" s="219">
        <v>43745.0</v>
      </c>
      <c r="AC84" s="4"/>
      <c r="AD84" s="4"/>
      <c r="AE84" s="184"/>
      <c r="AF84" s="4"/>
      <c r="AG84" s="4"/>
      <c r="AH84" s="244" t="s">
        <v>2071</v>
      </c>
      <c r="AI84" s="244" t="s">
        <v>4554</v>
      </c>
      <c r="AJ84" s="184"/>
      <c r="AK84" s="184" t="s">
        <v>2163</v>
      </c>
      <c r="AL84" s="200">
        <f t="shared" si="2"/>
        <v>64</v>
      </c>
      <c r="AM84" s="201">
        <v>2019.0</v>
      </c>
    </row>
    <row r="85">
      <c r="A85" s="158">
        <f t="shared" si="1"/>
        <v>16424884</v>
      </c>
      <c r="B85" s="236">
        <v>85.0</v>
      </c>
      <c r="C85" s="184" t="s">
        <v>4555</v>
      </c>
      <c r="D85" s="184">
        <f>IFERROR(VLOOKUP(E85,INFORMACION!E:F,2,0),"INGRESAR CENTRO DE COSTO A LA DERECHA")</f>
        <v>3</v>
      </c>
      <c r="E85" s="184" t="s">
        <v>2883</v>
      </c>
      <c r="F85" s="184" t="s">
        <v>2802</v>
      </c>
      <c r="G85" s="186" t="s">
        <v>4556</v>
      </c>
      <c r="H85" s="186">
        <v>17.0</v>
      </c>
      <c r="I85" s="186" t="s">
        <v>2541</v>
      </c>
      <c r="J85" s="184" t="s">
        <v>112</v>
      </c>
      <c r="K85" s="184" t="s">
        <v>125</v>
      </c>
      <c r="L85" s="184" t="s">
        <v>117</v>
      </c>
      <c r="M85" s="184">
        <v>1.0</v>
      </c>
      <c r="N85" s="184" t="s">
        <v>116</v>
      </c>
      <c r="O85" s="184">
        <v>10.0</v>
      </c>
      <c r="P85" s="184">
        <v>2.0</v>
      </c>
      <c r="Q85" s="184">
        <v>0.0</v>
      </c>
      <c r="R85" s="184" t="s">
        <v>121</v>
      </c>
      <c r="S85" s="218">
        <v>43801.0</v>
      </c>
      <c r="T85" s="105"/>
      <c r="U85" s="105" t="s">
        <v>4557</v>
      </c>
      <c r="V85" s="184" t="s">
        <v>4558</v>
      </c>
      <c r="W85" s="184" t="s">
        <v>118</v>
      </c>
      <c r="X85" s="197" t="s">
        <v>164</v>
      </c>
      <c r="Y85" s="170"/>
      <c r="Z85" s="170"/>
      <c r="AA85" s="219">
        <v>43735.0</v>
      </c>
      <c r="AB85" s="219">
        <v>43742.0</v>
      </c>
      <c r="AC85" s="4"/>
      <c r="AD85" s="4"/>
      <c r="AE85" s="184"/>
      <c r="AF85" s="4"/>
      <c r="AG85" s="4"/>
      <c r="AH85" s="244" t="s">
        <v>2071</v>
      </c>
      <c r="AI85" s="244" t="s">
        <v>4559</v>
      </c>
      <c r="AJ85" s="184"/>
      <c r="AK85" s="184" t="s">
        <v>2163</v>
      </c>
      <c r="AL85" s="200">
        <f t="shared" si="2"/>
        <v>42</v>
      </c>
      <c r="AM85" s="201">
        <v>2019.0</v>
      </c>
    </row>
    <row r="86">
      <c r="A86" s="158">
        <f t="shared" si="1"/>
        <v>18925942</v>
      </c>
      <c r="B86" s="242">
        <v>86.0</v>
      </c>
      <c r="C86" s="267" t="s">
        <v>4560</v>
      </c>
      <c r="D86" s="184">
        <f>IFERROR(VLOOKUP(E86,INFORMACION!E:F,2,0),"INGRESAR CENTRO DE COSTO A LA DERECHA")</f>
        <v>3</v>
      </c>
      <c r="E86" s="184" t="s">
        <v>2883</v>
      </c>
      <c r="F86" s="184" t="s">
        <v>2802</v>
      </c>
      <c r="G86" s="186" t="s">
        <v>1862</v>
      </c>
      <c r="H86" s="186">
        <v>17.0</v>
      </c>
      <c r="I86" s="186" t="s">
        <v>2541</v>
      </c>
      <c r="J86" s="184" t="s">
        <v>112</v>
      </c>
      <c r="K86" s="184" t="s">
        <v>125</v>
      </c>
      <c r="L86" s="184" t="s">
        <v>117</v>
      </c>
      <c r="M86" s="184">
        <v>1.0</v>
      </c>
      <c r="N86" s="184" t="s">
        <v>116</v>
      </c>
      <c r="O86" s="184">
        <v>4.0</v>
      </c>
      <c r="P86" s="184">
        <v>3.0</v>
      </c>
      <c r="Q86" s="184">
        <v>0.0</v>
      </c>
      <c r="R86" s="184" t="s">
        <v>121</v>
      </c>
      <c r="S86" s="218">
        <v>43801.0</v>
      </c>
      <c r="T86" s="105"/>
      <c r="U86" s="105" t="s">
        <v>4561</v>
      </c>
      <c r="V86" s="184" t="s">
        <v>4562</v>
      </c>
      <c r="W86" s="184" t="s">
        <v>118</v>
      </c>
      <c r="X86" s="197" t="s">
        <v>164</v>
      </c>
      <c r="Y86" s="197"/>
      <c r="Z86" s="170"/>
      <c r="AA86" s="219">
        <v>43735.0</v>
      </c>
      <c r="AB86" s="219">
        <v>43742.0</v>
      </c>
      <c r="AC86" s="4"/>
      <c r="AD86" s="4"/>
      <c r="AE86" s="184"/>
      <c r="AF86" s="4"/>
      <c r="AG86" s="4"/>
      <c r="AH86" s="244" t="s">
        <v>2071</v>
      </c>
      <c r="AI86" s="244" t="s">
        <v>4563</v>
      </c>
      <c r="AJ86" s="184"/>
      <c r="AK86" s="184" t="s">
        <v>2163</v>
      </c>
      <c r="AL86" s="200">
        <f t="shared" si="2"/>
        <v>42</v>
      </c>
      <c r="AM86" s="201">
        <v>2019.0</v>
      </c>
    </row>
    <row r="87">
      <c r="A87" s="158">
        <f t="shared" si="1"/>
        <v>18702008</v>
      </c>
      <c r="B87" s="242">
        <v>87.0</v>
      </c>
      <c r="C87" s="267" t="s">
        <v>4564</v>
      </c>
      <c r="D87" s="184">
        <f>IFERROR(VLOOKUP(E87,INFORMACION!E:F,2,0),"INGRESAR CENTRO DE COSTO A LA DERECHA")</f>
        <v>3</v>
      </c>
      <c r="E87" s="184" t="s">
        <v>2883</v>
      </c>
      <c r="F87" s="184" t="s">
        <v>3057</v>
      </c>
      <c r="G87" s="186" t="s">
        <v>3606</v>
      </c>
      <c r="H87" s="186">
        <v>14.0</v>
      </c>
      <c r="I87" s="186" t="s">
        <v>2541</v>
      </c>
      <c r="J87" s="184" t="s">
        <v>112</v>
      </c>
      <c r="K87" s="184" t="s">
        <v>125</v>
      </c>
      <c r="L87" s="184" t="s">
        <v>117</v>
      </c>
      <c r="M87" s="184">
        <v>3.0</v>
      </c>
      <c r="N87" s="184" t="s">
        <v>122</v>
      </c>
      <c r="O87" s="184" t="s">
        <v>2597</v>
      </c>
      <c r="P87" s="184">
        <v>1.0</v>
      </c>
      <c r="Q87" s="184">
        <v>0.0</v>
      </c>
      <c r="R87" s="184" t="s">
        <v>121</v>
      </c>
      <c r="S87" s="218">
        <v>43832.0</v>
      </c>
      <c r="T87" s="105" t="s">
        <v>680</v>
      </c>
      <c r="U87" s="105"/>
      <c r="V87" s="184" t="s">
        <v>2990</v>
      </c>
      <c r="W87" s="184" t="s">
        <v>122</v>
      </c>
      <c r="X87" s="197"/>
      <c r="Y87" s="197"/>
      <c r="Z87" s="197"/>
      <c r="AA87" s="219">
        <v>43783.0</v>
      </c>
      <c r="AB87" s="219">
        <v>43790.0</v>
      </c>
      <c r="AC87" s="4"/>
      <c r="AD87" s="4"/>
      <c r="AE87" s="184"/>
      <c r="AF87" s="4"/>
      <c r="AG87" s="4"/>
      <c r="AH87" s="244" t="s">
        <v>2071</v>
      </c>
      <c r="AI87" s="244" t="s">
        <v>4565</v>
      </c>
      <c r="AJ87" s="184"/>
      <c r="AK87" s="184" t="s">
        <v>2157</v>
      </c>
      <c r="AL87" s="200">
        <f t="shared" si="2"/>
        <v>31</v>
      </c>
      <c r="AM87" s="201">
        <v>2019.0</v>
      </c>
    </row>
    <row r="88">
      <c r="A88" s="158">
        <f t="shared" si="1"/>
        <v>9589121</v>
      </c>
      <c r="B88" s="242">
        <v>88.0</v>
      </c>
      <c r="C88" s="267" t="s">
        <v>4566</v>
      </c>
      <c r="D88" s="184">
        <f>IFERROR(VLOOKUP(E88,INFORMACION!E:F,2,0),"INGRESAR CENTRO DE COSTO A LA DERECHA")</f>
        <v>40</v>
      </c>
      <c r="E88" s="184" t="s">
        <v>4315</v>
      </c>
      <c r="F88" s="184" t="s">
        <v>2094</v>
      </c>
      <c r="G88" s="186" t="s">
        <v>4400</v>
      </c>
      <c r="H88" s="186">
        <v>10.0</v>
      </c>
      <c r="I88" s="186" t="s">
        <v>2541</v>
      </c>
      <c r="J88" s="184" t="s">
        <v>112</v>
      </c>
      <c r="K88" s="184" t="s">
        <v>114</v>
      </c>
      <c r="L88" s="184" t="s">
        <v>117</v>
      </c>
      <c r="M88" s="184">
        <v>11.0</v>
      </c>
      <c r="N88" s="184" t="s">
        <v>122</v>
      </c>
      <c r="O88" s="184" t="s">
        <v>2597</v>
      </c>
      <c r="P88" s="184">
        <v>2.0</v>
      </c>
      <c r="Q88" s="184">
        <v>0.0</v>
      </c>
      <c r="R88" s="184" t="s">
        <v>121</v>
      </c>
      <c r="S88" s="218">
        <v>43831.0</v>
      </c>
      <c r="T88" s="105" t="s">
        <v>1337</v>
      </c>
      <c r="U88" s="105"/>
      <c r="V88" s="184" t="s">
        <v>4567</v>
      </c>
      <c r="W88" s="184" t="s">
        <v>118</v>
      </c>
      <c r="X88" s="197" t="s">
        <v>166</v>
      </c>
      <c r="Y88" s="197"/>
      <c r="Z88" s="170"/>
      <c r="AA88" s="219">
        <v>43740.0</v>
      </c>
      <c r="AB88" s="219">
        <v>43747.0</v>
      </c>
      <c r="AC88" s="4"/>
      <c r="AD88" s="4"/>
      <c r="AE88" s="184"/>
      <c r="AF88" s="4"/>
      <c r="AG88" s="4"/>
      <c r="AH88" s="244" t="s">
        <v>2071</v>
      </c>
      <c r="AI88" s="244" t="s">
        <v>4568</v>
      </c>
      <c r="AJ88" s="184"/>
      <c r="AK88" s="184" t="s">
        <v>2157</v>
      </c>
      <c r="AL88" s="200">
        <f t="shared" si="2"/>
        <v>61</v>
      </c>
      <c r="AM88" s="201">
        <v>2019.0</v>
      </c>
    </row>
    <row r="89">
      <c r="A89" s="158">
        <f t="shared" si="1"/>
        <v>20198160</v>
      </c>
      <c r="B89" s="242">
        <v>89.0</v>
      </c>
      <c r="C89" s="267" t="s">
        <v>4569</v>
      </c>
      <c r="D89" s="184">
        <f>IFERROR(VLOOKUP(E89,INFORMACION!E:F,2,0),"INGRESAR CENTRO DE COSTO A LA DERECHA")</f>
        <v>65</v>
      </c>
      <c r="E89" s="184" t="s">
        <v>1623</v>
      </c>
      <c r="F89" s="184" t="s">
        <v>2043</v>
      </c>
      <c r="G89" s="186" t="s">
        <v>1824</v>
      </c>
      <c r="H89" s="186">
        <v>20.0</v>
      </c>
      <c r="I89" s="186" t="s">
        <v>2541</v>
      </c>
      <c r="J89" s="184" t="s">
        <v>112</v>
      </c>
      <c r="K89" s="184" t="s">
        <v>120</v>
      </c>
      <c r="L89" s="184" t="s">
        <v>117</v>
      </c>
      <c r="M89" s="184">
        <v>1.0</v>
      </c>
      <c r="N89" s="184" t="s">
        <v>116</v>
      </c>
      <c r="O89" s="184">
        <v>15.0</v>
      </c>
      <c r="P89" s="184">
        <v>2.0</v>
      </c>
      <c r="Q89" s="184">
        <v>1.0</v>
      </c>
      <c r="R89" s="184" t="s">
        <v>115</v>
      </c>
      <c r="S89" s="218">
        <v>43815.0</v>
      </c>
      <c r="T89" s="105"/>
      <c r="U89" s="105" t="s">
        <v>4570</v>
      </c>
      <c r="V89" s="184" t="s">
        <v>4571</v>
      </c>
      <c r="W89" s="184" t="s">
        <v>118</v>
      </c>
      <c r="X89" s="197" t="s">
        <v>176</v>
      </c>
      <c r="Y89" s="170"/>
      <c r="Z89" s="170"/>
      <c r="AA89" s="219">
        <v>43775.0</v>
      </c>
      <c r="AB89" s="219">
        <v>43782.0</v>
      </c>
      <c r="AC89" s="4"/>
      <c r="AD89" s="4"/>
      <c r="AE89" s="184"/>
      <c r="AF89" s="4"/>
      <c r="AG89" s="4"/>
      <c r="AH89" s="244" t="s">
        <v>2071</v>
      </c>
      <c r="AI89" s="244" t="s">
        <v>4572</v>
      </c>
      <c r="AJ89" s="184"/>
      <c r="AK89" s="184" t="s">
        <v>2163</v>
      </c>
      <c r="AL89" s="200">
        <f t="shared" si="2"/>
        <v>24</v>
      </c>
      <c r="AM89" s="201">
        <v>2019.0</v>
      </c>
    </row>
    <row r="90">
      <c r="A90" s="158">
        <f t="shared" si="1"/>
        <v>12497530</v>
      </c>
      <c r="B90" s="259">
        <v>90.0</v>
      </c>
      <c r="C90" s="267" t="s">
        <v>4573</v>
      </c>
      <c r="D90" s="184">
        <f>IFERROR(VLOOKUP(E90,INFORMACION!E:F,2,0),"INGRESAR CENTRO DE COSTO A LA DERECHA")</f>
        <v>3</v>
      </c>
      <c r="E90" s="184" t="s">
        <v>2495</v>
      </c>
      <c r="F90" s="184" t="s">
        <v>2977</v>
      </c>
      <c r="G90" s="186" t="s">
        <v>4574</v>
      </c>
      <c r="H90" s="186">
        <v>6.0</v>
      </c>
      <c r="I90" s="186" t="s">
        <v>2541</v>
      </c>
      <c r="J90" s="184" t="s">
        <v>112</v>
      </c>
      <c r="K90" s="184" t="s">
        <v>114</v>
      </c>
      <c r="L90" s="184" t="s">
        <v>122</v>
      </c>
      <c r="M90" s="184">
        <v>46.0</v>
      </c>
      <c r="N90" s="184" t="s">
        <v>122</v>
      </c>
      <c r="O90" s="184" t="s">
        <v>2597</v>
      </c>
      <c r="P90" s="184">
        <v>3.0</v>
      </c>
      <c r="Q90" s="184">
        <v>0.0</v>
      </c>
      <c r="R90" s="184" t="s">
        <v>115</v>
      </c>
      <c r="S90" s="218">
        <v>43816.0</v>
      </c>
      <c r="T90" s="105"/>
      <c r="U90" s="105" t="s">
        <v>4575</v>
      </c>
      <c r="V90" s="184" t="s">
        <v>4576</v>
      </c>
      <c r="W90" s="184" t="s">
        <v>122</v>
      </c>
      <c r="X90" s="197"/>
      <c r="Y90" s="197"/>
      <c r="Z90" s="197"/>
      <c r="AA90" s="219">
        <v>43742.0</v>
      </c>
      <c r="AB90" s="219">
        <v>43749.0</v>
      </c>
      <c r="AC90" s="4"/>
      <c r="AD90" s="4"/>
      <c r="AE90" s="184"/>
      <c r="AF90" s="4"/>
      <c r="AG90" s="4"/>
      <c r="AH90" s="244" t="s">
        <v>2071</v>
      </c>
      <c r="AI90" s="244" t="s">
        <v>4214</v>
      </c>
      <c r="AJ90" s="184"/>
      <c r="AK90" s="184" t="s">
        <v>2163</v>
      </c>
      <c r="AL90" s="200">
        <f t="shared" si="2"/>
        <v>48</v>
      </c>
      <c r="AM90" s="201">
        <v>2019.0</v>
      </c>
    </row>
    <row r="91">
      <c r="A91" s="158">
        <f t="shared" si="1"/>
        <v>14541363</v>
      </c>
      <c r="B91" s="236">
        <v>91.0</v>
      </c>
      <c r="C91" s="184" t="s">
        <v>4577</v>
      </c>
      <c r="D91" s="184">
        <f>IFERROR(VLOOKUP(E91,INFORMACION!E:F,2,0),"INGRESAR CENTRO DE COSTO A LA DERECHA")</f>
        <v>15</v>
      </c>
      <c r="E91" s="184" t="s">
        <v>2195</v>
      </c>
      <c r="F91" s="184" t="s">
        <v>2710</v>
      </c>
      <c r="G91" s="186" t="s">
        <v>4321</v>
      </c>
      <c r="H91" s="186">
        <v>10.0</v>
      </c>
      <c r="I91" s="186" t="s">
        <v>2541</v>
      </c>
      <c r="J91" s="184" t="s">
        <v>112</v>
      </c>
      <c r="K91" s="184" t="s">
        <v>114</v>
      </c>
      <c r="L91" s="184" t="s">
        <v>117</v>
      </c>
      <c r="M91" s="184" t="s">
        <v>2597</v>
      </c>
      <c r="N91" s="184" t="s">
        <v>116</v>
      </c>
      <c r="O91" s="184">
        <v>4.0</v>
      </c>
      <c r="P91" s="184">
        <v>1.0</v>
      </c>
      <c r="Q91" s="184">
        <v>0.0</v>
      </c>
      <c r="R91" s="184" t="s">
        <v>115</v>
      </c>
      <c r="S91" s="218">
        <v>43843.0</v>
      </c>
      <c r="T91" s="105"/>
      <c r="U91" s="105" t="s">
        <v>4578</v>
      </c>
      <c r="V91" s="184" t="s">
        <v>4579</v>
      </c>
      <c r="W91" s="184" t="s">
        <v>118</v>
      </c>
      <c r="X91" s="197" t="s">
        <v>138</v>
      </c>
      <c r="Y91" s="197" t="s">
        <v>166</v>
      </c>
      <c r="Z91" s="170"/>
      <c r="AA91" s="219">
        <v>43782.0</v>
      </c>
      <c r="AB91" s="219">
        <v>43789.0</v>
      </c>
      <c r="AC91" s="4"/>
      <c r="AD91" s="4"/>
      <c r="AE91" s="184"/>
      <c r="AF91" s="4"/>
      <c r="AG91" s="4"/>
      <c r="AH91" s="244" t="s">
        <v>2071</v>
      </c>
      <c r="AI91" s="244" t="s">
        <v>4580</v>
      </c>
      <c r="AJ91" s="184"/>
      <c r="AK91" s="184" t="s">
        <v>2163</v>
      </c>
      <c r="AL91" s="200">
        <f t="shared" si="2"/>
        <v>39</v>
      </c>
      <c r="AM91" s="201">
        <v>2019.0</v>
      </c>
    </row>
    <row r="92">
      <c r="A92" s="158">
        <f t="shared" si="1"/>
        <v>19584010</v>
      </c>
      <c r="B92" s="236">
        <v>92.0</v>
      </c>
      <c r="C92" s="184" t="s">
        <v>4581</v>
      </c>
      <c r="D92" s="184">
        <f>IFERROR(VLOOKUP(E92,INFORMACION!E:F,2,0),"INGRESAR CENTRO DE COSTO A LA DERECHA")</f>
        <v>50</v>
      </c>
      <c r="E92" s="184" t="s">
        <v>3081</v>
      </c>
      <c r="F92" s="184" t="s">
        <v>1915</v>
      </c>
      <c r="G92" s="186" t="s">
        <v>1916</v>
      </c>
      <c r="H92" s="186">
        <v>20.0</v>
      </c>
      <c r="I92" s="186" t="s">
        <v>2541</v>
      </c>
      <c r="J92" s="184" t="s">
        <v>112</v>
      </c>
      <c r="K92" s="184" t="s">
        <v>125</v>
      </c>
      <c r="L92" s="184" t="s">
        <v>117</v>
      </c>
      <c r="M92" s="184">
        <v>1.0</v>
      </c>
      <c r="N92" s="184" t="s">
        <v>116</v>
      </c>
      <c r="O92" s="184">
        <v>11.0</v>
      </c>
      <c r="P92" s="184">
        <v>1.0</v>
      </c>
      <c r="Q92" s="184">
        <v>0.0</v>
      </c>
      <c r="R92" s="184" t="s">
        <v>121</v>
      </c>
      <c r="S92" s="218">
        <v>43892.0</v>
      </c>
      <c r="T92" s="105"/>
      <c r="U92" s="105" t="s">
        <v>4582</v>
      </c>
      <c r="V92" s="184" t="s">
        <v>4583</v>
      </c>
      <c r="W92" s="184" t="s">
        <v>122</v>
      </c>
      <c r="X92" s="197"/>
      <c r="Y92" s="170"/>
      <c r="Z92" s="170"/>
      <c r="AA92" s="219">
        <v>43791.0</v>
      </c>
      <c r="AB92" s="219">
        <v>43798.0</v>
      </c>
      <c r="AC92" s="4"/>
      <c r="AD92" s="4"/>
      <c r="AE92" s="184"/>
      <c r="AF92" s="4"/>
      <c r="AG92" s="4"/>
      <c r="AH92" s="244" t="s">
        <v>2071</v>
      </c>
      <c r="AI92" s="244" t="s">
        <v>4584</v>
      </c>
      <c r="AJ92" s="184"/>
      <c r="AK92" s="184" t="s">
        <v>2163</v>
      </c>
      <c r="AL92" s="200">
        <f t="shared" si="2"/>
        <v>67</v>
      </c>
      <c r="AM92" s="201">
        <v>2019.0</v>
      </c>
    </row>
    <row r="93">
      <c r="A93" s="158">
        <f t="shared" si="1"/>
        <v>13041780</v>
      </c>
      <c r="B93" s="242">
        <v>93.0</v>
      </c>
      <c r="C93" s="267" t="s">
        <v>4585</v>
      </c>
      <c r="D93" s="184">
        <f>IFERROR(VLOOKUP(E93,INFORMACION!E:F,2,0),"INGRESAR CENTRO DE COSTO A LA DERECHA")</f>
        <v>50</v>
      </c>
      <c r="E93" s="184" t="s">
        <v>3081</v>
      </c>
      <c r="F93" s="184" t="s">
        <v>2576</v>
      </c>
      <c r="G93" s="186" t="s">
        <v>1741</v>
      </c>
      <c r="H93" s="186">
        <v>21.0</v>
      </c>
      <c r="I93" s="186" t="s">
        <v>2541</v>
      </c>
      <c r="J93" s="184" t="s">
        <v>112</v>
      </c>
      <c r="K93" s="184" t="s">
        <v>127</v>
      </c>
      <c r="L93" s="184" t="s">
        <v>117</v>
      </c>
      <c r="M93" s="184">
        <v>0.0</v>
      </c>
      <c r="N93" s="184" t="s">
        <v>116</v>
      </c>
      <c r="O93" s="184">
        <v>13.0</v>
      </c>
      <c r="P93" s="184">
        <v>2.0</v>
      </c>
      <c r="Q93" s="184">
        <v>0.0</v>
      </c>
      <c r="R93" s="184" t="s">
        <v>115</v>
      </c>
      <c r="S93" s="218">
        <v>43892.0</v>
      </c>
      <c r="T93" s="105"/>
      <c r="U93" s="105" t="s">
        <v>4586</v>
      </c>
      <c r="V93" s="184" t="s">
        <v>4587</v>
      </c>
      <c r="W93" s="184" t="s">
        <v>118</v>
      </c>
      <c r="X93" s="197" t="s">
        <v>138</v>
      </c>
      <c r="Y93" s="170"/>
      <c r="Z93" s="170"/>
      <c r="AA93" s="219">
        <v>43791.0</v>
      </c>
      <c r="AB93" s="219">
        <v>43798.0</v>
      </c>
      <c r="AC93" s="4"/>
      <c r="AD93" s="4"/>
      <c r="AE93" s="184"/>
      <c r="AF93" s="4"/>
      <c r="AG93" s="4"/>
      <c r="AH93" s="244" t="s">
        <v>2071</v>
      </c>
      <c r="AI93" s="244" t="s">
        <v>4588</v>
      </c>
      <c r="AJ93" s="184"/>
      <c r="AK93" s="184" t="s">
        <v>2163</v>
      </c>
      <c r="AL93" s="200">
        <f t="shared" si="2"/>
        <v>67</v>
      </c>
      <c r="AM93" s="201">
        <v>2019.0</v>
      </c>
    </row>
    <row r="94">
      <c r="A94" s="158">
        <f t="shared" si="1"/>
        <v>18665923</v>
      </c>
      <c r="B94" s="242">
        <v>94.0</v>
      </c>
      <c r="C94" s="267" t="s">
        <v>4589</v>
      </c>
      <c r="D94" s="184">
        <f>IFERROR(VLOOKUP(E94,INFORMACION!E:F,2,0),"INGRESAR CENTRO DE COSTO A LA DERECHA")</f>
        <v>120</v>
      </c>
      <c r="E94" s="184" t="s">
        <v>3800</v>
      </c>
      <c r="F94" s="184" t="s">
        <v>3002</v>
      </c>
      <c r="G94" s="186" t="s">
        <v>4590</v>
      </c>
      <c r="H94" s="186">
        <v>13.0</v>
      </c>
      <c r="I94" s="186" t="s">
        <v>2541</v>
      </c>
      <c r="J94" s="184" t="s">
        <v>112</v>
      </c>
      <c r="K94" s="184" t="s">
        <v>114</v>
      </c>
      <c r="L94" s="184" t="s">
        <v>117</v>
      </c>
      <c r="M94" s="184">
        <v>1.0</v>
      </c>
      <c r="N94" s="184" t="s">
        <v>116</v>
      </c>
      <c r="O94" s="184">
        <v>51.0</v>
      </c>
      <c r="P94" s="184">
        <v>4.0</v>
      </c>
      <c r="Q94" s="184">
        <v>1.0</v>
      </c>
      <c r="R94" s="184" t="s">
        <v>121</v>
      </c>
      <c r="S94" s="218">
        <v>43892.0</v>
      </c>
      <c r="T94" s="105"/>
      <c r="U94" s="105" t="s">
        <v>4591</v>
      </c>
      <c r="V94" s="184" t="s">
        <v>4592</v>
      </c>
      <c r="W94" s="184" t="s">
        <v>118</v>
      </c>
      <c r="X94" s="197" t="s">
        <v>154</v>
      </c>
      <c r="Y94" s="170"/>
      <c r="Z94" s="170"/>
      <c r="AA94" s="219">
        <v>43812.0</v>
      </c>
      <c r="AB94" s="219">
        <v>43819.0</v>
      </c>
      <c r="AC94" s="4"/>
      <c r="AD94" s="4"/>
      <c r="AE94" s="184"/>
      <c r="AF94" s="4"/>
      <c r="AG94" s="4"/>
      <c r="AH94" s="244" t="s">
        <v>2071</v>
      </c>
      <c r="AI94" s="244" t="s">
        <v>4593</v>
      </c>
      <c r="AJ94" s="184"/>
      <c r="AK94" s="184" t="s">
        <v>2163</v>
      </c>
      <c r="AL94" s="200">
        <f t="shared" si="2"/>
        <v>52</v>
      </c>
      <c r="AM94" s="201">
        <v>2019.0</v>
      </c>
    </row>
    <row r="95">
      <c r="A95" s="158">
        <f t="shared" si="1"/>
        <v>18991732</v>
      </c>
      <c r="B95" s="242">
        <v>95.0</v>
      </c>
      <c r="C95" s="267" t="s">
        <v>4594</v>
      </c>
      <c r="D95" s="184">
        <f>IFERROR(VLOOKUP(E95,INFORMACION!E:F,2,0),"INGRESAR CENTRO DE COSTO A LA DERECHA")</f>
        <v>3</v>
      </c>
      <c r="E95" s="184" t="s">
        <v>3049</v>
      </c>
      <c r="F95" s="184" t="s">
        <v>4595</v>
      </c>
      <c r="G95" s="186" t="s">
        <v>4596</v>
      </c>
      <c r="H95" s="186">
        <v>10.0</v>
      </c>
      <c r="I95" s="186" t="s">
        <v>2541</v>
      </c>
      <c r="J95" s="184" t="s">
        <v>112</v>
      </c>
      <c r="K95" s="184" t="s">
        <v>114</v>
      </c>
      <c r="L95" s="184" t="s">
        <v>122</v>
      </c>
      <c r="M95" s="184">
        <v>0.0</v>
      </c>
      <c r="N95" s="184" t="s">
        <v>116</v>
      </c>
      <c r="O95" s="184">
        <v>2.0</v>
      </c>
      <c r="P95" s="184">
        <v>2.0</v>
      </c>
      <c r="Q95" s="184">
        <v>0.0</v>
      </c>
      <c r="R95" s="184" t="s">
        <v>115</v>
      </c>
      <c r="S95" s="218">
        <v>43900.0</v>
      </c>
      <c r="T95" s="105"/>
      <c r="U95" s="105" t="s">
        <v>4597</v>
      </c>
      <c r="V95" s="184" t="s">
        <v>4598</v>
      </c>
      <c r="W95" s="184" t="s">
        <v>118</v>
      </c>
      <c r="X95" s="197" t="s">
        <v>138</v>
      </c>
      <c r="Y95" s="170"/>
      <c r="Z95" s="170"/>
      <c r="AA95" s="219">
        <v>43889.0</v>
      </c>
      <c r="AB95" s="219">
        <v>43892.0</v>
      </c>
      <c r="AC95" s="4"/>
      <c r="AD95" s="4"/>
      <c r="AE95" s="184"/>
      <c r="AF95" s="4"/>
      <c r="AG95" s="4"/>
      <c r="AH95" s="244" t="s">
        <v>2071</v>
      </c>
      <c r="AI95" s="244" t="s">
        <v>2597</v>
      </c>
      <c r="AJ95" s="184"/>
      <c r="AK95" s="184" t="s">
        <v>1612</v>
      </c>
      <c r="AL95" s="200">
        <f t="shared" si="2"/>
        <v>7</v>
      </c>
      <c r="AM95" s="201">
        <v>2019.0</v>
      </c>
    </row>
    <row r="96">
      <c r="A96" s="158">
        <f t="shared" si="1"/>
        <v>18204469</v>
      </c>
      <c r="B96" s="236">
        <v>96.0</v>
      </c>
      <c r="C96" s="184" t="s">
        <v>4599</v>
      </c>
      <c r="D96" s="184">
        <f>IFERROR(VLOOKUP(E96,INFORMACION!E:F,2,0),"INGRESAR CENTRO DE COSTO A LA DERECHA")</f>
        <v>3</v>
      </c>
      <c r="E96" s="184" t="s">
        <v>3049</v>
      </c>
      <c r="F96" s="184" t="s">
        <v>4595</v>
      </c>
      <c r="G96" s="186" t="s">
        <v>4596</v>
      </c>
      <c r="H96" s="186">
        <v>10.0</v>
      </c>
      <c r="I96" s="186" t="s">
        <v>2541</v>
      </c>
      <c r="J96" s="184" t="s">
        <v>112</v>
      </c>
      <c r="K96" s="184" t="s">
        <v>114</v>
      </c>
      <c r="L96" s="184" t="s">
        <v>122</v>
      </c>
      <c r="M96" s="184">
        <v>0.0</v>
      </c>
      <c r="N96" s="184" t="s">
        <v>116</v>
      </c>
      <c r="O96" s="184">
        <v>2.0</v>
      </c>
      <c r="P96" s="184">
        <v>2.0</v>
      </c>
      <c r="Q96" s="184">
        <v>0.0</v>
      </c>
      <c r="R96" s="184" t="s">
        <v>115</v>
      </c>
      <c r="S96" s="218">
        <v>43900.0</v>
      </c>
      <c r="T96" s="105"/>
      <c r="U96" s="105" t="s">
        <v>4600</v>
      </c>
      <c r="V96" s="184" t="s">
        <v>4601</v>
      </c>
      <c r="W96" s="184" t="s">
        <v>118</v>
      </c>
      <c r="X96" s="184" t="s">
        <v>138</v>
      </c>
      <c r="Y96" s="4"/>
      <c r="Z96" s="4"/>
      <c r="AA96" s="219">
        <v>43889.0</v>
      </c>
      <c r="AB96" s="219">
        <v>43892.0</v>
      </c>
      <c r="AC96" s="4"/>
      <c r="AD96" s="4"/>
      <c r="AE96" s="184"/>
      <c r="AF96" s="4"/>
      <c r="AG96" s="4"/>
      <c r="AH96" s="244" t="s">
        <v>2071</v>
      </c>
      <c r="AI96" s="244" t="s">
        <v>2597</v>
      </c>
      <c r="AJ96" s="184"/>
      <c r="AK96" s="184" t="s">
        <v>1612</v>
      </c>
      <c r="AL96" s="200">
        <f t="shared" si="2"/>
        <v>7</v>
      </c>
      <c r="AM96" s="201">
        <v>2019.0</v>
      </c>
    </row>
    <row r="97">
      <c r="A97" s="158">
        <f t="shared" si="1"/>
        <v>18115543</v>
      </c>
      <c r="B97" s="242">
        <v>97.0</v>
      </c>
      <c r="C97" s="184" t="s">
        <v>4602</v>
      </c>
      <c r="D97" s="184">
        <f>IFERROR(VLOOKUP(E97,INFORMACION!E:F,2,0),"INGRESAR CENTRO DE COSTO A LA DERECHA")</f>
        <v>22</v>
      </c>
      <c r="E97" s="184" t="s">
        <v>2961</v>
      </c>
      <c r="F97" s="184" t="s">
        <v>2962</v>
      </c>
      <c r="G97" s="186" t="s">
        <v>4162</v>
      </c>
      <c r="H97" s="186">
        <v>13.0</v>
      </c>
      <c r="I97" s="186" t="s">
        <v>2541</v>
      </c>
      <c r="J97" s="184" t="s">
        <v>112</v>
      </c>
      <c r="K97" s="184" t="s">
        <v>114</v>
      </c>
      <c r="L97" s="184" t="s">
        <v>117</v>
      </c>
      <c r="M97" s="184">
        <v>0.0</v>
      </c>
      <c r="N97" s="184" t="s">
        <v>116</v>
      </c>
      <c r="O97" s="184">
        <v>16.0</v>
      </c>
      <c r="P97" s="184">
        <v>1.0</v>
      </c>
      <c r="Q97" s="184">
        <v>0.0</v>
      </c>
      <c r="R97" s="184" t="s">
        <v>121</v>
      </c>
      <c r="S97" s="218">
        <v>43955.0</v>
      </c>
      <c r="T97" s="105"/>
      <c r="U97" s="105" t="s">
        <v>4603</v>
      </c>
      <c r="V97" s="184" t="s">
        <v>4604</v>
      </c>
      <c r="W97" s="184" t="s">
        <v>122</v>
      </c>
      <c r="X97" s="4"/>
      <c r="Y97" s="4"/>
      <c r="Z97" s="4"/>
      <c r="AA97" s="219">
        <v>43817.0</v>
      </c>
      <c r="AB97" s="293">
        <v>43825.0</v>
      </c>
      <c r="AC97" s="4"/>
      <c r="AD97" s="4"/>
      <c r="AE97" s="184"/>
      <c r="AF97" s="4"/>
      <c r="AG97" s="4"/>
      <c r="AH97" s="244" t="s">
        <v>2071</v>
      </c>
      <c r="AI97" s="244" t="s">
        <v>4605</v>
      </c>
      <c r="AJ97" s="184"/>
      <c r="AK97" s="184" t="s">
        <v>2163</v>
      </c>
      <c r="AL97" s="200">
        <f t="shared" si="2"/>
        <v>93</v>
      </c>
      <c r="AM97" s="201">
        <v>2019.0</v>
      </c>
    </row>
    <row r="98">
      <c r="A98" s="158">
        <f t="shared" si="1"/>
        <v>16207468</v>
      </c>
      <c r="B98" s="236">
        <v>98.0</v>
      </c>
      <c r="C98" s="184" t="s">
        <v>4606</v>
      </c>
      <c r="D98" s="184">
        <f>IFERROR(VLOOKUP(E98,INFORMACION!E:F,2,0),"INGRESAR CENTRO DE COSTO A LA DERECHA")</f>
        <v>50</v>
      </c>
      <c r="E98" s="184" t="s">
        <v>3081</v>
      </c>
      <c r="F98" s="184" t="s">
        <v>2094</v>
      </c>
      <c r="G98" s="186" t="s">
        <v>4607</v>
      </c>
      <c r="H98" s="186">
        <v>10.0</v>
      </c>
      <c r="I98" s="186" t="s">
        <v>2541</v>
      </c>
      <c r="J98" s="184" t="s">
        <v>112</v>
      </c>
      <c r="K98" s="184" t="s">
        <v>114</v>
      </c>
      <c r="L98" s="184" t="s">
        <v>117</v>
      </c>
      <c r="M98" s="184">
        <v>11.0</v>
      </c>
      <c r="N98" s="184" t="s">
        <v>122</v>
      </c>
      <c r="O98" s="184"/>
      <c r="P98" s="184">
        <v>2.0</v>
      </c>
      <c r="Q98" s="184">
        <v>0.0</v>
      </c>
      <c r="R98" s="184" t="s">
        <v>121</v>
      </c>
      <c r="S98" s="218">
        <v>43934.0</v>
      </c>
      <c r="T98" s="105" t="s">
        <v>4608</v>
      </c>
      <c r="U98" s="105"/>
      <c r="V98" s="184" t="s">
        <v>4609</v>
      </c>
      <c r="W98" s="184" t="s">
        <v>118</v>
      </c>
      <c r="X98" s="184" t="s">
        <v>138</v>
      </c>
      <c r="Y98" s="4"/>
      <c r="Z98" s="4"/>
      <c r="AA98" s="219">
        <v>43847.0</v>
      </c>
      <c r="AB98" s="219">
        <v>43854.0</v>
      </c>
      <c r="AC98" s="4"/>
      <c r="AD98" s="4"/>
      <c r="AE98" s="184"/>
      <c r="AF98" s="4"/>
      <c r="AG98" s="4"/>
      <c r="AH98" s="184" t="s">
        <v>2071</v>
      </c>
      <c r="AI98" s="184" t="s">
        <v>3841</v>
      </c>
      <c r="AJ98" s="184"/>
      <c r="AK98" s="184" t="s">
        <v>2157</v>
      </c>
      <c r="AL98" s="200">
        <f t="shared" si="2"/>
        <v>57</v>
      </c>
      <c r="AM98" s="201">
        <v>2019.0</v>
      </c>
    </row>
    <row r="99">
      <c r="A99" s="158" t="str">
        <f t="shared" si="1"/>
        <v/>
      </c>
      <c r="B99" s="242">
        <v>99.0</v>
      </c>
      <c r="C99" s="184" t="s">
        <v>4610</v>
      </c>
      <c r="D99" s="184">
        <f>IFERROR(VLOOKUP(E99,INFORMACION!E:F,2,0),"INGRESAR CENTRO DE COSTO A LA DERECHA")</f>
        <v>5</v>
      </c>
      <c r="E99" s="184" t="s">
        <v>3193</v>
      </c>
      <c r="F99" s="184" t="s">
        <v>3222</v>
      </c>
      <c r="G99" s="186"/>
      <c r="H99" s="186">
        <v>8.0</v>
      </c>
      <c r="I99" s="186" t="s">
        <v>2541</v>
      </c>
      <c r="J99" s="184" t="s">
        <v>112</v>
      </c>
      <c r="K99" s="184" t="s">
        <v>114</v>
      </c>
      <c r="L99" s="184" t="s">
        <v>122</v>
      </c>
      <c r="M99" s="184">
        <v>0.0</v>
      </c>
      <c r="N99" s="184" t="s">
        <v>116</v>
      </c>
      <c r="O99" s="184">
        <v>5.0</v>
      </c>
      <c r="P99" s="184">
        <v>3.0</v>
      </c>
      <c r="Q99" s="184">
        <v>0.0</v>
      </c>
      <c r="R99" s="184" t="s">
        <v>121</v>
      </c>
      <c r="S99" s="218">
        <v>43776.0</v>
      </c>
      <c r="T99" s="105"/>
      <c r="U99" s="105" t="s">
        <v>4611</v>
      </c>
      <c r="V99" s="184" t="s">
        <v>4612</v>
      </c>
      <c r="W99" s="184"/>
      <c r="X99" s="4"/>
      <c r="Y99" s="4"/>
      <c r="Z99" s="4"/>
      <c r="AA99" s="219">
        <v>43713.0</v>
      </c>
      <c r="AB99" s="219">
        <v>43717.0</v>
      </c>
      <c r="AC99" s="4"/>
      <c r="AD99" s="4"/>
      <c r="AE99" s="184"/>
      <c r="AF99" s="4"/>
      <c r="AG99" s="4"/>
      <c r="AH99" s="244"/>
      <c r="AI99" s="244"/>
      <c r="AJ99" s="184"/>
      <c r="AK99" s="184"/>
      <c r="AL99" s="200">
        <f t="shared" si="2"/>
        <v>44</v>
      </c>
      <c r="AM99" s="201">
        <v>2019.0</v>
      </c>
    </row>
    <row r="100">
      <c r="A100" s="158" t="str">
        <f t="shared" si="1"/>
        <v/>
      </c>
      <c r="B100" s="236">
        <v>100.0</v>
      </c>
      <c r="C100" s="184" t="s">
        <v>4613</v>
      </c>
      <c r="D100" s="184">
        <f>IFERROR(VLOOKUP(E100,INFORMACION!E:F,2,0),"INGRESAR CENTRO DE COSTO A LA DERECHA")</f>
        <v>11</v>
      </c>
      <c r="E100" s="184" t="s">
        <v>15</v>
      </c>
      <c r="F100" s="184" t="s">
        <v>2835</v>
      </c>
      <c r="G100" s="186" t="s">
        <v>4614</v>
      </c>
      <c r="H100" s="186">
        <v>10.0</v>
      </c>
      <c r="I100" s="186" t="s">
        <v>2541</v>
      </c>
      <c r="J100" s="184" t="s">
        <v>112</v>
      </c>
      <c r="K100" s="184" t="s">
        <v>114</v>
      </c>
      <c r="L100" s="184" t="s">
        <v>117</v>
      </c>
      <c r="M100" s="184">
        <v>1.0</v>
      </c>
      <c r="N100" s="184" t="s">
        <v>116</v>
      </c>
      <c r="O100" s="184">
        <v>12.0</v>
      </c>
      <c r="P100" s="184">
        <v>3.0</v>
      </c>
      <c r="Q100" s="184">
        <v>0.0</v>
      </c>
      <c r="R100" s="184" t="s">
        <v>121</v>
      </c>
      <c r="S100" s="218">
        <v>43787.0</v>
      </c>
      <c r="T100" s="105"/>
      <c r="U100" s="105" t="s">
        <v>4615</v>
      </c>
      <c r="V100" s="184" t="s">
        <v>4612</v>
      </c>
      <c r="W100" s="184"/>
      <c r="X100" s="184"/>
      <c r="Y100" s="4"/>
      <c r="Z100" s="4"/>
      <c r="AA100" s="219">
        <v>43733.0</v>
      </c>
      <c r="AB100" s="219">
        <v>43741.0</v>
      </c>
      <c r="AC100" s="4"/>
      <c r="AD100" s="4"/>
      <c r="AE100" s="184"/>
      <c r="AF100" s="4"/>
      <c r="AG100" s="4"/>
      <c r="AH100" s="244"/>
      <c r="AI100" s="244"/>
      <c r="AJ100" s="184"/>
      <c r="AK100" s="184"/>
      <c r="AL100" s="200">
        <f t="shared" si="2"/>
        <v>33</v>
      </c>
      <c r="AM100" s="201">
        <v>2019.0</v>
      </c>
    </row>
    <row r="101">
      <c r="A101" s="158" t="str">
        <f t="shared" si="1"/>
        <v/>
      </c>
      <c r="B101" s="242">
        <v>101.0</v>
      </c>
      <c r="C101" s="184" t="s">
        <v>4616</v>
      </c>
      <c r="D101" s="184">
        <f>IFERROR(VLOOKUP(E101,INFORMACION!E:F,2,0),"INGRESAR CENTRO DE COSTO A LA DERECHA")</f>
        <v>50</v>
      </c>
      <c r="E101" s="184" t="s">
        <v>1598</v>
      </c>
      <c r="F101" s="184" t="s">
        <v>2596</v>
      </c>
      <c r="G101" s="186"/>
      <c r="H101" s="186">
        <v>17.0</v>
      </c>
      <c r="I101" s="186" t="s">
        <v>2541</v>
      </c>
      <c r="J101" s="184" t="s">
        <v>112</v>
      </c>
      <c r="K101" s="184" t="s">
        <v>120</v>
      </c>
      <c r="L101" s="184" t="s">
        <v>117</v>
      </c>
      <c r="M101" s="184">
        <v>4.0</v>
      </c>
      <c r="N101" s="184" t="s">
        <v>122</v>
      </c>
      <c r="O101" s="184" t="s">
        <v>4039</v>
      </c>
      <c r="P101" s="184">
        <v>2.0</v>
      </c>
      <c r="Q101" s="184">
        <v>0.0</v>
      </c>
      <c r="R101" s="184" t="s">
        <v>121</v>
      </c>
      <c r="S101" s="218">
        <v>43822.0</v>
      </c>
      <c r="T101" s="105" t="s">
        <v>1208</v>
      </c>
      <c r="U101" s="105"/>
      <c r="V101" s="184" t="s">
        <v>4612</v>
      </c>
      <c r="W101" s="184"/>
      <c r="X101" s="184"/>
      <c r="Y101" s="184"/>
      <c r="Z101" s="4"/>
      <c r="AA101" s="219">
        <v>43742.0</v>
      </c>
      <c r="AB101" s="219">
        <v>43752.0</v>
      </c>
      <c r="AC101" s="4"/>
      <c r="AD101" s="4"/>
      <c r="AE101" s="184"/>
      <c r="AF101" s="4"/>
      <c r="AG101" s="4"/>
      <c r="AH101" s="244"/>
      <c r="AI101" s="244"/>
      <c r="AJ101" s="184"/>
      <c r="AK101" s="184"/>
      <c r="AL101" s="200">
        <f t="shared" si="2"/>
        <v>51</v>
      </c>
      <c r="AM101" s="201">
        <v>2019.0</v>
      </c>
    </row>
    <row r="102">
      <c r="A102" s="158" t="str">
        <f t="shared" si="1"/>
        <v/>
      </c>
      <c r="B102" s="236">
        <v>102.0</v>
      </c>
      <c r="C102" s="184" t="s">
        <v>4617</v>
      </c>
      <c r="D102" s="184">
        <f>IFERROR(VLOOKUP(E102,INFORMACION!E:F,2,0),"INGRESAR CENTRO DE COSTO A LA DERECHA")</f>
        <v>55</v>
      </c>
      <c r="E102" s="184" t="s">
        <v>1602</v>
      </c>
      <c r="F102" s="184" t="s">
        <v>2642</v>
      </c>
      <c r="G102" s="186"/>
      <c r="H102" s="186">
        <v>13.0</v>
      </c>
      <c r="I102" s="186" t="s">
        <v>2541</v>
      </c>
      <c r="J102" s="184" t="s">
        <v>112</v>
      </c>
      <c r="K102" s="184" t="s">
        <v>114</v>
      </c>
      <c r="L102" s="184" t="s">
        <v>117</v>
      </c>
      <c r="M102" s="184">
        <v>1.0</v>
      </c>
      <c r="N102" s="184" t="s">
        <v>122</v>
      </c>
      <c r="O102" s="184" t="s">
        <v>2597</v>
      </c>
      <c r="P102" s="184">
        <v>1.0</v>
      </c>
      <c r="Q102" s="184">
        <v>0.0</v>
      </c>
      <c r="R102" s="184" t="s">
        <v>115</v>
      </c>
      <c r="S102" s="218">
        <v>43906.0</v>
      </c>
      <c r="T102" s="105" t="s">
        <v>566</v>
      </c>
      <c r="U102" s="105"/>
      <c r="V102" s="184" t="s">
        <v>4612</v>
      </c>
      <c r="W102" s="184"/>
      <c r="X102" s="4"/>
      <c r="Y102" s="4"/>
      <c r="Z102" s="4"/>
      <c r="AA102" s="219">
        <v>43805.0</v>
      </c>
      <c r="AB102" s="219">
        <v>43812.0</v>
      </c>
      <c r="AC102" s="4"/>
      <c r="AD102" s="4"/>
      <c r="AE102" s="184"/>
      <c r="AF102" s="4"/>
      <c r="AG102" s="4"/>
      <c r="AH102" s="244"/>
      <c r="AI102" s="244"/>
      <c r="AJ102" s="184"/>
      <c r="AK102" s="184"/>
      <c r="AL102" s="200">
        <f t="shared" si="2"/>
        <v>67</v>
      </c>
      <c r="AM102" s="201">
        <v>2019.0</v>
      </c>
    </row>
    <row r="103">
      <c r="A103" s="158" t="str">
        <f t="shared" si="1"/>
        <v/>
      </c>
      <c r="B103" s="236">
        <v>103.0</v>
      </c>
      <c r="C103" s="184" t="s">
        <v>4618</v>
      </c>
      <c r="D103" s="184">
        <f>IFERROR(VLOOKUP(E103,INFORMACION!E:F,2,0),"INGRESAR CENTRO DE COSTO A LA DERECHA")</f>
        <v>5</v>
      </c>
      <c r="E103" s="184" t="s">
        <v>3193</v>
      </c>
      <c r="F103" s="184" t="s">
        <v>2650</v>
      </c>
      <c r="G103" s="186" t="s">
        <v>4619</v>
      </c>
      <c r="H103" s="186">
        <v>17.0</v>
      </c>
      <c r="I103" s="186" t="s">
        <v>2541</v>
      </c>
      <c r="J103" s="184" t="s">
        <v>112</v>
      </c>
      <c r="K103" s="184" t="s">
        <v>120</v>
      </c>
      <c r="L103" s="184"/>
      <c r="M103" s="184"/>
      <c r="N103" s="184"/>
      <c r="O103" s="184"/>
      <c r="P103" s="184"/>
      <c r="Q103" s="184"/>
      <c r="R103" s="184" t="s">
        <v>121</v>
      </c>
      <c r="S103" s="218">
        <v>43885.0</v>
      </c>
      <c r="T103" s="105"/>
      <c r="U103" s="105" t="s">
        <v>4620</v>
      </c>
      <c r="V103" s="184" t="s">
        <v>4612</v>
      </c>
      <c r="W103" s="184"/>
      <c r="X103" s="184"/>
      <c r="Y103" s="4"/>
      <c r="Z103" s="4"/>
      <c r="AA103" s="219">
        <v>43810.0</v>
      </c>
      <c r="AB103" s="219">
        <v>43817.0</v>
      </c>
      <c r="AC103" s="4"/>
      <c r="AD103" s="4"/>
      <c r="AE103" s="184"/>
      <c r="AF103" s="4"/>
      <c r="AG103" s="4"/>
      <c r="AH103" s="244"/>
      <c r="AI103" s="244"/>
      <c r="AJ103" s="184"/>
      <c r="AK103" s="184"/>
      <c r="AL103" s="200">
        <f t="shared" si="2"/>
        <v>49</v>
      </c>
      <c r="AM103" s="201">
        <v>2019.0</v>
      </c>
    </row>
    <row r="104">
      <c r="A104" s="158" t="str">
        <f t="shared" si="1"/>
        <v/>
      </c>
      <c r="B104" s="236">
        <v>104.0</v>
      </c>
      <c r="C104" s="184" t="s">
        <v>4621</v>
      </c>
      <c r="D104" s="184">
        <f>IFERROR(VLOOKUP(E104,INFORMACION!E:F,2,0),"INGRESAR CENTRO DE COSTO A LA DERECHA")</f>
        <v>40</v>
      </c>
      <c r="E104" s="184" t="s">
        <v>3176</v>
      </c>
      <c r="F104" s="184" t="s">
        <v>2540</v>
      </c>
      <c r="G104" s="186"/>
      <c r="H104" s="186">
        <v>17.0</v>
      </c>
      <c r="I104" s="186" t="s">
        <v>2541</v>
      </c>
      <c r="J104" s="184" t="s">
        <v>112</v>
      </c>
      <c r="K104" s="184" t="s">
        <v>120</v>
      </c>
      <c r="L104" s="184" t="s">
        <v>117</v>
      </c>
      <c r="M104" s="184">
        <v>2.0</v>
      </c>
      <c r="N104" s="184" t="s">
        <v>116</v>
      </c>
      <c r="O104" s="184">
        <v>26.0</v>
      </c>
      <c r="P104" s="184">
        <v>1.0</v>
      </c>
      <c r="Q104" s="184">
        <v>0.0</v>
      </c>
      <c r="R104" s="184" t="s">
        <v>121</v>
      </c>
      <c r="S104" s="218">
        <v>43892.0</v>
      </c>
      <c r="T104" s="105"/>
      <c r="U104" s="105" t="s">
        <v>4622</v>
      </c>
      <c r="V104" s="184" t="s">
        <v>4612</v>
      </c>
      <c r="W104" s="184"/>
      <c r="X104" s="184"/>
      <c r="Y104" s="4"/>
      <c r="Z104" s="4"/>
      <c r="AA104" s="219">
        <v>43675.0</v>
      </c>
      <c r="AB104" s="219">
        <v>43682.0</v>
      </c>
      <c r="AC104" s="4"/>
      <c r="AD104" s="4"/>
      <c r="AE104" s="184"/>
      <c r="AF104" s="4"/>
      <c r="AG104" s="4"/>
      <c r="AH104" s="244"/>
      <c r="AI104" s="244"/>
      <c r="AJ104" s="184"/>
      <c r="AK104" s="184"/>
      <c r="AL104" s="200">
        <f t="shared" si="2"/>
        <v>151</v>
      </c>
      <c r="AM104" s="201">
        <v>2019.0</v>
      </c>
    </row>
    <row r="105">
      <c r="A105" s="158" t="str">
        <f t="shared" si="1"/>
        <v/>
      </c>
      <c r="B105" s="236">
        <v>105.0</v>
      </c>
      <c r="C105" s="184" t="s">
        <v>4623</v>
      </c>
      <c r="D105" s="184">
        <f>IFERROR(VLOOKUP(E105,INFORMACION!E:F,2,0),"INGRESAR CENTRO DE COSTO A LA DERECHA")</f>
        <v>83</v>
      </c>
      <c r="E105" s="184" t="s">
        <v>1601</v>
      </c>
      <c r="F105" s="184" t="s">
        <v>2752</v>
      </c>
      <c r="G105" s="186"/>
      <c r="H105" s="186">
        <v>10.0</v>
      </c>
      <c r="I105" s="186" t="s">
        <v>2541</v>
      </c>
      <c r="J105" s="184" t="s">
        <v>112</v>
      </c>
      <c r="K105" s="184" t="s">
        <v>114</v>
      </c>
      <c r="L105" s="184" t="s">
        <v>122</v>
      </c>
      <c r="M105" s="184" t="s">
        <v>2597</v>
      </c>
      <c r="N105" s="184" t="s">
        <v>116</v>
      </c>
      <c r="O105" s="184">
        <v>9.0</v>
      </c>
      <c r="P105" s="184">
        <v>1.0</v>
      </c>
      <c r="Q105" s="184">
        <v>0.0</v>
      </c>
      <c r="R105" s="184" t="s">
        <v>115</v>
      </c>
      <c r="S105" s="218">
        <v>43892.0</v>
      </c>
      <c r="T105" s="105"/>
      <c r="U105" s="105" t="s">
        <v>4624</v>
      </c>
      <c r="V105" s="184" t="s">
        <v>4612</v>
      </c>
      <c r="W105" s="184"/>
      <c r="X105" s="184"/>
      <c r="Y105" s="184"/>
      <c r="Z105" s="4"/>
      <c r="AA105" s="219">
        <v>43803.0</v>
      </c>
      <c r="AB105" s="219">
        <v>43810.0</v>
      </c>
      <c r="AC105" s="4"/>
      <c r="AD105" s="4"/>
      <c r="AE105" s="184"/>
      <c r="AF105" s="4"/>
      <c r="AG105" s="4"/>
      <c r="AH105" s="244"/>
      <c r="AI105" s="244"/>
      <c r="AJ105" s="184"/>
      <c r="AK105" s="184"/>
      <c r="AL105" s="200">
        <f t="shared" si="2"/>
        <v>59</v>
      </c>
      <c r="AM105" s="201">
        <v>2019.0</v>
      </c>
    </row>
    <row r="106">
      <c r="A106" s="158" t="str">
        <f t="shared" si="1"/>
        <v/>
      </c>
      <c r="B106" s="236">
        <v>106.0</v>
      </c>
      <c r="C106" s="184" t="s">
        <v>4625</v>
      </c>
      <c r="D106" s="184">
        <f>IFERROR(VLOOKUP(E106,INFORMACION!E:F,2,0),"INGRESAR CENTRO DE COSTO A LA DERECHA")</f>
        <v>22</v>
      </c>
      <c r="E106" s="184" t="s">
        <v>3032</v>
      </c>
      <c r="F106" s="184" t="s">
        <v>2580</v>
      </c>
      <c r="G106" s="186" t="s">
        <v>4626</v>
      </c>
      <c r="H106" s="186">
        <v>13.0</v>
      </c>
      <c r="I106" s="186" t="s">
        <v>3017</v>
      </c>
      <c r="J106" s="184" t="s">
        <v>112</v>
      </c>
      <c r="K106" s="184" t="s">
        <v>114</v>
      </c>
      <c r="L106" s="184" t="s">
        <v>117</v>
      </c>
      <c r="M106" s="184">
        <v>0.0</v>
      </c>
      <c r="N106" s="184" t="s">
        <v>116</v>
      </c>
      <c r="O106" s="184">
        <v>8.0</v>
      </c>
      <c r="P106" s="184">
        <v>2.0</v>
      </c>
      <c r="Q106" s="184">
        <v>0.0</v>
      </c>
      <c r="R106" s="184" t="s">
        <v>115</v>
      </c>
      <c r="S106" s="218">
        <v>43892.0</v>
      </c>
      <c r="T106" s="105"/>
      <c r="U106" s="105" t="s">
        <v>4627</v>
      </c>
      <c r="V106" s="184" t="s">
        <v>4612</v>
      </c>
      <c r="W106" s="184"/>
      <c r="X106" s="184"/>
      <c r="Y106" s="184"/>
      <c r="Z106" s="4"/>
      <c r="AA106" s="219">
        <v>43791.0</v>
      </c>
      <c r="AB106" s="219">
        <v>43798.0</v>
      </c>
      <c r="AC106" s="4"/>
      <c r="AD106" s="4"/>
      <c r="AE106" s="184"/>
      <c r="AF106" s="4"/>
      <c r="AG106" s="4"/>
      <c r="AH106" s="244"/>
      <c r="AI106" s="244"/>
      <c r="AJ106" s="184"/>
      <c r="AK106" s="184"/>
      <c r="AL106" s="200">
        <f t="shared" si="2"/>
        <v>67</v>
      </c>
      <c r="AM106" s="201">
        <v>2019.0</v>
      </c>
    </row>
    <row r="107">
      <c r="A107" s="158" t="str">
        <f t="shared" si="1"/>
        <v/>
      </c>
      <c r="B107" s="236">
        <v>107.0</v>
      </c>
      <c r="C107" s="184" t="s">
        <v>4628</v>
      </c>
      <c r="D107" s="184">
        <f>IFERROR(VLOOKUP(E107,INFORMACION!E:F,2,0),"INGRESAR CENTRO DE COSTO A LA DERECHA")</f>
        <v>50</v>
      </c>
      <c r="E107" s="184" t="s">
        <v>3081</v>
      </c>
      <c r="F107" s="184" t="s">
        <v>2094</v>
      </c>
      <c r="G107" s="186" t="s">
        <v>4629</v>
      </c>
      <c r="H107" s="186">
        <v>10.0</v>
      </c>
      <c r="I107" s="186" t="s">
        <v>2541</v>
      </c>
      <c r="J107" s="184" t="s">
        <v>112</v>
      </c>
      <c r="K107" s="184" t="s">
        <v>114</v>
      </c>
      <c r="L107" s="184" t="s">
        <v>117</v>
      </c>
      <c r="M107" s="184">
        <v>6.0</v>
      </c>
      <c r="N107" s="184" t="s">
        <v>122</v>
      </c>
      <c r="O107" s="184" t="s">
        <v>2597</v>
      </c>
      <c r="P107" s="184">
        <v>1.0</v>
      </c>
      <c r="Q107" s="184">
        <v>0.0</v>
      </c>
      <c r="R107" s="184" t="s">
        <v>121</v>
      </c>
      <c r="S107" s="218">
        <v>43906.0</v>
      </c>
      <c r="T107" s="105" t="s">
        <v>875</v>
      </c>
      <c r="U107" s="105"/>
      <c r="V107" s="184" t="s">
        <v>4612</v>
      </c>
      <c r="W107" s="184"/>
      <c r="X107" s="4"/>
      <c r="Y107" s="4"/>
      <c r="Z107" s="4"/>
      <c r="AA107" s="219">
        <v>43791.0</v>
      </c>
      <c r="AB107" s="219">
        <v>43798.0</v>
      </c>
      <c r="AC107" s="4"/>
      <c r="AD107" s="4"/>
      <c r="AE107" s="184"/>
      <c r="AF107" s="4"/>
      <c r="AG107" s="4"/>
      <c r="AH107" s="244"/>
      <c r="AI107" s="244"/>
      <c r="AJ107" s="184"/>
      <c r="AK107" s="184"/>
      <c r="AL107" s="200">
        <f t="shared" si="2"/>
        <v>77</v>
      </c>
      <c r="AM107" s="201">
        <v>2019.0</v>
      </c>
    </row>
    <row r="108">
      <c r="A108" s="158" t="str">
        <f t="shared" si="1"/>
        <v/>
      </c>
      <c r="B108" s="236">
        <v>108.0</v>
      </c>
      <c r="C108" s="184" t="s">
        <v>4630</v>
      </c>
      <c r="D108" s="184">
        <f>IFERROR(VLOOKUP(E108,INFORMACION!E:F,2,0),"INGRESAR CENTRO DE COSTO A LA DERECHA")</f>
        <v>15</v>
      </c>
      <c r="E108" s="184" t="s">
        <v>2195</v>
      </c>
      <c r="F108" s="184" t="s">
        <v>2596</v>
      </c>
      <c r="G108" s="186"/>
      <c r="H108" s="186">
        <v>17.0</v>
      </c>
      <c r="I108" s="186" t="s">
        <v>2541</v>
      </c>
      <c r="J108" s="184" t="s">
        <v>112</v>
      </c>
      <c r="K108" s="184" t="s">
        <v>120</v>
      </c>
      <c r="L108" s="184" t="s">
        <v>117</v>
      </c>
      <c r="M108" s="184">
        <v>1.0</v>
      </c>
      <c r="N108" s="184" t="s">
        <v>122</v>
      </c>
      <c r="O108" s="184" t="s">
        <v>2597</v>
      </c>
      <c r="P108" s="184">
        <v>1.0</v>
      </c>
      <c r="Q108" s="184">
        <v>0.0</v>
      </c>
      <c r="R108" s="184" t="s">
        <v>115</v>
      </c>
      <c r="S108" s="218">
        <v>43968.0</v>
      </c>
      <c r="T108" s="105" t="s">
        <v>413</v>
      </c>
      <c r="U108" s="105"/>
      <c r="V108" s="184" t="s">
        <v>4612</v>
      </c>
      <c r="W108" s="184"/>
      <c r="X108" s="4"/>
      <c r="Y108" s="4"/>
      <c r="Z108" s="4"/>
      <c r="AA108" s="219"/>
      <c r="AB108" s="219"/>
      <c r="AC108" s="4"/>
      <c r="AD108" s="4"/>
      <c r="AE108" s="184"/>
      <c r="AF108" s="4"/>
      <c r="AG108" s="4"/>
      <c r="AH108" s="244"/>
      <c r="AI108" s="244"/>
      <c r="AJ108" s="184"/>
      <c r="AK108" s="184"/>
      <c r="AL108" s="200" t="str">
        <f t="shared" si="2"/>
        <v/>
      </c>
      <c r="AM108" s="201">
        <v>2019.0</v>
      </c>
    </row>
    <row r="109">
      <c r="A109" s="158" t="str">
        <f t="shared" si="1"/>
        <v/>
      </c>
      <c r="B109" s="236">
        <v>109.0</v>
      </c>
      <c r="C109" s="184"/>
      <c r="D109" s="184" t="str">
        <f>IFERROR(VLOOKUP(E109,INFORMACION!E:F,2,0),"INGRESAR CENTRO DE COSTO A LA DERECHA")</f>
        <v>INGRESAR CENTRO DE COSTO A LA DERECHA</v>
      </c>
      <c r="E109" s="184"/>
      <c r="F109" s="184"/>
      <c r="G109" s="186"/>
      <c r="H109" s="186"/>
      <c r="I109" s="186"/>
      <c r="J109" s="184"/>
      <c r="K109" s="184"/>
      <c r="L109" s="184"/>
      <c r="M109" s="184"/>
      <c r="N109" s="184"/>
      <c r="O109" s="184"/>
      <c r="P109" s="184"/>
      <c r="Q109" s="184"/>
      <c r="R109" s="184"/>
      <c r="S109" s="218"/>
      <c r="T109" s="105"/>
      <c r="U109" s="105"/>
      <c r="V109" s="184"/>
      <c r="W109" s="184"/>
      <c r="X109" s="184"/>
      <c r="Y109" s="184"/>
      <c r="Z109" s="4"/>
      <c r="AA109" s="219"/>
      <c r="AB109" s="219"/>
      <c r="AC109" s="4"/>
      <c r="AD109" s="4"/>
      <c r="AE109" s="184"/>
      <c r="AF109" s="4"/>
      <c r="AG109" s="4"/>
      <c r="AH109" s="244"/>
      <c r="AI109" s="244"/>
      <c r="AJ109" s="184"/>
      <c r="AK109" s="184"/>
      <c r="AL109" s="200" t="str">
        <f t="shared" si="2"/>
        <v/>
      </c>
      <c r="AM109" s="201">
        <v>2019.0</v>
      </c>
    </row>
    <row r="110">
      <c r="A110" s="158" t="str">
        <f t="shared" si="1"/>
        <v/>
      </c>
      <c r="B110" s="236">
        <v>110.0</v>
      </c>
      <c r="C110" s="184"/>
      <c r="D110" s="184" t="str">
        <f>IFERROR(VLOOKUP(E110,INFORMACION!E:F,2,0),"INGRESAR CENTRO DE COSTO A LA DERECHA")</f>
        <v>INGRESAR CENTRO DE COSTO A LA DERECHA</v>
      </c>
      <c r="E110" s="184"/>
      <c r="F110" s="184"/>
      <c r="G110" s="186"/>
      <c r="H110" s="186"/>
      <c r="I110" s="186"/>
      <c r="J110" s="184"/>
      <c r="K110" s="184"/>
      <c r="L110" s="184"/>
      <c r="M110" s="184"/>
      <c r="N110" s="184"/>
      <c r="O110" s="184"/>
      <c r="P110" s="184"/>
      <c r="Q110" s="184"/>
      <c r="R110" s="184"/>
      <c r="S110" s="218"/>
      <c r="T110" s="105"/>
      <c r="U110" s="105"/>
      <c r="V110" s="184"/>
      <c r="W110" s="184"/>
      <c r="X110" s="4"/>
      <c r="Y110" s="4"/>
      <c r="Z110" s="4"/>
      <c r="AA110" s="219"/>
      <c r="AB110" s="219"/>
      <c r="AC110" s="4"/>
      <c r="AD110" s="4"/>
      <c r="AE110" s="184"/>
      <c r="AF110" s="4"/>
      <c r="AG110" s="4"/>
      <c r="AH110" s="244"/>
      <c r="AI110" s="244"/>
      <c r="AJ110" s="184"/>
      <c r="AK110" s="184"/>
      <c r="AL110" s="200" t="str">
        <f t="shared" si="2"/>
        <v/>
      </c>
      <c r="AM110" s="201">
        <v>2019.0</v>
      </c>
    </row>
    <row r="111">
      <c r="A111" s="158" t="str">
        <f t="shared" si="1"/>
        <v/>
      </c>
      <c r="B111" s="236">
        <v>111.0</v>
      </c>
      <c r="C111" s="184"/>
      <c r="D111" s="184" t="str">
        <f>IFERROR(VLOOKUP(E111,INFORMACION!E:F,2,0),"INGRESAR CENTRO DE COSTO A LA DERECHA")</f>
        <v>INGRESAR CENTRO DE COSTO A LA DERECHA</v>
      </c>
      <c r="E111" s="184"/>
      <c r="F111" s="184"/>
      <c r="G111" s="186"/>
      <c r="H111" s="186"/>
      <c r="I111" s="186"/>
      <c r="J111" s="184"/>
      <c r="K111" s="184"/>
      <c r="L111" s="184"/>
      <c r="M111" s="184"/>
      <c r="N111" s="184"/>
      <c r="O111" s="184"/>
      <c r="P111" s="184"/>
      <c r="Q111" s="184"/>
      <c r="R111" s="184"/>
      <c r="S111" s="218"/>
      <c r="T111" s="105"/>
      <c r="U111" s="105"/>
      <c r="V111" s="184"/>
      <c r="W111" s="184"/>
      <c r="X111" s="4"/>
      <c r="Y111" s="4"/>
      <c r="Z111" s="4"/>
      <c r="AA111" s="219"/>
      <c r="AB111" s="219"/>
      <c r="AC111" s="4"/>
      <c r="AD111" s="4"/>
      <c r="AE111" s="184"/>
      <c r="AF111" s="4"/>
      <c r="AG111" s="4"/>
      <c r="AH111" s="244"/>
      <c r="AI111" s="244"/>
      <c r="AJ111" s="184"/>
      <c r="AK111" s="184"/>
      <c r="AL111" s="200" t="str">
        <f t="shared" si="2"/>
        <v/>
      </c>
      <c r="AM111" s="201">
        <v>2019.0</v>
      </c>
    </row>
    <row r="112">
      <c r="A112" s="158" t="str">
        <f t="shared" si="1"/>
        <v/>
      </c>
      <c r="B112" s="236">
        <v>112.0</v>
      </c>
      <c r="C112" s="184"/>
      <c r="D112" s="184" t="str">
        <f>IFERROR(VLOOKUP(E112,INFORMACION!E:F,2,0),"INGRESAR CENTRO DE COSTO A LA DERECHA")</f>
        <v>INGRESAR CENTRO DE COSTO A LA DERECHA</v>
      </c>
      <c r="E112" s="184"/>
      <c r="F112" s="184"/>
      <c r="G112" s="186"/>
      <c r="H112" s="186"/>
      <c r="I112" s="186"/>
      <c r="J112" s="184"/>
      <c r="K112" s="184"/>
      <c r="L112" s="184"/>
      <c r="M112" s="184"/>
      <c r="N112" s="184"/>
      <c r="O112" s="184"/>
      <c r="P112" s="184"/>
      <c r="Q112" s="184"/>
      <c r="R112" s="184"/>
      <c r="S112" s="218"/>
      <c r="T112" s="105"/>
      <c r="U112" s="105"/>
      <c r="V112" s="184"/>
      <c r="W112" s="184"/>
      <c r="X112" s="4"/>
      <c r="Y112" s="4"/>
      <c r="Z112" s="4"/>
      <c r="AA112" s="219"/>
      <c r="AB112" s="219"/>
      <c r="AC112" s="4"/>
      <c r="AD112" s="4"/>
      <c r="AE112" s="184"/>
      <c r="AF112" s="4"/>
      <c r="AG112" s="4"/>
      <c r="AH112" s="244"/>
      <c r="AI112" s="244"/>
      <c r="AJ112" s="184"/>
      <c r="AK112" s="184"/>
      <c r="AL112" s="200" t="str">
        <f t="shared" si="2"/>
        <v/>
      </c>
      <c r="AM112" s="201">
        <v>2019.0</v>
      </c>
    </row>
    <row r="113">
      <c r="A113" s="158" t="str">
        <f t="shared" si="1"/>
        <v/>
      </c>
      <c r="B113" s="236">
        <v>113.0</v>
      </c>
      <c r="C113" s="184"/>
      <c r="D113" s="184" t="str">
        <f>IFERROR(VLOOKUP(E113,INFORMACION!E:F,2,0),"INGRESAR CENTRO DE COSTO A LA DERECHA")</f>
        <v>INGRESAR CENTRO DE COSTO A LA DERECHA</v>
      </c>
      <c r="E113" s="184"/>
      <c r="F113" s="184"/>
      <c r="G113" s="186"/>
      <c r="H113" s="186"/>
      <c r="I113" s="186"/>
      <c r="J113" s="184"/>
      <c r="K113" s="184"/>
      <c r="L113" s="184"/>
      <c r="M113" s="184"/>
      <c r="N113" s="184"/>
      <c r="O113" s="184"/>
      <c r="P113" s="184"/>
      <c r="Q113" s="184"/>
      <c r="R113" s="184"/>
      <c r="S113" s="218"/>
      <c r="T113" s="105"/>
      <c r="U113" s="105"/>
      <c r="V113" s="184"/>
      <c r="W113" s="184"/>
      <c r="X113" s="4"/>
      <c r="Y113" s="4"/>
      <c r="Z113" s="4"/>
      <c r="AA113" s="219"/>
      <c r="AB113" s="219"/>
      <c r="AC113" s="4"/>
      <c r="AD113" s="4"/>
      <c r="AE113" s="184"/>
      <c r="AF113" s="4"/>
      <c r="AG113" s="4"/>
      <c r="AH113" s="244"/>
      <c r="AI113" s="244"/>
      <c r="AJ113" s="184"/>
      <c r="AK113" s="184"/>
      <c r="AL113" s="200" t="str">
        <f t="shared" si="2"/>
        <v/>
      </c>
      <c r="AM113" s="201">
        <v>2019.0</v>
      </c>
    </row>
    <row r="114">
      <c r="A114" s="158" t="str">
        <f t="shared" si="1"/>
        <v/>
      </c>
      <c r="B114" s="236">
        <v>114.0</v>
      </c>
      <c r="C114" s="184"/>
      <c r="D114" s="184" t="str">
        <f>IFERROR(VLOOKUP(E114,INFORMACION!E:F,2,0),"INGRESAR CENTRO DE COSTO A LA DERECHA")</f>
        <v>INGRESAR CENTRO DE COSTO A LA DERECHA</v>
      </c>
      <c r="E114" s="184"/>
      <c r="F114" s="184"/>
      <c r="G114" s="186"/>
      <c r="H114" s="186"/>
      <c r="I114" s="186"/>
      <c r="J114" s="184"/>
      <c r="K114" s="184"/>
      <c r="L114" s="184"/>
      <c r="M114" s="184"/>
      <c r="N114" s="184"/>
      <c r="O114" s="184"/>
      <c r="P114" s="184"/>
      <c r="Q114" s="184"/>
      <c r="R114" s="184"/>
      <c r="S114" s="218"/>
      <c r="T114" s="105"/>
      <c r="U114" s="105"/>
      <c r="V114" s="184"/>
      <c r="W114" s="184"/>
      <c r="X114" s="4"/>
      <c r="Y114" s="4"/>
      <c r="Z114" s="4"/>
      <c r="AA114" s="219"/>
      <c r="AB114" s="219"/>
      <c r="AC114" s="4"/>
      <c r="AD114" s="4"/>
      <c r="AE114" s="184"/>
      <c r="AF114" s="4"/>
      <c r="AG114" s="4"/>
      <c r="AH114" s="244"/>
      <c r="AI114" s="244"/>
      <c r="AJ114" s="184"/>
      <c r="AK114" s="184"/>
      <c r="AL114" s="200" t="str">
        <f t="shared" si="2"/>
        <v/>
      </c>
      <c r="AM114" s="201">
        <v>2019.0</v>
      </c>
    </row>
    <row r="115">
      <c r="A115" s="294"/>
      <c r="B115" s="295"/>
      <c r="C115" s="171"/>
      <c r="D115" s="171"/>
      <c r="E115" s="171"/>
      <c r="F115" s="171"/>
      <c r="G115" s="296"/>
      <c r="H115" s="296"/>
      <c r="I115" s="296"/>
      <c r="J115" s="171"/>
      <c r="K115" s="171"/>
      <c r="L115" s="171"/>
      <c r="M115" s="171"/>
      <c r="N115" s="171"/>
      <c r="O115" s="171"/>
      <c r="P115" s="171"/>
      <c r="Q115" s="171"/>
      <c r="R115" s="171"/>
      <c r="S115" s="297"/>
      <c r="T115" s="298"/>
      <c r="U115" s="298"/>
      <c r="V115" s="171"/>
      <c r="W115" s="171"/>
      <c r="X115" s="213"/>
      <c r="Y115" s="213"/>
      <c r="Z115" s="213"/>
      <c r="AA115" s="299"/>
      <c r="AB115" s="299"/>
      <c r="AC115" s="213"/>
      <c r="AD115" s="213"/>
      <c r="AE115" s="171"/>
      <c r="AF115" s="213"/>
      <c r="AG115" s="213"/>
      <c r="AH115" s="300"/>
      <c r="AI115" s="300"/>
      <c r="AJ115" s="171"/>
      <c r="AK115" s="171"/>
      <c r="AL115" s="301"/>
      <c r="AM115" s="201"/>
    </row>
  </sheetData>
  <autoFilter ref="$A$1:$AM$114"/>
  <customSheetViews>
    <customSheetView guid="{1D721144-89CC-471C-8088-A52A2CE24CB2}" filter="1" showAutoFilter="1">
      <autoFilter ref="$A$1:$AM$114"/>
    </customSheetView>
  </customSheetViews>
  <conditionalFormatting sqref="V2:V4 V6:V95">
    <cfRule type="notContainsBlanks" dxfId="0" priority="1">
      <formula>LEN(TRIM(V2))&gt;0</formula>
    </cfRule>
  </conditionalFormatting>
  <dataValidations>
    <dataValidation type="list" allowBlank="1" showInputMessage="1" showErrorMessage="1" prompt="Brechas - Ingresar si existen brechas a capacitar y en las siguientes columnas ingresar la competencia." sqref="W2:W115">
      <formula1>"SI,NO"</formula1>
    </dataValidation>
    <dataValidation type="custom" allowBlank="1" showInputMessage="1" prompt="Indicar si reemplaza a algún funcionario. Esto puede aparecer en los documentos de autorización presupestaria, en cartas de renuncia archivadas al proceso o en pone término o no-renovación.   SI NO REEMPLAZA A NADIE, FAVOR COLOCAR EL SIGNO &quot;-&quot;." sqref="AI1">
      <formula1>ISERROR(SEARCH((""/""),(AI1)))</formula1>
    </dataValidation>
    <dataValidation type="list" allowBlank="1" showInputMessage="1" prompt="Ingrese un funcionario de la lista (Dotación Diciembre [AÑO ANTERIOR])" sqref="T2:T115">
      <formula1>INFORMACION!$G:$G</formula1>
    </dataValidation>
    <dataValidation type="custom" allowBlank="1" showInputMessage="1" prompt="En caso de que el proceso haya concluido con un interno, ingresar datos relativos al grado anterior, el estamento al cual pertenecía (Administrativo, Técnico, Profesional, Auxiliar) y la Unidad de Desempeño Anterior." sqref="AC1:AC3 AF1:AF3 AC12:AC13 AF12:AF13">
      <formula1>ISERROR(SEARCH((""/""),(AC1)))</formula1>
    </dataValidation>
    <dataValidation type="decimal" allowBlank="1" showInputMessage="1" showErrorMessage="1" prompt="Ingresar grado válido - Entre el 1 y el 24" sqref="H2:H44 H47:H115">
      <formula1>1.0</formula1>
      <formula2>24.0</formula2>
    </dataValidation>
    <dataValidation type="list" allowBlank="1" showInputMessage="1" showErrorMessage="1" prompt="Indicar escalafón - Si es técnico, administrativo, profesional o auxiliar. No indicar en el caso de los médicos o personal de la Ley 15.076." sqref="K2:K115">
      <formula1>"PROFESIONAL,ADMINISTRATIVO,TECNICO,AUXILIAR"</formula1>
    </dataValidation>
    <dataValidation type="custom" allowBlank="1" showInputMessage="1" prompt="Escribir la Vicerrectoría, Facultad o Prorrectoría que corresponda según sea el caso usando MAYÚSCULA Y SIN TILDE." sqref="C1:D115">
      <formula1>ISERROR(SEARCH((""/""),(C1)))</formula1>
    </dataValidation>
    <dataValidation type="date" allowBlank="1" showDropDown="1" showInputMessage="1" showErrorMessage="1" prompt="Fecha 2018 - Debes ingresar sólo los procesos en que el último proceso esté publicado entre Marzo de 2018 y Enero de 2019" sqref="AA2:AA114">
      <formula1>43525.0</formula1>
      <formula2>43889.0</formula2>
    </dataValidation>
    <dataValidation type="list" allowBlank="1" showInputMessage="1" prompt="Escriba el Departamento, Unidad, Facultad o Vicerrectoría, según corresponda en cada caso usando MAYÚSCULA Y SIN TILDE." sqref="E1:E115">
      <formula1>INFORMACION!$E:$E</formula1>
    </dataValidation>
    <dataValidation type="date" operator="greaterThan" allowBlank="1" showInputMessage="1" showErrorMessage="1" prompt="Formato - Favor ingresar con formato de fecha." sqref="S2:S3 S12:S13">
      <formula1>42005.0</formula1>
    </dataValidation>
    <dataValidation type="custom" allowBlank="1" showInputMessage="1" prompt="Indicar si reemplaza a algún funcionario. Esto puede aparecer en los documentos de autorización presupestaria, en cartas de renuncia archivadas al proceso o en pone término o no-renovación.   SI NO REEMPLAZA A NADIE, FAVOR COLOCAR EL SIGNO &quot;-&quot;. Indicar si" sqref="AI2:AI115">
      <formula1>ISERROR(SEARCH((""/""),(AI2)))</formula1>
    </dataValidation>
    <dataValidation type="decimal" allowBlank="1" showInputMessage="1" showErrorMessage="1" prompt="N° Postulantes APARTIR 2° Proces - Indicar el n° de postulantes DE TODOS LOS PROCESOS EXTERNOS que cumplieron con los requisitos para postular. CUIDADO CON LOS POSTULANTES REPETIDOS, dado que no deben incluirse 2 veces._x000a_" sqref="O2:O3">
      <formula1>1.0</formula1>
      <formula2>60.0</formula2>
    </dataValidation>
    <dataValidation type="list" allowBlank="1" showInputMessage="1" showErrorMessage="1" prompt="Indicar si hubo proceso interno - No: No hubo / Interno: Sí hubo / 2: lo volvieron a pedir" sqref="L2:L115">
      <formula1>"INTERNO,NO,2"</formula1>
    </dataValidation>
    <dataValidation type="custom" allowBlank="1" showInputMessage="1" prompt="NO TOCAR ESTA COLUMNA" sqref="A1:A115">
      <formula1>ISERROR(SEARCH(("/"),(A1)))</formula1>
    </dataValidation>
    <dataValidation type="list" allowBlank="1" showInputMessage="1" showErrorMessage="1" prompt="Indicar género - Indicar de acuerdo al género si es &quot;seleccionada&quot; o &quot;seleccionado&quot;." sqref="R2:R115">
      <formula1>"SELECCIONADO,SELECCIONADA"</formula1>
    </dataValidation>
    <dataValidation type="list" allowBlank="1" showInputMessage="1" showErrorMessage="1" prompt="Jornada - Precisar la jornada asignada al proceso de selección" sqref="I2:I115">
      <formula1>"Jornada Completa,3/4 Jornada,1/2 Jornada,1/4 Jornada"</formula1>
    </dataValidation>
    <dataValidation type="list" allowBlank="1" showInputMessage="1" showErrorMessage="1" prompt="Tipo de Contrato - Separar con los médicos, quienes se rigen por otra legislación." sqref="J2:J115">
      <formula1>"A CONTRATA,Por 11 hrs. Ley 15.076,Por 22 hrs. Ley 15.076,Por 33 hrs. Ley 15.076,Por 44 hrs. Ley 15.076"</formula1>
    </dataValidation>
    <dataValidation type="decimal" allowBlank="1" showInputMessage="1" showErrorMessage="1" prompt="Indicar n° de postulantes int - Puede variar de 0 en adelante. Favor indicar el total de postulantes internos que cumplieron con los requisitos." sqref="M2:M3 M12:M13">
      <formula1>0.0</formula1>
      <formula2>60.0</formula2>
    </dataValidation>
    <dataValidation type="list" allowBlank="1" showInputMessage="1" showErrorMessage="1" prompt="Motivo Contratación - Ingrese si la contratación se debe a un proceso de selección, una regularización contractual o a una autorización directa." sqref="AH2:AH115">
      <formula1>"PROCESO DE SELECCIÓN,REGULARIZACIÓN CONTRACTUAL,CONTRATACIÓN DIRECTA"</formula1>
    </dataValidation>
    <dataValidation type="list" allowBlank="1" showInputMessage="1" prompt="Escribalo con mayúscula y sin tilde." sqref="F1:F115">
      <formula1>INFORMACION!$B$2:$B$170</formula1>
    </dataValidation>
    <dataValidation type="decimal" allowBlank="1" showInputMessage="1" showErrorMessage="1" promptTitle="Informes Psi Realizados" prompt="Ingrese la cantidad de informes realizados de acuerdo al TOTAL de procesos de selección correspondientes a la vacante. FIJARSE QUE LA UNIDAD HAYA DEVUELTO LA DOCUMENTACIÓN. Si son regularizaciones o auto. directas, indicar número de informes por vacante." sqref="P2:P3 P12:P13">
      <formula1>1.0</formula1>
      <formula2>15.0</formula2>
    </dataValidation>
    <dataValidation type="date" allowBlank="1" showDropDown="1" showInputMessage="1" showErrorMessage="1" prompt="Fecha 2018 - Debes ingresar sólo los procesos en que el último proceso esté publicado entre Marzo de 2018 y Enero de 2019" sqref="AA115">
      <formula1>43160.0</formula1>
      <formula2>43524.0</formula2>
    </dataValidation>
    <dataValidation type="custom" allowBlank="1" showInputMessage="1" prompt="Ingrese las competencias en que es necesario capacitar al primer candidato de acuerdo al orden de importancia (1crítica-3necesaria). " sqref="X1:Z1">
      <formula1>ISERROR(SEARCH((""/""),(X1)))</formula1>
    </dataValidation>
    <dataValidation type="list" allowBlank="1" showInputMessage="1" prompt="Ingrese las competencias en que es necesario capacitar al primer candidato de acuerdo al orden de importancia (1crítica-3necesaria). " sqref="X2:Z115">
      <formula1>INFORMACION!$H$2:$H$24</formula1>
    </dataValidation>
    <dataValidation type="decimal" allowBlank="1" showInputMessage="1" showErrorMessage="1" prompt="Ingrese Núm. Procesos Externos - Debe ingresar SÓLO la cantidad de los PROCESOS EXTERNOS." sqref="Q2:Q3 Q12:Q13">
      <formula1>0.0</formula1>
      <formula2>15.0</formula2>
    </dataValidation>
    <dataValidation type="list" allowBlank="1" showInputMessage="1" showErrorMessage="1" prompt="Elegir bien - Elija de acuerdo a la fuente por donde la persona seleccionada postuló o se participó del proceso._x000a_Puede ser P, C (CORREO) o E (EXTERNO), dependiendo el caso." sqref="AK2:AK115">
      <formula1>"C,P,E"</formula1>
    </dataValidation>
    <dataValidation type="custom" allowBlank="1" showInputMessage="1" prompt="Ingresar RUT en el formato indicado. Si esta celda está en rojo es porque la persona ya ha resultado seleccionada a lo largo del año, o bien porque se ha ingresado un proceso idéntico a la base de datos." sqref="V1:V3 V12:V13">
      <formula1>LEN(10)</formula1>
    </dataValidation>
    <dataValidation type="list" allowBlank="1" showInputMessage="1" showErrorMessage="1" prompt="Indicar si hubo 2° proceso - Indicar si hubo:_x000a_Proceso Externo: Externo_x000a_No hubo: No" sqref="N2:N115">
      <formula1>"EXTERNO,NO"</formula1>
    </dataValidation>
    <dataValidation type="custom" allowBlank="1" showInputMessage="1" prompt="Ingresar primer nombre y apellidos en mayúscula, sin tilde y sin Ñ." sqref="T1:U1 U2:U3 U12:U13">
      <formula1>ISERROR(SEARCH((""/""),(T1)))</formula1>
    </dataValidation>
  </dataValidations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sheetData>
    <row r="1">
      <c r="A1" s="44" t="s">
        <v>1542</v>
      </c>
      <c r="B1" s="27" t="s">
        <v>1543</v>
      </c>
      <c r="C1" s="28" t="s">
        <v>1544</v>
      </c>
      <c r="D1" s="29" t="s">
        <v>1545</v>
      </c>
      <c r="E1" s="29" t="s">
        <v>1546</v>
      </c>
      <c r="F1" s="30" t="s">
        <v>1547</v>
      </c>
      <c r="G1" s="28" t="s">
        <v>1548</v>
      </c>
      <c r="H1" s="29" t="s">
        <v>1589</v>
      </c>
      <c r="I1" s="29" t="s">
        <v>1550</v>
      </c>
      <c r="J1" s="29" t="s">
        <v>1551</v>
      </c>
      <c r="K1" s="29" t="s">
        <v>1552</v>
      </c>
      <c r="L1" s="29" t="s">
        <v>2535</v>
      </c>
      <c r="M1" s="29" t="s">
        <v>1554</v>
      </c>
      <c r="N1" s="29" t="s">
        <v>2536</v>
      </c>
      <c r="O1" s="29" t="s">
        <v>1556</v>
      </c>
      <c r="P1" s="29" t="s">
        <v>1557</v>
      </c>
      <c r="Q1" s="28" t="s">
        <v>2537</v>
      </c>
      <c r="R1" s="29" t="s">
        <v>1559</v>
      </c>
      <c r="S1" s="31" t="s">
        <v>1560</v>
      </c>
      <c r="T1" s="29" t="s">
        <v>1561</v>
      </c>
      <c r="U1" s="28" t="s">
        <v>1562</v>
      </c>
      <c r="V1" s="28" t="s">
        <v>2060</v>
      </c>
      <c r="W1" s="29" t="s">
        <v>1563</v>
      </c>
      <c r="X1" s="29" t="s">
        <v>1564</v>
      </c>
      <c r="Y1" s="29" t="s">
        <v>1565</v>
      </c>
      <c r="Z1" s="29" t="s">
        <v>1566</v>
      </c>
      <c r="AA1" s="31" t="s">
        <v>1567</v>
      </c>
      <c r="AB1" s="31" t="s">
        <v>1568</v>
      </c>
      <c r="AC1" s="29" t="s">
        <v>1569</v>
      </c>
      <c r="AD1" s="29" t="s">
        <v>1570</v>
      </c>
      <c r="AE1" s="29" t="s">
        <v>1571</v>
      </c>
      <c r="AF1" s="29" t="s">
        <v>1572</v>
      </c>
      <c r="AG1" s="32" t="s">
        <v>1573</v>
      </c>
      <c r="AH1" s="194" t="s">
        <v>1574</v>
      </c>
      <c r="AI1" s="194" t="s">
        <v>1575</v>
      </c>
      <c r="AJ1" s="156" t="s">
        <v>1576</v>
      </c>
      <c r="AK1" s="29" t="s">
        <v>1577</v>
      </c>
      <c r="AL1" s="29" t="s">
        <v>2538</v>
      </c>
      <c r="AM1" s="44" t="s">
        <v>2539</v>
      </c>
    </row>
    <row r="2">
      <c r="A2" s="158">
        <f t="shared" ref="A2:A31" si="1">IFERROR(LEFT(V2,LEN(V2)-2)*1,"")</f>
        <v>16367301</v>
      </c>
      <c r="B2" s="236">
        <v>1.0</v>
      </c>
      <c r="C2" s="302" t="s">
        <v>4631</v>
      </c>
      <c r="D2" s="184">
        <f>IFERROR(VLOOKUP(E2,INFORMACION!E:F,2,0),"INGRESAR CENTRO DE COSTO A LA DERECHA")</f>
        <v>120</v>
      </c>
      <c r="E2" s="184" t="s">
        <v>3552</v>
      </c>
      <c r="F2" s="184" t="s">
        <v>3335</v>
      </c>
      <c r="G2" s="302" t="s">
        <v>4632</v>
      </c>
      <c r="H2" s="302">
        <v>10.0</v>
      </c>
      <c r="I2" s="186" t="s">
        <v>2541</v>
      </c>
      <c r="J2" s="184" t="s">
        <v>112</v>
      </c>
      <c r="K2" s="184" t="s">
        <v>114</v>
      </c>
      <c r="L2" s="184" t="s">
        <v>117</v>
      </c>
      <c r="M2" s="302">
        <v>3.0</v>
      </c>
      <c r="N2" s="184" t="s">
        <v>116</v>
      </c>
      <c r="O2" s="302">
        <v>29.0</v>
      </c>
      <c r="P2" s="302">
        <v>2.0</v>
      </c>
      <c r="Q2" s="302">
        <v>0.0</v>
      </c>
      <c r="R2" s="184" t="s">
        <v>121</v>
      </c>
      <c r="S2" s="303">
        <v>43943.0</v>
      </c>
      <c r="T2" s="241"/>
      <c r="U2" s="302" t="s">
        <v>4633</v>
      </c>
      <c r="V2" s="302" t="s">
        <v>4634</v>
      </c>
      <c r="W2" s="184" t="s">
        <v>118</v>
      </c>
      <c r="X2" s="197" t="s">
        <v>138</v>
      </c>
      <c r="Y2" s="197"/>
      <c r="Z2" s="197"/>
      <c r="AA2" s="303">
        <v>43902.0</v>
      </c>
      <c r="AB2" s="303">
        <v>43908.0</v>
      </c>
      <c r="AC2" s="304"/>
      <c r="AD2" s="304"/>
      <c r="AE2" s="304"/>
      <c r="AF2" s="304"/>
      <c r="AG2" s="304"/>
      <c r="AH2" s="244" t="s">
        <v>2071</v>
      </c>
      <c r="AI2" s="302" t="s">
        <v>4635</v>
      </c>
      <c r="AJ2" s="184"/>
      <c r="AK2" s="184" t="s">
        <v>2163</v>
      </c>
      <c r="AL2" s="200">
        <f t="shared" ref="AL2:AL31" si="2">IF(AB2="","",IF(AND(NETWORKDAYS(AB2,S2)&gt;1000,NETWORKDAYS(AB2,S2)&lt;1),"",(NETWORKDAYS(AB2,S2))))</f>
        <v>26</v>
      </c>
      <c r="AM2" s="201">
        <v>2020.0</v>
      </c>
    </row>
    <row r="3">
      <c r="A3" s="158">
        <f t="shared" si="1"/>
        <v>18756738</v>
      </c>
      <c r="B3" s="236">
        <v>2.0</v>
      </c>
      <c r="C3" s="302" t="s">
        <v>4636</v>
      </c>
      <c r="D3" s="184">
        <f>IFERROR(VLOOKUP(E3,INFORMACION!E:F,2,0),"INGRESAR CENTRO DE COSTO A LA DERECHA")</f>
        <v>3</v>
      </c>
      <c r="E3" s="184" t="s">
        <v>2883</v>
      </c>
      <c r="F3" s="184" t="s">
        <v>3057</v>
      </c>
      <c r="G3" s="302" t="s">
        <v>4637</v>
      </c>
      <c r="H3" s="302">
        <v>12.0</v>
      </c>
      <c r="I3" s="186" t="s">
        <v>2541</v>
      </c>
      <c r="J3" s="184" t="s">
        <v>112</v>
      </c>
      <c r="K3" s="184" t="s">
        <v>125</v>
      </c>
      <c r="L3" s="184" t="s">
        <v>117</v>
      </c>
      <c r="M3" s="302">
        <v>2.0</v>
      </c>
      <c r="N3" s="184" t="s">
        <v>122</v>
      </c>
      <c r="O3" s="304"/>
      <c r="P3" s="302">
        <v>1.0</v>
      </c>
      <c r="Q3" s="302">
        <v>0.0</v>
      </c>
      <c r="R3" s="184" t="s">
        <v>115</v>
      </c>
      <c r="S3" s="303">
        <v>43992.0</v>
      </c>
      <c r="T3" s="241" t="s">
        <v>919</v>
      </c>
      <c r="U3" s="304"/>
      <c r="V3" s="302" t="s">
        <v>4091</v>
      </c>
      <c r="W3" s="184" t="s">
        <v>118</v>
      </c>
      <c r="X3" s="197" t="s">
        <v>176</v>
      </c>
      <c r="Y3" s="197"/>
      <c r="Z3" s="197"/>
      <c r="AA3" s="303">
        <v>43896.0</v>
      </c>
      <c r="AB3" s="303">
        <v>43903.0</v>
      </c>
      <c r="AC3" s="304"/>
      <c r="AD3" s="304"/>
      <c r="AE3" s="304"/>
      <c r="AF3" s="304"/>
      <c r="AG3" s="304"/>
      <c r="AH3" s="244" t="s">
        <v>2071</v>
      </c>
      <c r="AI3" s="302" t="s">
        <v>4638</v>
      </c>
      <c r="AJ3" s="184"/>
      <c r="AK3" s="184" t="s">
        <v>1612</v>
      </c>
      <c r="AL3" s="200">
        <f t="shared" si="2"/>
        <v>64</v>
      </c>
      <c r="AM3" s="201">
        <v>2020.0</v>
      </c>
    </row>
    <row r="4">
      <c r="A4" s="158">
        <f t="shared" si="1"/>
        <v>19142636</v>
      </c>
      <c r="B4" s="236">
        <v>3.0</v>
      </c>
      <c r="C4" s="302" t="s">
        <v>4639</v>
      </c>
      <c r="D4" s="184">
        <f>IFERROR(VLOOKUP(E4,INFORMACION!E:F,2,0),"INGRESAR CENTRO DE COSTO A LA DERECHA")</f>
        <v>40</v>
      </c>
      <c r="E4" s="184" t="s">
        <v>2877</v>
      </c>
      <c r="F4" s="184" t="s">
        <v>2707</v>
      </c>
      <c r="G4" s="302" t="s">
        <v>4640</v>
      </c>
      <c r="H4" s="302">
        <v>17.0</v>
      </c>
      <c r="I4" s="186" t="s">
        <v>2541</v>
      </c>
      <c r="J4" s="184" t="s">
        <v>112</v>
      </c>
      <c r="K4" s="184" t="s">
        <v>125</v>
      </c>
      <c r="L4" s="184" t="s">
        <v>117</v>
      </c>
      <c r="M4" s="302">
        <v>1.0</v>
      </c>
      <c r="N4" s="184" t="s">
        <v>116</v>
      </c>
      <c r="O4" s="302">
        <v>12.0</v>
      </c>
      <c r="P4" s="302">
        <v>1.0</v>
      </c>
      <c r="Q4" s="302">
        <v>0.0</v>
      </c>
      <c r="R4" s="184" t="s">
        <v>115</v>
      </c>
      <c r="S4" s="303">
        <v>44006.0</v>
      </c>
      <c r="T4" s="241"/>
      <c r="U4" s="302" t="s">
        <v>4641</v>
      </c>
      <c r="V4" s="302" t="s">
        <v>4642</v>
      </c>
      <c r="W4" s="184" t="s">
        <v>122</v>
      </c>
      <c r="X4" s="197"/>
      <c r="Y4" s="197"/>
      <c r="Z4" s="197"/>
      <c r="AA4" s="303">
        <v>43896.0</v>
      </c>
      <c r="AB4" s="303">
        <v>43903.0</v>
      </c>
      <c r="AC4" s="304"/>
      <c r="AD4" s="304"/>
      <c r="AE4" s="304"/>
      <c r="AF4" s="304"/>
      <c r="AG4" s="304"/>
      <c r="AH4" s="244" t="s">
        <v>2071</v>
      </c>
      <c r="AI4" s="302" t="s">
        <v>4643</v>
      </c>
      <c r="AJ4" s="184"/>
      <c r="AK4" s="184" t="s">
        <v>2163</v>
      </c>
      <c r="AL4" s="200">
        <f t="shared" si="2"/>
        <v>74</v>
      </c>
      <c r="AM4" s="201">
        <v>2020.0</v>
      </c>
    </row>
    <row r="5">
      <c r="A5" s="158">
        <f t="shared" si="1"/>
        <v>10732787</v>
      </c>
      <c r="B5" s="236">
        <v>4.0</v>
      </c>
      <c r="C5" s="302" t="s">
        <v>4644</v>
      </c>
      <c r="D5" s="184">
        <f>IFERROR(VLOOKUP(E5,INFORMACION!E:F,2,0),"INGRESAR CENTRO DE COSTO A LA DERECHA")</f>
        <v>120</v>
      </c>
      <c r="E5" s="184" t="s">
        <v>3000</v>
      </c>
      <c r="F5" s="184" t="s">
        <v>1937</v>
      </c>
      <c r="G5" s="302" t="s">
        <v>4645</v>
      </c>
      <c r="H5" s="302">
        <v>13.0</v>
      </c>
      <c r="I5" s="186" t="s">
        <v>2541</v>
      </c>
      <c r="J5" s="184" t="s">
        <v>112</v>
      </c>
      <c r="K5" s="184" t="s">
        <v>114</v>
      </c>
      <c r="L5" s="184" t="s">
        <v>117</v>
      </c>
      <c r="M5" s="302">
        <v>2.0</v>
      </c>
      <c r="N5" s="184" t="s">
        <v>122</v>
      </c>
      <c r="O5" s="304"/>
      <c r="P5" s="302">
        <v>2.0</v>
      </c>
      <c r="Q5" s="302">
        <v>0.0</v>
      </c>
      <c r="R5" s="184" t="s">
        <v>115</v>
      </c>
      <c r="S5" s="303">
        <v>43969.0</v>
      </c>
      <c r="T5" s="241" t="s">
        <v>305</v>
      </c>
      <c r="U5" s="304"/>
      <c r="V5" s="302" t="s">
        <v>4646</v>
      </c>
      <c r="W5" s="184" t="s">
        <v>118</v>
      </c>
      <c r="X5" s="197" t="s">
        <v>138</v>
      </c>
      <c r="Y5" s="197" t="s">
        <v>154</v>
      </c>
      <c r="Z5" s="197"/>
      <c r="AA5" s="303">
        <v>43903.0</v>
      </c>
      <c r="AB5" s="303">
        <v>43910.0</v>
      </c>
      <c r="AC5" s="304"/>
      <c r="AD5" s="304"/>
      <c r="AE5" s="304"/>
      <c r="AF5" s="304"/>
      <c r="AG5" s="304"/>
      <c r="AH5" s="244" t="s">
        <v>2071</v>
      </c>
      <c r="AI5" s="302" t="s">
        <v>2597</v>
      </c>
      <c r="AJ5" s="184"/>
      <c r="AK5" s="184" t="s">
        <v>1612</v>
      </c>
      <c r="AL5" s="200">
        <f t="shared" si="2"/>
        <v>42</v>
      </c>
      <c r="AM5" s="201">
        <v>2020.0</v>
      </c>
    </row>
    <row r="6">
      <c r="A6" s="158">
        <f t="shared" si="1"/>
        <v>12575053</v>
      </c>
      <c r="B6" s="236">
        <v>5.0</v>
      </c>
      <c r="C6" s="302" t="s">
        <v>4644</v>
      </c>
      <c r="D6" s="184">
        <f>IFERROR(VLOOKUP(E6,INFORMACION!E:F,2,0),"INGRESAR CENTRO DE COSTO A LA DERECHA")</f>
        <v>120</v>
      </c>
      <c r="E6" s="184" t="s">
        <v>3000</v>
      </c>
      <c r="F6" s="184" t="s">
        <v>1937</v>
      </c>
      <c r="G6" s="302" t="s">
        <v>4645</v>
      </c>
      <c r="H6" s="302">
        <v>13.0</v>
      </c>
      <c r="I6" s="186" t="s">
        <v>2541</v>
      </c>
      <c r="J6" s="184" t="s">
        <v>112</v>
      </c>
      <c r="K6" s="184" t="s">
        <v>114</v>
      </c>
      <c r="L6" s="184" t="s">
        <v>117</v>
      </c>
      <c r="M6" s="302">
        <v>2.0</v>
      </c>
      <c r="N6" s="184" t="s">
        <v>122</v>
      </c>
      <c r="O6" s="304"/>
      <c r="P6" s="302">
        <v>2.0</v>
      </c>
      <c r="Q6" s="302">
        <v>0.0</v>
      </c>
      <c r="R6" s="184" t="s">
        <v>115</v>
      </c>
      <c r="S6" s="303">
        <v>43969.0</v>
      </c>
      <c r="T6" s="241" t="s">
        <v>409</v>
      </c>
      <c r="U6" s="304"/>
      <c r="V6" s="302" t="s">
        <v>2437</v>
      </c>
      <c r="W6" s="184" t="s">
        <v>118</v>
      </c>
      <c r="X6" s="197" t="s">
        <v>138</v>
      </c>
      <c r="Y6" s="197"/>
      <c r="Z6" s="197"/>
      <c r="AA6" s="303">
        <v>43903.0</v>
      </c>
      <c r="AB6" s="303">
        <v>43910.0</v>
      </c>
      <c r="AC6" s="304"/>
      <c r="AD6" s="304"/>
      <c r="AE6" s="304"/>
      <c r="AF6" s="304"/>
      <c r="AG6" s="304"/>
      <c r="AH6" s="244" t="s">
        <v>2071</v>
      </c>
      <c r="AI6" s="302" t="s">
        <v>2597</v>
      </c>
      <c r="AJ6" s="184"/>
      <c r="AK6" s="184" t="s">
        <v>1612</v>
      </c>
      <c r="AL6" s="200">
        <f t="shared" si="2"/>
        <v>42</v>
      </c>
      <c r="AM6" s="201">
        <v>2020.0</v>
      </c>
    </row>
    <row r="7">
      <c r="A7" s="158">
        <f t="shared" si="1"/>
        <v>17711140</v>
      </c>
      <c r="B7" s="236">
        <v>6.0</v>
      </c>
      <c r="C7" s="302" t="s">
        <v>4647</v>
      </c>
      <c r="D7" s="184">
        <f>IFERROR(VLOOKUP(E7,INFORMACION!E:F,2,0),"INGRESAR CENTRO DE COSTO A LA DERECHA")</f>
        <v>120</v>
      </c>
      <c r="E7" s="184" t="s">
        <v>3000</v>
      </c>
      <c r="F7" s="184" t="s">
        <v>1937</v>
      </c>
      <c r="G7" s="302" t="s">
        <v>4648</v>
      </c>
      <c r="H7" s="302">
        <v>13.0</v>
      </c>
      <c r="I7" s="186" t="s">
        <v>2541</v>
      </c>
      <c r="J7" s="184" t="s">
        <v>112</v>
      </c>
      <c r="K7" s="184" t="s">
        <v>114</v>
      </c>
      <c r="L7" s="184" t="s">
        <v>122</v>
      </c>
      <c r="M7" s="304"/>
      <c r="N7" s="184" t="s">
        <v>116</v>
      </c>
      <c r="O7" s="302">
        <v>19.0</v>
      </c>
      <c r="P7" s="302">
        <v>1.0</v>
      </c>
      <c r="Q7" s="302">
        <v>0.0</v>
      </c>
      <c r="R7" s="184" t="s">
        <v>121</v>
      </c>
      <c r="S7" s="303">
        <v>43969.0</v>
      </c>
      <c r="T7" s="241"/>
      <c r="U7" s="302" t="s">
        <v>4649</v>
      </c>
      <c r="V7" s="302" t="s">
        <v>4650</v>
      </c>
      <c r="W7" s="184" t="s">
        <v>118</v>
      </c>
      <c r="X7" s="197" t="s">
        <v>176</v>
      </c>
      <c r="Y7" s="197"/>
      <c r="Z7" s="197"/>
      <c r="AA7" s="303">
        <v>43903.0</v>
      </c>
      <c r="AB7" s="303">
        <v>43910.0</v>
      </c>
      <c r="AC7" s="304"/>
      <c r="AD7" s="304"/>
      <c r="AE7" s="304"/>
      <c r="AF7" s="304"/>
      <c r="AG7" s="304"/>
      <c r="AH7" s="244" t="s">
        <v>2071</v>
      </c>
      <c r="AI7" s="302" t="s">
        <v>2597</v>
      </c>
      <c r="AJ7" s="184"/>
      <c r="AK7" s="184" t="s">
        <v>2163</v>
      </c>
      <c r="AL7" s="200">
        <f t="shared" si="2"/>
        <v>42</v>
      </c>
      <c r="AM7" s="201">
        <v>2020.0</v>
      </c>
    </row>
    <row r="8">
      <c r="A8" s="158">
        <f t="shared" si="1"/>
        <v>17600659</v>
      </c>
      <c r="B8" s="236">
        <v>7.0</v>
      </c>
      <c r="C8" s="302" t="s">
        <v>4651</v>
      </c>
      <c r="D8" s="184">
        <f>IFERROR(VLOOKUP(E8,INFORMACION!E:F,2,0),"INGRESAR CENTRO DE COSTO A LA DERECHA")</f>
        <v>120</v>
      </c>
      <c r="E8" s="184" t="s">
        <v>3000</v>
      </c>
      <c r="F8" s="184" t="s">
        <v>1937</v>
      </c>
      <c r="G8" s="302" t="s">
        <v>1711</v>
      </c>
      <c r="H8" s="302">
        <v>13.0</v>
      </c>
      <c r="I8" s="186" t="s">
        <v>2541</v>
      </c>
      <c r="J8" s="184" t="s">
        <v>112</v>
      </c>
      <c r="K8" s="184" t="s">
        <v>114</v>
      </c>
      <c r="L8" s="184" t="s">
        <v>122</v>
      </c>
      <c r="M8" s="304"/>
      <c r="N8" s="184" t="s">
        <v>116</v>
      </c>
      <c r="O8" s="302">
        <v>28.0</v>
      </c>
      <c r="P8" s="302">
        <v>1.0</v>
      </c>
      <c r="Q8" s="302">
        <v>0.0</v>
      </c>
      <c r="R8" s="184" t="s">
        <v>121</v>
      </c>
      <c r="S8" s="303">
        <v>43983.0</v>
      </c>
      <c r="T8" s="241"/>
      <c r="U8" s="302" t="s">
        <v>4652</v>
      </c>
      <c r="V8" s="302" t="s">
        <v>4653</v>
      </c>
      <c r="W8" s="184" t="s">
        <v>118</v>
      </c>
      <c r="X8" s="197" t="s">
        <v>176</v>
      </c>
      <c r="Y8" s="197"/>
      <c r="Z8" s="197"/>
      <c r="AA8" s="303">
        <v>43929.0</v>
      </c>
      <c r="AB8" s="303">
        <v>43936.0</v>
      </c>
      <c r="AC8" s="304"/>
      <c r="AD8" s="304"/>
      <c r="AE8" s="304"/>
      <c r="AF8" s="304"/>
      <c r="AG8" s="304"/>
      <c r="AH8" s="244" t="s">
        <v>2071</v>
      </c>
      <c r="AI8" s="302" t="s">
        <v>4654</v>
      </c>
      <c r="AJ8" s="184"/>
      <c r="AK8" s="184" t="s">
        <v>1612</v>
      </c>
      <c r="AL8" s="200">
        <f t="shared" si="2"/>
        <v>34</v>
      </c>
      <c r="AM8" s="201">
        <v>2020.0</v>
      </c>
    </row>
    <row r="9">
      <c r="A9" s="158">
        <f t="shared" si="1"/>
        <v>16077167</v>
      </c>
      <c r="B9" s="236">
        <v>8.0</v>
      </c>
      <c r="C9" s="302" t="s">
        <v>4655</v>
      </c>
      <c r="D9" s="184">
        <f>IFERROR(VLOOKUP(E9,INFORMACION!E:F,2,0),"INGRESAR CENTRO DE COSTO A LA DERECHA")</f>
        <v>120</v>
      </c>
      <c r="E9" s="184" t="s">
        <v>3000</v>
      </c>
      <c r="F9" s="184" t="s">
        <v>1937</v>
      </c>
      <c r="G9" s="302" t="s">
        <v>1711</v>
      </c>
      <c r="H9" s="302">
        <v>13.0</v>
      </c>
      <c r="I9" s="186" t="s">
        <v>2541</v>
      </c>
      <c r="J9" s="184" t="s">
        <v>112</v>
      </c>
      <c r="K9" s="184" t="s">
        <v>114</v>
      </c>
      <c r="L9" s="184" t="s">
        <v>122</v>
      </c>
      <c r="M9" s="304"/>
      <c r="N9" s="184" t="s">
        <v>116</v>
      </c>
      <c r="O9" s="302">
        <v>31.0</v>
      </c>
      <c r="P9" s="302">
        <v>1.0</v>
      </c>
      <c r="Q9" s="302">
        <v>0.0</v>
      </c>
      <c r="R9" s="184" t="s">
        <v>121</v>
      </c>
      <c r="S9" s="303">
        <v>43983.0</v>
      </c>
      <c r="T9" s="241"/>
      <c r="U9" s="302" t="s">
        <v>4656</v>
      </c>
      <c r="V9" s="302" t="s">
        <v>4657</v>
      </c>
      <c r="W9" s="184" t="s">
        <v>118</v>
      </c>
      <c r="X9" s="197" t="s">
        <v>138</v>
      </c>
      <c r="Y9" s="197" t="s">
        <v>176</v>
      </c>
      <c r="Z9" s="197"/>
      <c r="AA9" s="303">
        <v>43929.0</v>
      </c>
      <c r="AB9" s="303">
        <v>43936.0</v>
      </c>
      <c r="AC9" s="304"/>
      <c r="AD9" s="304"/>
      <c r="AE9" s="304"/>
      <c r="AF9" s="304"/>
      <c r="AG9" s="304"/>
      <c r="AH9" s="244" t="s">
        <v>2071</v>
      </c>
      <c r="AI9" s="302" t="s">
        <v>4658</v>
      </c>
      <c r="AJ9" s="184"/>
      <c r="AK9" s="184" t="s">
        <v>1612</v>
      </c>
      <c r="AL9" s="200">
        <f t="shared" si="2"/>
        <v>34</v>
      </c>
      <c r="AM9" s="201">
        <v>2020.0</v>
      </c>
    </row>
    <row r="10">
      <c r="A10" s="158" t="str">
        <f t="shared" si="1"/>
        <v/>
      </c>
      <c r="B10" s="236">
        <v>9.0</v>
      </c>
      <c r="C10" s="302" t="s">
        <v>4659</v>
      </c>
      <c r="D10" s="184">
        <f>IFERROR(VLOOKUP(E10,INFORMACION!E:F,2,0),"INGRESAR CENTRO DE COSTO A LA DERECHA")</f>
        <v>120</v>
      </c>
      <c r="E10" s="184" t="s">
        <v>3000</v>
      </c>
      <c r="F10" s="184" t="s">
        <v>3309</v>
      </c>
      <c r="G10" s="302" t="s">
        <v>4660</v>
      </c>
      <c r="H10" s="302">
        <v>13.0</v>
      </c>
      <c r="I10" s="186" t="s">
        <v>2541</v>
      </c>
      <c r="J10" s="184" t="s">
        <v>112</v>
      </c>
      <c r="K10" s="184" t="s">
        <v>125</v>
      </c>
      <c r="L10" s="184" t="s">
        <v>122</v>
      </c>
      <c r="M10" s="304"/>
      <c r="N10" s="184" t="s">
        <v>116</v>
      </c>
      <c r="O10" s="302">
        <v>9.0</v>
      </c>
      <c r="P10" s="302">
        <v>3.0</v>
      </c>
      <c r="Q10" s="302">
        <v>0.0</v>
      </c>
      <c r="R10" s="184" t="s">
        <v>115</v>
      </c>
      <c r="S10" s="303">
        <v>44137.0</v>
      </c>
      <c r="T10" s="241"/>
      <c r="U10" s="302" t="s">
        <v>4661</v>
      </c>
      <c r="V10" s="302" t="s">
        <v>4612</v>
      </c>
      <c r="W10" s="184"/>
      <c r="X10" s="197"/>
      <c r="Y10" s="197"/>
      <c r="Z10" s="197"/>
      <c r="AA10" s="303">
        <v>44022.0</v>
      </c>
      <c r="AB10" s="303">
        <v>44029.0</v>
      </c>
      <c r="AC10" s="304"/>
      <c r="AD10" s="304"/>
      <c r="AE10" s="304"/>
      <c r="AF10" s="304"/>
      <c r="AG10" s="304"/>
      <c r="AH10" s="244"/>
      <c r="AI10" s="304"/>
      <c r="AJ10" s="184"/>
      <c r="AK10" s="184"/>
      <c r="AL10" s="200">
        <f t="shared" si="2"/>
        <v>77</v>
      </c>
      <c r="AM10" s="201">
        <v>2020.0</v>
      </c>
    </row>
    <row r="11">
      <c r="A11" s="158" t="str">
        <f t="shared" si="1"/>
        <v/>
      </c>
      <c r="B11" s="236">
        <v>10.0</v>
      </c>
      <c r="C11" s="302" t="s">
        <v>4662</v>
      </c>
      <c r="D11" s="184">
        <f>IFERROR(VLOOKUP(E11,INFORMACION!E:F,2,0),"INGRESAR CENTRO DE COSTO A LA DERECHA")</f>
        <v>120</v>
      </c>
      <c r="E11" s="184" t="s">
        <v>3000</v>
      </c>
      <c r="F11" s="184" t="s">
        <v>1937</v>
      </c>
      <c r="G11" s="302" t="s">
        <v>4663</v>
      </c>
      <c r="H11" s="302">
        <v>13.0</v>
      </c>
      <c r="I11" s="186" t="s">
        <v>2541</v>
      </c>
      <c r="J11" s="184" t="s">
        <v>112</v>
      </c>
      <c r="K11" s="184" t="s">
        <v>114</v>
      </c>
      <c r="L11" s="184" t="s">
        <v>122</v>
      </c>
      <c r="M11" s="304"/>
      <c r="N11" s="184" t="s">
        <v>116</v>
      </c>
      <c r="O11" s="302">
        <v>36.0</v>
      </c>
      <c r="P11" s="302">
        <v>2.0</v>
      </c>
      <c r="Q11" s="302">
        <v>0.0</v>
      </c>
      <c r="R11" s="184" t="s">
        <v>115</v>
      </c>
      <c r="S11" s="303">
        <v>44348.0</v>
      </c>
      <c r="T11" s="241"/>
      <c r="U11" s="302" t="s">
        <v>4664</v>
      </c>
      <c r="V11" s="302" t="s">
        <v>4612</v>
      </c>
      <c r="W11" s="184"/>
      <c r="X11" s="197"/>
      <c r="Y11" s="197"/>
      <c r="Z11" s="197"/>
      <c r="AA11" s="303">
        <v>44200.0</v>
      </c>
      <c r="AB11" s="303">
        <v>44207.0</v>
      </c>
      <c r="AC11" s="304"/>
      <c r="AD11" s="304"/>
      <c r="AE11" s="304"/>
      <c r="AF11" s="304"/>
      <c r="AG11" s="304"/>
      <c r="AH11" s="244"/>
      <c r="AI11" s="304"/>
      <c r="AJ11" s="184"/>
      <c r="AK11" s="184"/>
      <c r="AL11" s="200">
        <f t="shared" si="2"/>
        <v>102</v>
      </c>
      <c r="AM11" s="201">
        <v>2020.0</v>
      </c>
    </row>
    <row r="12">
      <c r="A12" s="158" t="str">
        <f t="shared" si="1"/>
        <v/>
      </c>
      <c r="B12" s="236">
        <v>11.0</v>
      </c>
      <c r="C12" s="302" t="s">
        <v>4665</v>
      </c>
      <c r="D12" s="184">
        <f>IFERROR(VLOOKUP(E12,INFORMACION!E:F,2,0),"INGRESAR CENTRO DE COSTO A LA DERECHA")</f>
        <v>50</v>
      </c>
      <c r="E12" s="184" t="s">
        <v>3081</v>
      </c>
      <c r="F12" s="184" t="s">
        <v>2540</v>
      </c>
      <c r="G12" s="304"/>
      <c r="H12" s="302">
        <v>17.0</v>
      </c>
      <c r="I12" s="186" t="s">
        <v>2541</v>
      </c>
      <c r="J12" s="184" t="s">
        <v>112</v>
      </c>
      <c r="K12" s="184" t="s">
        <v>120</v>
      </c>
      <c r="L12" s="184" t="s">
        <v>117</v>
      </c>
      <c r="M12" s="302">
        <v>1.0</v>
      </c>
      <c r="N12" s="184" t="s">
        <v>116</v>
      </c>
      <c r="O12" s="302">
        <v>26.0</v>
      </c>
      <c r="P12" s="302">
        <v>3.0</v>
      </c>
      <c r="Q12" s="302">
        <v>1.0</v>
      </c>
      <c r="R12" s="184" t="s">
        <v>121</v>
      </c>
      <c r="S12" s="303">
        <v>44287.0</v>
      </c>
      <c r="T12" s="241"/>
      <c r="U12" s="302" t="s">
        <v>4666</v>
      </c>
      <c r="V12" s="302" t="s">
        <v>4612</v>
      </c>
      <c r="W12" s="184"/>
      <c r="X12" s="197"/>
      <c r="Y12" s="197"/>
      <c r="Z12" s="197"/>
      <c r="AA12" s="303">
        <v>43902.0</v>
      </c>
      <c r="AB12" s="303">
        <v>43908.0</v>
      </c>
      <c r="AC12" s="304"/>
      <c r="AD12" s="304"/>
      <c r="AE12" s="304"/>
      <c r="AF12" s="304"/>
      <c r="AG12" s="304"/>
      <c r="AH12" s="244"/>
      <c r="AI12" s="304"/>
      <c r="AJ12" s="184"/>
      <c r="AK12" s="184"/>
      <c r="AL12" s="200">
        <f t="shared" si="2"/>
        <v>272</v>
      </c>
      <c r="AM12" s="201">
        <v>2020.0</v>
      </c>
    </row>
    <row r="13">
      <c r="A13" s="158" t="str">
        <f t="shared" si="1"/>
        <v/>
      </c>
      <c r="B13" s="236">
        <v>12.0</v>
      </c>
      <c r="C13" s="304"/>
      <c r="D13" s="184" t="str">
        <f>IFERROR(VLOOKUP(E13,INFORMACION!E:F,2,0),"INGRESAR CENTRO DE COSTO A LA DERECHA")</f>
        <v>INGRESAR CENTRO DE COSTO A LA DERECHA</v>
      </c>
      <c r="E13" s="184"/>
      <c r="F13" s="184"/>
      <c r="G13" s="304"/>
      <c r="H13" s="304"/>
      <c r="I13" s="186"/>
      <c r="J13" s="184"/>
      <c r="K13" s="184"/>
      <c r="L13" s="184"/>
      <c r="M13" s="304"/>
      <c r="N13" s="184"/>
      <c r="O13" s="304"/>
      <c r="P13" s="304"/>
      <c r="Q13" s="304"/>
      <c r="R13" s="184"/>
      <c r="S13" s="304"/>
      <c r="T13" s="241"/>
      <c r="U13" s="304"/>
      <c r="V13" s="304"/>
      <c r="W13" s="184"/>
      <c r="X13" s="197"/>
      <c r="Y13" s="197"/>
      <c r="Z13" s="197"/>
      <c r="AA13" s="304"/>
      <c r="AB13" s="304"/>
      <c r="AC13" s="304"/>
      <c r="AD13" s="304"/>
      <c r="AE13" s="304"/>
      <c r="AF13" s="304"/>
      <c r="AG13" s="304"/>
      <c r="AH13" s="244"/>
      <c r="AI13" s="304"/>
      <c r="AJ13" s="184"/>
      <c r="AK13" s="184"/>
      <c r="AL13" s="200" t="str">
        <f t="shared" si="2"/>
        <v/>
      </c>
      <c r="AM13" s="201">
        <v>2020.0</v>
      </c>
    </row>
    <row r="14">
      <c r="A14" s="158" t="str">
        <f t="shared" si="1"/>
        <v/>
      </c>
      <c r="B14" s="236">
        <v>13.0</v>
      </c>
      <c r="C14" s="304"/>
      <c r="D14" s="184" t="str">
        <f>IFERROR(VLOOKUP(E14,INFORMACION!E:F,2,0),"INGRESAR CENTRO DE COSTO A LA DERECHA")</f>
        <v>INGRESAR CENTRO DE COSTO A LA DERECHA</v>
      </c>
      <c r="E14" s="184"/>
      <c r="F14" s="184"/>
      <c r="G14" s="304"/>
      <c r="H14" s="304"/>
      <c r="I14" s="186"/>
      <c r="J14" s="184"/>
      <c r="K14" s="184"/>
      <c r="L14" s="184"/>
      <c r="M14" s="304"/>
      <c r="N14" s="184"/>
      <c r="O14" s="304"/>
      <c r="P14" s="304"/>
      <c r="Q14" s="304"/>
      <c r="R14" s="184"/>
      <c r="S14" s="304"/>
      <c r="T14" s="241"/>
      <c r="U14" s="304"/>
      <c r="V14" s="304"/>
      <c r="W14" s="184"/>
      <c r="X14" s="197"/>
      <c r="Y14" s="197"/>
      <c r="Z14" s="197"/>
      <c r="AA14" s="304"/>
      <c r="AB14" s="304"/>
      <c r="AC14" s="304"/>
      <c r="AD14" s="304"/>
      <c r="AE14" s="304"/>
      <c r="AF14" s="304"/>
      <c r="AG14" s="304"/>
      <c r="AH14" s="244"/>
      <c r="AI14" s="304"/>
      <c r="AJ14" s="184"/>
      <c r="AK14" s="184"/>
      <c r="AL14" s="200" t="str">
        <f t="shared" si="2"/>
        <v/>
      </c>
      <c r="AM14" s="201">
        <v>2020.0</v>
      </c>
    </row>
    <row r="15">
      <c r="A15" s="158" t="str">
        <f t="shared" si="1"/>
        <v/>
      </c>
      <c r="B15" s="236">
        <v>14.0</v>
      </c>
      <c r="C15" s="304"/>
      <c r="D15" s="184" t="str">
        <f>IFERROR(VLOOKUP(E15,INFORMACION!E:F,2,0),"INGRESAR CENTRO DE COSTO A LA DERECHA")</f>
        <v>INGRESAR CENTRO DE COSTO A LA DERECHA</v>
      </c>
      <c r="E15" s="184"/>
      <c r="F15" s="184"/>
      <c r="G15" s="304"/>
      <c r="H15" s="304"/>
      <c r="I15" s="186"/>
      <c r="J15" s="184"/>
      <c r="K15" s="184"/>
      <c r="L15" s="184"/>
      <c r="M15" s="304"/>
      <c r="N15" s="184"/>
      <c r="O15" s="304"/>
      <c r="P15" s="304"/>
      <c r="Q15" s="304"/>
      <c r="R15" s="184"/>
      <c r="S15" s="304"/>
      <c r="T15" s="241"/>
      <c r="U15" s="304"/>
      <c r="V15" s="304"/>
      <c r="W15" s="184"/>
      <c r="X15" s="197"/>
      <c r="Y15" s="197"/>
      <c r="Z15" s="197"/>
      <c r="AA15" s="304"/>
      <c r="AB15" s="304"/>
      <c r="AC15" s="304"/>
      <c r="AD15" s="304"/>
      <c r="AE15" s="304"/>
      <c r="AF15" s="304"/>
      <c r="AG15" s="304"/>
      <c r="AH15" s="244"/>
      <c r="AI15" s="304"/>
      <c r="AJ15" s="184"/>
      <c r="AK15" s="184"/>
      <c r="AL15" s="200" t="str">
        <f t="shared" si="2"/>
        <v/>
      </c>
      <c r="AM15" s="201">
        <v>2020.0</v>
      </c>
    </row>
    <row r="16">
      <c r="A16" s="158" t="str">
        <f t="shared" si="1"/>
        <v/>
      </c>
      <c r="B16" s="236">
        <v>15.0</v>
      </c>
      <c r="C16" s="304"/>
      <c r="D16" s="184" t="str">
        <f>IFERROR(VLOOKUP(E16,INFORMACION!E:F,2,0),"INGRESAR CENTRO DE COSTO A LA DERECHA")</f>
        <v>INGRESAR CENTRO DE COSTO A LA DERECHA</v>
      </c>
      <c r="E16" s="184"/>
      <c r="F16" s="184"/>
      <c r="G16" s="304"/>
      <c r="H16" s="304"/>
      <c r="I16" s="186"/>
      <c r="J16" s="184"/>
      <c r="K16" s="184"/>
      <c r="L16" s="184"/>
      <c r="M16" s="304"/>
      <c r="N16" s="184"/>
      <c r="O16" s="304"/>
      <c r="P16" s="304"/>
      <c r="Q16" s="304"/>
      <c r="R16" s="184"/>
      <c r="S16" s="304"/>
      <c r="T16" s="241"/>
      <c r="U16" s="304"/>
      <c r="V16" s="304"/>
      <c r="W16" s="184"/>
      <c r="X16" s="197"/>
      <c r="Y16" s="197"/>
      <c r="Z16" s="197"/>
      <c r="AA16" s="304"/>
      <c r="AB16" s="304"/>
      <c r="AC16" s="304"/>
      <c r="AD16" s="304"/>
      <c r="AE16" s="304"/>
      <c r="AF16" s="304"/>
      <c r="AG16" s="304"/>
      <c r="AH16" s="244"/>
      <c r="AI16" s="304"/>
      <c r="AJ16" s="184"/>
      <c r="AK16" s="184"/>
      <c r="AL16" s="200" t="str">
        <f t="shared" si="2"/>
        <v/>
      </c>
      <c r="AM16" s="201">
        <v>2020.0</v>
      </c>
    </row>
    <row r="17">
      <c r="A17" s="158" t="str">
        <f t="shared" si="1"/>
        <v/>
      </c>
      <c r="B17" s="236">
        <v>16.0</v>
      </c>
      <c r="C17" s="304"/>
      <c r="D17" s="184" t="str">
        <f>IFERROR(VLOOKUP(E17,INFORMACION!E:F,2,0),"INGRESAR CENTRO DE COSTO A LA DERECHA")</f>
        <v>INGRESAR CENTRO DE COSTO A LA DERECHA</v>
      </c>
      <c r="E17" s="184"/>
      <c r="F17" s="184"/>
      <c r="G17" s="304"/>
      <c r="H17" s="304"/>
      <c r="I17" s="186"/>
      <c r="J17" s="184"/>
      <c r="K17" s="184"/>
      <c r="L17" s="184"/>
      <c r="M17" s="304"/>
      <c r="N17" s="184"/>
      <c r="O17" s="304"/>
      <c r="P17" s="304"/>
      <c r="Q17" s="304"/>
      <c r="R17" s="184"/>
      <c r="S17" s="304"/>
      <c r="T17" s="241"/>
      <c r="U17" s="304"/>
      <c r="V17" s="304"/>
      <c r="W17" s="184"/>
      <c r="X17" s="197"/>
      <c r="Y17" s="197"/>
      <c r="Z17" s="197"/>
      <c r="AA17" s="304"/>
      <c r="AB17" s="304"/>
      <c r="AC17" s="304"/>
      <c r="AD17" s="304"/>
      <c r="AE17" s="304"/>
      <c r="AF17" s="304"/>
      <c r="AG17" s="304"/>
      <c r="AH17" s="244"/>
      <c r="AI17" s="304"/>
      <c r="AJ17" s="184"/>
      <c r="AK17" s="184"/>
      <c r="AL17" s="200" t="str">
        <f t="shared" si="2"/>
        <v/>
      </c>
      <c r="AM17" s="201">
        <v>2020.0</v>
      </c>
    </row>
    <row r="18">
      <c r="A18" s="158" t="str">
        <f t="shared" si="1"/>
        <v/>
      </c>
      <c r="B18" s="236">
        <v>17.0</v>
      </c>
      <c r="C18" s="304"/>
      <c r="D18" s="184" t="str">
        <f>IFERROR(VLOOKUP(E18,INFORMACION!E:F,2,0),"INGRESAR CENTRO DE COSTO A LA DERECHA")</f>
        <v>INGRESAR CENTRO DE COSTO A LA DERECHA</v>
      </c>
      <c r="E18" s="184"/>
      <c r="F18" s="184"/>
      <c r="G18" s="304"/>
      <c r="H18" s="304"/>
      <c r="I18" s="186"/>
      <c r="J18" s="184"/>
      <c r="K18" s="184"/>
      <c r="L18" s="184"/>
      <c r="M18" s="304"/>
      <c r="N18" s="184"/>
      <c r="O18" s="304"/>
      <c r="P18" s="304"/>
      <c r="Q18" s="304"/>
      <c r="R18" s="184"/>
      <c r="S18" s="304"/>
      <c r="T18" s="241"/>
      <c r="U18" s="304"/>
      <c r="V18" s="304"/>
      <c r="W18" s="184"/>
      <c r="X18" s="197"/>
      <c r="Y18" s="197"/>
      <c r="Z18" s="197"/>
      <c r="AA18" s="304"/>
      <c r="AB18" s="304"/>
      <c r="AC18" s="304"/>
      <c r="AD18" s="304"/>
      <c r="AE18" s="304"/>
      <c r="AF18" s="304"/>
      <c r="AG18" s="304"/>
      <c r="AH18" s="244"/>
      <c r="AI18" s="304"/>
      <c r="AJ18" s="184"/>
      <c r="AK18" s="184"/>
      <c r="AL18" s="200" t="str">
        <f t="shared" si="2"/>
        <v/>
      </c>
      <c r="AM18" s="201">
        <v>2020.0</v>
      </c>
    </row>
    <row r="19">
      <c r="A19" s="158" t="str">
        <f t="shared" si="1"/>
        <v/>
      </c>
      <c r="B19" s="236">
        <v>18.0</v>
      </c>
      <c r="C19" s="304"/>
      <c r="D19" s="184" t="str">
        <f>IFERROR(VLOOKUP(E19,INFORMACION!E:F,2,0),"INGRESAR CENTRO DE COSTO A LA DERECHA")</f>
        <v>INGRESAR CENTRO DE COSTO A LA DERECHA</v>
      </c>
      <c r="E19" s="184"/>
      <c r="F19" s="184"/>
      <c r="G19" s="304"/>
      <c r="H19" s="304"/>
      <c r="I19" s="186"/>
      <c r="J19" s="184"/>
      <c r="K19" s="184"/>
      <c r="L19" s="184"/>
      <c r="M19" s="304"/>
      <c r="N19" s="184"/>
      <c r="O19" s="304"/>
      <c r="P19" s="304"/>
      <c r="Q19" s="304"/>
      <c r="R19" s="184"/>
      <c r="S19" s="304"/>
      <c r="T19" s="241"/>
      <c r="U19" s="304"/>
      <c r="V19" s="304"/>
      <c r="W19" s="184"/>
      <c r="X19" s="197"/>
      <c r="Y19" s="197"/>
      <c r="Z19" s="197"/>
      <c r="AA19" s="304"/>
      <c r="AB19" s="304"/>
      <c r="AC19" s="304"/>
      <c r="AD19" s="304"/>
      <c r="AE19" s="304"/>
      <c r="AF19" s="304"/>
      <c r="AG19" s="304"/>
      <c r="AH19" s="244"/>
      <c r="AI19" s="304"/>
      <c r="AJ19" s="184"/>
      <c r="AK19" s="184"/>
      <c r="AL19" s="200" t="str">
        <f t="shared" si="2"/>
        <v/>
      </c>
      <c r="AM19" s="201">
        <v>2020.0</v>
      </c>
    </row>
    <row r="20">
      <c r="A20" s="158" t="str">
        <f t="shared" si="1"/>
        <v/>
      </c>
      <c r="B20" s="236">
        <v>19.0</v>
      </c>
      <c r="C20" s="304"/>
      <c r="D20" s="184" t="str">
        <f>IFERROR(VLOOKUP(E20,INFORMACION!E:F,2,0),"INGRESAR CENTRO DE COSTO A LA DERECHA")</f>
        <v>INGRESAR CENTRO DE COSTO A LA DERECHA</v>
      </c>
      <c r="E20" s="184"/>
      <c r="F20" s="184"/>
      <c r="G20" s="304"/>
      <c r="H20" s="304"/>
      <c r="I20" s="186"/>
      <c r="J20" s="184"/>
      <c r="K20" s="184"/>
      <c r="L20" s="184"/>
      <c r="M20" s="304"/>
      <c r="N20" s="184"/>
      <c r="O20" s="304"/>
      <c r="P20" s="304"/>
      <c r="Q20" s="304"/>
      <c r="R20" s="184"/>
      <c r="S20" s="304"/>
      <c r="T20" s="241"/>
      <c r="U20" s="304"/>
      <c r="V20" s="304"/>
      <c r="W20" s="184"/>
      <c r="X20" s="197"/>
      <c r="Y20" s="197"/>
      <c r="Z20" s="197"/>
      <c r="AA20" s="304"/>
      <c r="AB20" s="304"/>
      <c r="AC20" s="304"/>
      <c r="AD20" s="304"/>
      <c r="AE20" s="304"/>
      <c r="AF20" s="304"/>
      <c r="AG20" s="304"/>
      <c r="AH20" s="244"/>
      <c r="AI20" s="304"/>
      <c r="AJ20" s="184"/>
      <c r="AK20" s="184"/>
      <c r="AL20" s="200" t="str">
        <f t="shared" si="2"/>
        <v/>
      </c>
      <c r="AM20" s="201">
        <v>2020.0</v>
      </c>
    </row>
    <row r="21">
      <c r="A21" s="158" t="str">
        <f t="shared" si="1"/>
        <v/>
      </c>
      <c r="B21" s="236">
        <v>20.0</v>
      </c>
      <c r="C21" s="304"/>
      <c r="D21" s="184" t="str">
        <f>IFERROR(VLOOKUP(E21,INFORMACION!E:F,2,0),"INGRESAR CENTRO DE COSTO A LA DERECHA")</f>
        <v>INGRESAR CENTRO DE COSTO A LA DERECHA</v>
      </c>
      <c r="E21" s="184"/>
      <c r="F21" s="184"/>
      <c r="G21" s="304"/>
      <c r="H21" s="304"/>
      <c r="I21" s="186"/>
      <c r="J21" s="184"/>
      <c r="K21" s="184"/>
      <c r="L21" s="184"/>
      <c r="M21" s="304"/>
      <c r="N21" s="184"/>
      <c r="O21" s="304"/>
      <c r="P21" s="304"/>
      <c r="Q21" s="304"/>
      <c r="R21" s="184"/>
      <c r="S21" s="304"/>
      <c r="T21" s="241"/>
      <c r="U21" s="304"/>
      <c r="V21" s="304"/>
      <c r="W21" s="184"/>
      <c r="X21" s="197"/>
      <c r="Y21" s="197"/>
      <c r="Z21" s="197"/>
      <c r="AA21" s="304"/>
      <c r="AB21" s="304"/>
      <c r="AC21" s="304"/>
      <c r="AD21" s="304"/>
      <c r="AE21" s="304"/>
      <c r="AF21" s="304"/>
      <c r="AG21" s="304"/>
      <c r="AH21" s="244"/>
      <c r="AI21" s="304"/>
      <c r="AJ21" s="184"/>
      <c r="AK21" s="184"/>
      <c r="AL21" s="200" t="str">
        <f t="shared" si="2"/>
        <v/>
      </c>
      <c r="AM21" s="201">
        <v>2020.0</v>
      </c>
    </row>
    <row r="22">
      <c r="A22" s="158" t="str">
        <f t="shared" si="1"/>
        <v/>
      </c>
      <c r="B22" s="236">
        <v>21.0</v>
      </c>
      <c r="C22" s="304"/>
      <c r="D22" s="184" t="str">
        <f>IFERROR(VLOOKUP(E22,INFORMACION!E:F,2,0),"INGRESAR CENTRO DE COSTO A LA DERECHA")</f>
        <v>INGRESAR CENTRO DE COSTO A LA DERECHA</v>
      </c>
      <c r="E22" s="184"/>
      <c r="F22" s="184"/>
      <c r="G22" s="304"/>
      <c r="H22" s="304"/>
      <c r="I22" s="186"/>
      <c r="J22" s="184"/>
      <c r="K22" s="184"/>
      <c r="L22" s="184"/>
      <c r="M22" s="304"/>
      <c r="N22" s="184"/>
      <c r="O22" s="304"/>
      <c r="P22" s="304"/>
      <c r="Q22" s="304"/>
      <c r="R22" s="184"/>
      <c r="S22" s="304"/>
      <c r="T22" s="241"/>
      <c r="U22" s="304"/>
      <c r="V22" s="304"/>
      <c r="W22" s="184"/>
      <c r="X22" s="197"/>
      <c r="Y22" s="197"/>
      <c r="Z22" s="197"/>
      <c r="AA22" s="304"/>
      <c r="AB22" s="304"/>
      <c r="AC22" s="304"/>
      <c r="AD22" s="304"/>
      <c r="AE22" s="304"/>
      <c r="AF22" s="304"/>
      <c r="AG22" s="304"/>
      <c r="AH22" s="244"/>
      <c r="AI22" s="304"/>
      <c r="AJ22" s="184"/>
      <c r="AK22" s="184"/>
      <c r="AL22" s="200" t="str">
        <f t="shared" si="2"/>
        <v/>
      </c>
      <c r="AM22" s="201">
        <v>2020.0</v>
      </c>
    </row>
    <row r="23">
      <c r="A23" s="158" t="str">
        <f t="shared" si="1"/>
        <v/>
      </c>
      <c r="B23" s="236">
        <v>22.0</v>
      </c>
      <c r="C23" s="304"/>
      <c r="D23" s="184" t="str">
        <f>IFERROR(VLOOKUP(E23,INFORMACION!E:F,2,0),"INGRESAR CENTRO DE COSTO A LA DERECHA")</f>
        <v>INGRESAR CENTRO DE COSTO A LA DERECHA</v>
      </c>
      <c r="E23" s="184"/>
      <c r="F23" s="184"/>
      <c r="G23" s="304"/>
      <c r="H23" s="304"/>
      <c r="I23" s="186"/>
      <c r="J23" s="184"/>
      <c r="K23" s="184"/>
      <c r="L23" s="184"/>
      <c r="M23" s="304"/>
      <c r="N23" s="184"/>
      <c r="O23" s="304"/>
      <c r="P23" s="304"/>
      <c r="Q23" s="304"/>
      <c r="R23" s="184"/>
      <c r="S23" s="304"/>
      <c r="T23" s="241"/>
      <c r="U23" s="304"/>
      <c r="V23" s="304"/>
      <c r="W23" s="184"/>
      <c r="X23" s="197"/>
      <c r="Y23" s="197"/>
      <c r="Z23" s="197"/>
      <c r="AA23" s="304"/>
      <c r="AB23" s="304"/>
      <c r="AC23" s="304"/>
      <c r="AD23" s="304"/>
      <c r="AE23" s="304"/>
      <c r="AF23" s="304"/>
      <c r="AG23" s="304"/>
      <c r="AH23" s="244"/>
      <c r="AI23" s="304"/>
      <c r="AJ23" s="184"/>
      <c r="AK23" s="184"/>
      <c r="AL23" s="200" t="str">
        <f t="shared" si="2"/>
        <v/>
      </c>
      <c r="AM23" s="201">
        <v>2020.0</v>
      </c>
    </row>
    <row r="24">
      <c r="A24" s="158" t="str">
        <f t="shared" si="1"/>
        <v/>
      </c>
      <c r="B24" s="236">
        <v>23.0</v>
      </c>
      <c r="C24" s="304"/>
      <c r="D24" s="184" t="str">
        <f>IFERROR(VLOOKUP(E24,INFORMACION!E:F,2,0),"INGRESAR CENTRO DE COSTO A LA DERECHA")</f>
        <v>INGRESAR CENTRO DE COSTO A LA DERECHA</v>
      </c>
      <c r="E24" s="184"/>
      <c r="F24" s="184"/>
      <c r="G24" s="304"/>
      <c r="H24" s="304"/>
      <c r="I24" s="186"/>
      <c r="J24" s="184"/>
      <c r="K24" s="184"/>
      <c r="L24" s="184"/>
      <c r="M24" s="304"/>
      <c r="N24" s="184"/>
      <c r="O24" s="304"/>
      <c r="P24" s="304"/>
      <c r="Q24" s="304"/>
      <c r="R24" s="184"/>
      <c r="S24" s="304"/>
      <c r="T24" s="241"/>
      <c r="U24" s="304"/>
      <c r="V24" s="304"/>
      <c r="W24" s="184"/>
      <c r="X24" s="197"/>
      <c r="Y24" s="197"/>
      <c r="Z24" s="197"/>
      <c r="AA24" s="304"/>
      <c r="AB24" s="304"/>
      <c r="AC24" s="304"/>
      <c r="AD24" s="304"/>
      <c r="AE24" s="304"/>
      <c r="AF24" s="304"/>
      <c r="AG24" s="304"/>
      <c r="AH24" s="244"/>
      <c r="AI24" s="304"/>
      <c r="AJ24" s="184"/>
      <c r="AK24" s="184"/>
      <c r="AL24" s="200" t="str">
        <f t="shared" si="2"/>
        <v/>
      </c>
      <c r="AM24" s="201">
        <v>2020.0</v>
      </c>
    </row>
    <row r="25">
      <c r="A25" s="158" t="str">
        <f t="shared" si="1"/>
        <v/>
      </c>
      <c r="B25" s="236">
        <v>24.0</v>
      </c>
      <c r="C25" s="304"/>
      <c r="D25" s="184" t="str">
        <f>IFERROR(VLOOKUP(E25,INFORMACION!E:F,2,0),"INGRESAR CENTRO DE COSTO A LA DERECHA")</f>
        <v>INGRESAR CENTRO DE COSTO A LA DERECHA</v>
      </c>
      <c r="E25" s="184"/>
      <c r="F25" s="184"/>
      <c r="G25" s="304"/>
      <c r="H25" s="304"/>
      <c r="I25" s="186"/>
      <c r="J25" s="184"/>
      <c r="K25" s="184"/>
      <c r="L25" s="184"/>
      <c r="M25" s="304"/>
      <c r="N25" s="184"/>
      <c r="O25" s="304"/>
      <c r="P25" s="304"/>
      <c r="Q25" s="304"/>
      <c r="R25" s="184"/>
      <c r="S25" s="304"/>
      <c r="T25" s="241"/>
      <c r="U25" s="304"/>
      <c r="V25" s="304"/>
      <c r="W25" s="184"/>
      <c r="X25" s="197"/>
      <c r="Y25" s="197"/>
      <c r="Z25" s="197"/>
      <c r="AA25" s="304"/>
      <c r="AB25" s="304"/>
      <c r="AC25" s="304"/>
      <c r="AD25" s="304"/>
      <c r="AE25" s="304"/>
      <c r="AF25" s="304"/>
      <c r="AG25" s="304"/>
      <c r="AH25" s="244"/>
      <c r="AI25" s="304"/>
      <c r="AJ25" s="184"/>
      <c r="AK25" s="184"/>
      <c r="AL25" s="200" t="str">
        <f t="shared" si="2"/>
        <v/>
      </c>
      <c r="AM25" s="201">
        <v>2020.0</v>
      </c>
    </row>
    <row r="26">
      <c r="A26" s="158" t="str">
        <f t="shared" si="1"/>
        <v/>
      </c>
      <c r="B26" s="236">
        <v>25.0</v>
      </c>
      <c r="C26" s="304"/>
      <c r="D26" s="184" t="str">
        <f>IFERROR(VLOOKUP(E26,INFORMACION!E:F,2,0),"INGRESAR CENTRO DE COSTO A LA DERECHA")</f>
        <v>INGRESAR CENTRO DE COSTO A LA DERECHA</v>
      </c>
      <c r="E26" s="184"/>
      <c r="F26" s="184"/>
      <c r="G26" s="304"/>
      <c r="H26" s="304"/>
      <c r="I26" s="186"/>
      <c r="J26" s="184"/>
      <c r="K26" s="184"/>
      <c r="L26" s="184"/>
      <c r="M26" s="304"/>
      <c r="N26" s="184"/>
      <c r="O26" s="304"/>
      <c r="P26" s="304"/>
      <c r="Q26" s="304"/>
      <c r="R26" s="184"/>
      <c r="S26" s="304"/>
      <c r="T26" s="241"/>
      <c r="U26" s="304"/>
      <c r="V26" s="304"/>
      <c r="W26" s="184"/>
      <c r="X26" s="197"/>
      <c r="Y26" s="197"/>
      <c r="Z26" s="197"/>
      <c r="AA26" s="304"/>
      <c r="AB26" s="304"/>
      <c r="AC26" s="304"/>
      <c r="AD26" s="304"/>
      <c r="AE26" s="304"/>
      <c r="AF26" s="304"/>
      <c r="AG26" s="304"/>
      <c r="AH26" s="244"/>
      <c r="AI26" s="304"/>
      <c r="AJ26" s="184"/>
      <c r="AK26" s="184"/>
      <c r="AL26" s="200" t="str">
        <f t="shared" si="2"/>
        <v/>
      </c>
      <c r="AM26" s="201">
        <v>2020.0</v>
      </c>
    </row>
    <row r="27">
      <c r="A27" s="158" t="str">
        <f t="shared" si="1"/>
        <v/>
      </c>
      <c r="B27" s="236">
        <v>26.0</v>
      </c>
      <c r="C27" s="304"/>
      <c r="D27" s="184" t="str">
        <f>IFERROR(VLOOKUP(E27,INFORMACION!E:F,2,0),"INGRESAR CENTRO DE COSTO A LA DERECHA")</f>
        <v>INGRESAR CENTRO DE COSTO A LA DERECHA</v>
      </c>
      <c r="E27" s="184"/>
      <c r="F27" s="184"/>
      <c r="G27" s="304"/>
      <c r="H27" s="304"/>
      <c r="I27" s="186"/>
      <c r="J27" s="184"/>
      <c r="K27" s="184"/>
      <c r="L27" s="184"/>
      <c r="M27" s="304"/>
      <c r="N27" s="184"/>
      <c r="O27" s="304"/>
      <c r="P27" s="304"/>
      <c r="Q27" s="304"/>
      <c r="R27" s="184"/>
      <c r="S27" s="304"/>
      <c r="T27" s="241"/>
      <c r="U27" s="304"/>
      <c r="V27" s="304"/>
      <c r="W27" s="184"/>
      <c r="X27" s="197"/>
      <c r="Y27" s="197"/>
      <c r="Z27" s="197"/>
      <c r="AA27" s="304"/>
      <c r="AB27" s="304"/>
      <c r="AC27" s="304"/>
      <c r="AD27" s="304"/>
      <c r="AE27" s="304"/>
      <c r="AF27" s="304"/>
      <c r="AG27" s="304"/>
      <c r="AH27" s="244"/>
      <c r="AI27" s="304"/>
      <c r="AJ27" s="184"/>
      <c r="AK27" s="184"/>
      <c r="AL27" s="200" t="str">
        <f t="shared" si="2"/>
        <v/>
      </c>
      <c r="AM27" s="201">
        <v>2020.0</v>
      </c>
    </row>
    <row r="28">
      <c r="A28" s="158" t="str">
        <f t="shared" si="1"/>
        <v/>
      </c>
      <c r="B28" s="236">
        <v>27.0</v>
      </c>
      <c r="C28" s="304"/>
      <c r="D28" s="184" t="str">
        <f>IFERROR(VLOOKUP(E28,INFORMACION!E:F,2,0),"INGRESAR CENTRO DE COSTO A LA DERECHA")</f>
        <v>INGRESAR CENTRO DE COSTO A LA DERECHA</v>
      </c>
      <c r="E28" s="184"/>
      <c r="F28" s="184"/>
      <c r="G28" s="304"/>
      <c r="H28" s="304"/>
      <c r="I28" s="186"/>
      <c r="J28" s="184"/>
      <c r="K28" s="184"/>
      <c r="L28" s="184"/>
      <c r="M28" s="304"/>
      <c r="N28" s="184"/>
      <c r="O28" s="304"/>
      <c r="P28" s="304"/>
      <c r="Q28" s="304"/>
      <c r="R28" s="184"/>
      <c r="S28" s="304"/>
      <c r="T28" s="241"/>
      <c r="U28" s="304"/>
      <c r="V28" s="304"/>
      <c r="W28" s="184"/>
      <c r="X28" s="197"/>
      <c r="Y28" s="197"/>
      <c r="Z28" s="197"/>
      <c r="AA28" s="304"/>
      <c r="AB28" s="304"/>
      <c r="AC28" s="304"/>
      <c r="AD28" s="304"/>
      <c r="AE28" s="304"/>
      <c r="AF28" s="304"/>
      <c r="AG28" s="304"/>
      <c r="AH28" s="244"/>
      <c r="AI28" s="304"/>
      <c r="AJ28" s="184"/>
      <c r="AK28" s="184"/>
      <c r="AL28" s="200" t="str">
        <f t="shared" si="2"/>
        <v/>
      </c>
      <c r="AM28" s="201">
        <v>2020.0</v>
      </c>
    </row>
    <row r="29">
      <c r="A29" s="158" t="str">
        <f t="shared" si="1"/>
        <v/>
      </c>
      <c r="B29" s="236">
        <v>28.0</v>
      </c>
      <c r="C29" s="304"/>
      <c r="D29" s="184" t="str">
        <f>IFERROR(VLOOKUP(E29,INFORMACION!E:F,2,0),"INGRESAR CENTRO DE COSTO A LA DERECHA")</f>
        <v>INGRESAR CENTRO DE COSTO A LA DERECHA</v>
      </c>
      <c r="E29" s="184"/>
      <c r="F29" s="184"/>
      <c r="G29" s="304"/>
      <c r="H29" s="304"/>
      <c r="I29" s="186"/>
      <c r="J29" s="184"/>
      <c r="K29" s="184"/>
      <c r="L29" s="184"/>
      <c r="M29" s="304"/>
      <c r="N29" s="184"/>
      <c r="O29" s="304"/>
      <c r="P29" s="304"/>
      <c r="Q29" s="304"/>
      <c r="R29" s="184"/>
      <c r="S29" s="304"/>
      <c r="T29" s="241"/>
      <c r="U29" s="304"/>
      <c r="V29" s="304"/>
      <c r="W29" s="184"/>
      <c r="X29" s="197"/>
      <c r="Y29" s="197"/>
      <c r="Z29" s="197"/>
      <c r="AA29" s="304"/>
      <c r="AB29" s="304"/>
      <c r="AC29" s="304"/>
      <c r="AD29" s="304"/>
      <c r="AE29" s="304"/>
      <c r="AF29" s="304"/>
      <c r="AG29" s="304"/>
      <c r="AH29" s="244"/>
      <c r="AI29" s="304"/>
      <c r="AJ29" s="184"/>
      <c r="AK29" s="184"/>
      <c r="AL29" s="200" t="str">
        <f t="shared" si="2"/>
        <v/>
      </c>
      <c r="AM29" s="201">
        <v>2020.0</v>
      </c>
    </row>
    <row r="30">
      <c r="A30" s="158" t="str">
        <f t="shared" si="1"/>
        <v/>
      </c>
      <c r="B30" s="236">
        <v>29.0</v>
      </c>
      <c r="C30" s="304"/>
      <c r="D30" s="184" t="str">
        <f>IFERROR(VLOOKUP(E30,INFORMACION!E:F,2,0),"INGRESAR CENTRO DE COSTO A LA DERECHA")</f>
        <v>INGRESAR CENTRO DE COSTO A LA DERECHA</v>
      </c>
      <c r="E30" s="184"/>
      <c r="F30" s="184"/>
      <c r="G30" s="304"/>
      <c r="H30" s="304"/>
      <c r="I30" s="186"/>
      <c r="J30" s="184"/>
      <c r="K30" s="184"/>
      <c r="L30" s="184"/>
      <c r="M30" s="304"/>
      <c r="N30" s="184"/>
      <c r="O30" s="304"/>
      <c r="P30" s="304"/>
      <c r="Q30" s="304"/>
      <c r="R30" s="184"/>
      <c r="S30" s="304"/>
      <c r="T30" s="241"/>
      <c r="U30" s="304"/>
      <c r="V30" s="304"/>
      <c r="W30" s="184"/>
      <c r="X30" s="197"/>
      <c r="Y30" s="197"/>
      <c r="Z30" s="197"/>
      <c r="AA30" s="304"/>
      <c r="AB30" s="304"/>
      <c r="AC30" s="304"/>
      <c r="AD30" s="304"/>
      <c r="AE30" s="304"/>
      <c r="AF30" s="304"/>
      <c r="AG30" s="304"/>
      <c r="AH30" s="244"/>
      <c r="AI30" s="304"/>
      <c r="AJ30" s="184"/>
      <c r="AK30" s="184"/>
      <c r="AL30" s="200" t="str">
        <f t="shared" si="2"/>
        <v/>
      </c>
      <c r="AM30" s="201">
        <v>2020.0</v>
      </c>
    </row>
    <row r="31">
      <c r="A31" s="158" t="str">
        <f t="shared" si="1"/>
        <v/>
      </c>
      <c r="B31" s="236">
        <v>30.0</v>
      </c>
      <c r="C31" s="304"/>
      <c r="D31" s="184" t="str">
        <f>IFERROR(VLOOKUP(E31,INFORMACION!E:F,2,0),"INGRESAR CENTRO DE COSTO A LA DERECHA")</f>
        <v>INGRESAR CENTRO DE COSTO A LA DERECHA</v>
      </c>
      <c r="E31" s="184"/>
      <c r="F31" s="184"/>
      <c r="G31" s="304"/>
      <c r="H31" s="304"/>
      <c r="I31" s="186"/>
      <c r="J31" s="184"/>
      <c r="K31" s="184"/>
      <c r="L31" s="184"/>
      <c r="M31" s="304"/>
      <c r="N31" s="184"/>
      <c r="O31" s="304"/>
      <c r="P31" s="304"/>
      <c r="Q31" s="304"/>
      <c r="R31" s="184"/>
      <c r="S31" s="304"/>
      <c r="T31" s="241"/>
      <c r="U31" s="304"/>
      <c r="V31" s="304"/>
      <c r="W31" s="184"/>
      <c r="X31" s="197"/>
      <c r="Y31" s="197"/>
      <c r="Z31" s="197"/>
      <c r="AA31" s="304"/>
      <c r="AB31" s="304"/>
      <c r="AC31" s="304"/>
      <c r="AD31" s="304"/>
      <c r="AE31" s="304"/>
      <c r="AF31" s="304"/>
      <c r="AG31" s="304"/>
      <c r="AH31" s="244"/>
      <c r="AI31" s="304"/>
      <c r="AJ31" s="184"/>
      <c r="AK31" s="184"/>
      <c r="AL31" s="200" t="str">
        <f t="shared" si="2"/>
        <v/>
      </c>
      <c r="AM31" s="201">
        <v>2020.0</v>
      </c>
    </row>
  </sheetData>
  <autoFilter ref="$A$1:$AM$31"/>
  <dataValidations>
    <dataValidation type="list" allowBlank="1" showInputMessage="1" showErrorMessage="1" prompt="Brechas - Ingresar si existen brechas a capacitar y en las siguientes columnas ingresar la competencia." sqref="W2:W31">
      <formula1>"SI,NO"</formula1>
    </dataValidation>
    <dataValidation type="custom" allowBlank="1" showInputMessage="1" prompt="Indicar si reemplaza a algún funcionario. Esto puede aparecer en los documentos de autorización presupestaria, en cartas de renuncia archivadas al proceso o en pone término o no-renovación.   SI NO REEMPLAZA A NADIE, FAVOR COLOCAR EL SIGNO &quot;-&quot;." sqref="AI1">
      <formula1>ISERROR(SEARCH((""/""),(AI1)))</formula1>
    </dataValidation>
    <dataValidation type="list" allowBlank="1" showInputMessage="1" prompt="Ingrese un funcionario de la lista (Dotación Diciembre [AÑO ANTERIOR])" sqref="T2:T31">
      <formula1>INFORMACION!$G:$G</formula1>
    </dataValidation>
    <dataValidation type="custom" allowBlank="1" showInputMessage="1" prompt="En caso de que el proceso haya concluido con un interno, ingresar datos relativos al grado anterior, el estamento al cual pertenecía (Administrativo, Técnico, Profesional, Auxiliar) y la Unidad de Desempeño Anterior." sqref="AC1 AF1">
      <formula1>ISERROR(SEARCH((""/""),(AC1)))</formula1>
    </dataValidation>
    <dataValidation type="list" allowBlank="1" showInputMessage="1" showErrorMessage="1" prompt="Indicar escalafón - Si es técnico, administrativo, profesional o auxiliar. No indicar en el caso de los médicos o personal de la Ley 15.076." sqref="K2:K31">
      <formula1>"PROFESIONAL,ADMINISTRATIVO,TECNICO,AUXILIAR"</formula1>
    </dataValidation>
    <dataValidation type="custom" allowBlank="1" showInputMessage="1" prompt="Escribir la Vicerrectoría, Facultad o Prorrectoría que corresponda según sea el caso usando MAYÚSCULA Y SIN TILDE." sqref="C1:D1 D2:D31">
      <formula1>ISERROR(SEARCH((""/""),(C1)))</formula1>
    </dataValidation>
    <dataValidation type="list" allowBlank="1" showInputMessage="1" showErrorMessage="1" prompt="Motivo Contratación - Ingrese si la contratación se debe a un proceso de selección, una regularización contractual o a una autorización directa." sqref="AH2:AH31">
      <formula1>"PROCESO DE SELECCIÓN,REGULARIZACIÓN CONTRACTUAL,CONTRATACIÓN DIRECTA"</formula1>
    </dataValidation>
    <dataValidation type="list" allowBlank="1" showInputMessage="1" prompt="Escribalo con mayúscula y sin tilde." sqref="F1:F31">
      <formula1>INFORMACION!$B$2:$B$170</formula1>
    </dataValidation>
    <dataValidation type="list" allowBlank="1" showInputMessage="1" prompt="Escriba el Departamento, Unidad, Facultad o Vicerrectoría, según corresponda en cada caso usando MAYÚSCULA Y SIN TILDE." sqref="E1:E31">
      <formula1>INFORMACION!$E:$E</formula1>
    </dataValidation>
    <dataValidation type="custom" allowBlank="1" showInputMessage="1" prompt="Ingrese las competencias en que es necesario capacitar al primer candidato de acuerdo al orden de importancia (1crítica-3necesaria). " sqref="X1:Z1">
      <formula1>ISERROR(SEARCH((""/""),(X1)))</formula1>
    </dataValidation>
    <dataValidation type="list" allowBlank="1" showInputMessage="1" showErrorMessage="1" prompt="Indicar si hubo proceso interno - No: No hubo / Interno: Sí hubo / 2: lo volvieron a pedir" sqref="L2:L31">
      <formula1>"INTERNO,NO,2"</formula1>
    </dataValidation>
    <dataValidation type="custom" allowBlank="1" showInputMessage="1" prompt="NO TOCAR ESTA COLUMNA" sqref="A1:A31">
      <formula1>ISERROR(SEARCH(("/"),(A1)))</formula1>
    </dataValidation>
    <dataValidation type="list" allowBlank="1" showInputMessage="1" showErrorMessage="1" prompt="Indicar género - Indicar de acuerdo al género si es &quot;seleccionada&quot; o &quot;seleccionado&quot;." sqref="R2:R31">
      <formula1>"SELECCIONADO,SELECCIONADA"</formula1>
    </dataValidation>
    <dataValidation type="list" allowBlank="1" showInputMessage="1" prompt="Ingrese las competencias en que es necesario capacitar al primer candidato de acuerdo al orden de importancia (1crítica-3necesaria). " sqref="X2:Z31">
      <formula1>INFORMACION!$H$2:$H$24</formula1>
    </dataValidation>
    <dataValidation type="list" allowBlank="1" showInputMessage="1" showErrorMessage="1" prompt="Elegir bien - Elija de acuerdo a la fuente por donde la persona seleccionada postuló o se participó del proceso._x000a_Puede ser P, C (CORREO) o E (EXTERNO), dependiendo el caso." sqref="AK2:AK31">
      <formula1>"C,P,E"</formula1>
    </dataValidation>
    <dataValidation type="custom" allowBlank="1" showInputMessage="1" prompt="Ingresar RUT en el formato indicado. Si esta celda está en rojo es porque la persona ya ha resultado seleccionada a lo largo del año, o bien porque se ha ingresado un proceso idéntico a la base de datos." sqref="V1">
      <formula1>LEN(10)</formula1>
    </dataValidation>
    <dataValidation type="list" allowBlank="1" showInputMessage="1" showErrorMessage="1" prompt="Indicar si hubo 2° proceso - Indicar si hubo:_x000a_Proceso Externo: Externo_x000a_No hubo: No" sqref="N2:N31">
      <formula1>"EXTERNO,NO"</formula1>
    </dataValidation>
    <dataValidation type="list" allowBlank="1" showInputMessage="1" showErrorMessage="1" prompt="Jornada - Precisar la jornada asignada al proceso de selección" sqref="I2:I31">
      <formula1>"Jornada Completa,3/4 Jornada,1/2 Jornada,1/4 Jornada"</formula1>
    </dataValidation>
    <dataValidation type="list" allowBlank="1" showInputMessage="1" showErrorMessage="1" prompt="Tipo de Contrato - Separar con los médicos, quienes se rigen por otra legislación." sqref="J2:J31">
      <formula1>"A CONTRATA,Por 11 hrs. Ley 15.076,Por 22 hrs. Ley 15.076,Por 33 hrs. Ley 15.076,Por 44 hrs. Ley 15.076"</formula1>
    </dataValidation>
    <dataValidation type="custom" allowBlank="1" showInputMessage="1" prompt="Ingresar primer nombre y apellidos en mayúscula, sin tilde y sin Ñ." sqref="T1:U1">
      <formula1>ISERROR(SEARCH((""/""),(T1)))</formula1>
    </dataValidation>
  </dataValidations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44" t="s">
        <v>1542</v>
      </c>
      <c r="B1" s="27" t="s">
        <v>1543</v>
      </c>
      <c r="C1" s="28" t="s">
        <v>1544</v>
      </c>
      <c r="D1" s="29" t="s">
        <v>1545</v>
      </c>
      <c r="E1" s="29" t="s">
        <v>1546</v>
      </c>
      <c r="F1" s="30" t="s">
        <v>1547</v>
      </c>
      <c r="G1" s="28" t="s">
        <v>1548</v>
      </c>
      <c r="H1" s="29" t="s">
        <v>1589</v>
      </c>
      <c r="I1" s="29" t="s">
        <v>1550</v>
      </c>
      <c r="J1" s="29" t="s">
        <v>1551</v>
      </c>
      <c r="K1" s="29" t="s">
        <v>1552</v>
      </c>
      <c r="L1" s="29" t="s">
        <v>2535</v>
      </c>
      <c r="M1" s="29" t="s">
        <v>1554</v>
      </c>
      <c r="N1" s="29" t="s">
        <v>2536</v>
      </c>
      <c r="O1" s="29" t="s">
        <v>1556</v>
      </c>
      <c r="P1" s="29" t="s">
        <v>1557</v>
      </c>
      <c r="Q1" s="28" t="s">
        <v>2537</v>
      </c>
      <c r="R1" s="29" t="s">
        <v>1559</v>
      </c>
      <c r="S1" s="31" t="s">
        <v>1560</v>
      </c>
      <c r="T1" s="29" t="s">
        <v>1561</v>
      </c>
      <c r="U1" s="28" t="s">
        <v>1562</v>
      </c>
      <c r="V1" s="28" t="s">
        <v>2060</v>
      </c>
      <c r="W1" s="29" t="s">
        <v>1563</v>
      </c>
      <c r="X1" s="29" t="s">
        <v>1564</v>
      </c>
      <c r="Y1" s="29" t="s">
        <v>1565</v>
      </c>
      <c r="Z1" s="29" t="s">
        <v>1566</v>
      </c>
      <c r="AA1" s="31" t="s">
        <v>1567</v>
      </c>
      <c r="AB1" s="31" t="s">
        <v>1568</v>
      </c>
      <c r="AC1" s="29" t="s">
        <v>1569</v>
      </c>
      <c r="AD1" s="29" t="s">
        <v>1570</v>
      </c>
      <c r="AE1" s="29" t="s">
        <v>1571</v>
      </c>
      <c r="AF1" s="29" t="s">
        <v>1572</v>
      </c>
      <c r="AG1" s="32" t="s">
        <v>1573</v>
      </c>
      <c r="AH1" s="194" t="s">
        <v>1574</v>
      </c>
      <c r="AI1" s="194" t="s">
        <v>1575</v>
      </c>
      <c r="AJ1" s="156" t="s">
        <v>1576</v>
      </c>
      <c r="AK1" s="29" t="s">
        <v>1577</v>
      </c>
      <c r="AL1" s="29" t="s">
        <v>2538</v>
      </c>
      <c r="AM1" s="44" t="s">
        <v>2539</v>
      </c>
    </row>
    <row r="2">
      <c r="A2" s="305" t="str">
        <f t="shared" ref="A2:A31" si="1">IFERROR(LEFT(V2,LEN(V2)-2)*1,"")</f>
        <v/>
      </c>
      <c r="B2" s="306">
        <v>1.0</v>
      </c>
      <c r="C2" s="307" t="s">
        <v>4667</v>
      </c>
      <c r="D2" s="308">
        <f>IFERROR(VLOOKUP(E2,INFORMACION!E:F,2,0),"INGRESAR CENTRO DE COSTO A LA DERECHA")</f>
        <v>22</v>
      </c>
      <c r="E2" s="308" t="s">
        <v>3943</v>
      </c>
      <c r="F2" s="308" t="s">
        <v>2247</v>
      </c>
      <c r="G2" s="307" t="s">
        <v>4668</v>
      </c>
      <c r="H2" s="307">
        <v>17.0</v>
      </c>
      <c r="I2" s="309" t="s">
        <v>2541</v>
      </c>
      <c r="J2" s="308" t="s">
        <v>112</v>
      </c>
      <c r="K2" s="308" t="s">
        <v>125</v>
      </c>
      <c r="L2" s="308" t="s">
        <v>122</v>
      </c>
      <c r="M2" s="307" t="s">
        <v>2597</v>
      </c>
      <c r="N2" s="308" t="s">
        <v>116</v>
      </c>
      <c r="O2" s="307">
        <v>2.0</v>
      </c>
      <c r="P2" s="307">
        <v>1.0</v>
      </c>
      <c r="Q2" s="307">
        <v>0.0</v>
      </c>
      <c r="R2" s="308" t="s">
        <v>121</v>
      </c>
      <c r="S2" s="310">
        <v>44298.0</v>
      </c>
      <c r="T2" s="311"/>
      <c r="U2" s="307" t="s">
        <v>4669</v>
      </c>
      <c r="V2" s="307" t="s">
        <v>4612</v>
      </c>
      <c r="W2" s="308"/>
      <c r="X2" s="312"/>
      <c r="Y2" s="312"/>
      <c r="Z2" s="312"/>
      <c r="AA2" s="310">
        <v>44258.0</v>
      </c>
      <c r="AB2" s="310">
        <v>44264.0</v>
      </c>
      <c r="AC2" s="307"/>
      <c r="AD2" s="313"/>
      <c r="AE2" s="313"/>
      <c r="AF2" s="313"/>
      <c r="AG2" s="313"/>
      <c r="AH2" s="308" t="s">
        <v>2071</v>
      </c>
      <c r="AI2" s="307"/>
      <c r="AJ2" s="308"/>
      <c r="AK2" s="308"/>
      <c r="AL2" s="314">
        <f t="shared" ref="AL2:AL31" si="2">IF(AB2="","",IF(AND(NETWORKDAYS(AB2,S2)&gt;1000,NETWORKDAYS(AB2,S2)&lt;1),"",(NETWORKDAYS(AB2,S2))))</f>
        <v>25</v>
      </c>
      <c r="AM2" s="315">
        <v>2021.0</v>
      </c>
    </row>
    <row r="3">
      <c r="A3" s="305" t="str">
        <f t="shared" si="1"/>
        <v/>
      </c>
      <c r="B3" s="306">
        <v>2.0</v>
      </c>
      <c r="C3" s="307" t="s">
        <v>4670</v>
      </c>
      <c r="D3" s="308">
        <f>IFERROR(VLOOKUP(E3,INFORMACION!E:F,2,0),"INGRESAR CENTRO DE COSTO A LA DERECHA")</f>
        <v>22</v>
      </c>
      <c r="E3" s="308" t="s">
        <v>3943</v>
      </c>
      <c r="F3" s="308" t="s">
        <v>2247</v>
      </c>
      <c r="G3" s="307" t="s">
        <v>4668</v>
      </c>
      <c r="H3" s="307">
        <v>17.0</v>
      </c>
      <c r="I3" s="309" t="s">
        <v>2541</v>
      </c>
      <c r="J3" s="308" t="s">
        <v>112</v>
      </c>
      <c r="K3" s="308" t="s">
        <v>125</v>
      </c>
      <c r="L3" s="308" t="s">
        <v>122</v>
      </c>
      <c r="M3" s="307" t="s">
        <v>2597</v>
      </c>
      <c r="N3" s="308" t="s">
        <v>116</v>
      </c>
      <c r="O3" s="307">
        <v>5.0</v>
      </c>
      <c r="P3" s="307">
        <v>1.0</v>
      </c>
      <c r="Q3" s="307">
        <v>0.0</v>
      </c>
      <c r="R3" s="308" t="s">
        <v>121</v>
      </c>
      <c r="S3" s="310">
        <v>44371.0</v>
      </c>
      <c r="T3" s="311"/>
      <c r="U3" s="307" t="s">
        <v>4671</v>
      </c>
      <c r="V3" s="307" t="s">
        <v>4612</v>
      </c>
      <c r="W3" s="308"/>
      <c r="X3" s="312"/>
      <c r="Y3" s="312"/>
      <c r="Z3" s="312"/>
      <c r="AA3" s="310">
        <v>44307.0</v>
      </c>
      <c r="AB3" s="310">
        <v>44314.0</v>
      </c>
      <c r="AC3" s="313"/>
      <c r="AD3" s="313"/>
      <c r="AE3" s="313"/>
      <c r="AF3" s="313"/>
      <c r="AG3" s="313"/>
      <c r="AH3" s="308" t="s">
        <v>2071</v>
      </c>
      <c r="AI3" s="307"/>
      <c r="AJ3" s="308"/>
      <c r="AK3" s="308"/>
      <c r="AL3" s="314">
        <f t="shared" si="2"/>
        <v>42</v>
      </c>
      <c r="AM3" s="315">
        <v>2021.0</v>
      </c>
    </row>
    <row r="4">
      <c r="A4" s="305" t="str">
        <f t="shared" si="1"/>
        <v/>
      </c>
      <c r="B4" s="306">
        <v>3.0</v>
      </c>
      <c r="C4" s="307" t="s">
        <v>4672</v>
      </c>
      <c r="D4" s="308">
        <f>IFERROR(VLOOKUP(E4,INFORMACION!E:F,2,0),"INGRESAR CENTRO DE COSTO A LA DERECHA")</f>
        <v>3</v>
      </c>
      <c r="E4" s="308" t="s">
        <v>4261</v>
      </c>
      <c r="F4" s="308" t="s">
        <v>3272</v>
      </c>
      <c r="G4" s="307"/>
      <c r="H4" s="307">
        <v>10.0</v>
      </c>
      <c r="I4" s="309" t="s">
        <v>2541</v>
      </c>
      <c r="J4" s="308" t="s">
        <v>112</v>
      </c>
      <c r="K4" s="308" t="s">
        <v>114</v>
      </c>
      <c r="L4" s="308" t="s">
        <v>117</v>
      </c>
      <c r="M4" s="307">
        <v>3.0</v>
      </c>
      <c r="N4" s="308" t="s">
        <v>122</v>
      </c>
      <c r="O4" s="307" t="s">
        <v>2597</v>
      </c>
      <c r="P4" s="307">
        <v>2.0</v>
      </c>
      <c r="Q4" s="307">
        <v>0.0</v>
      </c>
      <c r="R4" s="308" t="s">
        <v>121</v>
      </c>
      <c r="S4" s="310">
        <v>44365.0</v>
      </c>
      <c r="T4" s="311" t="s">
        <v>4673</v>
      </c>
      <c r="U4" s="307"/>
      <c r="V4" s="307" t="s">
        <v>4612</v>
      </c>
      <c r="W4" s="308"/>
      <c r="X4" s="312"/>
      <c r="Y4" s="312"/>
      <c r="Z4" s="312"/>
      <c r="AA4" s="310">
        <v>44299.0</v>
      </c>
      <c r="AB4" s="310">
        <v>44305.0</v>
      </c>
      <c r="AC4" s="313"/>
      <c r="AD4" s="313"/>
      <c r="AE4" s="313"/>
      <c r="AF4" s="313"/>
      <c r="AG4" s="313"/>
      <c r="AH4" s="308" t="s">
        <v>2071</v>
      </c>
      <c r="AI4" s="307"/>
      <c r="AJ4" s="308"/>
      <c r="AK4" s="308"/>
      <c r="AL4" s="314">
        <f t="shared" si="2"/>
        <v>45</v>
      </c>
      <c r="AM4" s="315">
        <v>2021.0</v>
      </c>
    </row>
    <row r="5">
      <c r="A5" s="158">
        <f t="shared" si="1"/>
        <v>17700939</v>
      </c>
      <c r="B5" s="236">
        <v>4.0</v>
      </c>
      <c r="C5" s="302" t="s">
        <v>4674</v>
      </c>
      <c r="D5" s="184">
        <f>IFERROR(VLOOKUP(E5,INFORMACION!E:F,2,0),"INGRESAR CENTRO DE COSTO A LA DERECHA")</f>
        <v>3</v>
      </c>
      <c r="E5" s="184" t="s">
        <v>2883</v>
      </c>
      <c r="F5" s="184" t="s">
        <v>3305</v>
      </c>
      <c r="G5" s="302"/>
      <c r="H5" s="302">
        <v>17.0</v>
      </c>
      <c r="I5" s="186" t="s">
        <v>2541</v>
      </c>
      <c r="J5" s="184" t="s">
        <v>112</v>
      </c>
      <c r="K5" s="184" t="s">
        <v>125</v>
      </c>
      <c r="L5" s="184" t="s">
        <v>122</v>
      </c>
      <c r="M5" s="302" t="s">
        <v>2597</v>
      </c>
      <c r="N5" s="184" t="s">
        <v>116</v>
      </c>
      <c r="O5" s="302">
        <v>16.0</v>
      </c>
      <c r="P5" s="302">
        <v>2.0</v>
      </c>
      <c r="Q5" s="302">
        <v>0.0</v>
      </c>
      <c r="R5" s="184" t="s">
        <v>121</v>
      </c>
      <c r="S5" s="303">
        <v>44348.0</v>
      </c>
      <c r="T5" s="241"/>
      <c r="U5" s="302" t="s">
        <v>4675</v>
      </c>
      <c r="V5" s="302" t="s">
        <v>4676</v>
      </c>
      <c r="W5" s="184" t="s">
        <v>118</v>
      </c>
      <c r="X5" s="197" t="s">
        <v>164</v>
      </c>
      <c r="Y5" s="197"/>
      <c r="Z5" s="197"/>
      <c r="AA5" s="303">
        <v>44301.0</v>
      </c>
      <c r="AB5" s="303">
        <v>44307.0</v>
      </c>
      <c r="AC5" s="304"/>
      <c r="AD5" s="304"/>
      <c r="AE5" s="304"/>
      <c r="AF5" s="304"/>
      <c r="AG5" s="304"/>
      <c r="AH5" s="244" t="s">
        <v>2071</v>
      </c>
      <c r="AI5" s="302" t="s">
        <v>4677</v>
      </c>
      <c r="AJ5" s="184"/>
      <c r="AK5" s="184" t="s">
        <v>2163</v>
      </c>
      <c r="AL5" s="200">
        <f t="shared" si="2"/>
        <v>30</v>
      </c>
      <c r="AM5" s="201">
        <v>2021.0</v>
      </c>
    </row>
    <row r="6">
      <c r="A6" s="305" t="str">
        <f t="shared" si="1"/>
        <v/>
      </c>
      <c r="B6" s="306">
        <v>5.0</v>
      </c>
      <c r="C6" s="307" t="s">
        <v>4678</v>
      </c>
      <c r="D6" s="308">
        <f>IFERROR(VLOOKUP(E6,INFORMACION!E:F,2,0),"INGRESAR CENTRO DE COSTO A LA DERECHA")</f>
        <v>60</v>
      </c>
      <c r="E6" s="308" t="s">
        <v>2937</v>
      </c>
      <c r="F6" s="308" t="s">
        <v>2625</v>
      </c>
      <c r="G6" s="307" t="s">
        <v>4679</v>
      </c>
      <c r="H6" s="307">
        <v>10.0</v>
      </c>
      <c r="I6" s="309" t="s">
        <v>2541</v>
      </c>
      <c r="J6" s="308" t="s">
        <v>112</v>
      </c>
      <c r="K6" s="308" t="s">
        <v>114</v>
      </c>
      <c r="L6" s="308" t="s">
        <v>117</v>
      </c>
      <c r="M6" s="307">
        <v>5.0</v>
      </c>
      <c r="N6" s="308" t="s">
        <v>122</v>
      </c>
      <c r="O6" s="307" t="s">
        <v>2597</v>
      </c>
      <c r="P6" s="307">
        <v>3.0</v>
      </c>
      <c r="Q6" s="307">
        <v>0.0</v>
      </c>
      <c r="R6" s="308" t="s">
        <v>115</v>
      </c>
      <c r="S6" s="310">
        <v>44348.0</v>
      </c>
      <c r="T6" s="311" t="s">
        <v>747</v>
      </c>
      <c r="U6" s="313"/>
      <c r="V6" s="307" t="s">
        <v>4612</v>
      </c>
      <c r="W6" s="308"/>
      <c r="X6" s="312"/>
      <c r="Y6" s="312"/>
      <c r="Z6" s="312"/>
      <c r="AA6" s="310">
        <v>44299.0</v>
      </c>
      <c r="AB6" s="310">
        <v>44309.0</v>
      </c>
      <c r="AC6" s="313"/>
      <c r="AD6" s="313"/>
      <c r="AE6" s="313"/>
      <c r="AF6" s="313"/>
      <c r="AG6" s="313"/>
      <c r="AH6" s="308"/>
      <c r="AI6" s="307"/>
      <c r="AJ6" s="308"/>
      <c r="AK6" s="308"/>
      <c r="AL6" s="314">
        <f t="shared" si="2"/>
        <v>28</v>
      </c>
      <c r="AM6" s="315">
        <v>2021.0</v>
      </c>
    </row>
    <row r="7">
      <c r="A7" s="305" t="str">
        <f t="shared" si="1"/>
        <v/>
      </c>
      <c r="B7" s="306">
        <v>6.0</v>
      </c>
      <c r="C7" s="307" t="s">
        <v>4680</v>
      </c>
      <c r="D7" s="308">
        <f>IFERROR(VLOOKUP(E7,INFORMACION!E:F,2,0),"INGRESAR CENTRO DE COSTO A LA DERECHA")</f>
        <v>5</v>
      </c>
      <c r="E7" s="308" t="s">
        <v>3193</v>
      </c>
      <c r="F7" s="308" t="s">
        <v>3222</v>
      </c>
      <c r="G7" s="307"/>
      <c r="H7" s="307">
        <v>8.0</v>
      </c>
      <c r="I7" s="309" t="s">
        <v>2541</v>
      </c>
      <c r="J7" s="308" t="s">
        <v>112</v>
      </c>
      <c r="K7" s="308" t="s">
        <v>114</v>
      </c>
      <c r="L7" s="308" t="s">
        <v>122</v>
      </c>
      <c r="M7" s="307">
        <v>67.0</v>
      </c>
      <c r="N7" s="308" t="s">
        <v>122</v>
      </c>
      <c r="O7" s="307" t="s">
        <v>2597</v>
      </c>
      <c r="P7" s="307">
        <v>7.0</v>
      </c>
      <c r="Q7" s="307">
        <v>0.0</v>
      </c>
      <c r="R7" s="308" t="s">
        <v>115</v>
      </c>
      <c r="S7" s="310">
        <v>44378.0</v>
      </c>
      <c r="T7" s="311"/>
      <c r="U7" s="307" t="s">
        <v>4681</v>
      </c>
      <c r="V7" s="307" t="s">
        <v>4612</v>
      </c>
      <c r="W7" s="308"/>
      <c r="X7" s="312"/>
      <c r="Y7" s="312"/>
      <c r="Z7" s="312"/>
      <c r="AA7" s="310">
        <v>44286.0</v>
      </c>
      <c r="AB7" s="310">
        <v>44292.0</v>
      </c>
      <c r="AC7" s="313"/>
      <c r="AD7" s="313"/>
      <c r="AE7" s="313"/>
      <c r="AF7" s="313"/>
      <c r="AG7" s="313"/>
      <c r="AH7" s="308"/>
      <c r="AI7" s="307"/>
      <c r="AJ7" s="308"/>
      <c r="AK7" s="308"/>
      <c r="AL7" s="314">
        <f t="shared" si="2"/>
        <v>63</v>
      </c>
      <c r="AM7" s="315">
        <v>2021.0</v>
      </c>
    </row>
    <row r="8">
      <c r="A8" s="305" t="str">
        <f t="shared" si="1"/>
        <v/>
      </c>
      <c r="B8" s="306">
        <v>7.0</v>
      </c>
      <c r="C8" s="307" t="s">
        <v>4682</v>
      </c>
      <c r="D8" s="308">
        <f>IFERROR(VLOOKUP(E8,INFORMACION!E:F,2,0),"INGRESAR CENTRO DE COSTO A LA DERECHA")</f>
        <v>5</v>
      </c>
      <c r="E8" s="308" t="s">
        <v>3193</v>
      </c>
      <c r="F8" s="308" t="s">
        <v>3222</v>
      </c>
      <c r="G8" s="307"/>
      <c r="H8" s="307">
        <v>8.0</v>
      </c>
      <c r="I8" s="309" t="s">
        <v>2541</v>
      </c>
      <c r="J8" s="308" t="s">
        <v>112</v>
      </c>
      <c r="K8" s="308" t="s">
        <v>114</v>
      </c>
      <c r="L8" s="308" t="s">
        <v>122</v>
      </c>
      <c r="M8" s="307">
        <v>67.0</v>
      </c>
      <c r="N8" s="308" t="s">
        <v>122</v>
      </c>
      <c r="O8" s="307" t="s">
        <v>2597</v>
      </c>
      <c r="P8" s="307">
        <v>7.0</v>
      </c>
      <c r="Q8" s="307">
        <v>0.0</v>
      </c>
      <c r="R8" s="308" t="s">
        <v>115</v>
      </c>
      <c r="S8" s="310">
        <v>44378.0</v>
      </c>
      <c r="T8" s="311"/>
      <c r="U8" s="307" t="s">
        <v>4683</v>
      </c>
      <c r="V8" s="307" t="s">
        <v>4612</v>
      </c>
      <c r="W8" s="308"/>
      <c r="X8" s="312"/>
      <c r="Y8" s="312"/>
      <c r="Z8" s="312"/>
      <c r="AA8" s="310">
        <v>44286.0</v>
      </c>
      <c r="AB8" s="310">
        <v>44292.0</v>
      </c>
      <c r="AC8" s="313"/>
      <c r="AD8" s="313"/>
      <c r="AE8" s="313"/>
      <c r="AF8" s="313"/>
      <c r="AG8" s="313"/>
      <c r="AH8" s="308"/>
      <c r="AI8" s="307"/>
      <c r="AJ8" s="308"/>
      <c r="AK8" s="308"/>
      <c r="AL8" s="314">
        <f t="shared" si="2"/>
        <v>63</v>
      </c>
      <c r="AM8" s="315">
        <v>2021.0</v>
      </c>
    </row>
    <row r="9">
      <c r="A9" s="305" t="str">
        <f t="shared" si="1"/>
        <v/>
      </c>
      <c r="B9" s="306">
        <v>8.0</v>
      </c>
      <c r="C9" s="307" t="s">
        <v>4684</v>
      </c>
      <c r="D9" s="308">
        <f>IFERROR(VLOOKUP(E9,INFORMACION!E:F,2,0),"INGRESAR CENTRO DE COSTO A LA DERECHA")</f>
        <v>5</v>
      </c>
      <c r="E9" s="308" t="s">
        <v>3193</v>
      </c>
      <c r="F9" s="308" t="s">
        <v>3222</v>
      </c>
      <c r="G9" s="307"/>
      <c r="H9" s="307">
        <v>8.0</v>
      </c>
      <c r="I9" s="309" t="s">
        <v>2541</v>
      </c>
      <c r="J9" s="308" t="s">
        <v>112</v>
      </c>
      <c r="K9" s="308" t="s">
        <v>114</v>
      </c>
      <c r="L9" s="308" t="s">
        <v>122</v>
      </c>
      <c r="M9" s="307">
        <v>67.0</v>
      </c>
      <c r="N9" s="308" t="s">
        <v>122</v>
      </c>
      <c r="O9" s="307" t="s">
        <v>2597</v>
      </c>
      <c r="P9" s="307">
        <v>7.0</v>
      </c>
      <c r="Q9" s="307">
        <v>0.0</v>
      </c>
      <c r="R9" s="308" t="s">
        <v>115</v>
      </c>
      <c r="S9" s="310">
        <v>44378.0</v>
      </c>
      <c r="T9" s="311"/>
      <c r="U9" s="307" t="s">
        <v>4685</v>
      </c>
      <c r="V9" s="307" t="s">
        <v>4612</v>
      </c>
      <c r="W9" s="308"/>
      <c r="X9" s="312"/>
      <c r="Y9" s="312"/>
      <c r="Z9" s="312"/>
      <c r="AA9" s="310">
        <v>44286.0</v>
      </c>
      <c r="AB9" s="310">
        <v>44292.0</v>
      </c>
      <c r="AC9" s="313"/>
      <c r="AD9" s="313"/>
      <c r="AE9" s="313"/>
      <c r="AF9" s="313"/>
      <c r="AG9" s="313"/>
      <c r="AH9" s="308"/>
      <c r="AI9" s="307"/>
      <c r="AJ9" s="308"/>
      <c r="AK9" s="308"/>
      <c r="AL9" s="314">
        <f t="shared" si="2"/>
        <v>63</v>
      </c>
      <c r="AM9" s="315">
        <v>2021.0</v>
      </c>
    </row>
    <row r="10">
      <c r="A10" s="305" t="str">
        <f t="shared" si="1"/>
        <v/>
      </c>
      <c r="B10" s="306">
        <v>9.0</v>
      </c>
      <c r="C10" s="307" t="s">
        <v>4686</v>
      </c>
      <c r="D10" s="308">
        <f>IFERROR(VLOOKUP(E10,INFORMACION!E:F,2,0),"INGRESAR CENTRO DE COSTO A LA DERECHA")</f>
        <v>15</v>
      </c>
      <c r="E10" s="308" t="s">
        <v>2195</v>
      </c>
      <c r="F10" s="308" t="s">
        <v>2596</v>
      </c>
      <c r="G10" s="307"/>
      <c r="H10" s="307">
        <v>17.0</v>
      </c>
      <c r="I10" s="309" t="s">
        <v>2541</v>
      </c>
      <c r="J10" s="308" t="s">
        <v>112</v>
      </c>
      <c r="K10" s="308" t="s">
        <v>120</v>
      </c>
      <c r="L10" s="308" t="s">
        <v>117</v>
      </c>
      <c r="M10" s="307">
        <v>1.0</v>
      </c>
      <c r="N10" s="308" t="s">
        <v>122</v>
      </c>
      <c r="O10" s="307" t="s">
        <v>2597</v>
      </c>
      <c r="P10" s="307">
        <v>1.0</v>
      </c>
      <c r="Q10" s="307">
        <v>0.0</v>
      </c>
      <c r="R10" s="308" t="s">
        <v>121</v>
      </c>
      <c r="S10" s="310">
        <v>44403.0</v>
      </c>
      <c r="T10" s="311" t="s">
        <v>4687</v>
      </c>
      <c r="U10" s="307"/>
      <c r="V10" s="307" t="s">
        <v>4612</v>
      </c>
      <c r="W10" s="308"/>
      <c r="X10" s="312"/>
      <c r="Y10" s="312"/>
      <c r="Z10" s="312"/>
      <c r="AA10" s="310">
        <v>44340.0</v>
      </c>
      <c r="AB10" s="310">
        <v>44319.0</v>
      </c>
      <c r="AC10" s="313"/>
      <c r="AD10" s="313"/>
      <c r="AE10" s="313"/>
      <c r="AF10" s="313"/>
      <c r="AG10" s="313"/>
      <c r="AH10" s="308"/>
      <c r="AI10" s="313"/>
      <c r="AJ10" s="308"/>
      <c r="AK10" s="308"/>
      <c r="AL10" s="314">
        <f t="shared" si="2"/>
        <v>61</v>
      </c>
      <c r="AM10" s="315">
        <v>2021.0</v>
      </c>
    </row>
    <row r="11">
      <c r="A11" s="158">
        <f t="shared" si="1"/>
        <v>17737715</v>
      </c>
      <c r="B11" s="236">
        <v>10.0</v>
      </c>
      <c r="C11" s="302" t="s">
        <v>4688</v>
      </c>
      <c r="D11" s="184">
        <f>IFERROR(VLOOKUP(E11,INFORMACION!E:F,2,0),"INGRESAR CENTRO DE COSTO A LA DERECHA")</f>
        <v>125</v>
      </c>
      <c r="E11" s="184" t="s">
        <v>3156</v>
      </c>
      <c r="F11" s="184" t="s">
        <v>2596</v>
      </c>
      <c r="G11" s="304"/>
      <c r="H11" s="302">
        <v>17.0</v>
      </c>
      <c r="I11" s="186" t="s">
        <v>2541</v>
      </c>
      <c r="J11" s="184" t="s">
        <v>112</v>
      </c>
      <c r="K11" s="184" t="s">
        <v>120</v>
      </c>
      <c r="L11" s="184" t="s">
        <v>117</v>
      </c>
      <c r="M11" s="302">
        <v>4.0</v>
      </c>
      <c r="N11" s="184" t="s">
        <v>122</v>
      </c>
      <c r="O11" s="302" t="s">
        <v>2597</v>
      </c>
      <c r="P11" s="302">
        <v>1.0</v>
      </c>
      <c r="Q11" s="302">
        <v>0.0</v>
      </c>
      <c r="R11" s="184" t="s">
        <v>121</v>
      </c>
      <c r="S11" s="303">
        <v>44407.0</v>
      </c>
      <c r="T11" s="241" t="s">
        <v>940</v>
      </c>
      <c r="U11" s="304"/>
      <c r="V11" s="302" t="s">
        <v>3959</v>
      </c>
      <c r="W11" s="184" t="s">
        <v>118</v>
      </c>
      <c r="X11" s="197" t="s">
        <v>164</v>
      </c>
      <c r="Y11" s="197"/>
      <c r="Z11" s="197"/>
      <c r="AA11" s="303">
        <v>44319.0</v>
      </c>
      <c r="AB11" s="303">
        <v>44326.0</v>
      </c>
      <c r="AC11" s="304"/>
      <c r="AD11" s="304"/>
      <c r="AE11" s="304"/>
      <c r="AF11" s="304"/>
      <c r="AG11" s="304"/>
      <c r="AH11" s="244" t="s">
        <v>2071</v>
      </c>
      <c r="AI11" s="302" t="s">
        <v>2597</v>
      </c>
      <c r="AJ11" s="184"/>
      <c r="AK11" s="184"/>
      <c r="AL11" s="200">
        <f t="shared" si="2"/>
        <v>60</v>
      </c>
      <c r="AM11" s="201">
        <v>2021.0</v>
      </c>
    </row>
    <row r="12">
      <c r="A12" s="158">
        <f t="shared" si="1"/>
        <v>16710897</v>
      </c>
      <c r="B12" s="236">
        <v>11.0</v>
      </c>
      <c r="C12" s="302" t="s">
        <v>4689</v>
      </c>
      <c r="D12" s="184">
        <f>IFERROR(VLOOKUP(E12,INFORMACION!E:F,2,0),"INGRESAR CENTRO DE COSTO A LA DERECHA")</f>
        <v>95</v>
      </c>
      <c r="E12" s="184" t="s">
        <v>1618</v>
      </c>
      <c r="F12" s="184" t="s">
        <v>3268</v>
      </c>
      <c r="G12" s="304"/>
      <c r="H12" s="302">
        <v>10.0</v>
      </c>
      <c r="I12" s="186" t="s">
        <v>2541</v>
      </c>
      <c r="J12" s="184" t="s">
        <v>112</v>
      </c>
      <c r="K12" s="184" t="s">
        <v>114</v>
      </c>
      <c r="L12" s="184" t="s">
        <v>117</v>
      </c>
      <c r="M12" s="302">
        <v>2.0</v>
      </c>
      <c r="N12" s="184" t="s">
        <v>122</v>
      </c>
      <c r="O12" s="302" t="s">
        <v>2597</v>
      </c>
      <c r="P12" s="302">
        <v>1.0</v>
      </c>
      <c r="Q12" s="302">
        <v>0.0</v>
      </c>
      <c r="R12" s="184" t="s">
        <v>121</v>
      </c>
      <c r="S12" s="303">
        <v>44413.0</v>
      </c>
      <c r="T12" s="241" t="s">
        <v>4690</v>
      </c>
      <c r="U12" s="304"/>
      <c r="V12" s="302" t="s">
        <v>4691</v>
      </c>
      <c r="W12" s="184" t="s">
        <v>118</v>
      </c>
      <c r="X12" s="197" t="s">
        <v>164</v>
      </c>
      <c r="Y12" s="197"/>
      <c r="Z12" s="197"/>
      <c r="AA12" s="303">
        <v>44350.0</v>
      </c>
      <c r="AB12" s="303">
        <v>44357.0</v>
      </c>
      <c r="AC12" s="304"/>
      <c r="AD12" s="304"/>
      <c r="AE12" s="304"/>
      <c r="AF12" s="304"/>
      <c r="AG12" s="304"/>
      <c r="AH12" s="244" t="s">
        <v>2071</v>
      </c>
      <c r="AI12" s="302" t="s">
        <v>2597</v>
      </c>
      <c r="AJ12" s="184"/>
      <c r="AK12" s="184"/>
      <c r="AL12" s="200">
        <f t="shared" si="2"/>
        <v>41</v>
      </c>
      <c r="AM12" s="201">
        <v>2021.0</v>
      </c>
    </row>
    <row r="13">
      <c r="A13" s="158">
        <f t="shared" si="1"/>
        <v>11863488</v>
      </c>
      <c r="B13" s="236">
        <v>12.0</v>
      </c>
      <c r="C13" s="302" t="s">
        <v>4692</v>
      </c>
      <c r="D13" s="184" t="str">
        <f>IFERROR(VLOOKUP(E13,INFORMACION!E:F,2,0),"INGRESAR CENTRO DE COSTO A LA DERECHA")</f>
        <v>INGRESAR CENTRO DE COSTO A LA DERECHA</v>
      </c>
      <c r="E13" s="184" t="s">
        <v>4693</v>
      </c>
      <c r="F13" s="184" t="s">
        <v>2635</v>
      </c>
      <c r="G13" s="302" t="s">
        <v>4693</v>
      </c>
      <c r="H13" s="302">
        <v>13.0</v>
      </c>
      <c r="I13" s="186" t="s">
        <v>2541</v>
      </c>
      <c r="J13" s="184" t="s">
        <v>112</v>
      </c>
      <c r="K13" s="184" t="s">
        <v>114</v>
      </c>
      <c r="L13" s="184" t="s">
        <v>117</v>
      </c>
      <c r="M13" s="302">
        <v>1.0</v>
      </c>
      <c r="N13" s="184" t="s">
        <v>122</v>
      </c>
      <c r="O13" s="304"/>
      <c r="P13" s="302">
        <v>1.0</v>
      </c>
      <c r="Q13" s="302">
        <v>0.0</v>
      </c>
      <c r="R13" s="184" t="s">
        <v>121</v>
      </c>
      <c r="S13" s="303">
        <v>44432.0</v>
      </c>
      <c r="T13" s="241" t="s">
        <v>1436</v>
      </c>
      <c r="U13" s="304"/>
      <c r="V13" s="302" t="s">
        <v>4694</v>
      </c>
      <c r="W13" s="184" t="s">
        <v>118</v>
      </c>
      <c r="X13" s="197" t="s">
        <v>138</v>
      </c>
      <c r="Y13" s="197"/>
      <c r="Z13" s="197"/>
      <c r="AA13" s="303">
        <v>44385.0</v>
      </c>
      <c r="AB13" s="303">
        <v>44392.0</v>
      </c>
      <c r="AC13" s="304"/>
      <c r="AD13" s="304"/>
      <c r="AE13" s="304"/>
      <c r="AF13" s="304"/>
      <c r="AG13" s="304"/>
      <c r="AH13" s="244" t="s">
        <v>2071</v>
      </c>
      <c r="AI13" s="302" t="s">
        <v>2597</v>
      </c>
      <c r="AJ13" s="184"/>
      <c r="AK13" s="184" t="s">
        <v>2157</v>
      </c>
      <c r="AL13" s="200">
        <f t="shared" si="2"/>
        <v>29</v>
      </c>
      <c r="AM13" s="201">
        <v>2021.0</v>
      </c>
    </row>
    <row r="14">
      <c r="A14" s="158">
        <f t="shared" si="1"/>
        <v>13297941</v>
      </c>
      <c r="B14" s="236">
        <v>13.0</v>
      </c>
      <c r="C14" s="302" t="s">
        <v>4695</v>
      </c>
      <c r="D14" s="184">
        <f>IFERROR(VLOOKUP(E14,INFORMACION!E:F,2,0),"INGRESAR CENTRO DE COSTO A LA DERECHA")</f>
        <v>55</v>
      </c>
      <c r="E14" s="184" t="s">
        <v>2969</v>
      </c>
      <c r="F14" s="184" t="s">
        <v>3260</v>
      </c>
      <c r="G14" s="304"/>
      <c r="H14" s="302">
        <v>14.0</v>
      </c>
      <c r="I14" s="186" t="s">
        <v>2541</v>
      </c>
      <c r="J14" s="184" t="s">
        <v>112</v>
      </c>
      <c r="K14" s="184" t="s">
        <v>114</v>
      </c>
      <c r="L14" s="184" t="s">
        <v>117</v>
      </c>
      <c r="M14" s="302">
        <v>7.0</v>
      </c>
      <c r="N14" s="184" t="s">
        <v>122</v>
      </c>
      <c r="O14" s="302" t="s">
        <v>2597</v>
      </c>
      <c r="P14" s="302">
        <v>1.0</v>
      </c>
      <c r="Q14" s="302">
        <v>0.0</v>
      </c>
      <c r="R14" s="184" t="s">
        <v>115</v>
      </c>
      <c r="S14" s="303">
        <v>44447.0</v>
      </c>
      <c r="T14" s="241" t="s">
        <v>469</v>
      </c>
      <c r="U14" s="304"/>
      <c r="V14" s="302" t="s">
        <v>3822</v>
      </c>
      <c r="W14" s="184" t="s">
        <v>118</v>
      </c>
      <c r="X14" s="197" t="s">
        <v>176</v>
      </c>
      <c r="Y14" s="197"/>
      <c r="Z14" s="197"/>
      <c r="AA14" s="303">
        <v>44398.0</v>
      </c>
      <c r="AB14" s="303">
        <v>44405.0</v>
      </c>
      <c r="AC14" s="304"/>
      <c r="AD14" s="304"/>
      <c r="AE14" s="304"/>
      <c r="AF14" s="304"/>
      <c r="AG14" s="304"/>
      <c r="AH14" s="244" t="s">
        <v>2071</v>
      </c>
      <c r="AI14" s="302" t="s">
        <v>4696</v>
      </c>
      <c r="AJ14" s="184"/>
      <c r="AK14" s="184" t="s">
        <v>2157</v>
      </c>
      <c r="AL14" s="200">
        <f t="shared" si="2"/>
        <v>31</v>
      </c>
      <c r="AM14" s="201">
        <v>2021.0</v>
      </c>
    </row>
    <row r="15">
      <c r="A15" s="158">
        <f t="shared" si="1"/>
        <v>15327094</v>
      </c>
      <c r="B15" s="236">
        <v>14.0</v>
      </c>
      <c r="C15" s="302" t="s">
        <v>4697</v>
      </c>
      <c r="D15" s="184">
        <f>IFERROR(VLOOKUP(E15,INFORMACION!E:F,2,0),"INGRESAR CENTRO DE COSTO A LA DERECHA")</f>
        <v>15</v>
      </c>
      <c r="E15" s="184" t="s">
        <v>4152</v>
      </c>
      <c r="F15" s="184" t="s">
        <v>2774</v>
      </c>
      <c r="G15" s="304"/>
      <c r="H15" s="302">
        <v>14.0</v>
      </c>
      <c r="I15" s="186" t="s">
        <v>2541</v>
      </c>
      <c r="J15" s="184" t="s">
        <v>112</v>
      </c>
      <c r="K15" s="184" t="s">
        <v>114</v>
      </c>
      <c r="L15" s="184" t="s">
        <v>117</v>
      </c>
      <c r="M15" s="302">
        <v>1.0</v>
      </c>
      <c r="N15" s="184" t="s">
        <v>122</v>
      </c>
      <c r="O15" s="302" t="s">
        <v>2597</v>
      </c>
      <c r="P15" s="302">
        <v>1.0</v>
      </c>
      <c r="Q15" s="302">
        <v>0.0</v>
      </c>
      <c r="R15" s="184" t="s">
        <v>121</v>
      </c>
      <c r="S15" s="303">
        <v>44445.0</v>
      </c>
      <c r="T15" s="241" t="s">
        <v>1411</v>
      </c>
      <c r="U15" s="304"/>
      <c r="V15" s="302" t="s">
        <v>2943</v>
      </c>
      <c r="W15" s="184" t="s">
        <v>118</v>
      </c>
      <c r="X15" s="197" t="s">
        <v>176</v>
      </c>
      <c r="Y15" s="197"/>
      <c r="Z15" s="197"/>
      <c r="AA15" s="303">
        <v>44383.0</v>
      </c>
      <c r="AB15" s="303">
        <v>44390.0</v>
      </c>
      <c r="AC15" s="304"/>
      <c r="AD15" s="304"/>
      <c r="AE15" s="304"/>
      <c r="AF15" s="304"/>
      <c r="AG15" s="304"/>
      <c r="AH15" s="244" t="s">
        <v>2071</v>
      </c>
      <c r="AI15" s="302" t="s">
        <v>4698</v>
      </c>
      <c r="AJ15" s="184"/>
      <c r="AK15" s="184" t="s">
        <v>2157</v>
      </c>
      <c r="AL15" s="200">
        <f t="shared" si="2"/>
        <v>40</v>
      </c>
      <c r="AM15" s="201">
        <v>2021.0</v>
      </c>
    </row>
    <row r="16">
      <c r="A16" s="158">
        <f t="shared" si="1"/>
        <v>17484988</v>
      </c>
      <c r="B16" s="236">
        <v>15.0</v>
      </c>
      <c r="C16" s="302" t="s">
        <v>4699</v>
      </c>
      <c r="D16" s="184">
        <f>IFERROR(VLOOKUP(E16,INFORMACION!E:F,2,0),"INGRESAR CENTRO DE COSTO A LA DERECHA")</f>
        <v>60</v>
      </c>
      <c r="E16" s="184" t="s">
        <v>2937</v>
      </c>
      <c r="F16" s="184" t="s">
        <v>2031</v>
      </c>
      <c r="G16" s="304"/>
      <c r="H16" s="302">
        <v>13.0</v>
      </c>
      <c r="I16" s="186" t="s">
        <v>2541</v>
      </c>
      <c r="J16" s="184" t="s">
        <v>112</v>
      </c>
      <c r="K16" s="184" t="s">
        <v>114</v>
      </c>
      <c r="L16" s="184" t="s">
        <v>117</v>
      </c>
      <c r="M16" s="302">
        <v>9.0</v>
      </c>
      <c r="N16" s="184" t="s">
        <v>122</v>
      </c>
      <c r="O16" s="302" t="s">
        <v>2597</v>
      </c>
      <c r="P16" s="302">
        <v>2.0</v>
      </c>
      <c r="Q16" s="302">
        <v>0.0</v>
      </c>
      <c r="R16" s="184" t="s">
        <v>121</v>
      </c>
      <c r="S16" s="303">
        <v>44459.0</v>
      </c>
      <c r="T16" s="241" t="s">
        <v>1070</v>
      </c>
      <c r="U16" s="304"/>
      <c r="V16" s="302" t="s">
        <v>3925</v>
      </c>
      <c r="W16" s="184" t="s">
        <v>118</v>
      </c>
      <c r="X16" s="197" t="s">
        <v>138</v>
      </c>
      <c r="Y16" s="197"/>
      <c r="Z16" s="197"/>
      <c r="AA16" s="303">
        <v>44385.0</v>
      </c>
      <c r="AB16" s="303">
        <v>44392.0</v>
      </c>
      <c r="AC16" s="304"/>
      <c r="AD16" s="304"/>
      <c r="AE16" s="304"/>
      <c r="AF16" s="304"/>
      <c r="AG16" s="304"/>
      <c r="AH16" s="244" t="s">
        <v>2071</v>
      </c>
      <c r="AI16" s="302" t="s">
        <v>4700</v>
      </c>
      <c r="AJ16" s="184"/>
      <c r="AK16" s="184" t="s">
        <v>2157</v>
      </c>
      <c r="AL16" s="200">
        <f t="shared" si="2"/>
        <v>48</v>
      </c>
      <c r="AM16" s="201">
        <v>2021.0</v>
      </c>
    </row>
    <row r="17">
      <c r="A17" s="158">
        <f t="shared" si="1"/>
        <v>16797444</v>
      </c>
      <c r="B17" s="236">
        <v>16.0</v>
      </c>
      <c r="C17" s="302" t="s">
        <v>4701</v>
      </c>
      <c r="D17" s="184">
        <f>IFERROR(VLOOKUP(E17,INFORMACION!E:F,2,0),"INGRESAR CENTRO DE COSTO A LA DERECHA")</f>
        <v>40</v>
      </c>
      <c r="E17" s="184" t="s">
        <v>2886</v>
      </c>
      <c r="F17" s="184" t="s">
        <v>2094</v>
      </c>
      <c r="G17" s="302" t="s">
        <v>4629</v>
      </c>
      <c r="H17" s="302">
        <v>10.0</v>
      </c>
      <c r="I17" s="186" t="s">
        <v>2541</v>
      </c>
      <c r="J17" s="184" t="s">
        <v>112</v>
      </c>
      <c r="K17" s="184" t="s">
        <v>114</v>
      </c>
      <c r="L17" s="184" t="s">
        <v>117</v>
      </c>
      <c r="M17" s="302">
        <v>7.0</v>
      </c>
      <c r="N17" s="184" t="s">
        <v>116</v>
      </c>
      <c r="O17" s="302">
        <v>19.0</v>
      </c>
      <c r="P17" s="302">
        <v>3.0</v>
      </c>
      <c r="Q17" s="302">
        <v>0.0</v>
      </c>
      <c r="R17" s="184" t="s">
        <v>121</v>
      </c>
      <c r="S17" s="316">
        <v>44481.0</v>
      </c>
      <c r="T17" s="241"/>
      <c r="U17" s="302" t="s">
        <v>4702</v>
      </c>
      <c r="V17" s="302" t="s">
        <v>4703</v>
      </c>
      <c r="W17" s="184" t="s">
        <v>118</v>
      </c>
      <c r="X17" s="197" t="s">
        <v>138</v>
      </c>
      <c r="Y17" s="197"/>
      <c r="Z17" s="197"/>
      <c r="AA17" s="303">
        <v>44441.0</v>
      </c>
      <c r="AB17" s="303">
        <v>44448.0</v>
      </c>
      <c r="AC17" s="304"/>
      <c r="AD17" s="304"/>
      <c r="AE17" s="304"/>
      <c r="AF17" s="304"/>
      <c r="AG17" s="304"/>
      <c r="AH17" s="244" t="s">
        <v>2071</v>
      </c>
      <c r="AI17" s="302" t="s">
        <v>4704</v>
      </c>
      <c r="AJ17" s="184"/>
      <c r="AK17" s="184" t="s">
        <v>2163</v>
      </c>
      <c r="AL17" s="200">
        <f t="shared" si="2"/>
        <v>24</v>
      </c>
      <c r="AM17" s="201">
        <v>2021.0</v>
      </c>
    </row>
    <row r="18">
      <c r="A18" s="158">
        <f t="shared" si="1"/>
        <v>16861876</v>
      </c>
      <c r="B18" s="236">
        <v>17.0</v>
      </c>
      <c r="C18" s="302" t="s">
        <v>4705</v>
      </c>
      <c r="D18" s="184">
        <f>IFERROR(VLOOKUP(E18,INFORMACION!E:F,2,0),"INGRESAR CENTRO DE COSTO A LA DERECHA")</f>
        <v>95</v>
      </c>
      <c r="E18" s="184" t="s">
        <v>1618</v>
      </c>
      <c r="F18" s="184" t="s">
        <v>2596</v>
      </c>
      <c r="G18" s="304"/>
      <c r="H18" s="302">
        <v>17.0</v>
      </c>
      <c r="I18" s="186" t="s">
        <v>2541</v>
      </c>
      <c r="J18" s="184" t="s">
        <v>112</v>
      </c>
      <c r="K18" s="184" t="s">
        <v>120</v>
      </c>
      <c r="L18" s="184" t="s">
        <v>117</v>
      </c>
      <c r="M18" s="302">
        <v>3.0</v>
      </c>
      <c r="N18" s="184" t="s">
        <v>122</v>
      </c>
      <c r="O18" s="304"/>
      <c r="P18" s="302">
        <v>0.0</v>
      </c>
      <c r="Q18" s="302">
        <v>0.0</v>
      </c>
      <c r="R18" s="184" t="s">
        <v>115</v>
      </c>
      <c r="S18" s="316">
        <v>44490.0</v>
      </c>
      <c r="T18" s="241" t="s">
        <v>1434</v>
      </c>
      <c r="U18" s="317" t="s">
        <v>4706</v>
      </c>
      <c r="V18" s="302" t="s">
        <v>2320</v>
      </c>
      <c r="W18" s="184"/>
      <c r="X18" s="197"/>
      <c r="Y18" s="197"/>
      <c r="Z18" s="197"/>
      <c r="AA18" s="303">
        <v>44439.0</v>
      </c>
      <c r="AB18" s="303">
        <v>44446.0</v>
      </c>
      <c r="AC18" s="304"/>
      <c r="AD18" s="304"/>
      <c r="AE18" s="304"/>
      <c r="AF18" s="304"/>
      <c r="AG18" s="304"/>
      <c r="AH18" s="244" t="s">
        <v>2071</v>
      </c>
      <c r="AI18" s="304"/>
      <c r="AJ18" s="184"/>
      <c r="AK18" s="184" t="s">
        <v>2157</v>
      </c>
      <c r="AL18" s="200">
        <f t="shared" si="2"/>
        <v>33</v>
      </c>
      <c r="AM18" s="201">
        <v>2021.0</v>
      </c>
    </row>
    <row r="19">
      <c r="A19" s="158">
        <f t="shared" si="1"/>
        <v>9993392</v>
      </c>
      <c r="B19" s="236">
        <v>18.0</v>
      </c>
      <c r="C19" s="302" t="s">
        <v>4707</v>
      </c>
      <c r="D19" s="184">
        <f>IFERROR(VLOOKUP(E19,INFORMACION!E:F,2,0),"INGRESAR CENTRO DE COSTO A LA DERECHA")</f>
        <v>55</v>
      </c>
      <c r="E19" s="184" t="s">
        <v>2969</v>
      </c>
      <c r="F19" s="184" t="s">
        <v>2540</v>
      </c>
      <c r="G19" s="302" t="s">
        <v>4708</v>
      </c>
      <c r="H19" s="302">
        <v>15.0</v>
      </c>
      <c r="I19" s="186" t="s">
        <v>2541</v>
      </c>
      <c r="J19" s="184" t="s">
        <v>112</v>
      </c>
      <c r="K19" s="184" t="s">
        <v>120</v>
      </c>
      <c r="L19" s="184" t="s">
        <v>117</v>
      </c>
      <c r="M19" s="302">
        <v>1.0</v>
      </c>
      <c r="N19" s="184" t="s">
        <v>122</v>
      </c>
      <c r="O19" s="302">
        <v>1.0</v>
      </c>
      <c r="P19" s="302">
        <v>0.0</v>
      </c>
      <c r="Q19" s="302">
        <v>0.0</v>
      </c>
      <c r="R19" s="184" t="s">
        <v>121</v>
      </c>
      <c r="S19" s="316">
        <v>44495.0</v>
      </c>
      <c r="T19" s="241" t="s">
        <v>990</v>
      </c>
      <c r="U19" s="304"/>
      <c r="V19" s="302" t="s">
        <v>4709</v>
      </c>
      <c r="W19" s="184"/>
      <c r="X19" s="197"/>
      <c r="Y19" s="197"/>
      <c r="Z19" s="197"/>
      <c r="AA19" s="303">
        <v>44445.0</v>
      </c>
      <c r="AB19" s="303">
        <v>44452.0</v>
      </c>
      <c r="AC19" s="304"/>
      <c r="AD19" s="304"/>
      <c r="AE19" s="304"/>
      <c r="AF19" s="304"/>
      <c r="AG19" s="304"/>
      <c r="AH19" s="244" t="s">
        <v>2071</v>
      </c>
      <c r="AI19" s="302" t="s">
        <v>4710</v>
      </c>
      <c r="AJ19" s="184"/>
      <c r="AK19" s="184" t="s">
        <v>2157</v>
      </c>
      <c r="AL19" s="200">
        <f t="shared" si="2"/>
        <v>32</v>
      </c>
      <c r="AM19" s="201">
        <v>2021.0</v>
      </c>
    </row>
    <row r="20">
      <c r="A20" s="158">
        <f t="shared" si="1"/>
        <v>19283391</v>
      </c>
      <c r="B20" s="236">
        <v>19.0</v>
      </c>
      <c r="C20" s="302" t="s">
        <v>4711</v>
      </c>
      <c r="D20" s="184">
        <f>IFERROR(VLOOKUP(E20,INFORMACION!E:F,2,0),"INGRESAR CENTRO DE COSTO A LA DERECHA")</f>
        <v>83</v>
      </c>
      <c r="E20" s="184" t="s">
        <v>1740</v>
      </c>
      <c r="F20" s="184" t="s">
        <v>3260</v>
      </c>
      <c r="G20" s="304"/>
      <c r="H20" s="302">
        <v>14.0</v>
      </c>
      <c r="I20" s="186" t="s">
        <v>2541</v>
      </c>
      <c r="J20" s="184" t="s">
        <v>112</v>
      </c>
      <c r="K20" s="184" t="s">
        <v>114</v>
      </c>
      <c r="L20" s="184" t="s">
        <v>117</v>
      </c>
      <c r="M20" s="302">
        <v>16.0</v>
      </c>
      <c r="N20" s="184" t="s">
        <v>122</v>
      </c>
      <c r="O20" s="302">
        <v>7.0</v>
      </c>
      <c r="P20" s="302">
        <v>2.0</v>
      </c>
      <c r="Q20" s="302">
        <v>0.0</v>
      </c>
      <c r="R20" s="184" t="s">
        <v>121</v>
      </c>
      <c r="S20" s="316">
        <v>44490.0</v>
      </c>
      <c r="T20" s="241" t="s">
        <v>570</v>
      </c>
      <c r="U20" s="304"/>
      <c r="V20" s="302" t="s">
        <v>2395</v>
      </c>
      <c r="W20" s="184" t="s">
        <v>118</v>
      </c>
      <c r="X20" s="197" t="s">
        <v>138</v>
      </c>
      <c r="Y20" s="197" t="s">
        <v>154</v>
      </c>
      <c r="Z20" s="197"/>
      <c r="AA20" s="303">
        <v>44425.0</v>
      </c>
      <c r="AB20" s="303">
        <v>44432.0</v>
      </c>
      <c r="AC20" s="304"/>
      <c r="AD20" s="304"/>
      <c r="AE20" s="304"/>
      <c r="AF20" s="304"/>
      <c r="AG20" s="304"/>
      <c r="AH20" s="244" t="s">
        <v>2071</v>
      </c>
      <c r="AI20" s="302" t="s">
        <v>2597</v>
      </c>
      <c r="AJ20" s="184"/>
      <c r="AK20" s="184" t="s">
        <v>2157</v>
      </c>
      <c r="AL20" s="200">
        <f t="shared" si="2"/>
        <v>43</v>
      </c>
      <c r="AM20" s="201">
        <v>2021.0</v>
      </c>
    </row>
    <row r="21">
      <c r="A21" s="158">
        <f t="shared" si="1"/>
        <v>18846795</v>
      </c>
      <c r="B21" s="236">
        <v>20.0</v>
      </c>
      <c r="C21" s="302" t="s">
        <v>4712</v>
      </c>
      <c r="D21" s="184">
        <f>IFERROR(VLOOKUP(E21,INFORMACION!E:F,2,0),"INGRESAR CENTRO DE COSTO A LA DERECHA")</f>
        <v>83</v>
      </c>
      <c r="E21" s="184" t="s">
        <v>1740</v>
      </c>
      <c r="F21" s="184" t="s">
        <v>3260</v>
      </c>
      <c r="G21" s="304"/>
      <c r="H21" s="302">
        <v>14.0</v>
      </c>
      <c r="I21" s="186" t="s">
        <v>2541</v>
      </c>
      <c r="J21" s="184" t="s">
        <v>112</v>
      </c>
      <c r="K21" s="184" t="s">
        <v>114</v>
      </c>
      <c r="L21" s="184" t="s">
        <v>117</v>
      </c>
      <c r="M21" s="302">
        <v>16.0</v>
      </c>
      <c r="N21" s="184" t="s">
        <v>122</v>
      </c>
      <c r="O21" s="302">
        <v>7.0</v>
      </c>
      <c r="P21" s="302">
        <v>2.0</v>
      </c>
      <c r="Q21" s="302">
        <v>0.0</v>
      </c>
      <c r="R21" s="184" t="s">
        <v>121</v>
      </c>
      <c r="S21" s="316">
        <v>44490.0</v>
      </c>
      <c r="T21" s="241" t="s">
        <v>272</v>
      </c>
      <c r="U21" s="304"/>
      <c r="V21" s="302" t="s">
        <v>4713</v>
      </c>
      <c r="W21" s="184" t="s">
        <v>118</v>
      </c>
      <c r="X21" s="197" t="s">
        <v>138</v>
      </c>
      <c r="Y21" s="197" t="s">
        <v>154</v>
      </c>
      <c r="Z21" s="197"/>
      <c r="AA21" s="303">
        <v>44425.0</v>
      </c>
      <c r="AB21" s="303">
        <v>44432.0</v>
      </c>
      <c r="AC21" s="304"/>
      <c r="AD21" s="304"/>
      <c r="AE21" s="304"/>
      <c r="AF21" s="304"/>
      <c r="AG21" s="304"/>
      <c r="AH21" s="244" t="s">
        <v>2071</v>
      </c>
      <c r="AI21" s="302" t="s">
        <v>2597</v>
      </c>
      <c r="AJ21" s="184"/>
      <c r="AK21" s="184" t="s">
        <v>2157</v>
      </c>
      <c r="AL21" s="200">
        <f t="shared" si="2"/>
        <v>43</v>
      </c>
      <c r="AM21" s="201">
        <v>2021.0</v>
      </c>
    </row>
    <row r="22">
      <c r="A22" s="158">
        <f t="shared" si="1"/>
        <v>19440941</v>
      </c>
      <c r="B22" s="236">
        <v>21.0</v>
      </c>
      <c r="C22" s="302" t="s">
        <v>4714</v>
      </c>
      <c r="D22" s="184">
        <f>IFERROR(VLOOKUP(E22,INFORMACION!E:F,2,0),"INGRESAR CENTRO DE COSTO A LA DERECHA")</f>
        <v>3</v>
      </c>
      <c r="E22" s="184" t="s">
        <v>2495</v>
      </c>
      <c r="F22" s="184" t="s">
        <v>4715</v>
      </c>
      <c r="G22" s="304"/>
      <c r="H22" s="302">
        <v>19.0</v>
      </c>
      <c r="I22" s="186" t="s">
        <v>2541</v>
      </c>
      <c r="J22" s="184" t="s">
        <v>112</v>
      </c>
      <c r="K22" s="184" t="s">
        <v>127</v>
      </c>
      <c r="L22" s="184" t="s">
        <v>122</v>
      </c>
      <c r="M22" s="302"/>
      <c r="N22" s="184" t="s">
        <v>116</v>
      </c>
      <c r="O22" s="302">
        <v>1.0</v>
      </c>
      <c r="P22" s="302">
        <v>1.0</v>
      </c>
      <c r="Q22" s="302">
        <v>0.0</v>
      </c>
      <c r="R22" s="184" t="s">
        <v>121</v>
      </c>
      <c r="S22" s="316">
        <v>44494.0</v>
      </c>
      <c r="T22" s="241"/>
      <c r="U22" s="302" t="s">
        <v>4716</v>
      </c>
      <c r="V22" s="302" t="s">
        <v>4717</v>
      </c>
      <c r="W22" s="184" t="s">
        <v>118</v>
      </c>
      <c r="X22" s="197" t="s">
        <v>176</v>
      </c>
      <c r="Y22" s="197"/>
      <c r="Z22" s="197"/>
      <c r="AA22" s="303">
        <v>44449.0</v>
      </c>
      <c r="AB22" s="303">
        <v>44456.0</v>
      </c>
      <c r="AC22" s="304"/>
      <c r="AD22" s="304"/>
      <c r="AE22" s="304"/>
      <c r="AF22" s="304"/>
      <c r="AG22" s="304"/>
      <c r="AH22" s="244" t="s">
        <v>2071</v>
      </c>
      <c r="AI22" s="302" t="s">
        <v>4718</v>
      </c>
      <c r="AJ22" s="184"/>
      <c r="AK22" s="184" t="s">
        <v>2163</v>
      </c>
      <c r="AL22" s="200">
        <f t="shared" si="2"/>
        <v>27</v>
      </c>
      <c r="AM22" s="201">
        <v>2021.0</v>
      </c>
    </row>
    <row r="23">
      <c r="A23" s="158">
        <f t="shared" si="1"/>
        <v>16076753</v>
      </c>
      <c r="B23" s="236">
        <v>22.0</v>
      </c>
      <c r="C23" s="302" t="s">
        <v>4719</v>
      </c>
      <c r="D23" s="184">
        <f>IFERROR(VLOOKUP(E23,INFORMACION!E:F,2,0),"INGRESAR CENTRO DE COSTO A LA DERECHA")</f>
        <v>40</v>
      </c>
      <c r="E23" s="184" t="s">
        <v>2886</v>
      </c>
      <c r="F23" s="184"/>
      <c r="G23" s="302" t="s">
        <v>4720</v>
      </c>
      <c r="H23" s="302">
        <v>13.0</v>
      </c>
      <c r="I23" s="186" t="s">
        <v>2541</v>
      </c>
      <c r="J23" s="184" t="s">
        <v>112</v>
      </c>
      <c r="K23" s="184" t="s">
        <v>125</v>
      </c>
      <c r="L23" s="184" t="s">
        <v>117</v>
      </c>
      <c r="M23" s="302">
        <v>1.0</v>
      </c>
      <c r="N23" s="184" t="s">
        <v>122</v>
      </c>
      <c r="O23" s="304"/>
      <c r="P23" s="302">
        <v>1.0</v>
      </c>
      <c r="Q23" s="302">
        <v>0.0</v>
      </c>
      <c r="R23" s="184" t="s">
        <v>115</v>
      </c>
      <c r="S23" s="316">
        <v>44517.0</v>
      </c>
      <c r="T23" s="241" t="s">
        <v>338</v>
      </c>
      <c r="U23" s="304"/>
      <c r="V23" s="302" t="s">
        <v>2215</v>
      </c>
      <c r="W23" s="184" t="s">
        <v>118</v>
      </c>
      <c r="X23" s="197" t="s">
        <v>132</v>
      </c>
      <c r="Y23" s="197"/>
      <c r="Z23" s="197"/>
      <c r="AA23" s="303">
        <v>44475.0</v>
      </c>
      <c r="AB23" s="316">
        <v>44482.0</v>
      </c>
      <c r="AC23" s="304"/>
      <c r="AD23" s="304"/>
      <c r="AE23" s="304"/>
      <c r="AF23" s="304"/>
      <c r="AG23" s="304"/>
      <c r="AH23" s="244" t="s">
        <v>2071</v>
      </c>
      <c r="AI23" s="302" t="s">
        <v>4721</v>
      </c>
      <c r="AJ23" s="184"/>
      <c r="AK23" s="184" t="s">
        <v>2157</v>
      </c>
      <c r="AL23" s="200">
        <f t="shared" si="2"/>
        <v>26</v>
      </c>
      <c r="AM23" s="201">
        <v>2021.0</v>
      </c>
    </row>
    <row r="24">
      <c r="A24" s="158">
        <f t="shared" si="1"/>
        <v>13285803</v>
      </c>
      <c r="B24" s="236">
        <v>23.0</v>
      </c>
      <c r="C24" s="302" t="s">
        <v>4722</v>
      </c>
      <c r="D24" s="184">
        <f>IFERROR(VLOOKUP(E24,INFORMACION!E:F,2,0),"INGRESAR CENTRO DE COSTO A LA DERECHA")</f>
        <v>22</v>
      </c>
      <c r="E24" s="184" t="s">
        <v>2914</v>
      </c>
      <c r="F24" s="184" t="s">
        <v>3308</v>
      </c>
      <c r="G24" s="304"/>
      <c r="H24" s="302">
        <v>17.0</v>
      </c>
      <c r="I24" s="186" t="s">
        <v>2541</v>
      </c>
      <c r="J24" s="184" t="s">
        <v>112</v>
      </c>
      <c r="K24" s="184" t="s">
        <v>125</v>
      </c>
      <c r="L24" s="184" t="s">
        <v>117</v>
      </c>
      <c r="M24" s="302">
        <v>3.0</v>
      </c>
      <c r="N24" s="184" t="s">
        <v>122</v>
      </c>
      <c r="O24" s="304"/>
      <c r="P24" s="302">
        <v>2.0</v>
      </c>
      <c r="Q24" s="302">
        <v>0.0</v>
      </c>
      <c r="R24" s="184" t="s">
        <v>115</v>
      </c>
      <c r="S24" s="316">
        <v>44530.0</v>
      </c>
      <c r="T24" s="241" t="s">
        <v>1397</v>
      </c>
      <c r="U24" s="304"/>
      <c r="V24" s="302" t="s">
        <v>4723</v>
      </c>
      <c r="W24" s="184" t="s">
        <v>122</v>
      </c>
      <c r="X24" s="197"/>
      <c r="Y24" s="197"/>
      <c r="Z24" s="197"/>
      <c r="AA24" s="316">
        <v>44489.0</v>
      </c>
      <c r="AB24" s="316">
        <v>44496.0</v>
      </c>
      <c r="AC24" s="304"/>
      <c r="AD24" s="304"/>
      <c r="AE24" s="304"/>
      <c r="AF24" s="304"/>
      <c r="AG24" s="304"/>
      <c r="AH24" s="244" t="s">
        <v>2071</v>
      </c>
      <c r="AI24" s="302" t="s">
        <v>4724</v>
      </c>
      <c r="AJ24" s="184"/>
      <c r="AK24" s="184" t="s">
        <v>2157</v>
      </c>
      <c r="AL24" s="200">
        <f t="shared" si="2"/>
        <v>25</v>
      </c>
      <c r="AM24" s="201">
        <v>2021.0</v>
      </c>
    </row>
    <row r="25">
      <c r="A25" s="158">
        <f t="shared" si="1"/>
        <v>17600591</v>
      </c>
      <c r="B25" s="236">
        <v>24.0</v>
      </c>
      <c r="C25" s="302" t="s">
        <v>4725</v>
      </c>
      <c r="D25" s="184">
        <f>IFERROR(VLOOKUP(E25,INFORMACION!E:F,2,0),"INGRESAR CENTRO DE COSTO A LA DERECHA")</f>
        <v>120</v>
      </c>
      <c r="E25" s="184" t="s">
        <v>3552</v>
      </c>
      <c r="F25" s="184" t="s">
        <v>3334</v>
      </c>
      <c r="G25" s="304"/>
      <c r="H25" s="302">
        <v>13.0</v>
      </c>
      <c r="I25" s="186" t="s">
        <v>2582</v>
      </c>
      <c r="J25" s="184" t="s">
        <v>112</v>
      </c>
      <c r="K25" s="184" t="s">
        <v>114</v>
      </c>
      <c r="L25" s="184" t="s">
        <v>117</v>
      </c>
      <c r="M25" s="302">
        <v>0.0</v>
      </c>
      <c r="N25" s="184" t="s">
        <v>116</v>
      </c>
      <c r="O25" s="302">
        <v>15.0</v>
      </c>
      <c r="P25" s="302">
        <v>3.0</v>
      </c>
      <c r="Q25" s="302">
        <v>1.0</v>
      </c>
      <c r="R25" s="184" t="s">
        <v>121</v>
      </c>
      <c r="S25" s="316">
        <v>44515.0</v>
      </c>
      <c r="T25" s="241"/>
      <c r="U25" s="302" t="s">
        <v>4726</v>
      </c>
      <c r="V25" s="302" t="s">
        <v>4727</v>
      </c>
      <c r="W25" s="184" t="s">
        <v>122</v>
      </c>
      <c r="X25" s="197"/>
      <c r="Y25" s="197"/>
      <c r="Z25" s="197"/>
      <c r="AA25" s="303">
        <v>44477.0</v>
      </c>
      <c r="AB25" s="316">
        <v>44484.0</v>
      </c>
      <c r="AC25" s="304"/>
      <c r="AD25" s="304"/>
      <c r="AE25" s="304"/>
      <c r="AF25" s="304"/>
      <c r="AG25" s="304"/>
      <c r="AH25" s="244" t="s">
        <v>2071</v>
      </c>
      <c r="AI25" s="302" t="s">
        <v>4728</v>
      </c>
      <c r="AJ25" s="184"/>
      <c r="AK25" s="184" t="s">
        <v>2163</v>
      </c>
      <c r="AL25" s="200">
        <f t="shared" si="2"/>
        <v>22</v>
      </c>
      <c r="AM25" s="201">
        <v>2021.0</v>
      </c>
    </row>
    <row r="26">
      <c r="A26" s="158">
        <f t="shared" si="1"/>
        <v>18051229</v>
      </c>
      <c r="B26" s="236">
        <v>25.0</v>
      </c>
      <c r="C26" s="302" t="s">
        <v>4729</v>
      </c>
      <c r="D26" s="184">
        <f>IFERROR(VLOOKUP(E26,INFORMACION!E:F,2,0),"INGRESAR CENTRO DE COSTO A LA DERECHA")</f>
        <v>83</v>
      </c>
      <c r="E26" s="184" t="s">
        <v>1740</v>
      </c>
      <c r="F26" s="184" t="s">
        <v>3260</v>
      </c>
      <c r="G26" s="302" t="s">
        <v>4730</v>
      </c>
      <c r="H26" s="302">
        <v>14.0</v>
      </c>
      <c r="I26" s="186" t="s">
        <v>2541</v>
      </c>
      <c r="J26" s="184" t="s">
        <v>112</v>
      </c>
      <c r="K26" s="184" t="s">
        <v>114</v>
      </c>
      <c r="L26" s="184" t="s">
        <v>117</v>
      </c>
      <c r="M26" s="302">
        <v>3.0</v>
      </c>
      <c r="N26" s="184" t="s">
        <v>122</v>
      </c>
      <c r="O26" s="304"/>
      <c r="P26" s="302">
        <v>3.0</v>
      </c>
      <c r="Q26" s="302">
        <v>0.0</v>
      </c>
      <c r="R26" s="184" t="s">
        <v>121</v>
      </c>
      <c r="S26" s="303">
        <v>44509.0</v>
      </c>
      <c r="T26" s="241" t="s">
        <v>491</v>
      </c>
      <c r="U26" s="304"/>
      <c r="V26" s="302" t="s">
        <v>3189</v>
      </c>
      <c r="W26" s="184" t="s">
        <v>118</v>
      </c>
      <c r="X26" s="197" t="s">
        <v>138</v>
      </c>
      <c r="Y26" s="197"/>
      <c r="Z26" s="197"/>
      <c r="AA26" s="303">
        <v>44425.0</v>
      </c>
      <c r="AB26" s="303">
        <v>44432.0</v>
      </c>
      <c r="AC26" s="304"/>
      <c r="AD26" s="304"/>
      <c r="AE26" s="304"/>
      <c r="AF26" s="304"/>
      <c r="AG26" s="304"/>
      <c r="AH26" s="244" t="s">
        <v>2071</v>
      </c>
      <c r="AI26" s="302" t="s">
        <v>2597</v>
      </c>
      <c r="AJ26" s="184"/>
      <c r="AK26" s="184" t="s">
        <v>2157</v>
      </c>
      <c r="AL26" s="200">
        <f t="shared" si="2"/>
        <v>56</v>
      </c>
      <c r="AM26" s="201">
        <v>2021.0</v>
      </c>
    </row>
    <row r="27">
      <c r="A27" s="158">
        <f t="shared" si="1"/>
        <v>13475807</v>
      </c>
      <c r="B27" s="236">
        <v>26.0</v>
      </c>
      <c r="C27" s="302" t="s">
        <v>4731</v>
      </c>
      <c r="D27" s="184">
        <f>IFERROR(VLOOKUP(E27,INFORMACION!E:F,2,0),"INGRESAR CENTRO DE COSTO A LA DERECHA")</f>
        <v>15</v>
      </c>
      <c r="E27" s="184" t="s">
        <v>2213</v>
      </c>
      <c r="F27" s="184" t="s">
        <v>2650</v>
      </c>
      <c r="G27" s="304"/>
      <c r="H27" s="302">
        <v>15.0</v>
      </c>
      <c r="I27" s="186" t="s">
        <v>2541</v>
      </c>
      <c r="J27" s="184" t="s">
        <v>112</v>
      </c>
      <c r="K27" s="184" t="s">
        <v>120</v>
      </c>
      <c r="L27" s="184" t="s">
        <v>117</v>
      </c>
      <c r="M27" s="302">
        <v>1.0</v>
      </c>
      <c r="N27" s="184" t="s">
        <v>122</v>
      </c>
      <c r="O27" s="304"/>
      <c r="P27" s="304"/>
      <c r="Q27" s="302">
        <v>0.0</v>
      </c>
      <c r="R27" s="184" t="s">
        <v>121</v>
      </c>
      <c r="S27" s="316">
        <v>44553.0</v>
      </c>
      <c r="T27" s="241" t="s">
        <v>837</v>
      </c>
      <c r="U27" s="317" t="s">
        <v>4732</v>
      </c>
      <c r="V27" s="302" t="s">
        <v>4733</v>
      </c>
      <c r="W27" s="184"/>
      <c r="X27" s="197"/>
      <c r="Y27" s="197"/>
      <c r="Z27" s="197"/>
      <c r="AA27" s="303">
        <v>44502.0</v>
      </c>
      <c r="AB27" s="303">
        <v>44509.0</v>
      </c>
      <c r="AC27" s="304"/>
      <c r="AD27" s="304"/>
      <c r="AE27" s="304"/>
      <c r="AF27" s="304"/>
      <c r="AG27" s="304"/>
      <c r="AH27" s="244" t="s">
        <v>2071</v>
      </c>
      <c r="AI27" s="304"/>
      <c r="AJ27" s="184"/>
      <c r="AK27" s="184" t="s">
        <v>2157</v>
      </c>
      <c r="AL27" s="200">
        <f t="shared" si="2"/>
        <v>33</v>
      </c>
      <c r="AM27" s="201">
        <v>2021.0</v>
      </c>
    </row>
    <row r="28">
      <c r="A28" s="158" t="str">
        <f t="shared" si="1"/>
        <v/>
      </c>
      <c r="B28" s="236">
        <v>27.0</v>
      </c>
      <c r="C28" s="304"/>
      <c r="D28" s="184" t="str">
        <f>IFERROR(VLOOKUP(E28,INFORMACION!E:F,2,0),"INGRESAR CENTRO DE COSTO A LA DERECHA")</f>
        <v>INGRESAR CENTRO DE COSTO A LA DERECHA</v>
      </c>
      <c r="E28" s="184"/>
      <c r="F28" s="184"/>
      <c r="G28" s="304"/>
      <c r="H28" s="304"/>
      <c r="I28" s="186"/>
      <c r="J28" s="184"/>
      <c r="K28" s="184"/>
      <c r="L28" s="184"/>
      <c r="M28" s="304"/>
      <c r="N28" s="184"/>
      <c r="O28" s="304"/>
      <c r="P28" s="304"/>
      <c r="Q28" s="304"/>
      <c r="R28" s="184"/>
      <c r="S28" s="304"/>
      <c r="T28" s="241"/>
      <c r="U28" s="304"/>
      <c r="V28" s="304"/>
      <c r="W28" s="184"/>
      <c r="X28" s="197"/>
      <c r="Y28" s="197"/>
      <c r="Z28" s="197"/>
      <c r="AA28" s="304"/>
      <c r="AB28" s="304"/>
      <c r="AC28" s="304"/>
      <c r="AD28" s="304"/>
      <c r="AE28" s="304"/>
      <c r="AF28" s="304"/>
      <c r="AG28" s="304"/>
      <c r="AH28" s="244"/>
      <c r="AI28" s="304"/>
      <c r="AJ28" s="184"/>
      <c r="AK28" s="184"/>
      <c r="AL28" s="200" t="str">
        <f t="shared" si="2"/>
        <v/>
      </c>
      <c r="AM28" s="201">
        <v>2021.0</v>
      </c>
    </row>
    <row r="29">
      <c r="A29" s="158" t="str">
        <f t="shared" si="1"/>
        <v/>
      </c>
      <c r="B29" s="236">
        <v>28.0</v>
      </c>
      <c r="C29" s="304"/>
      <c r="D29" s="184" t="str">
        <f>IFERROR(VLOOKUP(E29,INFORMACION!E:F,2,0),"INGRESAR CENTRO DE COSTO A LA DERECHA")</f>
        <v>INGRESAR CENTRO DE COSTO A LA DERECHA</v>
      </c>
      <c r="E29" s="184"/>
      <c r="F29" s="184"/>
      <c r="G29" s="304"/>
      <c r="H29" s="304"/>
      <c r="I29" s="186"/>
      <c r="J29" s="184"/>
      <c r="K29" s="184"/>
      <c r="L29" s="184"/>
      <c r="M29" s="304"/>
      <c r="N29" s="184"/>
      <c r="O29" s="304"/>
      <c r="P29" s="304"/>
      <c r="Q29" s="304"/>
      <c r="R29" s="184"/>
      <c r="S29" s="304"/>
      <c r="T29" s="241"/>
      <c r="U29" s="304"/>
      <c r="V29" s="304"/>
      <c r="W29" s="184"/>
      <c r="X29" s="197"/>
      <c r="Y29" s="197"/>
      <c r="Z29" s="197"/>
      <c r="AA29" s="304"/>
      <c r="AB29" s="304"/>
      <c r="AC29" s="304"/>
      <c r="AD29" s="304"/>
      <c r="AE29" s="304"/>
      <c r="AF29" s="304"/>
      <c r="AG29" s="304"/>
      <c r="AH29" s="244"/>
      <c r="AI29" s="304"/>
      <c r="AJ29" s="184"/>
      <c r="AK29" s="184"/>
      <c r="AL29" s="200" t="str">
        <f t="shared" si="2"/>
        <v/>
      </c>
      <c r="AM29" s="201">
        <v>2021.0</v>
      </c>
    </row>
    <row r="30">
      <c r="A30" s="158" t="str">
        <f t="shared" si="1"/>
        <v/>
      </c>
      <c r="B30" s="236">
        <v>29.0</v>
      </c>
      <c r="C30" s="304"/>
      <c r="D30" s="184" t="str">
        <f>IFERROR(VLOOKUP(E30,INFORMACION!E:F,2,0),"INGRESAR CENTRO DE COSTO A LA DERECHA")</f>
        <v>INGRESAR CENTRO DE COSTO A LA DERECHA</v>
      </c>
      <c r="E30" s="184"/>
      <c r="F30" s="184"/>
      <c r="G30" s="304"/>
      <c r="H30" s="304"/>
      <c r="I30" s="186"/>
      <c r="J30" s="184"/>
      <c r="K30" s="184"/>
      <c r="L30" s="184"/>
      <c r="M30" s="304"/>
      <c r="N30" s="184"/>
      <c r="O30" s="304"/>
      <c r="P30" s="304"/>
      <c r="Q30" s="304"/>
      <c r="R30" s="184"/>
      <c r="S30" s="304"/>
      <c r="T30" s="241"/>
      <c r="U30" s="304"/>
      <c r="V30" s="304"/>
      <c r="W30" s="184"/>
      <c r="X30" s="197"/>
      <c r="Y30" s="197"/>
      <c r="Z30" s="197"/>
      <c r="AA30" s="304"/>
      <c r="AB30" s="304"/>
      <c r="AC30" s="304"/>
      <c r="AD30" s="304"/>
      <c r="AE30" s="304"/>
      <c r="AF30" s="304"/>
      <c r="AG30" s="304"/>
      <c r="AH30" s="244"/>
      <c r="AI30" s="304"/>
      <c r="AJ30" s="184"/>
      <c r="AK30" s="184"/>
      <c r="AL30" s="200" t="str">
        <f t="shared" si="2"/>
        <v/>
      </c>
      <c r="AM30" s="201">
        <v>2021.0</v>
      </c>
    </row>
    <row r="31">
      <c r="A31" s="158" t="str">
        <f t="shared" si="1"/>
        <v/>
      </c>
      <c r="B31" s="236">
        <v>30.0</v>
      </c>
      <c r="C31" s="304"/>
      <c r="D31" s="184" t="str">
        <f>IFERROR(VLOOKUP(E31,INFORMACION!E:F,2,0),"INGRESAR CENTRO DE COSTO A LA DERECHA")</f>
        <v>INGRESAR CENTRO DE COSTO A LA DERECHA</v>
      </c>
      <c r="E31" s="184"/>
      <c r="F31" s="184"/>
      <c r="G31" s="304"/>
      <c r="H31" s="304"/>
      <c r="I31" s="186"/>
      <c r="J31" s="184"/>
      <c r="K31" s="184"/>
      <c r="L31" s="184"/>
      <c r="M31" s="304"/>
      <c r="N31" s="184"/>
      <c r="O31" s="304"/>
      <c r="P31" s="304"/>
      <c r="Q31" s="304"/>
      <c r="R31" s="184"/>
      <c r="S31" s="304"/>
      <c r="T31" s="241"/>
      <c r="U31" s="304"/>
      <c r="V31" s="304"/>
      <c r="W31" s="184"/>
      <c r="X31" s="197"/>
      <c r="Y31" s="197"/>
      <c r="Z31" s="197"/>
      <c r="AA31" s="304"/>
      <c r="AB31" s="304"/>
      <c r="AC31" s="304"/>
      <c r="AD31" s="304"/>
      <c r="AE31" s="304"/>
      <c r="AF31" s="304"/>
      <c r="AG31" s="304"/>
      <c r="AH31" s="244"/>
      <c r="AI31" s="304"/>
      <c r="AJ31" s="184"/>
      <c r="AK31" s="184"/>
      <c r="AL31" s="200" t="str">
        <f t="shared" si="2"/>
        <v/>
      </c>
      <c r="AM31" s="201">
        <v>2021.0</v>
      </c>
    </row>
  </sheetData>
  <dataValidations>
    <dataValidation type="list" allowBlank="1" showInputMessage="1" showErrorMessage="1" prompt="Brechas - Ingresar si existen brechas a capacitar y en las siguientes columnas ingresar la competencia." sqref="W2:W31">
      <formula1>"SI,NO"</formula1>
    </dataValidation>
    <dataValidation type="custom" allowBlank="1" showInputMessage="1" prompt="Indicar si reemplaza a algún funcionario. Esto puede aparecer en los documentos de autorización presupestaria, en cartas de renuncia archivadas al proceso o en pone término o no-renovación.   SI NO REEMPLAZA A NADIE, FAVOR COLOCAR EL SIGNO &quot;-&quot;." sqref="AI1">
      <formula1>ISERROR(SEARCH((""/""),(AI1)))</formula1>
    </dataValidation>
    <dataValidation type="list" allowBlank="1" showInputMessage="1" prompt="Ingrese un funcionario de la lista (Dotación Diciembre [AÑO ANTERIOR])" sqref="T2:T31">
      <formula1>INFORMACION!$G:$G</formula1>
    </dataValidation>
    <dataValidation type="custom" allowBlank="1" showInputMessage="1" prompt="En caso de que el proceso haya concluido con un interno, ingresar datos relativos al grado anterior, el estamento al cual pertenecía (Administrativo, Técnico, Profesional, Auxiliar) y la Unidad de Desempeño Anterior." sqref="AC1 AF1">
      <formula1>ISERROR(SEARCH((""/""),(AC1)))</formula1>
    </dataValidation>
    <dataValidation type="list" allowBlank="1" showInputMessage="1" showErrorMessage="1" prompt="Indicar escalafón - Si es técnico, administrativo, profesional o auxiliar. No indicar en el caso de los médicos o personal de la Ley 15.076." sqref="K2:K31">
      <formula1>"PROFESIONAL,ADMINISTRATIVO,TECNICO,AUXILIAR"</formula1>
    </dataValidation>
    <dataValidation type="custom" allowBlank="1" showInputMessage="1" prompt="Escribir la Vicerrectoría, Facultad o Prorrectoría que corresponda según sea el caso usando MAYÚSCULA Y SIN TILDE." sqref="C1:D1 D2:D31">
      <formula1>ISERROR(SEARCH((""/""),(C1)))</formula1>
    </dataValidation>
    <dataValidation type="list" allowBlank="1" showInputMessage="1" showErrorMessage="1" prompt="Motivo Contratación - Ingrese si la contratación se debe a un proceso de selección, una regularización contractual o a una autorización directa." sqref="AH2:AH31">
      <formula1>"PROCESO DE SELECCIÓN,REGULARIZACIÓN CONTRACTUAL,CONTRATACIÓN DIRECTA"</formula1>
    </dataValidation>
    <dataValidation type="list" allowBlank="1" showInputMessage="1" prompt="Escribalo con mayúscula y sin tilde." sqref="F1:F31">
      <formula1>INFORMACION!$B$2:$B$170</formula1>
    </dataValidation>
    <dataValidation type="list" allowBlank="1" showInputMessage="1" prompt="Escriba el Departamento, Unidad, Facultad o Vicerrectoría, según corresponda en cada caso usando MAYÚSCULA Y SIN TILDE." sqref="E1:E31">
      <formula1>INFORMACION!$E:$E</formula1>
    </dataValidation>
    <dataValidation type="custom" allowBlank="1" showInputMessage="1" prompt="Ingrese las competencias en que es necesario capacitar al primer candidato de acuerdo al orden de importancia (1crítica-3necesaria). " sqref="X1:Z1">
      <formula1>ISERROR(SEARCH((""/""),(X1)))</formula1>
    </dataValidation>
    <dataValidation type="list" allowBlank="1" showInputMessage="1" showErrorMessage="1" prompt="Indicar si hubo proceso interno - No: No hubo / Interno: Sí hubo / 2: lo volvieron a pedir" sqref="L2:L31">
      <formula1>"INTERNO,NO,2"</formula1>
    </dataValidation>
    <dataValidation type="custom" allowBlank="1" showInputMessage="1" prompt="NO TOCAR ESTA COLUMNA" sqref="A1:A31">
      <formula1>ISERROR(SEARCH(("/"),(A1)))</formula1>
    </dataValidation>
    <dataValidation type="list" allowBlank="1" showInputMessage="1" showErrorMessage="1" prompt="Indicar género - Indicar de acuerdo al género si es &quot;seleccionada&quot; o &quot;seleccionado&quot;." sqref="R2:R31">
      <formula1>"SELECCIONADO,SELECCIONADA"</formula1>
    </dataValidation>
    <dataValidation type="list" allowBlank="1" showInputMessage="1" prompt="Ingrese las competencias en que es necesario capacitar al primer candidato de acuerdo al orden de importancia (1crítica-3necesaria). " sqref="X2:Z31">
      <formula1>INFORMACION!$H$2:$H$24</formula1>
    </dataValidation>
    <dataValidation type="list" allowBlank="1" showInputMessage="1" showErrorMessage="1" prompt="Elegir bien - Elija de acuerdo a la fuente por donde la persona seleccionada postuló o se participó del proceso._x000a_Puede ser P, C (CORREO) o E (EXTERNO), dependiendo el caso." sqref="AK2:AK31">
      <formula1>"C,P,E"</formula1>
    </dataValidation>
    <dataValidation type="custom" allowBlank="1" showInputMessage="1" prompt="Ingresar RUT en el formato indicado. Si esta celda está en rojo es porque la persona ya ha resultado seleccionada a lo largo del año, o bien porque se ha ingresado un proceso idéntico a la base de datos." sqref="V1">
      <formula1>LEN(10)</formula1>
    </dataValidation>
    <dataValidation type="list" allowBlank="1" showInputMessage="1" showErrorMessage="1" prompt="Indicar si hubo 2° proceso - Indicar si hubo:_x000a_Proceso Externo: Externo_x000a_No hubo: No" sqref="N2:N31">
      <formula1>"EXTERNO,NO"</formula1>
    </dataValidation>
    <dataValidation type="list" allowBlank="1" showInputMessage="1" showErrorMessage="1" prompt="Jornada - Precisar la jornada asignada al proceso de selección" sqref="I2:I31">
      <formula1>"Jornada Completa,3/4 Jornada,1/2 Jornada,1/4 Jornada"</formula1>
    </dataValidation>
    <dataValidation type="list" allowBlank="1" showInputMessage="1" showErrorMessage="1" prompt="Tipo de Contrato - Separar con los médicos, quienes se rigen por otra legislación." sqref="J2:J31">
      <formula1>"A CONTRATA,Por 11 hrs. Ley 15.076,Por 22 hrs. Ley 15.076,Por 33 hrs. Ley 15.076,Por 44 hrs. Ley 15.076"</formula1>
    </dataValidation>
    <dataValidation type="custom" allowBlank="1" showInputMessage="1" prompt="Ingresar primer nombre y apellidos en mayúscula, sin tilde y sin Ñ." sqref="T1:U1">
      <formula1>ISERROR(SEARCH((""/""),(T1)))</formula1>
    </dataValidation>
  </dataValidations>
  <drawing r:id="rId2"/>
  <legacyDrawing r:id="rId3"/>
</worksheet>
</file>